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J14" i="11" l="1"/>
  <c r="J75" i="11"/>
  <c r="E116" i="1"/>
  <c r="E117" i="1"/>
  <c r="D117" i="1"/>
  <c r="D116" i="1"/>
  <c r="E115" i="1"/>
  <c r="D115" i="1"/>
  <c r="E114" i="1"/>
  <c r="D114" i="1"/>
  <c r="E104" i="1"/>
  <c r="E108" i="1" s="1"/>
  <c r="D104" i="1"/>
  <c r="E101" i="1"/>
  <c r="D101" i="1"/>
  <c r="E100" i="1"/>
  <c r="D100" i="1"/>
  <c r="D102" i="1" s="1"/>
  <c r="E102" i="1"/>
  <c r="D108" i="1"/>
  <c r="D21" i="1"/>
  <c r="E21" i="1"/>
  <c r="C21" i="1"/>
  <c r="D46" i="1"/>
  <c r="E46" i="1"/>
  <c r="F46" i="1"/>
  <c r="G46" i="1"/>
  <c r="H46" i="1"/>
  <c r="I46" i="1"/>
  <c r="J46" i="1"/>
  <c r="C46" i="1"/>
  <c r="E93" i="1"/>
  <c r="D93" i="1"/>
  <c r="D95" i="1" s="1"/>
  <c r="E95" i="1"/>
  <c r="E23" i="1"/>
  <c r="D23" i="1"/>
  <c r="C23" i="1"/>
  <c r="F17" i="1"/>
  <c r="F16" i="1"/>
  <c r="G16" i="1" s="1"/>
  <c r="H16" i="1" s="1"/>
  <c r="I16" i="1" s="1"/>
  <c r="J16" i="1" s="1"/>
  <c r="H38" i="1" l="1"/>
  <c r="I38" i="1" s="1"/>
  <c r="J38" i="1" s="1"/>
  <c r="F24" i="1" l="1"/>
  <c r="G24" i="1" s="1"/>
  <c r="H24" i="1" s="1"/>
  <c r="I24" i="1" s="1"/>
  <c r="J24" i="1" s="1"/>
  <c r="F20" i="1"/>
  <c r="E40" i="1"/>
  <c r="G40" i="1" s="1"/>
  <c r="D40" i="1"/>
  <c r="C40" i="1"/>
  <c r="E37" i="1"/>
  <c r="D37" i="1"/>
  <c r="D39" i="1"/>
  <c r="E39" i="1"/>
  <c r="C39" i="1"/>
  <c r="D22" i="1"/>
  <c r="C18" i="1"/>
  <c r="C38" i="1" s="1"/>
  <c r="E330" i="1"/>
  <c r="E18" i="1"/>
  <c r="E38" i="1" s="1"/>
  <c r="D18" i="1"/>
  <c r="C25" i="1" l="1"/>
  <c r="D25" i="1"/>
  <c r="D41" i="1" s="1"/>
  <c r="D38" i="1"/>
  <c r="E25" i="1"/>
  <c r="D115" i="11"/>
  <c r="D114" i="11"/>
  <c r="D113" i="11"/>
  <c r="D112" i="11"/>
  <c r="D111" i="11"/>
  <c r="C105" i="11"/>
  <c r="C106" i="11" s="1"/>
  <c r="C103" i="11"/>
  <c r="C102" i="11" s="1"/>
  <c r="G101" i="11"/>
  <c r="H101" i="11" s="1"/>
  <c r="E101" i="11"/>
  <c r="D101" i="11" s="1"/>
  <c r="G92" i="11"/>
  <c r="H92" i="11" s="1"/>
  <c r="E92" i="11"/>
  <c r="D92" i="11"/>
  <c r="C96" i="11"/>
  <c r="C97" i="11" s="1"/>
  <c r="C94" i="11"/>
  <c r="C93" i="11"/>
  <c r="C27" i="1" l="1"/>
  <c r="C41" i="1"/>
  <c r="D27" i="1"/>
  <c r="E27" i="1"/>
  <c r="E41" i="1"/>
  <c r="C83" i="11"/>
  <c r="H83" i="11"/>
  <c r="B83" i="11"/>
  <c r="B86" i="11" s="1"/>
  <c r="I82" i="11"/>
  <c r="G82" i="11"/>
  <c r="F82" i="11"/>
  <c r="I81" i="11"/>
  <c r="H81" i="11"/>
  <c r="G81" i="11"/>
  <c r="F81" i="11"/>
  <c r="H80" i="11"/>
  <c r="G80" i="11"/>
  <c r="F80" i="11"/>
  <c r="J80" i="11" l="1"/>
  <c r="J81" i="11"/>
  <c r="J82" i="11"/>
  <c r="E140" i="11"/>
  <c r="C140" i="11"/>
  <c r="E139" i="11"/>
  <c r="C139" i="11"/>
  <c r="J126" i="11"/>
  <c r="J121" i="11"/>
  <c r="J120" i="11"/>
  <c r="H110" i="11"/>
  <c r="F110" i="11"/>
  <c r="E110" i="11" s="1"/>
  <c r="C57" i="11"/>
  <c r="J54" i="11"/>
  <c r="I54" i="11"/>
  <c r="C51" i="11"/>
  <c r="J16" i="11"/>
  <c r="J62" i="11" s="1"/>
  <c r="I16" i="11"/>
  <c r="H16" i="11"/>
  <c r="G16" i="11"/>
  <c r="F16" i="11"/>
  <c r="D12" i="11"/>
  <c r="C12" i="11"/>
  <c r="C6" i="11"/>
  <c r="C5" i="11"/>
  <c r="D83" i="11" s="1"/>
  <c r="B2" i="11"/>
  <c r="C53" i="11" l="1"/>
  <c r="I73" i="11" s="1"/>
  <c r="G83" i="11"/>
  <c r="B139" i="11"/>
  <c r="J63" i="11"/>
  <c r="I83" i="11"/>
  <c r="D140" i="11"/>
  <c r="B140" i="11"/>
  <c r="D139" i="11"/>
  <c r="I53" i="11"/>
  <c r="C60" i="11"/>
  <c r="J53" i="11" l="1"/>
  <c r="C61" i="11"/>
  <c r="C62" i="11" s="1"/>
  <c r="C63" i="11" s="1"/>
  <c r="C65" i="11" s="1"/>
  <c r="I72" i="11" l="1"/>
  <c r="J72" i="11" s="1"/>
  <c r="J73" i="11" s="1"/>
  <c r="E83" i="11"/>
  <c r="F83" i="11" s="1"/>
  <c r="J56" i="11"/>
  <c r="I56" i="11"/>
  <c r="J123" i="11"/>
  <c r="J124" i="11" s="1"/>
  <c r="E5" i="9" l="1"/>
  <c r="C141" i="11" s="1"/>
  <c r="E4" i="9"/>
  <c r="E141" i="11" s="1"/>
  <c r="D141" i="11" l="1"/>
  <c r="H252" i="1"/>
  <c r="I252" i="1" s="1"/>
  <c r="J252" i="1" s="1"/>
  <c r="G365" i="1" l="1"/>
  <c r="J367" i="1" l="1"/>
  <c r="I367" i="1"/>
  <c r="H367" i="1"/>
  <c r="G367" i="1"/>
  <c r="F367" i="1"/>
  <c r="J366" i="1"/>
  <c r="I366" i="1"/>
  <c r="H366" i="1"/>
  <c r="G366" i="1"/>
  <c r="F366" i="1"/>
  <c r="J365" i="1"/>
  <c r="I365" i="1"/>
  <c r="H365" i="1"/>
  <c r="F365" i="1"/>
  <c r="G333" i="1"/>
  <c r="H332" i="1"/>
  <c r="I332" i="1" s="1"/>
  <c r="J332" i="1" s="1"/>
  <c r="F327" i="1"/>
  <c r="D324" i="1"/>
  <c r="B324" i="1"/>
  <c r="B323" i="1"/>
  <c r="E320" i="1"/>
  <c r="D320" i="1"/>
  <c r="C320" i="1"/>
  <c r="J319" i="1"/>
  <c r="F319" i="1"/>
  <c r="G319" i="1" s="1"/>
  <c r="H319" i="1" s="1"/>
  <c r="I319" i="1" s="1"/>
  <c r="E299" i="1"/>
  <c r="F297" i="1" s="1"/>
  <c r="D299" i="1"/>
  <c r="D294" i="1"/>
  <c r="B294" i="1"/>
  <c r="B293" i="1"/>
  <c r="J286" i="1"/>
  <c r="I286" i="1"/>
  <c r="H286" i="1"/>
  <c r="G286" i="1"/>
  <c r="F286" i="1"/>
  <c r="J282" i="1"/>
  <c r="I282" i="1"/>
  <c r="H282" i="1"/>
  <c r="G282" i="1"/>
  <c r="F282" i="1"/>
  <c r="J274" i="1"/>
  <c r="J28" i="11" s="1"/>
  <c r="I274" i="1"/>
  <c r="I28" i="11" s="1"/>
  <c r="H274" i="1"/>
  <c r="H28" i="11" s="1"/>
  <c r="G274" i="1"/>
  <c r="G28" i="11" s="1"/>
  <c r="F274" i="1"/>
  <c r="F28" i="11" s="1"/>
  <c r="J273" i="1"/>
  <c r="J27" i="11" s="1"/>
  <c r="I273" i="1"/>
  <c r="I27" i="11" s="1"/>
  <c r="H273" i="1"/>
  <c r="H27" i="11" s="1"/>
  <c r="G273" i="1"/>
  <c r="G27" i="11" s="1"/>
  <c r="F273" i="1"/>
  <c r="F27" i="11" s="1"/>
  <c r="J272" i="1"/>
  <c r="J26" i="11" s="1"/>
  <c r="I272" i="1"/>
  <c r="I26" i="11" s="1"/>
  <c r="H272" i="1"/>
  <c r="H26" i="11" s="1"/>
  <c r="G272" i="1"/>
  <c r="G26" i="11" s="1"/>
  <c r="F272" i="1"/>
  <c r="F26" i="11" s="1"/>
  <c r="J271" i="1"/>
  <c r="J25" i="11" s="1"/>
  <c r="I271" i="1"/>
  <c r="I25" i="11" s="1"/>
  <c r="H271" i="1"/>
  <c r="H25" i="11" s="1"/>
  <c r="G271" i="1"/>
  <c r="G25" i="11" s="1"/>
  <c r="F271" i="1"/>
  <c r="F25" i="11" s="1"/>
  <c r="D262" i="1"/>
  <c r="B262" i="1"/>
  <c r="B261" i="1"/>
  <c r="E258" i="1"/>
  <c r="F256" i="1" s="1"/>
  <c r="F258" i="1" s="1"/>
  <c r="D258" i="1"/>
  <c r="E249" i="1"/>
  <c r="F246" i="1" s="1"/>
  <c r="D249" i="1"/>
  <c r="D243" i="1"/>
  <c r="C243" i="1"/>
  <c r="B243" i="1"/>
  <c r="B242" i="1"/>
  <c r="E237" i="1"/>
  <c r="F235" i="1" s="1"/>
  <c r="F237" i="1" s="1"/>
  <c r="D237" i="1"/>
  <c r="J236" i="1"/>
  <c r="J285" i="1" s="1"/>
  <c r="I236" i="1"/>
  <c r="I285" i="1" s="1"/>
  <c r="H236" i="1"/>
  <c r="H285" i="1" s="1"/>
  <c r="G236" i="1"/>
  <c r="G285" i="1" s="1"/>
  <c r="F236" i="1"/>
  <c r="F285" i="1" s="1"/>
  <c r="D232" i="1"/>
  <c r="E231" i="1"/>
  <c r="E232" i="1" s="1"/>
  <c r="D231" i="1"/>
  <c r="C231" i="1"/>
  <c r="C232" i="1" s="1"/>
  <c r="E228" i="1"/>
  <c r="F225" i="1" s="1"/>
  <c r="D228" i="1"/>
  <c r="J226" i="1"/>
  <c r="J284" i="1" s="1"/>
  <c r="I226" i="1"/>
  <c r="I284" i="1" s="1"/>
  <c r="H226" i="1"/>
  <c r="H284" i="1" s="1"/>
  <c r="G226" i="1"/>
  <c r="G284" i="1" s="1"/>
  <c r="F226" i="1"/>
  <c r="F284" i="1" s="1"/>
  <c r="D222" i="1"/>
  <c r="B222" i="1"/>
  <c r="B221" i="1"/>
  <c r="J218" i="1"/>
  <c r="I218" i="1"/>
  <c r="H218" i="1"/>
  <c r="G218" i="1"/>
  <c r="F218" i="1"/>
  <c r="J214" i="1"/>
  <c r="J211" i="1" s="1"/>
  <c r="J275" i="1" s="1"/>
  <c r="I214" i="1"/>
  <c r="H214" i="1"/>
  <c r="G214" i="1"/>
  <c r="F214" i="1"/>
  <c r="F211" i="1" s="1"/>
  <c r="F275" i="1" s="1"/>
  <c r="E212" i="1"/>
  <c r="F209" i="1" s="1"/>
  <c r="D212" i="1"/>
  <c r="I211" i="1"/>
  <c r="I275" i="1" s="1"/>
  <c r="H211" i="1"/>
  <c r="H275" i="1" s="1"/>
  <c r="G211" i="1"/>
  <c r="G275" i="1" s="1"/>
  <c r="D206" i="1"/>
  <c r="B206" i="1"/>
  <c r="B205" i="1"/>
  <c r="E202" i="1"/>
  <c r="F200" i="1" s="1"/>
  <c r="F202" i="1" s="1"/>
  <c r="D202" i="1"/>
  <c r="E197" i="1"/>
  <c r="F195" i="1" s="1"/>
  <c r="F197" i="1" s="1"/>
  <c r="D197" i="1"/>
  <c r="E192" i="1"/>
  <c r="F190" i="1" s="1"/>
  <c r="F192" i="1" s="1"/>
  <c r="D192" i="1"/>
  <c r="D187" i="1"/>
  <c r="D182" i="1"/>
  <c r="C182" i="1"/>
  <c r="B182" i="1"/>
  <c r="B181" i="1"/>
  <c r="H178" i="1"/>
  <c r="I178" i="1" s="1"/>
  <c r="J178" i="1" s="1"/>
  <c r="E177" i="1"/>
  <c r="E178" i="1" s="1"/>
  <c r="D177" i="1"/>
  <c r="D178" i="1" s="1"/>
  <c r="C177" i="1"/>
  <c r="C178" i="1" s="1"/>
  <c r="E176" i="1"/>
  <c r="D176" i="1"/>
  <c r="C176" i="1"/>
  <c r="E173" i="1"/>
  <c r="F170" i="1" s="1"/>
  <c r="D173" i="1"/>
  <c r="D168" i="1"/>
  <c r="C168" i="1"/>
  <c r="B168" i="1"/>
  <c r="B167" i="1"/>
  <c r="E161" i="1"/>
  <c r="F158" i="1" s="1"/>
  <c r="F161" i="1" s="1"/>
  <c r="J160" i="1"/>
  <c r="I160" i="1"/>
  <c r="H160" i="1"/>
  <c r="G160" i="1"/>
  <c r="F160" i="1"/>
  <c r="J159" i="1"/>
  <c r="J279" i="1" s="1"/>
  <c r="J31" i="11" s="1"/>
  <c r="I159" i="1"/>
  <c r="I279" i="1" s="1"/>
  <c r="I31" i="11" s="1"/>
  <c r="H159" i="1"/>
  <c r="H279" i="1" s="1"/>
  <c r="H31" i="11" s="1"/>
  <c r="G159" i="1"/>
  <c r="G279" i="1" s="1"/>
  <c r="G31" i="11" s="1"/>
  <c r="F159" i="1"/>
  <c r="F279" i="1" s="1"/>
  <c r="F31" i="11" s="1"/>
  <c r="D156" i="1"/>
  <c r="C156" i="1"/>
  <c r="B156" i="1"/>
  <c r="B155" i="1"/>
  <c r="J145" i="1"/>
  <c r="I145" i="1"/>
  <c r="H145" i="1"/>
  <c r="G145" i="1"/>
  <c r="F145" i="1"/>
  <c r="E142" i="1"/>
  <c r="E144" i="1" s="1"/>
  <c r="E145" i="1" s="1"/>
  <c r="D142" i="1"/>
  <c r="D144" i="1" s="1"/>
  <c r="D145" i="1" s="1"/>
  <c r="H136" i="1"/>
  <c r="I136" i="1" s="1"/>
  <c r="J136" i="1" s="1"/>
  <c r="G136" i="1"/>
  <c r="E134" i="1"/>
  <c r="E137" i="1" s="1"/>
  <c r="D134" i="1"/>
  <c r="D137" i="1" s="1"/>
  <c r="J129" i="1"/>
  <c r="I129" i="1"/>
  <c r="H129" i="1"/>
  <c r="G129" i="1"/>
  <c r="F129" i="1"/>
  <c r="E126" i="1"/>
  <c r="E128" i="1" s="1"/>
  <c r="E129" i="1" s="1"/>
  <c r="D126" i="1"/>
  <c r="D128" i="1" s="1"/>
  <c r="D129" i="1" s="1"/>
  <c r="D121" i="1"/>
  <c r="B121" i="1"/>
  <c r="B120" i="1"/>
  <c r="D113" i="1"/>
  <c r="E150" i="1"/>
  <c r="D161" i="1"/>
  <c r="E187" i="1"/>
  <c r="F185" i="1" s="1"/>
  <c r="F187" i="1" s="1"/>
  <c r="F91" i="1" s="1"/>
  <c r="D317" i="1"/>
  <c r="D86" i="1"/>
  <c r="B86" i="1"/>
  <c r="B85" i="1"/>
  <c r="E82" i="1"/>
  <c r="D82" i="1"/>
  <c r="E81" i="1"/>
  <c r="D81" i="1"/>
  <c r="E78" i="1"/>
  <c r="D78" i="1"/>
  <c r="C78" i="1"/>
  <c r="E76" i="1"/>
  <c r="D76" i="1"/>
  <c r="C76" i="1"/>
  <c r="D77" i="1" s="1"/>
  <c r="E74" i="1"/>
  <c r="D74" i="1"/>
  <c r="C74" i="1"/>
  <c r="D75" i="1" s="1"/>
  <c r="E72" i="1"/>
  <c r="D72" i="1"/>
  <c r="C72" i="1"/>
  <c r="E69" i="1"/>
  <c r="D69" i="1"/>
  <c r="G68" i="1"/>
  <c r="H68" i="1" s="1"/>
  <c r="I68" i="1" s="1"/>
  <c r="F68" i="1"/>
  <c r="E67" i="1"/>
  <c r="D67" i="1"/>
  <c r="F66" i="1"/>
  <c r="G66" i="1" s="1"/>
  <c r="H66" i="1" s="1"/>
  <c r="E65" i="1"/>
  <c r="D65" i="1"/>
  <c r="F64" i="1"/>
  <c r="G64" i="1" s="1"/>
  <c r="E63" i="1"/>
  <c r="D63" i="1"/>
  <c r="F62" i="1"/>
  <c r="G62" i="1" s="1"/>
  <c r="E58" i="1"/>
  <c r="E59" i="1" s="1"/>
  <c r="D58" i="1"/>
  <c r="D59" i="1" s="1"/>
  <c r="C58" i="1"/>
  <c r="F57" i="1"/>
  <c r="G57" i="1" s="1"/>
  <c r="H57" i="1" s="1"/>
  <c r="I57" i="1" s="1"/>
  <c r="J57" i="1" s="1"/>
  <c r="F56" i="1"/>
  <c r="G56" i="1" s="1"/>
  <c r="H56" i="1" s="1"/>
  <c r="I56" i="1" s="1"/>
  <c r="J56" i="1" s="1"/>
  <c r="D50" i="1"/>
  <c r="C50" i="1"/>
  <c r="B50" i="1"/>
  <c r="B49" i="1"/>
  <c r="D15" i="11"/>
  <c r="E14" i="1"/>
  <c r="E13" i="1"/>
  <c r="B2" i="1"/>
  <c r="F124" i="1" l="1"/>
  <c r="F132" i="1"/>
  <c r="F94" i="1"/>
  <c r="G195" i="1"/>
  <c r="G197" i="1" s="1"/>
  <c r="H195" i="1" s="1"/>
  <c r="H197" i="1" s="1"/>
  <c r="I195" i="1" s="1"/>
  <c r="I197" i="1" s="1"/>
  <c r="F101" i="1"/>
  <c r="G200" i="1"/>
  <c r="G202" i="1" s="1"/>
  <c r="H200" i="1" s="1"/>
  <c r="H202" i="1" s="1"/>
  <c r="H101" i="1" s="1"/>
  <c r="F90" i="1"/>
  <c r="G190" i="1"/>
  <c r="G192" i="1" s="1"/>
  <c r="G90" i="1" s="1"/>
  <c r="F212" i="1"/>
  <c r="F100" i="1" s="1"/>
  <c r="D73" i="1"/>
  <c r="F140" i="1"/>
  <c r="D79" i="1"/>
  <c r="G158" i="1"/>
  <c r="G161" i="1" s="1"/>
  <c r="F93" i="1"/>
  <c r="I66" i="1"/>
  <c r="J68" i="1"/>
  <c r="G235" i="1"/>
  <c r="G237" i="1" s="1"/>
  <c r="F105" i="1"/>
  <c r="E323" i="1"/>
  <c r="E293" i="1"/>
  <c r="E242" i="1"/>
  <c r="E205" i="1"/>
  <c r="E167" i="1"/>
  <c r="E155" i="1"/>
  <c r="E12" i="11"/>
  <c r="E11" i="11" s="1"/>
  <c r="E243" i="1"/>
  <c r="E262" i="1"/>
  <c r="E222" i="1"/>
  <c r="E206" i="1"/>
  <c r="E182" i="1"/>
  <c r="D14" i="11"/>
  <c r="E50" i="1"/>
  <c r="E73" i="1"/>
  <c r="F72" i="1"/>
  <c r="G72" i="1" s="1"/>
  <c r="H72" i="1" s="1"/>
  <c r="I72" i="1" s="1"/>
  <c r="J72" i="1" s="1"/>
  <c r="E75" i="1"/>
  <c r="F74" i="1"/>
  <c r="G74" i="1" s="1"/>
  <c r="H74" i="1" s="1"/>
  <c r="I74" i="1" s="1"/>
  <c r="J74" i="1" s="1"/>
  <c r="E77" i="1"/>
  <c r="F76" i="1"/>
  <c r="E79" i="1"/>
  <c r="F78" i="1"/>
  <c r="E86" i="1"/>
  <c r="E120" i="1"/>
  <c r="D150" i="1"/>
  <c r="D152" i="1" s="1"/>
  <c r="E156" i="1"/>
  <c r="E181" i="1"/>
  <c r="G256" i="1"/>
  <c r="G258" i="1" s="1"/>
  <c r="F107" i="1"/>
  <c r="E261" i="1"/>
  <c r="E324" i="1"/>
  <c r="D13" i="1"/>
  <c r="F13" i="1"/>
  <c r="F14" i="1"/>
  <c r="E49" i="1"/>
  <c r="E85" i="1"/>
  <c r="E152" i="1"/>
  <c r="F148" i="1"/>
  <c r="E121" i="1"/>
  <c r="E136" i="1"/>
  <c r="E168" i="1"/>
  <c r="G185" i="1"/>
  <c r="G187" i="1" s="1"/>
  <c r="G209" i="1"/>
  <c r="G212" i="1" s="1"/>
  <c r="F215" i="1"/>
  <c r="E221" i="1"/>
  <c r="E294" i="1"/>
  <c r="E317" i="1"/>
  <c r="F315" i="1" s="1"/>
  <c r="F305" i="1"/>
  <c r="F307" i="1" s="1"/>
  <c r="E113" i="1"/>
  <c r="D136" i="1"/>
  <c r="G215" i="1"/>
  <c r="F52" i="1"/>
  <c r="H64" i="1"/>
  <c r="G53" i="1"/>
  <c r="H62" i="1"/>
  <c r="H190" i="1" l="1"/>
  <c r="H192" i="1" s="1"/>
  <c r="G94" i="1"/>
  <c r="H94" i="1"/>
  <c r="F53" i="1"/>
  <c r="G101" i="1"/>
  <c r="I200" i="1"/>
  <c r="I202" i="1" s="1"/>
  <c r="J200" i="1" s="1"/>
  <c r="J202" i="1" s="1"/>
  <c r="J101" i="1" s="1"/>
  <c r="H185" i="1"/>
  <c r="H187" i="1" s="1"/>
  <c r="G91" i="1"/>
  <c r="C15" i="11"/>
  <c r="C14" i="11"/>
  <c r="F323" i="1"/>
  <c r="F293" i="1"/>
  <c r="F261" i="1"/>
  <c r="F242" i="1"/>
  <c r="F221" i="1"/>
  <c r="F181" i="1"/>
  <c r="F120" i="1"/>
  <c r="F85" i="1"/>
  <c r="F205" i="1"/>
  <c r="F167" i="1"/>
  <c r="F155" i="1"/>
  <c r="F49" i="1"/>
  <c r="G13" i="1"/>
  <c r="D16" i="11"/>
  <c r="D17" i="11" s="1"/>
  <c r="J195" i="1"/>
  <c r="J197" i="1" s="1"/>
  <c r="J94" i="1" s="1"/>
  <c r="I94" i="1"/>
  <c r="E110" i="1"/>
  <c r="G100" i="1"/>
  <c r="H209" i="1"/>
  <c r="H212" i="1" s="1"/>
  <c r="D110" i="1"/>
  <c r="E15" i="11"/>
  <c r="E14" i="11"/>
  <c r="F12" i="11"/>
  <c r="F35" i="11" s="1"/>
  <c r="F37" i="11" s="1"/>
  <c r="F324" i="1"/>
  <c r="F294" i="1"/>
  <c r="F262" i="1"/>
  <c r="F222" i="1"/>
  <c r="F243" i="1"/>
  <c r="F168" i="1"/>
  <c r="F156" i="1"/>
  <c r="F121" i="1"/>
  <c r="F86" i="1"/>
  <c r="F50" i="1"/>
  <c r="F206" i="1"/>
  <c r="F182" i="1"/>
  <c r="G14" i="1"/>
  <c r="D323" i="1"/>
  <c r="D293" i="1"/>
  <c r="D261" i="1"/>
  <c r="D242" i="1"/>
  <c r="D221" i="1"/>
  <c r="D181" i="1"/>
  <c r="D120" i="1"/>
  <c r="D85" i="1"/>
  <c r="D155" i="1"/>
  <c r="D205" i="1"/>
  <c r="D167" i="1"/>
  <c r="D49" i="1"/>
  <c r="C13" i="1"/>
  <c r="H256" i="1"/>
  <c r="H258" i="1" s="1"/>
  <c r="G107" i="1"/>
  <c r="I190" i="1"/>
  <c r="I192" i="1" s="1"/>
  <c r="H90" i="1"/>
  <c r="G78" i="1"/>
  <c r="F55" i="1"/>
  <c r="G76" i="1"/>
  <c r="F54" i="1"/>
  <c r="G52" i="1"/>
  <c r="D11" i="11"/>
  <c r="C11" i="11" s="1"/>
  <c r="F11" i="11"/>
  <c r="G11" i="11" s="1"/>
  <c r="H11" i="11" s="1"/>
  <c r="I11" i="11" s="1"/>
  <c r="J11" i="11" s="1"/>
  <c r="H235" i="1"/>
  <c r="H237" i="1" s="1"/>
  <c r="G105" i="1"/>
  <c r="J66" i="1"/>
  <c r="G93" i="1"/>
  <c r="H158" i="1"/>
  <c r="H161" i="1" s="1"/>
  <c r="I64" i="1"/>
  <c r="H53" i="1"/>
  <c r="I62" i="1"/>
  <c r="H52" i="1"/>
  <c r="I101" i="1" l="1"/>
  <c r="F58" i="1"/>
  <c r="F59" i="1" s="1"/>
  <c r="F371" i="1" s="1"/>
  <c r="F364" i="1" s="1"/>
  <c r="I158" i="1"/>
  <c r="I161" i="1" s="1"/>
  <c r="H93" i="1"/>
  <c r="I235" i="1"/>
  <c r="I237" i="1" s="1"/>
  <c r="H105" i="1"/>
  <c r="C167" i="1"/>
  <c r="C155" i="1"/>
  <c r="C181" i="1"/>
  <c r="C49" i="1"/>
  <c r="C242" i="1"/>
  <c r="I209" i="1"/>
  <c r="I212" i="1" s="1"/>
  <c r="H100" i="1"/>
  <c r="I215" i="1"/>
  <c r="C16" i="11"/>
  <c r="C17" i="11" s="1"/>
  <c r="H91" i="1"/>
  <c r="I185" i="1"/>
  <c r="I187" i="1" s="1"/>
  <c r="H76" i="1"/>
  <c r="G54" i="1"/>
  <c r="H78" i="1"/>
  <c r="G55" i="1"/>
  <c r="J190" i="1"/>
  <c r="J192" i="1" s="1"/>
  <c r="J90" i="1" s="1"/>
  <c r="I90" i="1"/>
  <c r="I256" i="1"/>
  <c r="I258" i="1" s="1"/>
  <c r="H107" i="1"/>
  <c r="G12" i="11"/>
  <c r="G35" i="11" s="1"/>
  <c r="G37" i="11" s="1"/>
  <c r="G243" i="1"/>
  <c r="G324" i="1"/>
  <c r="G294" i="1"/>
  <c r="G206" i="1"/>
  <c r="G182" i="1"/>
  <c r="G222" i="1"/>
  <c r="G156" i="1"/>
  <c r="G86" i="1"/>
  <c r="H14" i="1"/>
  <c r="G262" i="1"/>
  <c r="G168" i="1"/>
  <c r="G121" i="1"/>
  <c r="G50" i="1"/>
  <c r="E16" i="11"/>
  <c r="E17" i="11" s="1"/>
  <c r="J119" i="11"/>
  <c r="J122" i="11" s="1"/>
  <c r="J125" i="11" s="1"/>
  <c r="H215" i="1"/>
  <c r="D251" i="1"/>
  <c r="D252" i="1" s="1"/>
  <c r="D332" i="1"/>
  <c r="G261" i="1"/>
  <c r="G221" i="1"/>
  <c r="G205" i="1"/>
  <c r="G167" i="1"/>
  <c r="G155" i="1"/>
  <c r="G323" i="1"/>
  <c r="G242" i="1"/>
  <c r="G181" i="1"/>
  <c r="G120" i="1"/>
  <c r="G49" i="1"/>
  <c r="H13" i="1"/>
  <c r="G293" i="1"/>
  <c r="G85" i="1"/>
  <c r="J62" i="1"/>
  <c r="J52" i="1" s="1"/>
  <c r="I52" i="1"/>
  <c r="J64" i="1"/>
  <c r="J53" i="1" s="1"/>
  <c r="I53" i="1"/>
  <c r="G58" i="1" l="1"/>
  <c r="G59" i="1" s="1"/>
  <c r="G371" i="1" s="1"/>
  <c r="G364" i="1" s="1"/>
  <c r="J256" i="1"/>
  <c r="J258" i="1" s="1"/>
  <c r="J107" i="1" s="1"/>
  <c r="I107" i="1"/>
  <c r="I78" i="1"/>
  <c r="H55" i="1"/>
  <c r="I76" i="1"/>
  <c r="H54" i="1"/>
  <c r="C251" i="1"/>
  <c r="C252" i="1" s="1"/>
  <c r="C332" i="1"/>
  <c r="J209" i="1"/>
  <c r="J212" i="1" s="1"/>
  <c r="J100" i="1" s="1"/>
  <c r="I100" i="1"/>
  <c r="I93" i="1"/>
  <c r="J158" i="1"/>
  <c r="J161" i="1" s="1"/>
  <c r="J93" i="1" s="1"/>
  <c r="H323" i="1"/>
  <c r="H293" i="1"/>
  <c r="H261" i="1"/>
  <c r="H242" i="1"/>
  <c r="H221" i="1"/>
  <c r="H181" i="1"/>
  <c r="H120" i="1"/>
  <c r="H85" i="1"/>
  <c r="H155" i="1"/>
  <c r="H205" i="1"/>
  <c r="H167" i="1"/>
  <c r="H49" i="1"/>
  <c r="I13" i="1"/>
  <c r="D333" i="1"/>
  <c r="E251" i="1"/>
  <c r="E252" i="1" s="1"/>
  <c r="E332" i="1"/>
  <c r="H12" i="11"/>
  <c r="H35" i="11" s="1"/>
  <c r="H37" i="11" s="1"/>
  <c r="H324" i="1"/>
  <c r="H294" i="1"/>
  <c r="H262" i="1"/>
  <c r="H222" i="1"/>
  <c r="H168" i="1"/>
  <c r="H156" i="1"/>
  <c r="H121" i="1"/>
  <c r="H86" i="1"/>
  <c r="H243" i="1"/>
  <c r="H206" i="1"/>
  <c r="H182" i="1"/>
  <c r="H50" i="1"/>
  <c r="I14" i="1"/>
  <c r="J185" i="1"/>
  <c r="J187" i="1" s="1"/>
  <c r="J91" i="1" s="1"/>
  <c r="I91" i="1"/>
  <c r="I105" i="1"/>
  <c r="J235" i="1"/>
  <c r="J237" i="1" s="1"/>
  <c r="J105" i="1" s="1"/>
  <c r="J215" i="1" l="1"/>
  <c r="F134" i="1"/>
  <c r="F89" i="1" s="1"/>
  <c r="H58" i="1"/>
  <c r="H59" i="1" s="1"/>
  <c r="H371" i="1" s="1"/>
  <c r="H364" i="1" s="1"/>
  <c r="I12" i="11"/>
  <c r="I35" i="11" s="1"/>
  <c r="I37" i="11" s="1"/>
  <c r="I243" i="1"/>
  <c r="I262" i="1"/>
  <c r="I222" i="1"/>
  <c r="I206" i="1"/>
  <c r="I182" i="1"/>
  <c r="I324" i="1"/>
  <c r="I168" i="1"/>
  <c r="I121" i="1"/>
  <c r="J14" i="1"/>
  <c r="I294" i="1"/>
  <c r="I156" i="1"/>
  <c r="I86" i="1"/>
  <c r="I50" i="1"/>
  <c r="E333" i="1"/>
  <c r="F333" i="1"/>
  <c r="F334" i="1" s="1"/>
  <c r="I323" i="1"/>
  <c r="I293" i="1"/>
  <c r="I242" i="1"/>
  <c r="I205" i="1"/>
  <c r="I167" i="1"/>
  <c r="I155" i="1"/>
  <c r="I261" i="1"/>
  <c r="I85" i="1"/>
  <c r="I49" i="1"/>
  <c r="J13" i="1"/>
  <c r="I221" i="1"/>
  <c r="I181" i="1"/>
  <c r="I120" i="1"/>
  <c r="J76" i="1"/>
  <c r="J54" i="1" s="1"/>
  <c r="I54" i="1"/>
  <c r="J78" i="1"/>
  <c r="J55" i="1" s="1"/>
  <c r="I55" i="1"/>
  <c r="G132" i="1" l="1"/>
  <c r="F231" i="1"/>
  <c r="F227" i="1" s="1"/>
  <c r="F228" i="1" s="1"/>
  <c r="F104" i="1" s="1"/>
  <c r="F133" i="1"/>
  <c r="F268" i="1" s="1"/>
  <c r="F22" i="11" s="1"/>
  <c r="F142" i="1"/>
  <c r="G140" i="1" s="1"/>
  <c r="F137" i="1"/>
  <c r="J58" i="1"/>
  <c r="J323" i="1"/>
  <c r="J293" i="1"/>
  <c r="J261" i="1"/>
  <c r="J242" i="1"/>
  <c r="J221" i="1"/>
  <c r="J181" i="1"/>
  <c r="J120" i="1"/>
  <c r="J85" i="1"/>
  <c r="J205" i="1"/>
  <c r="J167" i="1"/>
  <c r="J155" i="1"/>
  <c r="J49" i="1"/>
  <c r="G334" i="1"/>
  <c r="F328" i="1"/>
  <c r="F329" i="1"/>
  <c r="J12" i="11"/>
  <c r="J35" i="11" s="1"/>
  <c r="J37" i="11" s="1"/>
  <c r="J324" i="1"/>
  <c r="J294" i="1"/>
  <c r="J262" i="1"/>
  <c r="J222" i="1"/>
  <c r="J243" i="1"/>
  <c r="J168" i="1"/>
  <c r="J156" i="1"/>
  <c r="J121" i="1"/>
  <c r="J86" i="1"/>
  <c r="J50" i="1"/>
  <c r="J206" i="1"/>
  <c r="J182" i="1"/>
  <c r="I58" i="1"/>
  <c r="I59" i="1" s="1"/>
  <c r="I371" i="1" s="1"/>
  <c r="I364" i="1" s="1"/>
  <c r="G225" i="1" l="1"/>
  <c r="F97" i="1"/>
  <c r="F141" i="1"/>
  <c r="F269" i="1" s="1"/>
  <c r="F23" i="11" s="1"/>
  <c r="F266" i="1"/>
  <c r="F20" i="11" s="1"/>
  <c r="G329" i="1"/>
  <c r="H334" i="1"/>
  <c r="G328" i="1"/>
  <c r="F330" i="1"/>
  <c r="J59" i="1"/>
  <c r="J371" i="1" s="1"/>
  <c r="J364" i="1" s="1"/>
  <c r="G327" i="1" l="1"/>
  <c r="I334" i="1"/>
  <c r="H328" i="1"/>
  <c r="H329" i="1"/>
  <c r="I329" i="1" l="1"/>
  <c r="I328" i="1"/>
  <c r="J334" i="1"/>
  <c r="G330" i="1"/>
  <c r="H327" i="1" s="1"/>
  <c r="H330" i="1" l="1"/>
  <c r="I327" i="1" s="1"/>
  <c r="J328" i="1"/>
  <c r="J329" i="1"/>
  <c r="I330" i="1" l="1"/>
  <c r="J327" i="1" s="1"/>
  <c r="J330" i="1" l="1"/>
  <c r="J83" i="11" l="1"/>
  <c r="C85" i="11" s="1"/>
  <c r="C86" i="11" s="1"/>
  <c r="J66" i="11" s="1"/>
  <c r="J68" i="11" s="1"/>
  <c r="C8" i="11" l="1"/>
  <c r="C37" i="11" l="1"/>
  <c r="C340" i="1" l="1"/>
  <c r="C350" i="1"/>
  <c r="F126" i="1" l="1"/>
  <c r="F88" i="1" s="1"/>
  <c r="F301" i="1" s="1"/>
  <c r="F150" i="1"/>
  <c r="F98" i="1" s="1"/>
  <c r="F175" i="1"/>
  <c r="F171" i="1" s="1"/>
  <c r="F177" i="1" l="1"/>
  <c r="G124" i="1"/>
  <c r="F39" i="1"/>
  <c r="F18" i="1"/>
  <c r="F278" i="1"/>
  <c r="F149" i="1"/>
  <c r="F270" i="1" s="1"/>
  <c r="F24" i="11" s="1"/>
  <c r="F125" i="1"/>
  <c r="F267" i="1" s="1"/>
  <c r="F21" i="11" s="1"/>
  <c r="G148" i="1"/>
  <c r="F38" i="1" l="1"/>
  <c r="F21" i="1"/>
  <c r="F172" i="1"/>
  <c r="F173" i="1" s="1"/>
  <c r="F92" i="1" s="1"/>
  <c r="F30" i="11"/>
  <c r="F280" i="1"/>
  <c r="F14" i="11" l="1"/>
  <c r="F265" i="1"/>
  <c r="F19" i="11" s="1"/>
  <c r="G170" i="1"/>
  <c r="F25" i="1"/>
  <c r="F15" i="11"/>
  <c r="F17" i="11" s="1"/>
  <c r="F26" i="1" l="1"/>
  <c r="F27" i="1" s="1"/>
  <c r="F29" i="11"/>
  <c r="F32" i="11" s="1"/>
  <c r="F38" i="11" s="1"/>
  <c r="F264" i="1" l="1"/>
  <c r="F276" i="1" s="1"/>
  <c r="F251" i="1"/>
  <c r="F115" i="1"/>
  <c r="F247" i="1" l="1"/>
  <c r="F253" i="1"/>
  <c r="F248" i="1" s="1"/>
  <c r="F283" i="1" s="1"/>
  <c r="F308" i="1" s="1"/>
  <c r="F309" i="1" s="1"/>
  <c r="F298" i="1" s="1"/>
  <c r="H175" i="1"/>
  <c r="H37" i="1"/>
  <c r="I37" i="1" s="1"/>
  <c r="J37" i="1" s="1"/>
  <c r="F249" i="1" l="1"/>
  <c r="F106" i="1" s="1"/>
  <c r="F108" i="1" s="1"/>
  <c r="F117" i="1" s="1"/>
  <c r="H150" i="1"/>
  <c r="H98" i="1" s="1"/>
  <c r="G39" i="1"/>
  <c r="F299" i="1"/>
  <c r="F287" i="1"/>
  <c r="F288" i="1" s="1"/>
  <c r="F290" i="1" s="1"/>
  <c r="F87" i="1" s="1"/>
  <c r="H171" i="1"/>
  <c r="H278" i="1" s="1"/>
  <c r="H280" i="1" s="1"/>
  <c r="H177" i="1"/>
  <c r="H265" i="1" s="1"/>
  <c r="H19" i="11" s="1"/>
  <c r="G150" i="1"/>
  <c r="G98" i="1" s="1"/>
  <c r="H126" i="1"/>
  <c r="I124" i="1" s="1"/>
  <c r="G126" i="1"/>
  <c r="G88" i="1" s="1"/>
  <c r="G20" i="1"/>
  <c r="G175" i="1"/>
  <c r="G18" i="1"/>
  <c r="G17" i="1" s="1"/>
  <c r="H30" i="11"/>
  <c r="H39" i="1"/>
  <c r="H18" i="1"/>
  <c r="H17" i="1" s="1"/>
  <c r="H20" i="1"/>
  <c r="H172" i="1"/>
  <c r="I148" i="1" l="1"/>
  <c r="G246" i="1"/>
  <c r="G149" i="1"/>
  <c r="G270" i="1" s="1"/>
  <c r="G24" i="11" s="1"/>
  <c r="H148" i="1"/>
  <c r="H149" i="1" s="1"/>
  <c r="H270" i="1" s="1"/>
  <c r="H24" i="11" s="1"/>
  <c r="G125" i="1"/>
  <c r="G267" i="1" s="1"/>
  <c r="G21" i="11" s="1"/>
  <c r="G305" i="1"/>
  <c r="G307" i="1" s="1"/>
  <c r="F317" i="1"/>
  <c r="F95" i="1"/>
  <c r="F99" i="1"/>
  <c r="G297" i="1"/>
  <c r="F302" i="1"/>
  <c r="F312" i="1"/>
  <c r="H124" i="1"/>
  <c r="H125" i="1" s="1"/>
  <c r="H267" i="1" s="1"/>
  <c r="H21" i="11" s="1"/>
  <c r="H88" i="1"/>
  <c r="G21" i="1"/>
  <c r="G171" i="1"/>
  <c r="G278" i="1" s="1"/>
  <c r="G30" i="11" s="1"/>
  <c r="G177" i="1"/>
  <c r="I39" i="1"/>
  <c r="I18" i="1"/>
  <c r="I17" i="1" s="1"/>
  <c r="I20" i="1"/>
  <c r="I126" i="1"/>
  <c r="I175" i="1"/>
  <c r="I150" i="1"/>
  <c r="H21" i="1"/>
  <c r="G280" i="1" l="1"/>
  <c r="F102" i="1"/>
  <c r="F110" i="1" s="1"/>
  <c r="F113" i="1"/>
  <c r="F116" i="1"/>
  <c r="F114" i="1"/>
  <c r="G315" i="1"/>
  <c r="F320" i="1"/>
  <c r="F316" i="1"/>
  <c r="G15" i="11"/>
  <c r="G17" i="11" s="1"/>
  <c r="G25" i="1"/>
  <c r="G26" i="1" s="1"/>
  <c r="G231" i="1"/>
  <c r="G227" i="1" s="1"/>
  <c r="G142" i="1"/>
  <c r="G134" i="1"/>
  <c r="G137" i="1" s="1"/>
  <c r="G265" i="1"/>
  <c r="G19" i="11" s="1"/>
  <c r="G172" i="1"/>
  <c r="G173" i="1" s="1"/>
  <c r="H142" i="1"/>
  <c r="H134" i="1"/>
  <c r="H137" i="1" s="1"/>
  <c r="H231" i="1"/>
  <c r="H227" i="1" s="1"/>
  <c r="I171" i="1"/>
  <c r="I278" i="1" s="1"/>
  <c r="I177" i="1"/>
  <c r="I21" i="1"/>
  <c r="I125" i="1"/>
  <c r="I267" i="1" s="1"/>
  <c r="I21" i="11" s="1"/>
  <c r="I88" i="1"/>
  <c r="J124" i="1"/>
  <c r="J39" i="1"/>
  <c r="J18" i="1"/>
  <c r="J17" i="1" s="1"/>
  <c r="J20" i="1"/>
  <c r="J126" i="1"/>
  <c r="J175" i="1"/>
  <c r="J150" i="1"/>
  <c r="I98" i="1"/>
  <c r="I149" i="1"/>
  <c r="I270" i="1" s="1"/>
  <c r="I24" i="11" s="1"/>
  <c r="J148" i="1"/>
  <c r="H15" i="11"/>
  <c r="H17" i="11" s="1"/>
  <c r="H25" i="1"/>
  <c r="H26" i="1" s="1"/>
  <c r="G14" i="11" l="1"/>
  <c r="G266" i="1"/>
  <c r="G20" i="11" s="1"/>
  <c r="G228" i="1"/>
  <c r="H170" i="1"/>
  <c r="H173" i="1" s="1"/>
  <c r="G92" i="1"/>
  <c r="G89" i="1"/>
  <c r="G301" i="1" s="1"/>
  <c r="H132" i="1"/>
  <c r="H133" i="1" s="1"/>
  <c r="H268" i="1" s="1"/>
  <c r="H22" i="11" s="1"/>
  <c r="G133" i="1"/>
  <c r="G268" i="1" s="1"/>
  <c r="G22" i="11" s="1"/>
  <c r="G27" i="1"/>
  <c r="G97" i="1"/>
  <c r="H140" i="1"/>
  <c r="H141" i="1" s="1"/>
  <c r="H269" i="1" s="1"/>
  <c r="H23" i="11" s="1"/>
  <c r="G141" i="1"/>
  <c r="G269" i="1" s="1"/>
  <c r="G23" i="11" s="1"/>
  <c r="J21" i="1"/>
  <c r="I15" i="11"/>
  <c r="I17" i="11" s="1"/>
  <c r="I25" i="1"/>
  <c r="I26" i="1" s="1"/>
  <c r="H14" i="11"/>
  <c r="H266" i="1"/>
  <c r="H20" i="11" s="1"/>
  <c r="H27" i="1"/>
  <c r="J171" i="1"/>
  <c r="J278" i="1" s="1"/>
  <c r="J177" i="1"/>
  <c r="I134" i="1"/>
  <c r="I137" i="1" s="1"/>
  <c r="I231" i="1"/>
  <c r="I227" i="1" s="1"/>
  <c r="I142" i="1"/>
  <c r="J125" i="1"/>
  <c r="J267" i="1" s="1"/>
  <c r="J21" i="11" s="1"/>
  <c r="J88" i="1"/>
  <c r="I265" i="1"/>
  <c r="I19" i="11" s="1"/>
  <c r="I172" i="1"/>
  <c r="I132" i="1"/>
  <c r="H89" i="1"/>
  <c r="H301" i="1" s="1"/>
  <c r="J98" i="1"/>
  <c r="J149" i="1"/>
  <c r="J270" i="1" s="1"/>
  <c r="J24" i="11" s="1"/>
  <c r="I30" i="11"/>
  <c r="I280" i="1"/>
  <c r="H97" i="1"/>
  <c r="I140" i="1"/>
  <c r="H29" i="11" l="1"/>
  <c r="H32" i="11" s="1"/>
  <c r="H38" i="11" s="1"/>
  <c r="G115" i="1"/>
  <c r="G251" i="1"/>
  <c r="G264" i="1"/>
  <c r="G276" i="1" s="1"/>
  <c r="I170" i="1"/>
  <c r="I173" i="1" s="1"/>
  <c r="H92" i="1"/>
  <c r="G104" i="1"/>
  <c r="H225" i="1"/>
  <c r="H228" i="1" s="1"/>
  <c r="G29" i="11"/>
  <c r="G32" i="11" s="1"/>
  <c r="H33" i="11" s="1"/>
  <c r="H115" i="1"/>
  <c r="H251" i="1"/>
  <c r="H264" i="1"/>
  <c r="H276" i="1" s="1"/>
  <c r="J30" i="11"/>
  <c r="J280" i="1"/>
  <c r="I133" i="1"/>
  <c r="I268" i="1" s="1"/>
  <c r="I22" i="11" s="1"/>
  <c r="J132" i="1"/>
  <c r="I89" i="1"/>
  <c r="I301" i="1" s="1"/>
  <c r="J15" i="11"/>
  <c r="J17" i="11" s="1"/>
  <c r="J25" i="1"/>
  <c r="J26" i="1" s="1"/>
  <c r="I14" i="11"/>
  <c r="I266" i="1"/>
  <c r="I20" i="11" s="1"/>
  <c r="J140" i="1"/>
  <c r="I97" i="1"/>
  <c r="I141" i="1"/>
  <c r="I269" i="1" s="1"/>
  <c r="I23" i="11" s="1"/>
  <c r="J265" i="1"/>
  <c r="J19" i="11" s="1"/>
  <c r="J172" i="1"/>
  <c r="I27" i="1"/>
  <c r="J142" i="1"/>
  <c r="J134" i="1"/>
  <c r="J231" i="1"/>
  <c r="J227" i="1" s="1"/>
  <c r="I29" i="11" l="1"/>
  <c r="I32" i="11" s="1"/>
  <c r="I33" i="11" s="1"/>
  <c r="I92" i="1"/>
  <c r="J170" i="1"/>
  <c r="J173" i="1" s="1"/>
  <c r="J92" i="1" s="1"/>
  <c r="I225" i="1"/>
  <c r="I228" i="1" s="1"/>
  <c r="J225" i="1" s="1"/>
  <c r="J228" i="1" s="1"/>
  <c r="J104" i="1" s="1"/>
  <c r="H104" i="1"/>
  <c r="G247" i="1"/>
  <c r="G253" i="1"/>
  <c r="G248" i="1" s="1"/>
  <c r="G283" i="1" s="1"/>
  <c r="G308" i="1" s="1"/>
  <c r="G309" i="1" s="1"/>
  <c r="G298" i="1" s="1"/>
  <c r="G38" i="11"/>
  <c r="G33" i="11"/>
  <c r="J133" i="1"/>
  <c r="J268" i="1" s="1"/>
  <c r="J22" i="11" s="1"/>
  <c r="J89" i="1"/>
  <c r="J301" i="1" s="1"/>
  <c r="H247" i="1"/>
  <c r="H253" i="1"/>
  <c r="H248" i="1" s="1"/>
  <c r="H283" i="1" s="1"/>
  <c r="H308" i="1" s="1"/>
  <c r="J141" i="1"/>
  <c r="J269" i="1" s="1"/>
  <c r="J23" i="11" s="1"/>
  <c r="J97" i="1"/>
  <c r="J27" i="1"/>
  <c r="I115" i="1"/>
  <c r="I251" i="1"/>
  <c r="I264" i="1"/>
  <c r="I276" i="1" s="1"/>
  <c r="J266" i="1"/>
  <c r="J20" i="11" s="1"/>
  <c r="J137" i="1"/>
  <c r="I38" i="11" l="1"/>
  <c r="I104" i="1"/>
  <c r="C41" i="11"/>
  <c r="C42" i="11" s="1"/>
  <c r="C44" i="11" s="1"/>
  <c r="G249" i="1"/>
  <c r="G106" i="1" s="1"/>
  <c r="G108" i="1" s="1"/>
  <c r="G117" i="1" s="1"/>
  <c r="J41" i="11"/>
  <c r="J43" i="11" s="1"/>
  <c r="G287" i="1"/>
  <c r="G288" i="1" s="1"/>
  <c r="G290" i="1" s="1"/>
  <c r="G87" i="1" s="1"/>
  <c r="G299" i="1"/>
  <c r="J251" i="1"/>
  <c r="J264" i="1"/>
  <c r="J276" i="1" s="1"/>
  <c r="J115" i="1"/>
  <c r="J29" i="11"/>
  <c r="J32" i="11" s="1"/>
  <c r="I247" i="1"/>
  <c r="I253" i="1"/>
  <c r="I248" i="1" s="1"/>
  <c r="I283" i="1" s="1"/>
  <c r="I308" i="1" s="1"/>
  <c r="H246" i="1" l="1"/>
  <c r="H249" i="1" s="1"/>
  <c r="H106" i="1" s="1"/>
  <c r="H108" i="1" s="1"/>
  <c r="H117" i="1" s="1"/>
  <c r="J44" i="11"/>
  <c r="J47" i="11"/>
  <c r="G95" i="1"/>
  <c r="H305" i="1"/>
  <c r="H307" i="1" s="1"/>
  <c r="H309" i="1" s="1"/>
  <c r="G317" i="1"/>
  <c r="G99" i="1"/>
  <c r="G302" i="1"/>
  <c r="H297" i="1"/>
  <c r="G312" i="1"/>
  <c r="J33" i="11"/>
  <c r="J38" i="11"/>
  <c r="C46" i="11" s="1"/>
  <c r="J45" i="11" s="1"/>
  <c r="J247" i="1"/>
  <c r="J253" i="1"/>
  <c r="J248" i="1" s="1"/>
  <c r="J283" i="1" s="1"/>
  <c r="C48" i="11"/>
  <c r="C45" i="11"/>
  <c r="J46" i="11" l="1"/>
  <c r="J52" i="11" s="1"/>
  <c r="J55" i="11" s="1"/>
  <c r="J57" i="11" s="1"/>
  <c r="C101" i="11" s="1"/>
  <c r="I246" i="1"/>
  <c r="I249" i="1" s="1"/>
  <c r="I106" i="1" s="1"/>
  <c r="I108" i="1" s="1"/>
  <c r="I117" i="1" s="1"/>
  <c r="H298" i="1"/>
  <c r="H287" i="1" s="1"/>
  <c r="H288" i="1" s="1"/>
  <c r="H290" i="1" s="1"/>
  <c r="H87" i="1" s="1"/>
  <c r="I305" i="1" s="1"/>
  <c r="I307" i="1" s="1"/>
  <c r="I309" i="1" s="1"/>
  <c r="G114" i="1"/>
  <c r="G116" i="1"/>
  <c r="G102" i="1"/>
  <c r="G110" i="1" s="1"/>
  <c r="G113" i="1"/>
  <c r="G316" i="1"/>
  <c r="G320" i="1"/>
  <c r="H315" i="1"/>
  <c r="C47" i="11"/>
  <c r="I52" i="11" s="1"/>
  <c r="I55" i="11" s="1"/>
  <c r="I57" i="11" s="1"/>
  <c r="J308" i="1"/>
  <c r="J58" i="11"/>
  <c r="D110" i="11" l="1"/>
  <c r="J246" i="1"/>
  <c r="J249" i="1" s="1"/>
  <c r="J106" i="1" s="1"/>
  <c r="J108" i="1" s="1"/>
  <c r="J117" i="1" s="1"/>
  <c r="H317" i="1"/>
  <c r="I315" i="1" s="1"/>
  <c r="H299" i="1"/>
  <c r="H312" i="1" s="1"/>
  <c r="H95" i="1"/>
  <c r="C92" i="11"/>
  <c r="I58" i="11"/>
  <c r="H320" i="1" l="1"/>
  <c r="H316" i="1"/>
  <c r="H99" i="1"/>
  <c r="H113" i="1" s="1"/>
  <c r="I297" i="1"/>
  <c r="I298" i="1" s="1"/>
  <c r="I287" i="1" s="1"/>
  <c r="I288" i="1" s="1"/>
  <c r="I290" i="1" s="1"/>
  <c r="I87" i="1" s="1"/>
  <c r="H302" i="1"/>
  <c r="H116" i="1"/>
  <c r="H114" i="1"/>
  <c r="H102" i="1" l="1"/>
  <c r="H110" i="1" s="1"/>
  <c r="I299" i="1"/>
  <c r="I95" i="1"/>
  <c r="J305" i="1"/>
  <c r="J307" i="1" s="1"/>
  <c r="J309" i="1" s="1"/>
  <c r="I317" i="1"/>
  <c r="I320" i="1" l="1"/>
  <c r="J315" i="1"/>
  <c r="I316" i="1"/>
  <c r="I114" i="1"/>
  <c r="I116" i="1"/>
  <c r="J297" i="1"/>
  <c r="J298" i="1" s="1"/>
  <c r="J287" i="1" s="1"/>
  <c r="J288" i="1" s="1"/>
  <c r="J290" i="1" s="1"/>
  <c r="J87" i="1" s="1"/>
  <c r="I99" i="1"/>
  <c r="I302" i="1"/>
  <c r="I312" i="1"/>
  <c r="J95" i="1" l="1"/>
  <c r="J317" i="1"/>
  <c r="J316" i="1" s="1"/>
  <c r="I102" i="1"/>
  <c r="I110" i="1" s="1"/>
  <c r="I113" i="1"/>
  <c r="J299" i="1"/>
  <c r="J312" i="1" s="1"/>
  <c r="J320" i="1"/>
  <c r="J99" i="1" l="1"/>
  <c r="J302" i="1"/>
  <c r="J116" i="1"/>
  <c r="J114" i="1"/>
  <c r="J113" i="1" l="1"/>
  <c r="J102" i="1"/>
  <c r="J110" i="1" s="1"/>
</calcChain>
</file>

<file path=xl/comments1.xml><?xml version="1.0" encoding="utf-8"?>
<comments xmlns="http://schemas.openxmlformats.org/spreadsheetml/2006/main">
  <authors>
    <author>Wall Street Prep</author>
    <author>Mary Roberts</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F21" authorId="1" shapeId="0">
      <text>
        <r>
          <rPr>
            <b/>
            <sz val="9"/>
            <color indexed="81"/>
            <rFont val="Tahoma"/>
            <family val="2"/>
          </rPr>
          <t>2016 10K PR - Per Management guidance, 2017 Outlook</t>
        </r>
      </text>
    </comment>
    <comment ref="D22" authorId="1" shapeId="0">
      <text>
        <r>
          <rPr>
            <b/>
            <sz val="9"/>
            <color indexed="81"/>
            <rFont val="Tahoma"/>
            <family val="2"/>
          </rPr>
          <t>10-k p.54 Cash and Cash Equivalent footnote</t>
        </r>
      </text>
    </comment>
    <comment ref="F23" authorId="1" shapeId="0">
      <text>
        <r>
          <rPr>
            <b/>
            <sz val="9"/>
            <color indexed="81"/>
            <rFont val="Tahoma"/>
            <family val="2"/>
          </rPr>
          <t>2016 10K PR - Per Management guidance, 2017 Outlook</t>
        </r>
      </text>
    </comment>
    <comment ref="F37" authorId="1" shapeId="0">
      <text>
        <r>
          <rPr>
            <b/>
            <sz val="9"/>
            <color indexed="81"/>
            <rFont val="Tahoma"/>
            <family val="2"/>
          </rPr>
          <t>2016 10K PR - Per Management guidance, 2017 Outlook</t>
        </r>
      </text>
    </comment>
    <comment ref="G37" authorId="1" shapeId="0">
      <text>
        <r>
          <rPr>
            <b/>
            <sz val="9"/>
            <color indexed="81"/>
            <rFont val="Tahoma"/>
            <charset val="1"/>
          </rPr>
          <t>Guidance per Reuters consensus market estimates.</t>
        </r>
      </text>
    </comment>
    <comment ref="F40" authorId="1" shapeId="0">
      <text>
        <r>
          <rPr>
            <b/>
            <sz val="9"/>
            <color indexed="81"/>
            <rFont val="Tahoma"/>
            <family val="2"/>
          </rPr>
          <t>2016 10K PR - Per Management guidance, 2017 Outlook. Strategic investment increases.</t>
        </r>
      </text>
    </comment>
    <comment ref="G40" authorId="1" shapeId="0">
      <text>
        <r>
          <rPr>
            <b/>
            <sz val="9"/>
            <color indexed="81"/>
            <rFont val="Tahoma"/>
            <family val="2"/>
          </rPr>
          <t>Project high investment but not continually as high as 2017.</t>
        </r>
      </text>
    </comment>
    <comment ref="F41" authorId="1" shapeId="0">
      <text>
        <r>
          <rPr>
            <b/>
            <sz val="9"/>
            <color indexed="81"/>
            <rFont val="Tahoma"/>
            <family val="2"/>
          </rPr>
          <t>2016 10K PR - Per Management guidance, 2017 Outlook</t>
        </r>
      </text>
    </comment>
    <comment ref="B91" authorId="1" shapeId="0">
      <text>
        <r>
          <rPr>
            <b/>
            <sz val="9"/>
            <color indexed="81"/>
            <rFont val="Tahoma"/>
            <charset val="1"/>
          </rPr>
          <t>Includes prepaid exp.</t>
        </r>
      </text>
    </comment>
    <comment ref="E334" authorId="0" shapeId="0">
      <text>
        <r>
          <rPr>
            <b/>
            <sz val="9"/>
            <color indexed="81"/>
            <rFont val="Tahoma"/>
            <family val="2"/>
          </rPr>
          <t>Wall Street Prep:</t>
        </r>
        <r>
          <rPr>
            <sz val="9"/>
            <color indexed="81"/>
            <rFont val="Tahoma"/>
            <family val="2"/>
          </rPr>
          <t xml:space="preserve">
Used latest share price because of significant increase in share price. Average FY 2013 share price was $470. </t>
        </r>
      </text>
    </comment>
  </commentList>
</comments>
</file>

<file path=xl/comments2.xml><?xml version="1.0" encoding="utf-8"?>
<comments xmlns="http://schemas.openxmlformats.org/spreadsheetml/2006/main">
  <authors>
    <author>Wall Street Prep</author>
  </authors>
  <commentList>
    <comment ref="C7" authorId="0" shapeId="0">
      <text>
        <r>
          <rPr>
            <b/>
            <sz val="9"/>
            <color indexed="81"/>
            <rFont val="Tahoma"/>
            <family val="2"/>
          </rPr>
          <t>Wall Street Prep:</t>
        </r>
        <r>
          <rPr>
            <sz val="9"/>
            <color indexed="81"/>
            <rFont val="Tahoma"/>
            <family val="2"/>
          </rPr>
          <t xml:space="preserve">
Per AAPL Q2 10-Q, as of April 11, 2014</t>
        </r>
      </text>
    </comment>
    <comment ref="J42" authorId="0" shapeId="0">
      <text>
        <r>
          <rPr>
            <b/>
            <sz val="9"/>
            <color indexed="81"/>
            <rFont val="Tahoma"/>
            <family val="2"/>
          </rPr>
          <t>Wall Street Prep:</t>
        </r>
        <r>
          <rPr>
            <sz val="9"/>
            <color indexed="81"/>
            <rFont val="Tahoma"/>
            <family val="2"/>
          </rPr>
          <t xml:space="preserve">
Factset Comps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 ref="C80" authorId="0" shapeId="0">
      <text>
        <r>
          <rPr>
            <b/>
            <sz val="9"/>
            <color indexed="81"/>
            <rFont val="Tahoma"/>
            <family val="2"/>
          </rPr>
          <t>Wall Street Prep:</t>
        </r>
        <r>
          <rPr>
            <sz val="9"/>
            <color indexed="81"/>
            <rFont val="Tahoma"/>
            <family val="2"/>
          </rPr>
          <t xml:space="preserve">
CIQ</t>
        </r>
      </text>
    </comment>
    <comment ref="I80" authorId="0" shapeId="0">
      <text>
        <r>
          <rPr>
            <b/>
            <sz val="9"/>
            <color indexed="81"/>
            <rFont val="Tahoma"/>
            <family val="2"/>
          </rPr>
          <t>Wall Street Prep:</t>
        </r>
        <r>
          <rPr>
            <sz val="9"/>
            <color indexed="81"/>
            <rFont val="Tahoma"/>
            <family val="2"/>
          </rPr>
          <t xml:space="preserve">
Last 9 month per latest 10Q footnotes</t>
        </r>
      </text>
    </comment>
    <comment ref="C81" authorId="0" shapeId="0">
      <text>
        <r>
          <rPr>
            <b/>
            <sz val="9"/>
            <color indexed="81"/>
            <rFont val="Tahoma"/>
            <family val="2"/>
          </rPr>
          <t>Wall Street Prep:</t>
        </r>
        <r>
          <rPr>
            <sz val="9"/>
            <color indexed="81"/>
            <rFont val="Tahoma"/>
            <family val="2"/>
          </rPr>
          <t xml:space="preserve">
CIQ</t>
        </r>
      </text>
    </comment>
    <comment ref="I81" authorId="0" shapeId="0">
      <text>
        <r>
          <rPr>
            <b/>
            <sz val="9"/>
            <color indexed="81"/>
            <rFont val="Tahoma"/>
            <family val="2"/>
          </rPr>
          <t>Wall Street Prep:</t>
        </r>
        <r>
          <rPr>
            <sz val="9"/>
            <color indexed="81"/>
            <rFont val="Tahoma"/>
            <family val="2"/>
          </rPr>
          <t xml:space="preserve">
Non-GAAP tax rate from latest 10Q</t>
        </r>
      </text>
    </comment>
    <comment ref="C82" authorId="0" shapeId="0">
      <text>
        <r>
          <rPr>
            <b/>
            <sz val="9"/>
            <color indexed="81"/>
            <rFont val="Tahoma"/>
            <family val="2"/>
          </rPr>
          <t>Wall Street Prep:</t>
        </r>
        <r>
          <rPr>
            <sz val="9"/>
            <color indexed="81"/>
            <rFont val="Tahoma"/>
            <family val="2"/>
          </rPr>
          <t xml:space="preserve">
CIQ</t>
        </r>
      </text>
    </comment>
    <comment ref="I82" authorId="0" shapeId="0">
      <text>
        <r>
          <rPr>
            <b/>
            <sz val="9"/>
            <color indexed="81"/>
            <rFont val="Tahoma"/>
            <family val="2"/>
          </rPr>
          <t>Wall Street Prep:</t>
        </r>
        <r>
          <rPr>
            <sz val="9"/>
            <color indexed="81"/>
            <rFont val="Tahoma"/>
            <family val="2"/>
          </rPr>
          <t xml:space="preserve">
Annualized tax rate</t>
        </r>
      </text>
    </comment>
    <comment ref="C83"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<sst xmlns="http://schemas.openxmlformats.org/spreadsheetml/2006/main" count="432" uniqueCount="279">
  <si>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</si>
  <si>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</si>
  <si>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</si>
  <si>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</si>
  <si>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</si>
  <si>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</si>
  <si>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</si>
  <si>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</si>
  <si>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</si>
  <si>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</si>
  <si>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</si>
  <si>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</si>
  <si>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</si>
  <si>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</si>
  <si>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</si>
  <si>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</si>
  <si>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</si>
  <si>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</si>
  <si>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</si>
  <si>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</si>
  <si>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</si>
  <si>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</si>
  <si>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</si>
  <si>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</si>
  <si>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</si>
  <si>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</si>
  <si>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</si>
  <si>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</si>
  <si>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</si>
  <si>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</si>
  <si>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</si>
  <si>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</si>
  <si>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</si>
  <si>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</si>
  <si>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</si>
  <si>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</si>
  <si>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</si>
  <si>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</si>
  <si>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</si>
  <si>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SEGMENTS</t>
  </si>
  <si>
    <t>Product</t>
  </si>
  <si>
    <t>iPhone</t>
  </si>
  <si>
    <t>iPad</t>
  </si>
  <si>
    <t>Mac</t>
  </si>
  <si>
    <t>iPod</t>
  </si>
  <si>
    <t>iTunes / Software / Services</t>
  </si>
  <si>
    <t>Accessories</t>
  </si>
  <si>
    <t>Total</t>
  </si>
  <si>
    <t>% growth</t>
  </si>
  <si>
    <t>Units</t>
  </si>
  <si>
    <t xml:space="preserve">ASPs </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</si>
  <si>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</si>
  <si>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</si>
  <si>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</si>
  <si>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</si>
  <si>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</si>
  <si>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</si>
  <si>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</si>
  <si>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</si>
  <si>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</si>
  <si>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</si>
  <si>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</si>
  <si>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</si>
  <si>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</si>
  <si>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</si>
  <si>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</si>
  <si>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</si>
  <si>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</si>
  <si>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</si>
  <si>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</si>
  <si>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</si>
  <si>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</si>
  <si>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</si>
  <si>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</si>
  <si>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</si>
  <si>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</si>
  <si>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</si>
  <si>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</si>
  <si>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</si>
  <si>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</si>
  <si>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</si>
  <si>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</si>
  <si>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</si>
  <si>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</si>
  <si>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</si>
  <si>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</si>
  <si>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</si>
  <si>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</si>
  <si>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</si>
  <si>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</si>
  <si>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</si>
  <si>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</si>
  <si>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</si>
  <si>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</si>
  <si>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</si>
  <si>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</si>
  <si>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</si>
  <si>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</si>
  <si>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</si>
  <si>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</si>
  <si>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</si>
  <si>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</si>
  <si>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</si>
  <si>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</si>
  <si>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</si>
  <si>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</si>
  <si>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</si>
  <si>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</si>
  <si>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</si>
  <si>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</si>
  <si>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</si>
  <si>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</si>
  <si>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</si>
  <si>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</si>
  <si>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</si>
  <si>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</si>
  <si>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</si>
  <si>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</si>
  <si>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</si>
  <si>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</si>
  <si>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</si>
  <si>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</si>
  <si>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</si>
  <si>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</si>
  <si>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</si>
  <si>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</si>
  <si>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</si>
  <si>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</si>
  <si>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</si>
  <si>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</si>
  <si>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</si>
  <si>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</si>
  <si>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</si>
  <si>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</si>
  <si>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</si>
  <si>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</si>
  <si>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</si>
  <si>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</si>
  <si>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</si>
  <si>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</si>
  <si>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</si>
  <si>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</si>
  <si>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</si>
  <si>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</si>
  <si>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</si>
  <si>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</si>
  <si>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</si>
  <si>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</si>
  <si>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</si>
  <si>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</si>
  <si>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</si>
  <si>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</si>
  <si>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</si>
  <si>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</si>
  <si>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</si>
  <si>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</si>
  <si>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</si>
  <si>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</si>
  <si>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</si>
  <si>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</si>
  <si>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</si>
  <si>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</si>
  <si>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</si>
  <si>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</si>
  <si>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</si>
  <si>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iPad unit growth</t>
  </si>
  <si>
    <t xml:space="preserve"> unit</t>
  </si>
  <si>
    <t>growth</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</si>
  <si>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</si>
  <si>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</si>
  <si>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</si>
  <si>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</si>
  <si>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</si>
  <si>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</si>
  <si>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</si>
  <si>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</si>
  <si>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</si>
  <si>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</si>
  <si>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</si>
  <si>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</si>
  <si>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</si>
  <si>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</si>
  <si>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</si>
  <si>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</si>
  <si>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</si>
  <si>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</si>
  <si>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</si>
  <si>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</si>
  <si>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</si>
  <si>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</si>
  <si>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</si>
  <si>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</si>
  <si>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</si>
  <si>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</si>
  <si>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</si>
  <si>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</si>
  <si>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</si>
  <si>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</si>
  <si>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</si>
  <si>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</si>
  <si>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</si>
  <si>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</si>
  <si>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</si>
  <si>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</si>
  <si>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</si>
  <si>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</si>
  <si>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</si>
  <si>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</si>
  <si>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</si>
  <si>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</si>
  <si>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</si>
  <si>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2014 EPS sensitivity</t>
  </si>
  <si>
    <t>Net Debt</t>
  </si>
  <si>
    <t>Trapped cash</t>
  </si>
  <si>
    <t>Perpetuity</t>
  </si>
  <si>
    <t>Enterprise value</t>
  </si>
  <si>
    <t>Less: Trapped cash</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</si>
  <si>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</si>
  <si>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</si>
  <si>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</si>
  <si>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</si>
  <si>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</si>
  <si>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</si>
  <si>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</si>
  <si>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</si>
  <si>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</si>
  <si>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</si>
  <si>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</si>
  <si>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Middle of period</t>
  </si>
  <si>
    <t>Midperiod adjustment factor</t>
  </si>
  <si>
    <t>Comps derived EV/EBITDA</t>
  </si>
  <si>
    <t>EBITDA % of plan</t>
  </si>
  <si>
    <t>Implied TV exit EBITDA multiple</t>
  </si>
  <si>
    <t>Implied TV perpetual growth rate</t>
  </si>
  <si>
    <t>High</t>
  </si>
  <si>
    <t>Low</t>
  </si>
  <si>
    <t>Diff.</t>
  </si>
  <si>
    <t>52 week high low</t>
  </si>
  <si>
    <t>52 week high</t>
  </si>
  <si>
    <t>52 week low</t>
  </si>
  <si>
    <t>Date</t>
  </si>
  <si>
    <t>Open</t>
  </si>
  <si>
    <t>Close</t>
  </si>
  <si>
    <t>Volume</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</si>
  <si>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</si>
  <si>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</si>
  <si>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</si>
  <si>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</si>
  <si>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</si>
  <si>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</si>
  <si>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</si>
  <si>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</si>
  <si>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</si>
  <si>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</si>
  <si>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</si>
  <si>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</si>
  <si>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</si>
  <si>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</si>
  <si>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</si>
  <si>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</si>
  <si>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</si>
  <si>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t>Beta calculation</t>
  </si>
  <si>
    <r>
      <t xml:space="preserve">Observed </t>
    </r>
    <r>
      <rPr>
        <sz val="11"/>
        <color theme="1"/>
        <rFont val="Symbol"/>
        <family val="1"/>
        <charset val="2"/>
      </rPr>
      <t>b</t>
    </r>
  </si>
  <si>
    <t>Share price</t>
  </si>
  <si>
    <t>Dil. shares</t>
  </si>
  <si>
    <t>Debt</t>
  </si>
  <si>
    <r>
      <t xml:space="preserve">Delev. </t>
    </r>
    <r>
      <rPr>
        <sz val="11"/>
        <color theme="1"/>
        <rFont val="Symbol"/>
        <family val="1"/>
        <charset val="2"/>
      </rPr>
      <t>b</t>
    </r>
  </si>
  <si>
    <t>MSFT</t>
  </si>
  <si>
    <t>GOOG</t>
  </si>
  <si>
    <t>AMZN</t>
  </si>
  <si>
    <t>Industry average delevered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</si>
  <si>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</si>
  <si>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</si>
  <si>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Industry</t>
  </si>
  <si>
    <t>Under Armour</t>
  </si>
  <si>
    <t>UAA</t>
  </si>
  <si>
    <t>Notes</t>
  </si>
  <si>
    <t>SGA margin not sustainable given by management</t>
  </si>
  <si>
    <t>Needs to stabilize back towards historicals within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</si>
</sst>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s>
  <fonts count="86">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b/>
      <sz val="13"/>
      <color theme="1"/>
      <name val="Calibri"/>
      <family val="2"/>
      <scheme val="minor"/>
    </font>
    <font>
      <u val="singleAccounting"/>
      <sz val="11"/>
      <color rgb="FF000000"/>
      <name val="Calibri"/>
      <family val="2"/>
      <scheme val="minor"/>
    </font>
    <font>
      <sz val="11"/>
      <color theme="1"/>
      <name val="Symbol"/>
      <family val="1"/>
      <charset val="2"/>
    </font>
    <font>
      <u val="singleAccounting"/>
      <sz val="9"/>
      <color theme="1"/>
      <name val="Calibri"/>
      <family val="2"/>
      <scheme val="minor"/>
    </font>
    <font>
      <u val="singleAccounting"/>
      <sz val="9"/>
      <color theme="1"/>
      <name val="Symbol"/>
      <family val="1"/>
      <charset val="2"/>
    </font>
    <font>
      <b/>
      <sz val="9"/>
      <color indexed="81"/>
      <name val="Tahoma"/>
      <charset val="1"/>
    </font>
  </fonts>
  <fills count="3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
      <patternFill patternType="solid">
        <fgColor rgb="FFC0C0C0"/>
        <bgColor indexed="64"/>
      </patternFill>
    </fill>
  </fills>
  <borders count="37">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40">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0" fontId="0" fillId="0" borderId="0" xfId="0" applyFont="1" applyAlignment="1">
      <alignment horizontal="left" indent="2"/>
    </xf>
    <xf numFmtId="171" fontId="5" fillId="0" borderId="0" xfId="0" applyNumberFormat="1" applyFont="1"/>
    <xf numFmtId="166" fontId="4" fillId="0" borderId="0" xfId="0" applyNumberFormat="1" applyFont="1"/>
    <xf numFmtId="166" fontId="0" fillId="0" borderId="0" xfId="0" applyNumberFormat="1" applyFont="1"/>
    <xf numFmtId="172" fontId="5" fillId="0" borderId="0" xfId="0" applyNumberFormat="1" applyFont="1"/>
    <xf numFmtId="14" fontId="68" fillId="0" borderId="0" xfId="0" applyNumberFormat="1" applyFont="1"/>
    <xf numFmtId="173" fontId="5" fillId="0" borderId="0" xfId="0" applyNumberFormat="1" applyFont="1" applyFill="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177"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0" fontId="4" fillId="0" borderId="0" xfId="0" applyFont="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165" fontId="0" fillId="0" borderId="4" xfId="0" applyNumberFormat="1" applyFont="1" applyFill="1" applyBorder="1"/>
    <xf numFmtId="172" fontId="5" fillId="0" borderId="5" xfId="0" applyNumberFormat="1" applyFont="1" applyFill="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71" fontId="72" fillId="0" borderId="0" xfId="0" applyNumberFormat="1" applyFont="1"/>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177" fontId="0" fillId="0" borderId="0" xfId="0" applyNumberFormat="1" applyFont="1"/>
    <xf numFmtId="239" fontId="5" fillId="0" borderId="0" xfId="0" applyNumberFormat="1" applyFont="1"/>
    <xf numFmtId="239" fontId="0" fillId="0" borderId="0" xfId="0" applyNumberFormat="1"/>
    <xf numFmtId="177" fontId="0" fillId="0" borderId="0" xfId="0" applyNumberFormat="1"/>
    <xf numFmtId="239" fontId="1" fillId="0" borderId="0" xfId="0" applyNumberFormat="1" applyFon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80" fillId="0" borderId="3" xfId="0" applyFont="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1"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0" fontId="0" fillId="0" borderId="0" xfId="0" applyFont="1" applyAlignment="1">
      <alignment wrapText="1"/>
    </xf>
    <xf numFmtId="0" fontId="0" fillId="0" borderId="5" xfId="0" applyFont="1" applyBorder="1"/>
    <xf numFmtId="0" fontId="0" fillId="0" borderId="5" xfId="0" applyFont="1" applyBorder="1" applyAlignment="1">
      <alignment wrapText="1"/>
    </xf>
    <xf numFmtId="39" fontId="5" fillId="0" borderId="0" xfId="0" applyNumberFormat="1" applyFont="1"/>
    <xf numFmtId="166" fontId="5" fillId="0" borderId="0" xfId="0" applyNumberFormat="1" applyFont="1"/>
    <xf numFmtId="39" fontId="4" fillId="0" borderId="0" xfId="0" applyNumberFormat="1" applyFont="1" applyBorder="1"/>
    <xf numFmtId="39" fontId="0" fillId="0" borderId="0" xfId="0" applyNumberFormat="1" applyFont="1" applyBorder="1"/>
    <xf numFmtId="239" fontId="0" fillId="0" borderId="0" xfId="0" applyNumberFormat="1" applyFont="1" applyBorder="1"/>
    <xf numFmtId="0" fontId="83"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9" fontId="0" fillId="0" borderId="29" xfId="0" applyNumberFormat="1" applyFont="1" applyBorder="1"/>
    <xf numFmtId="166" fontId="6" fillId="0" borderId="0" xfId="0" applyNumberFormat="1" applyFont="1" applyFill="1" applyBorder="1"/>
    <xf numFmtId="166" fontId="6" fillId="0" borderId="0" xfId="0" applyNumberFormat="1" applyFont="1" applyBorder="1"/>
    <xf numFmtId="166" fontId="6" fillId="0" borderId="0" xfId="0" applyNumberFormat="1" applyFont="1"/>
    <xf numFmtId="37" fontId="0" fillId="33" borderId="0" xfId="0" applyNumberFormat="1" applyFont="1" applyFill="1" applyBorder="1"/>
    <xf numFmtId="37" fontId="4" fillId="0" borderId="0" xfId="0" applyNumberFormat="1" applyFont="1" applyFill="1" applyBorder="1"/>
    <xf numFmtId="37" fontId="5" fillId="33" borderId="0" xfId="0" applyNumberFormat="1" applyFont="1" applyFill="1" applyBorder="1"/>
    <xf numFmtId="166" fontId="5" fillId="0" borderId="0" xfId="0" applyNumberFormat="1" applyFont="1" applyFill="1" applyAlignment="1"/>
    <xf numFmtId="166" fontId="5" fillId="0" borderId="0" xfId="0" applyNumberFormat="1" applyFont="1" applyFill="1" applyBorder="1" applyAlignment="1"/>
    <xf numFmtId="166" fontId="4" fillId="0" borderId="0" xfId="0" applyNumberFormat="1" applyFont="1" applyFill="1" applyBorder="1" applyAlignment="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DCF!$C$138</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DCF!$C$139:$C$141</c:f>
              <c:numCache>
                <c:formatCode>#,##0.00_);\(#,##0.00\)</c:formatCode>
                <c:ptCount val="3"/>
                <c:pt idx="0">
                  <c:v>154.28469195971363</c:v>
                </c:pt>
                <c:pt idx="1">
                  <c:v>155.96865173702852</c:v>
                </c:pt>
                <c:pt idx="2">
                  <c:v>393.78</c:v>
                </c:pt>
              </c:numCache>
            </c:numRef>
          </c:val>
          <c:extLst>
            <c:ext xmlns:c16="http://schemas.microsoft.com/office/drawing/2014/chart" uri="{C3380CC4-5D6E-409C-BE32-E72D297353CC}">
              <c16:uniqueId val="{00000000-00AB-47C4-B3B4-B360273A3C84}"/>
            </c:ext>
          </c:extLst>
        </c:ser>
        <c:ser>
          <c:idx val="1"/>
          <c:order val="1"/>
          <c:tx>
            <c:strRef>
              <c:f>DCF!$D$138</c:f>
              <c:strCache>
                <c:ptCount val="1"/>
                <c:pt idx="0">
                  <c:v>Diff.</c:v>
                </c:pt>
              </c:strCache>
            </c:strRef>
          </c:tx>
          <c:invertIfNegative val="0"/>
          <c:cat>
            <c:strRef>
              <c:f>DCF!$B$139:$B$141</c:f>
              <c:strCache>
                <c:ptCount val="3"/>
                <c:pt idx="0">
                  <c:v>DCF Value at 7.3x-11.3x Exit EBITDA Range</c:v>
                </c:pt>
                <c:pt idx="1">
                  <c:v>DCF Value at 2.0%-4.0% Perpetuity Range</c:v>
                </c:pt>
                <c:pt idx="2">
                  <c:v>52 Week Market High/Low</c:v>
                </c:pt>
              </c:strCache>
            </c:strRef>
          </c:cat>
          <c:val>
            <c:numRef>
              <c:f>DCF!$D$139:$D$141</c:f>
              <c:numCache>
                <c:formatCode>#,##0.00_);\(#,##0.00\)</c:formatCode>
                <c:ptCount val="3"/>
                <c:pt idx="0">
                  <c:v>2.2232060082355076</c:v>
                </c:pt>
                <c:pt idx="1">
                  <c:v>1.5962152355417629</c:v>
                </c:pt>
                <c:pt idx="2">
                  <c:v>210.81000000000006</c:v>
                </c:pt>
              </c:numCache>
            </c:numRef>
          </c:val>
          <c:extLst>
            <c:ext xmlns:c16="http://schemas.microsoft.com/office/drawing/2014/chart" uri="{C3380CC4-5D6E-409C-BE32-E72D297353CC}">
              <c16:uniqueId val="{00000001-00AB-47C4-B3B4-B360273A3C84}"/>
            </c:ext>
          </c:extLst>
        </c:ser>
        <c:ser>
          <c:idx val="2"/>
          <c:order val="2"/>
          <c:tx>
            <c:strRef>
              <c:f>DCF!$E$138</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DCF!$E$139:$E$141</c:f>
              <c:numCache>
                <c:formatCode>#,##0.00_);\(#,##0.00\)</c:formatCode>
                <c:ptCount val="3"/>
                <c:pt idx="0">
                  <c:v>156.50789796794913</c:v>
                </c:pt>
                <c:pt idx="1">
                  <c:v>157.56486697257029</c:v>
                </c:pt>
                <c:pt idx="2">
                  <c:v>604.59</c:v>
                </c:pt>
              </c:numCache>
            </c:numRef>
          </c:val>
          <c:extLst>
            <c:ext xmlns:c16="http://schemas.microsoft.com/office/drawing/2014/chart" uri="{C3380CC4-5D6E-409C-BE32-E72D297353CC}">
              <c16:uniqueId val="{00000002-00AB-47C4-B3B4-B360273A3C84}"/>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000"/>
          <c:min val="3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117</xdr:row>
      <xdr:rowOff>149424</xdr:rowOff>
    </xdr:from>
    <xdr:to>
      <xdr:col>4</xdr:col>
      <xdr:colOff>654844</xdr:colOff>
      <xdr:row>136</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7"/>
  <sheetViews>
    <sheetView tabSelected="1" topLeftCell="A90" zoomScaleNormal="100" workbookViewId="0">
      <selection activeCell="D117" sqref="D117"/>
    </sheetView>
  </sheetViews>
  <sheetFormatPr defaultColWidth="9.109375" defaultRowHeight="14.4"/>
  <cols>
    <col min="1" max="1" width="1.6640625" style="17" customWidth="1"/>
    <col min="2" max="2" width="50.88671875" style="17" customWidth="1"/>
    <col min="3" max="10" width="12.33203125" style="17" customWidth="1"/>
    <col min="11" max="11" width="9.109375" style="17"/>
    <col min="12" max="12" width="10.88671875" style="17" bestFit="1" customWidth="1"/>
    <col min="13" max="16384" width="9.109375" style="17"/>
  </cols>
  <sheetData>
    <row r="1" spans="1:12" ht="15" thickBot="1"/>
    <row r="2" spans="1:12" ht="26.4" thickBot="1">
      <c r="B2" s="1" t="str">
        <f>"Financial Statement Model for "&amp;'Financial Statement Model'!C5</f>
        <v>Financial Statement Model for Under Armour</v>
      </c>
      <c r="C2" s="18"/>
      <c r="D2" s="18"/>
      <c r="E2" s="18"/>
      <c r="F2" s="18"/>
      <c r="G2" s="18"/>
      <c r="H2" s="18"/>
      <c r="I2" s="18"/>
      <c r="J2" s="18"/>
    </row>
    <row r="3" spans="1:12">
      <c r="B3" s="2" t="s">
        <v>0</v>
      </c>
      <c r="C3" s="19"/>
      <c r="F3" s="20"/>
      <c r="G3" s="20"/>
      <c r="H3" s="20"/>
      <c r="I3" s="20"/>
      <c r="J3" s="20"/>
    </row>
    <row r="4" spans="1:12">
      <c r="B4" s="21"/>
      <c r="C4" s="19"/>
      <c r="F4" s="20"/>
    </row>
    <row r="5" spans="1:12">
      <c r="B5" s="3" t="s">
        <v>1</v>
      </c>
      <c r="C5" s="4" t="s">
        <v>274</v>
      </c>
      <c r="F5" s="20"/>
    </row>
    <row r="6" spans="1:12">
      <c r="B6" s="3" t="s">
        <v>2</v>
      </c>
      <c r="C6" s="4" t="s">
        <v>275</v>
      </c>
      <c r="F6" s="20"/>
    </row>
    <row r="7" spans="1:12">
      <c r="B7" s="5" t="s">
        <v>3</v>
      </c>
      <c r="C7" s="6">
        <v>19.93</v>
      </c>
      <c r="E7" s="62"/>
      <c r="F7" s="20"/>
      <c r="G7" s="7"/>
      <c r="H7" s="20"/>
      <c r="I7" s="8"/>
      <c r="J7" s="20"/>
    </row>
    <row r="8" spans="1:12">
      <c r="B8" s="3" t="s">
        <v>4</v>
      </c>
      <c r="C8" s="9">
        <v>42929</v>
      </c>
      <c r="F8" s="20"/>
      <c r="G8" s="20"/>
      <c r="H8" s="20"/>
      <c r="I8" s="20"/>
      <c r="J8" s="20"/>
    </row>
    <row r="9" spans="1:12">
      <c r="B9" s="3" t="s">
        <v>5</v>
      </c>
      <c r="C9" s="9">
        <v>42735</v>
      </c>
      <c r="F9" s="20"/>
      <c r="G9" s="20"/>
      <c r="H9" s="20"/>
      <c r="I9" s="20"/>
      <c r="J9" s="20"/>
    </row>
    <row r="10" spans="1:12">
      <c r="B10" s="10" t="s">
        <v>6</v>
      </c>
      <c r="C10" s="11" t="s">
        <v>7</v>
      </c>
      <c r="E10" s="20"/>
      <c r="F10" s="20"/>
      <c r="G10" s="20"/>
      <c r="H10" s="20"/>
      <c r="I10" s="20"/>
      <c r="J10" s="20"/>
    </row>
    <row r="11" spans="1:12">
      <c r="D11" s="20"/>
      <c r="E11" s="20"/>
      <c r="F11" s="20"/>
      <c r="G11" s="20"/>
      <c r="H11" s="20"/>
      <c r="I11" s="20"/>
      <c r="J11" s="20"/>
    </row>
    <row r="12" spans="1:12">
      <c r="A12" s="17" t="s">
        <v>210</v>
      </c>
      <c r="B12" s="22" t="s">
        <v>8</v>
      </c>
      <c r="C12" s="23"/>
      <c r="D12" s="24"/>
      <c r="E12" s="24"/>
      <c r="F12" s="24"/>
      <c r="G12" s="24"/>
      <c r="H12" s="24"/>
      <c r="I12" s="24"/>
      <c r="J12" s="24"/>
    </row>
    <row r="13" spans="1:12">
      <c r="B13" s="20" t="s">
        <v>9</v>
      </c>
      <c r="C13" s="25">
        <f>D13-1</f>
        <v>2014</v>
      </c>
      <c r="D13" s="25">
        <f>E13-1</f>
        <v>2015</v>
      </c>
      <c r="E13" s="25">
        <f>YEAR('Financial Statement Model'!C9)</f>
        <v>2016</v>
      </c>
      <c r="F13" s="26">
        <f>E13+1</f>
        <v>2017</v>
      </c>
      <c r="G13" s="26">
        <f>F13+1</f>
        <v>2018</v>
      </c>
      <c r="H13" s="26">
        <f>G13+1</f>
        <v>2019</v>
      </c>
      <c r="I13" s="26">
        <f>H13+1</f>
        <v>2020</v>
      </c>
      <c r="J13" s="26">
        <f>I13+1</f>
        <v>2021</v>
      </c>
    </row>
    <row r="14" spans="1:12">
      <c r="B14" s="27" t="s">
        <v>10</v>
      </c>
      <c r="C14" s="28">
        <v>40810</v>
      </c>
      <c r="D14" s="28">
        <v>41181</v>
      </c>
      <c r="E14" s="29">
        <f>'Financial Statement Model'!C9</f>
        <v>42735</v>
      </c>
      <c r="F14" s="29">
        <f>EOMONTH(E14,12)</f>
        <v>43100</v>
      </c>
      <c r="G14" s="29">
        <f>EOMONTH(F14,12)</f>
        <v>43465</v>
      </c>
      <c r="H14" s="29">
        <f>EOMONTH(G14,12)</f>
        <v>43830</v>
      </c>
      <c r="I14" s="29">
        <f>EOMONTH(H14,12)</f>
        <v>44196</v>
      </c>
      <c r="J14" s="29">
        <f>EOMONTH(I14,12)</f>
        <v>44561</v>
      </c>
    </row>
    <row r="15" spans="1:12">
      <c r="B15" s="30"/>
      <c r="C15" s="31"/>
      <c r="D15" s="31"/>
      <c r="E15" s="32"/>
      <c r="F15" s="32"/>
      <c r="G15" s="32"/>
      <c r="H15" s="32"/>
      <c r="I15" s="32"/>
      <c r="J15" s="32"/>
      <c r="L15" s="17" t="s">
        <v>276</v>
      </c>
    </row>
    <row r="16" spans="1:12">
      <c r="B16" s="20" t="s">
        <v>11</v>
      </c>
      <c r="C16" s="216">
        <v>3084.37</v>
      </c>
      <c r="D16" s="66">
        <v>3963.3129999999996</v>
      </c>
      <c r="E16" s="66">
        <v>4825.335</v>
      </c>
      <c r="F16" s="33">
        <f>E16*(F37+1)</f>
        <v>5380.248525</v>
      </c>
      <c r="G16" s="33">
        <f>F16*(G37+1)</f>
        <v>6079.6808332499995</v>
      </c>
      <c r="H16" s="33">
        <f>G16*(H37+1)</f>
        <v>6870.0393415724984</v>
      </c>
      <c r="I16" s="33">
        <f>H16*(I37+1)</f>
        <v>7763.1444559769225</v>
      </c>
      <c r="J16" s="33">
        <f>I16*(J37+1)</f>
        <v>8772.3532352539223</v>
      </c>
      <c r="L16" s="235" t="s">
        <v>277</v>
      </c>
    </row>
    <row r="17" spans="2:12">
      <c r="B17" s="20" t="s">
        <v>12</v>
      </c>
      <c r="C17" s="216">
        <v>-1572.164</v>
      </c>
      <c r="D17" s="66">
        <v>-2057.7660000000001</v>
      </c>
      <c r="E17" s="66">
        <v>-2584.7239999999997</v>
      </c>
      <c r="F17" s="33">
        <f>AVERAGE(C17:E17)</f>
        <v>-2071.5513333333333</v>
      </c>
      <c r="G17" s="33">
        <f>G18-G16</f>
        <v>-2796.6531832949995</v>
      </c>
      <c r="H17" s="33">
        <f>H18-H16</f>
        <v>-3160.2180971233493</v>
      </c>
      <c r="I17" s="33">
        <f>I18-I16</f>
        <v>-3571.046449749384</v>
      </c>
      <c r="J17" s="33">
        <f>J18-J16</f>
        <v>-4035.2824882168043</v>
      </c>
      <c r="L17" s="17" t="s">
        <v>278</v>
      </c>
    </row>
    <row r="18" spans="2:12">
      <c r="B18" s="34" t="s">
        <v>13</v>
      </c>
      <c r="C18" s="233">
        <f>SUM(C16:C17)</f>
        <v>1512.2059999999999</v>
      </c>
      <c r="D18" s="231">
        <f>SUM(D16:D17)</f>
        <v>1905.5469999999996</v>
      </c>
      <c r="E18" s="231">
        <f>SUM(E16:E17)</f>
        <v>2240.6110000000003</v>
      </c>
      <c r="F18" s="231">
        <f t="shared" ref="F18" si="0">SUM(F16:F17)</f>
        <v>3308.6971916666666</v>
      </c>
      <c r="G18" s="231">
        <f>G38*G16</f>
        <v>3283.027649955</v>
      </c>
      <c r="H18" s="231">
        <f t="shared" ref="H18:J18" si="1">H38*H16</f>
        <v>3709.8212444491492</v>
      </c>
      <c r="I18" s="231">
        <f t="shared" si="1"/>
        <v>4192.0980062275385</v>
      </c>
      <c r="J18" s="231">
        <f t="shared" si="1"/>
        <v>4737.0707470371181</v>
      </c>
    </row>
    <row r="19" spans="2:12">
      <c r="B19" s="36" t="s">
        <v>14</v>
      </c>
      <c r="C19" s="62">
        <v>0</v>
      </c>
      <c r="D19" s="66">
        <v>0</v>
      </c>
      <c r="E19" s="66">
        <v>0</v>
      </c>
      <c r="F19" s="66">
        <v>0</v>
      </c>
      <c r="G19" s="66">
        <v>0</v>
      </c>
      <c r="H19" s="66">
        <v>0</v>
      </c>
      <c r="I19" s="66">
        <v>0</v>
      </c>
      <c r="J19" s="66">
        <v>0</v>
      </c>
    </row>
    <row r="20" spans="2:12">
      <c r="B20" s="36" t="s">
        <v>15</v>
      </c>
      <c r="C20" s="216">
        <v>-1158.251</v>
      </c>
      <c r="D20" s="66">
        <v>-1497</v>
      </c>
      <c r="E20" s="66">
        <v>-1823.14</v>
      </c>
      <c r="F20" s="33">
        <f>E20*(F40+1)</f>
        <v>-2989.9496000000004</v>
      </c>
      <c r="G20" s="33">
        <f>-(G16*G40)</f>
        <v>-3094.0304881399998</v>
      </c>
      <c r="H20" s="33">
        <f>-(H16*H40)</f>
        <v>-3091.5177037076242</v>
      </c>
      <c r="I20" s="33">
        <f>-(I16*I40)</f>
        <v>-3493.4150051896154</v>
      </c>
      <c r="J20" s="33">
        <f>-(J16*J40)</f>
        <v>-3947.558955864265</v>
      </c>
    </row>
    <row r="21" spans="2:12">
      <c r="B21" s="34" t="s">
        <v>16</v>
      </c>
      <c r="C21" s="233">
        <f>((SUM(C18:C20)))</f>
        <v>353.95499999999993</v>
      </c>
      <c r="D21" s="233">
        <f t="shared" ref="D21:E21" si="2">((SUM(D18:D20)))</f>
        <v>408.54699999999957</v>
      </c>
      <c r="E21" s="233">
        <f t="shared" si="2"/>
        <v>417.47100000000023</v>
      </c>
      <c r="F21" s="35">
        <f>SUM(F18:F20)</f>
        <v>318.74759166666627</v>
      </c>
      <c r="G21" s="35">
        <f t="shared" ref="G21:J21" si="3">SUM(G18:G20)</f>
        <v>188.99716181500025</v>
      </c>
      <c r="H21" s="35">
        <f t="shared" si="3"/>
        <v>618.30354074152501</v>
      </c>
      <c r="I21" s="35">
        <f t="shared" si="3"/>
        <v>698.68300103792308</v>
      </c>
      <c r="J21" s="35">
        <f t="shared" si="3"/>
        <v>789.51179117285301</v>
      </c>
    </row>
    <row r="22" spans="2:12">
      <c r="B22" s="20" t="s">
        <v>17</v>
      </c>
      <c r="C22" s="62">
        <v>192</v>
      </c>
      <c r="D22" s="66">
        <f>164</f>
        <v>164</v>
      </c>
      <c r="E22" s="66">
        <v>257.7</v>
      </c>
      <c r="F22" s="234"/>
      <c r="G22" s="234"/>
      <c r="H22" s="234"/>
      <c r="I22" s="234"/>
      <c r="J22" s="234"/>
    </row>
    <row r="23" spans="2:12">
      <c r="B23" s="20" t="s">
        <v>18</v>
      </c>
      <c r="C23" s="216">
        <f>(((-5335-C22)/10)/10)/10</f>
        <v>-5.5270000000000001</v>
      </c>
      <c r="D23" s="216">
        <f>(((-14628-D22)/10)/10)/10</f>
        <v>-14.792000000000002</v>
      </c>
      <c r="E23" s="216">
        <f>(((-26434-E22)/10)/10)/10</f>
        <v>-26.691700000000004</v>
      </c>
      <c r="F23" s="236">
        <v>-40</v>
      </c>
      <c r="G23" s="234"/>
      <c r="H23" s="234"/>
      <c r="I23" s="234"/>
      <c r="J23" s="234"/>
    </row>
    <row r="24" spans="2:12">
      <c r="B24" s="36" t="s">
        <v>19</v>
      </c>
      <c r="C24" s="216">
        <v>-6.4099999999999993</v>
      </c>
      <c r="D24" s="66">
        <v>-7.234</v>
      </c>
      <c r="E24" s="66">
        <v>-2.7549999999999999</v>
      </c>
      <c r="F24" s="33">
        <f>AVERAGE(C24:E24)</f>
        <v>-5.4663333333333322</v>
      </c>
      <c r="G24" s="33">
        <f>F24</f>
        <v>-5.4663333333333322</v>
      </c>
      <c r="H24" s="33">
        <f t="shared" ref="H24:J24" si="4">G24</f>
        <v>-5.4663333333333322</v>
      </c>
      <c r="I24" s="33">
        <f t="shared" si="4"/>
        <v>-5.4663333333333322</v>
      </c>
      <c r="J24" s="33">
        <f t="shared" si="4"/>
        <v>-5.4663333333333322</v>
      </c>
    </row>
    <row r="25" spans="2:12">
      <c r="B25" s="34" t="s">
        <v>20</v>
      </c>
      <c r="C25" s="233">
        <f>SUM(C21:C24)</f>
        <v>534.01799999999992</v>
      </c>
      <c r="D25" s="231">
        <f>SUM(D21:D24)</f>
        <v>550.5209999999995</v>
      </c>
      <c r="E25" s="231">
        <f>SUM(E21:E24)</f>
        <v>645.72430000000031</v>
      </c>
      <c r="F25" s="231">
        <f t="shared" ref="F25:J25" si="5">SUM(F21:F24)</f>
        <v>273.28125833333291</v>
      </c>
      <c r="G25" s="231">
        <f t="shared" si="5"/>
        <v>183.53082848166693</v>
      </c>
      <c r="H25" s="231">
        <f t="shared" si="5"/>
        <v>612.83720740819172</v>
      </c>
      <c r="I25" s="231">
        <f t="shared" si="5"/>
        <v>693.21666770458978</v>
      </c>
      <c r="J25" s="231">
        <f t="shared" si="5"/>
        <v>784.04545783951971</v>
      </c>
    </row>
    <row r="26" spans="2:12">
      <c r="B26" s="20" t="s">
        <v>21</v>
      </c>
      <c r="C26" s="216">
        <v>-134.16799999999998</v>
      </c>
      <c r="D26" s="66">
        <v>-154.11200000000002</v>
      </c>
      <c r="E26" s="66">
        <v>-131.303</v>
      </c>
      <c r="F26" s="33">
        <f>-(F25*F41)</f>
        <v>-90.182815249999862</v>
      </c>
      <c r="G26" s="33">
        <f>-(G25*G41)</f>
        <v>-60.565173398950087</v>
      </c>
      <c r="H26" s="33">
        <f>-(H25*H41)</f>
        <v>-202.23627844470329</v>
      </c>
      <c r="I26" s="33">
        <f>-(I25*I41)</f>
        <v>-228.76150034251464</v>
      </c>
      <c r="J26" s="33">
        <f>-(J25*J41)</f>
        <v>-258.7350010870415</v>
      </c>
    </row>
    <row r="27" spans="2:12">
      <c r="B27" s="34" t="s">
        <v>22</v>
      </c>
      <c r="C27" s="233">
        <f>SUM(C25:C26)</f>
        <v>399.84999999999991</v>
      </c>
      <c r="D27" s="232">
        <f>SUM(D25:D26)</f>
        <v>396.40899999999948</v>
      </c>
      <c r="E27" s="232">
        <f>SUM(E25:E26)</f>
        <v>514.42130000000031</v>
      </c>
      <c r="F27" s="232">
        <f t="shared" ref="F27:J27" si="6">SUM(F25:F26)</f>
        <v>183.09844308333305</v>
      </c>
      <c r="G27" s="232">
        <f t="shared" si="6"/>
        <v>122.96565508271684</v>
      </c>
      <c r="H27" s="232">
        <f t="shared" si="6"/>
        <v>410.6009289634884</v>
      </c>
      <c r="I27" s="232">
        <f t="shared" si="6"/>
        <v>464.45516736207514</v>
      </c>
      <c r="J27" s="232">
        <f t="shared" si="6"/>
        <v>525.31045675247822</v>
      </c>
    </row>
    <row r="29" spans="2:12">
      <c r="B29" s="36" t="s">
        <v>23</v>
      </c>
      <c r="C29" s="38"/>
      <c r="D29" s="38"/>
      <c r="E29" s="38"/>
      <c r="F29" s="39"/>
      <c r="G29" s="39"/>
      <c r="H29" s="39"/>
      <c r="I29" s="39"/>
      <c r="J29" s="39"/>
    </row>
    <row r="30" spans="2:12">
      <c r="B30" s="36" t="s">
        <v>24</v>
      </c>
      <c r="C30" s="40"/>
      <c r="D30" s="40"/>
      <c r="E30" s="40"/>
      <c r="F30" s="39"/>
      <c r="G30" s="39"/>
      <c r="H30" s="39"/>
      <c r="I30" s="39"/>
      <c r="J30" s="39"/>
    </row>
    <row r="31" spans="2:12">
      <c r="B31" s="17" t="s">
        <v>25</v>
      </c>
      <c r="C31" s="38"/>
      <c r="D31" s="38"/>
      <c r="E31" s="38"/>
      <c r="F31" s="39"/>
      <c r="G31" s="39"/>
      <c r="H31" s="39"/>
      <c r="I31" s="39"/>
      <c r="J31" s="39"/>
    </row>
    <row r="33" spans="1:10">
      <c r="B33" s="17" t="s">
        <v>26</v>
      </c>
      <c r="C33" s="41"/>
      <c r="D33" s="41"/>
      <c r="E33" s="41"/>
      <c r="F33" s="41"/>
      <c r="G33" s="41"/>
      <c r="H33" s="41"/>
      <c r="I33" s="41"/>
      <c r="J33" s="41"/>
    </row>
    <row r="34" spans="1:10">
      <c r="B34" s="42" t="s">
        <v>27</v>
      </c>
      <c r="C34" s="43"/>
      <c r="D34" s="43"/>
      <c r="E34" s="43"/>
      <c r="F34" s="43"/>
      <c r="G34" s="43"/>
      <c r="H34" s="43"/>
      <c r="I34" s="43"/>
      <c r="J34" s="43"/>
    </row>
    <row r="36" spans="1:10">
      <c r="B36" s="44" t="s">
        <v>28</v>
      </c>
    </row>
    <row r="37" spans="1:10">
      <c r="B37" s="45" t="s">
        <v>29</v>
      </c>
      <c r="C37" s="46" t="s">
        <v>30</v>
      </c>
      <c r="D37" s="47">
        <f>(D16-C16)/C16</f>
        <v>0.28496678414068344</v>
      </c>
      <c r="E37" s="47">
        <f>(E16-D16)/D16</f>
        <v>0.21750035891689615</v>
      </c>
      <c r="F37" s="47">
        <v>0.115</v>
      </c>
      <c r="G37" s="47">
        <v>0.13</v>
      </c>
      <c r="H37" s="47">
        <f>G37</f>
        <v>0.13</v>
      </c>
      <c r="I37" s="47">
        <f t="shared" ref="I37:J37" si="7">H37</f>
        <v>0.13</v>
      </c>
      <c r="J37" s="47">
        <f t="shared" si="7"/>
        <v>0.13</v>
      </c>
    </row>
    <row r="38" spans="1:10">
      <c r="B38" s="45" t="s">
        <v>31</v>
      </c>
      <c r="C38" s="47">
        <f>C18/C16</f>
        <v>0.49028034898536815</v>
      </c>
      <c r="D38" s="47">
        <f t="shared" ref="D38:F38" si="8">D18/D16</f>
        <v>0.48079649525535828</v>
      </c>
      <c r="E38" s="47">
        <f t="shared" si="8"/>
        <v>0.46434309742225155</v>
      </c>
      <c r="F38" s="47">
        <f t="shared" si="8"/>
        <v>0.61497106988504158</v>
      </c>
      <c r="G38" s="47">
        <v>0.54</v>
      </c>
      <c r="H38" s="47">
        <f>G38</f>
        <v>0.54</v>
      </c>
      <c r="I38" s="47">
        <f t="shared" ref="I38:J38" si="9">H38</f>
        <v>0.54</v>
      </c>
      <c r="J38" s="47">
        <f t="shared" si="9"/>
        <v>0.54</v>
      </c>
    </row>
    <row r="39" spans="1:10">
      <c r="B39" s="48" t="s">
        <v>32</v>
      </c>
      <c r="C39" s="47">
        <f>C19/C16</f>
        <v>0</v>
      </c>
      <c r="D39" s="47">
        <f t="shared" ref="D39:J39" si="10">D19/D16</f>
        <v>0</v>
      </c>
      <c r="E39" s="47">
        <f t="shared" si="10"/>
        <v>0</v>
      </c>
      <c r="F39" s="47">
        <f t="shared" si="10"/>
        <v>0</v>
      </c>
      <c r="G39" s="47">
        <f t="shared" si="10"/>
        <v>0</v>
      </c>
      <c r="H39" s="47">
        <f t="shared" si="10"/>
        <v>0</v>
      </c>
      <c r="I39" s="47">
        <f t="shared" si="10"/>
        <v>0</v>
      </c>
      <c r="J39" s="47">
        <f t="shared" si="10"/>
        <v>0</v>
      </c>
    </row>
    <row r="40" spans="1:10">
      <c r="B40" s="45" t="s">
        <v>33</v>
      </c>
      <c r="C40" s="47">
        <f>-(C20/C16)</f>
        <v>0.37552271614624705</v>
      </c>
      <c r="D40" s="47">
        <f>-(D20/D16)</f>
        <v>0.37771430114149451</v>
      </c>
      <c r="E40" s="47">
        <f>-(E20/E16)</f>
        <v>0.37782661721932259</v>
      </c>
      <c r="F40" s="47">
        <v>0.64</v>
      </c>
      <c r="G40" s="47">
        <f>AVERAGE(E40:F40)</f>
        <v>0.50891330860966133</v>
      </c>
      <c r="H40" s="47">
        <v>0.45</v>
      </c>
      <c r="I40" s="47">
        <v>0.45</v>
      </c>
      <c r="J40" s="47">
        <v>0.45</v>
      </c>
    </row>
    <row r="41" spans="1:10">
      <c r="B41" s="45" t="s">
        <v>34</v>
      </c>
      <c r="C41" s="47">
        <f>-(C26/C25)</f>
        <v>0.2512424674823695</v>
      </c>
      <c r="D41" s="47">
        <f>-(D26/D25)</f>
        <v>0.27993845829677733</v>
      </c>
      <c r="E41" s="47">
        <f>-(E26/E25)</f>
        <v>0.2033422003787064</v>
      </c>
      <c r="F41" s="47">
        <v>0.33</v>
      </c>
      <c r="G41" s="47">
        <v>0.33</v>
      </c>
      <c r="H41" s="47">
        <v>0.33</v>
      </c>
      <c r="I41" s="47">
        <v>0.33</v>
      </c>
      <c r="J41" s="47">
        <v>0.33</v>
      </c>
    </row>
    <row r="42" spans="1:10">
      <c r="B42" s="48"/>
    </row>
    <row r="43" spans="1:10">
      <c r="B43" s="49" t="s">
        <v>35</v>
      </c>
    </row>
    <row r="44" spans="1:10">
      <c r="B44" s="50" t="s">
        <v>36</v>
      </c>
      <c r="C44" s="38"/>
      <c r="D44" s="38"/>
      <c r="E44" s="38"/>
      <c r="F44" s="39"/>
      <c r="G44" s="39"/>
      <c r="H44" s="39"/>
      <c r="I44" s="39"/>
      <c r="J44" s="39"/>
    </row>
    <row r="45" spans="1:10">
      <c r="B45" s="50" t="s">
        <v>37</v>
      </c>
      <c r="C45" s="38"/>
      <c r="D45" s="38"/>
      <c r="E45" s="38"/>
      <c r="F45" s="39"/>
      <c r="G45" s="39"/>
      <c r="H45" s="39"/>
      <c r="I45" s="39"/>
      <c r="J45" s="39"/>
    </row>
    <row r="46" spans="1:10">
      <c r="B46" s="51" t="s">
        <v>38</v>
      </c>
      <c r="C46" s="52">
        <f>C45+C44+C21</f>
        <v>353.95499999999993</v>
      </c>
      <c r="D46" s="52">
        <f t="shared" ref="D46:J46" si="11">D45+D44+D21</f>
        <v>408.54699999999957</v>
      </c>
      <c r="E46" s="52">
        <f t="shared" si="11"/>
        <v>417.47100000000023</v>
      </c>
      <c r="F46" s="52">
        <f t="shared" si="11"/>
        <v>318.74759166666627</v>
      </c>
      <c r="G46" s="52">
        <f t="shared" si="11"/>
        <v>188.99716181500025</v>
      </c>
      <c r="H46" s="52">
        <f t="shared" si="11"/>
        <v>618.30354074152501</v>
      </c>
      <c r="I46" s="52">
        <f t="shared" si="11"/>
        <v>698.68300103792308</v>
      </c>
      <c r="J46" s="52">
        <f t="shared" si="11"/>
        <v>789.51179117285301</v>
      </c>
    </row>
    <row r="47" spans="1:10">
      <c r="C47" s="53"/>
      <c r="D47" s="53"/>
      <c r="E47" s="53"/>
    </row>
    <row r="48" spans="1:10">
      <c r="A48" s="17" t="s">
        <v>210</v>
      </c>
      <c r="B48" s="22" t="s">
        <v>39</v>
      </c>
      <c r="C48" s="23"/>
      <c r="D48" s="24"/>
      <c r="E48" s="24"/>
      <c r="F48" s="24"/>
      <c r="G48" s="24"/>
      <c r="H48" s="24"/>
      <c r="I48" s="24"/>
      <c r="J48" s="24"/>
    </row>
    <row r="49" spans="2:10">
      <c r="B49" s="20" t="str">
        <f t="shared" ref="B49:J50" si="12">B13</f>
        <v xml:space="preserve">Fiscal year  </v>
      </c>
      <c r="C49" s="54">
        <f t="shared" si="12"/>
        <v>2014</v>
      </c>
      <c r="D49" s="54">
        <f t="shared" si="12"/>
        <v>2015</v>
      </c>
      <c r="E49" s="54">
        <f t="shared" si="12"/>
        <v>2016</v>
      </c>
      <c r="F49" s="55">
        <f t="shared" si="12"/>
        <v>2017</v>
      </c>
      <c r="G49" s="55">
        <f t="shared" si="12"/>
        <v>2018</v>
      </c>
      <c r="H49" s="55">
        <f t="shared" si="12"/>
        <v>2019</v>
      </c>
      <c r="I49" s="55">
        <f t="shared" si="12"/>
        <v>2020</v>
      </c>
      <c r="J49" s="55">
        <f t="shared" si="12"/>
        <v>2021</v>
      </c>
    </row>
    <row r="50" spans="2:10">
      <c r="B50" s="27" t="str">
        <f t="shared" si="12"/>
        <v>Fiscal year end date</v>
      </c>
      <c r="C50" s="56">
        <f t="shared" si="12"/>
        <v>40810</v>
      </c>
      <c r="D50" s="56">
        <f t="shared" si="12"/>
        <v>41181</v>
      </c>
      <c r="E50" s="56">
        <f t="shared" si="12"/>
        <v>42735</v>
      </c>
      <c r="F50" s="56">
        <f t="shared" si="12"/>
        <v>43100</v>
      </c>
      <c r="G50" s="56">
        <f t="shared" si="12"/>
        <v>43465</v>
      </c>
      <c r="H50" s="56">
        <f t="shared" si="12"/>
        <v>43830</v>
      </c>
      <c r="I50" s="56">
        <f t="shared" si="12"/>
        <v>44196</v>
      </c>
      <c r="J50" s="56">
        <f t="shared" si="12"/>
        <v>44561</v>
      </c>
    </row>
    <row r="51" spans="2:10">
      <c r="B51" s="42" t="s">
        <v>40</v>
      </c>
    </row>
    <row r="52" spans="2:10">
      <c r="B52" s="50" t="s">
        <v>41</v>
      </c>
      <c r="C52" s="38">
        <v>45998</v>
      </c>
      <c r="D52" s="38">
        <v>78692</v>
      </c>
      <c r="E52" s="38">
        <v>91279</v>
      </c>
      <c r="F52" s="57">
        <f>(((F62*F72)/10)/10)/10</f>
        <v>97967.925119999985</v>
      </c>
      <c r="G52" s="57">
        <f>(((G62*G72)/10)/10)/10</f>
        <v>104825.67987839998</v>
      </c>
      <c r="H52" s="57">
        <f>(((H62*H72)/10)/10)/10</f>
        <v>107970.45027475199</v>
      </c>
      <c r="I52" s="57">
        <f>(((I62*I72)/10)/10)/10</f>
        <v>111209.56378299456</v>
      </c>
      <c r="J52" s="57">
        <f>(((J62*J72)/10)/10)/10</f>
        <v>114545.8506964844</v>
      </c>
    </row>
    <row r="53" spans="2:10">
      <c r="B53" s="50" t="s">
        <v>42</v>
      </c>
      <c r="C53" s="38">
        <v>19168</v>
      </c>
      <c r="D53" s="38">
        <v>30945</v>
      </c>
      <c r="E53" s="38">
        <v>31980</v>
      </c>
      <c r="F53" s="57">
        <f>(((F64*F74)/10)/10)/10</f>
        <v>31653.803999999996</v>
      </c>
      <c r="G53" s="57">
        <f>(((G64*G74)/10)/10)/10</f>
        <v>31653.803999999996</v>
      </c>
      <c r="H53" s="57">
        <f>(((H64*H74)/10)/10)/10</f>
        <v>31653.803999999996</v>
      </c>
      <c r="I53" s="57">
        <f>(((I64*I74)/10)/10)/10</f>
        <v>31653.803999999996</v>
      </c>
      <c r="J53" s="57">
        <f>(((J64*J74)/10)/10)/10</f>
        <v>31653.803999999996</v>
      </c>
    </row>
    <row r="54" spans="2:10">
      <c r="B54" s="50" t="s">
        <v>43</v>
      </c>
      <c r="C54" s="38">
        <v>21783</v>
      </c>
      <c r="D54" s="38">
        <v>23221</v>
      </c>
      <c r="E54" s="38">
        <v>21483</v>
      </c>
      <c r="F54" s="57">
        <f>(((F66*F76)/10)/10)/10</f>
        <v>20945.924999999999</v>
      </c>
      <c r="G54" s="57">
        <f>(((G66*G76)/10)/10)/10</f>
        <v>18850.023379687504</v>
      </c>
      <c r="H54" s="57">
        <f>(((H66*H76)/10)/10)/10</f>
        <v>18850.023379687504</v>
      </c>
      <c r="I54" s="57">
        <f>(((I66*I76)/10)/10)/10</f>
        <v>18850.023379687504</v>
      </c>
      <c r="J54" s="57">
        <f>(((J66*J76)/10)/10)/10</f>
        <v>18850.023379687504</v>
      </c>
    </row>
    <row r="55" spans="2:10">
      <c r="B55" s="50" t="s">
        <v>44</v>
      </c>
      <c r="C55" s="38">
        <v>7453</v>
      </c>
      <c r="D55" s="38">
        <v>5615</v>
      </c>
      <c r="E55" s="38">
        <v>4411</v>
      </c>
      <c r="F55" s="57">
        <f>(((F68*F78)/10)/10)/10</f>
        <v>3275.1675</v>
      </c>
      <c r="G55" s="57">
        <f>(((G68*G78)/10)/10)/10</f>
        <v>2728.2145274999993</v>
      </c>
      <c r="H55" s="57">
        <f>(((H68*H78)/10)/10)/10</f>
        <v>2318.9823483749997</v>
      </c>
      <c r="I55" s="57">
        <f>(((I68*I78)/10)/10)/10</f>
        <v>1971.1349961187498</v>
      </c>
      <c r="J55" s="57">
        <f>(((J68*J78)/10)/10)/10</f>
        <v>1675.464746700937</v>
      </c>
    </row>
    <row r="56" spans="2:10">
      <c r="B56" s="50" t="s">
        <v>45</v>
      </c>
      <c r="C56" s="38">
        <v>9373</v>
      </c>
      <c r="D56" s="38">
        <v>12890</v>
      </c>
      <c r="E56" s="38">
        <v>16051</v>
      </c>
      <c r="F56" s="58">
        <f>E56*(1+F81)</f>
        <v>19261.2</v>
      </c>
      <c r="G56" s="58">
        <f t="shared" ref="G56:J57" si="13">F56*(1+G81)</f>
        <v>23113.439999999999</v>
      </c>
      <c r="H56" s="58">
        <f t="shared" si="13"/>
        <v>27736.127999999997</v>
      </c>
      <c r="I56" s="58">
        <f t="shared" si="13"/>
        <v>33283.353599999995</v>
      </c>
      <c r="J56" s="58">
        <f t="shared" si="13"/>
        <v>39940.02431999999</v>
      </c>
    </row>
    <row r="57" spans="2:10">
      <c r="B57" s="50" t="s">
        <v>46</v>
      </c>
      <c r="C57" s="38">
        <v>4474</v>
      </c>
      <c r="D57" s="38">
        <v>5145</v>
      </c>
      <c r="E57" s="38">
        <v>5706</v>
      </c>
      <c r="F57" s="58">
        <f>E57*(1+F82)</f>
        <v>6276.6</v>
      </c>
      <c r="G57" s="58">
        <f t="shared" si="13"/>
        <v>7218.09</v>
      </c>
      <c r="H57" s="58">
        <f t="shared" si="13"/>
        <v>8300.8035</v>
      </c>
      <c r="I57" s="58">
        <f t="shared" si="13"/>
        <v>9545.9240249999984</v>
      </c>
      <c r="J57" s="58">
        <f t="shared" si="13"/>
        <v>10977.812628749998</v>
      </c>
    </row>
    <row r="58" spans="2:10">
      <c r="B58" s="17" t="s">
        <v>47</v>
      </c>
      <c r="C58" s="40">
        <f t="shared" ref="C58:J58" si="14">SUM(C52:C57)</f>
        <v>108249</v>
      </c>
      <c r="D58" s="40">
        <f t="shared" si="14"/>
        <v>156508</v>
      </c>
      <c r="E58" s="40">
        <f t="shared" si="14"/>
        <v>170910</v>
      </c>
      <c r="F58" s="57">
        <f t="shared" si="14"/>
        <v>179380.62161999999</v>
      </c>
      <c r="G58" s="57">
        <f t="shared" si="14"/>
        <v>188389.25178558749</v>
      </c>
      <c r="H58" s="57">
        <f t="shared" si="14"/>
        <v>196830.1915028145</v>
      </c>
      <c r="I58" s="57">
        <f t="shared" si="14"/>
        <v>206513.8037838008</v>
      </c>
      <c r="J58" s="57">
        <f t="shared" si="14"/>
        <v>217642.97977162283</v>
      </c>
    </row>
    <row r="59" spans="2:10">
      <c r="B59" s="59" t="s">
        <v>48</v>
      </c>
      <c r="D59" s="14">
        <f t="shared" ref="D59:J59" si="15">D58/C58-1</f>
        <v>0.44581474193756976</v>
      </c>
      <c r="E59" s="14">
        <f t="shared" si="15"/>
        <v>9.2020855163953197E-2</v>
      </c>
      <c r="F59" s="14">
        <f t="shared" si="15"/>
        <v>4.9561884149552426E-2</v>
      </c>
      <c r="G59" s="14">
        <f t="shared" si="15"/>
        <v>5.0220754528721434E-2</v>
      </c>
      <c r="H59" s="14">
        <f t="shared" si="15"/>
        <v>4.4805845541729505E-2</v>
      </c>
      <c r="I59" s="14">
        <f t="shared" si="15"/>
        <v>4.9197799418123411E-2</v>
      </c>
      <c r="J59" s="14">
        <f t="shared" si="15"/>
        <v>5.3890712310316946E-2</v>
      </c>
    </row>
    <row r="60" spans="2:10">
      <c r="B60" s="59"/>
      <c r="D60" s="14"/>
      <c r="E60" s="14"/>
      <c r="F60" s="14"/>
      <c r="G60" s="14"/>
      <c r="H60" s="14"/>
      <c r="I60" s="14"/>
      <c r="J60" s="14"/>
    </row>
    <row r="61" spans="2:10">
      <c r="B61" s="42" t="s">
        <v>49</v>
      </c>
    </row>
    <row r="62" spans="2:10">
      <c r="B62" s="50" t="s">
        <v>41</v>
      </c>
      <c r="C62" s="38">
        <v>72293</v>
      </c>
      <c r="D62" s="38">
        <v>125046</v>
      </c>
      <c r="E62" s="38">
        <v>150257</v>
      </c>
      <c r="F62" s="39">
        <f>E62*(1+F63)</f>
        <v>167987.32599999997</v>
      </c>
      <c r="G62" s="39">
        <f>F62*(1+G63)</f>
        <v>179746.43881999998</v>
      </c>
      <c r="H62" s="39">
        <f>G62*(1+H63)</f>
        <v>185138.83198459999</v>
      </c>
      <c r="I62" s="39">
        <f>H62*(1+I63)</f>
        <v>190692.99694413799</v>
      </c>
      <c r="J62" s="39">
        <f>I62*(1+J63)</f>
        <v>196413.78685246213</v>
      </c>
    </row>
    <row r="63" spans="2:10">
      <c r="B63" s="59" t="s">
        <v>48</v>
      </c>
      <c r="C63" s="38"/>
      <c r="D63" s="16">
        <f>D62/C62-1</f>
        <v>0.72971103702986451</v>
      </c>
      <c r="E63" s="16">
        <f>E62/D62-1</f>
        <v>0.20161380611934798</v>
      </c>
      <c r="F63" s="60">
        <v>0.11799999999999999</v>
      </c>
      <c r="G63" s="60">
        <v>7.0000000000000007E-2</v>
      </c>
      <c r="H63" s="60">
        <v>0.03</v>
      </c>
      <c r="I63" s="60">
        <v>0.03</v>
      </c>
      <c r="J63" s="60">
        <v>0.03</v>
      </c>
    </row>
    <row r="64" spans="2:10">
      <c r="B64" s="50" t="s">
        <v>42</v>
      </c>
      <c r="C64" s="38">
        <v>32394</v>
      </c>
      <c r="D64" s="38">
        <v>58310</v>
      </c>
      <c r="E64" s="38">
        <v>71033</v>
      </c>
      <c r="F64" s="39">
        <f>E64*(1+F65)</f>
        <v>71743.33</v>
      </c>
      <c r="G64" s="39">
        <f>F64*(1+G65)</f>
        <v>71743.33</v>
      </c>
      <c r="H64" s="39">
        <f>G64*(1+H65)</f>
        <v>71743.33</v>
      </c>
      <c r="I64" s="39">
        <f>H64*(1+I65)</f>
        <v>71743.33</v>
      </c>
      <c r="J64" s="39">
        <f>I64*(1+J65)</f>
        <v>71743.33</v>
      </c>
    </row>
    <row r="65" spans="2:10">
      <c r="B65" s="59" t="s">
        <v>48</v>
      </c>
      <c r="C65" s="38"/>
      <c r="D65" s="16">
        <f>D64/C64-1</f>
        <v>0.80002469593134529</v>
      </c>
      <c r="E65" s="16">
        <f>E64/D64-1</f>
        <v>0.21819584976847883</v>
      </c>
      <c r="F65" s="60">
        <v>0.01</v>
      </c>
      <c r="G65" s="60">
        <v>0</v>
      </c>
      <c r="H65" s="60">
        <v>0</v>
      </c>
      <c r="I65" s="60">
        <v>0</v>
      </c>
      <c r="J65" s="60">
        <v>0</v>
      </c>
    </row>
    <row r="66" spans="2:10">
      <c r="B66" s="50" t="s">
        <v>43</v>
      </c>
      <c r="C66" s="38">
        <v>16735</v>
      </c>
      <c r="D66" s="38">
        <v>18158</v>
      </c>
      <c r="E66" s="38">
        <v>16341</v>
      </c>
      <c r="F66" s="39">
        <f>E66*(1+F67)</f>
        <v>15932.475</v>
      </c>
      <c r="G66" s="39">
        <f>F66*(1+G67)</f>
        <v>15335.007187500001</v>
      </c>
      <c r="H66" s="39">
        <f>G66*(1+H67)</f>
        <v>15335.007187500001</v>
      </c>
      <c r="I66" s="39">
        <f>H66*(1+I67)</f>
        <v>15335.007187500001</v>
      </c>
      <c r="J66" s="39">
        <f>I66*(1+J67)</f>
        <v>15335.007187500001</v>
      </c>
    </row>
    <row r="67" spans="2:10">
      <c r="B67" s="59" t="s">
        <v>48</v>
      </c>
      <c r="C67" s="38"/>
      <c r="D67" s="16">
        <f>D66/C66-1</f>
        <v>8.5031371377352949E-2</v>
      </c>
      <c r="E67" s="16">
        <f>E66/D66-1</f>
        <v>-0.10006608657341121</v>
      </c>
      <c r="F67" s="60">
        <v>-2.5000000000000001E-2</v>
      </c>
      <c r="G67" s="60">
        <v>-3.7499999999999999E-2</v>
      </c>
      <c r="H67" s="60">
        <v>0</v>
      </c>
      <c r="I67" s="60">
        <v>0</v>
      </c>
      <c r="J67" s="60">
        <v>0</v>
      </c>
    </row>
    <row r="68" spans="2:10">
      <c r="B68" s="50" t="s">
        <v>44</v>
      </c>
      <c r="C68" s="38">
        <v>42620</v>
      </c>
      <c r="D68" s="38">
        <v>35165</v>
      </c>
      <c r="E68" s="38">
        <v>26379</v>
      </c>
      <c r="F68" s="39">
        <f>E68*(1+F69)</f>
        <v>19784.25</v>
      </c>
      <c r="G68" s="39">
        <f>F68*(1+G69)</f>
        <v>16816.612499999999</v>
      </c>
      <c r="H68" s="39">
        <f>G68*(1+H69)</f>
        <v>14294.120625</v>
      </c>
      <c r="I68" s="39">
        <f>H68*(1+I69)</f>
        <v>12150.00253125</v>
      </c>
      <c r="J68" s="39">
        <f>I68*(1+J69)</f>
        <v>10327.502151562499</v>
      </c>
    </row>
    <row r="69" spans="2:10">
      <c r="B69" s="59" t="s">
        <v>48</v>
      </c>
      <c r="D69" s="16">
        <f>D68/C68-1</f>
        <v>-0.17491787893007982</v>
      </c>
      <c r="E69" s="16">
        <f>E68/D68-1</f>
        <v>-0.24985070382482577</v>
      </c>
      <c r="F69" s="60">
        <v>-0.25</v>
      </c>
      <c r="G69" s="60">
        <v>-0.15</v>
      </c>
      <c r="H69" s="60">
        <v>-0.15</v>
      </c>
      <c r="I69" s="60">
        <v>-0.15</v>
      </c>
      <c r="J69" s="60">
        <v>-0.15</v>
      </c>
    </row>
    <row r="70" spans="2:10">
      <c r="B70" s="59"/>
    </row>
    <row r="71" spans="2:10">
      <c r="B71" s="42" t="s">
        <v>50</v>
      </c>
    </row>
    <row r="72" spans="2:10">
      <c r="B72" s="50" t="s">
        <v>41</v>
      </c>
      <c r="C72" s="61">
        <f>(((C52/C62)*1000))</f>
        <v>636.27183821393498</v>
      </c>
      <c r="D72" s="61">
        <f>(((D52/D62)*1000))</f>
        <v>629.30441597492131</v>
      </c>
      <c r="E72" s="61">
        <f>(((E52/E62)*1000))</f>
        <v>607.48584092588032</v>
      </c>
      <c r="F72" s="61">
        <f>E72*(1+F73)</f>
        <v>583.18640728884509</v>
      </c>
      <c r="G72" s="61">
        <f>F72*(1+G73)</f>
        <v>583.18640728884509</v>
      </c>
      <c r="H72" s="61">
        <f>G72*(1+H73)</f>
        <v>583.18640728884509</v>
      </c>
      <c r="I72" s="61">
        <f>H72*(1+I73)</f>
        <v>583.18640728884509</v>
      </c>
      <c r="J72" s="61">
        <f>I72*(1+J73)</f>
        <v>583.18640728884509</v>
      </c>
    </row>
    <row r="73" spans="2:10">
      <c r="B73" s="59" t="s">
        <v>48</v>
      </c>
      <c r="C73" s="62"/>
      <c r="D73" s="16">
        <f>D72/C72-1</f>
        <v>-1.0950386015153191E-2</v>
      </c>
      <c r="E73" s="16">
        <f>E72/D72-1</f>
        <v>-3.4670939048218052E-2</v>
      </c>
      <c r="F73" s="60">
        <v>-0.04</v>
      </c>
      <c r="G73" s="60">
        <v>0</v>
      </c>
      <c r="H73" s="60">
        <v>0</v>
      </c>
      <c r="I73" s="60">
        <v>0</v>
      </c>
      <c r="J73" s="60">
        <v>0</v>
      </c>
    </row>
    <row r="74" spans="2:10">
      <c r="B74" s="50" t="s">
        <v>42</v>
      </c>
      <c r="C74" s="61">
        <f>(((C53/C64)*1000))</f>
        <v>591.71451503364824</v>
      </c>
      <c r="D74" s="61">
        <f>(((D53/D64)*1000))</f>
        <v>530.69799348310755</v>
      </c>
      <c r="E74" s="61">
        <f>(((E53/E64)*1000))</f>
        <v>450.21328115101431</v>
      </c>
      <c r="F74" s="61">
        <f>E74*(1+F75)</f>
        <v>441.20901552799404</v>
      </c>
      <c r="G74" s="61">
        <f>F74*(1+G75)</f>
        <v>441.20901552799404</v>
      </c>
      <c r="H74" s="61">
        <f>G74*(1+H75)</f>
        <v>441.20901552799404</v>
      </c>
      <c r="I74" s="61">
        <f>H74*(1+I75)</f>
        <v>441.20901552799404</v>
      </c>
      <c r="J74" s="61">
        <f>I74*(1+J75)</f>
        <v>441.20901552799404</v>
      </c>
    </row>
    <row r="75" spans="2:10">
      <c r="B75" s="59" t="s">
        <v>48</v>
      </c>
      <c r="C75" s="62"/>
      <c r="D75" s="16">
        <f>D74/C74-1</f>
        <v>-0.10311817608035345</v>
      </c>
      <c r="E75" s="16">
        <f>E74/D74-1</f>
        <v>-0.15165821864871087</v>
      </c>
      <c r="F75" s="60">
        <v>-0.02</v>
      </c>
      <c r="G75" s="60">
        <v>0</v>
      </c>
      <c r="H75" s="60">
        <v>0</v>
      </c>
      <c r="I75" s="60">
        <v>0</v>
      </c>
      <c r="J75" s="60">
        <v>0</v>
      </c>
    </row>
    <row r="76" spans="2:10">
      <c r="B76" s="50" t="s">
        <v>43</v>
      </c>
      <c r="C76" s="61">
        <f>(((C54/C66)*1000))</f>
        <v>1301.6432626232445</v>
      </c>
      <c r="D76" s="61">
        <f>(((D54/D66)*1000))</f>
        <v>1278.8302676506223</v>
      </c>
      <c r="E76" s="61">
        <f>(((E54/E66)*1000))</f>
        <v>1314.6686249311547</v>
      </c>
      <c r="F76" s="61">
        <f>E76*(1+F77)</f>
        <v>1314.6686249311547</v>
      </c>
      <c r="G76" s="61">
        <f>F76*(1+G77)</f>
        <v>1229.2151643106297</v>
      </c>
      <c r="H76" s="61">
        <f>G76*(1+H77)</f>
        <v>1229.2151643106297</v>
      </c>
      <c r="I76" s="61">
        <f>H76*(1+I77)</f>
        <v>1229.2151643106297</v>
      </c>
      <c r="J76" s="61">
        <f>I76*(1+J77)</f>
        <v>1229.2151643106297</v>
      </c>
    </row>
    <row r="77" spans="2:10">
      <c r="B77" s="59" t="s">
        <v>48</v>
      </c>
      <c r="C77" s="62"/>
      <c r="D77" s="16">
        <f>D76/C76-1</f>
        <v>-1.7526303579251334E-2</v>
      </c>
      <c r="E77" s="16">
        <f>E76/D76-1</f>
        <v>2.8024326751643125E-2</v>
      </c>
      <c r="F77" s="60">
        <v>0</v>
      </c>
      <c r="G77" s="60">
        <v>-6.5000000000000002E-2</v>
      </c>
      <c r="H77" s="60">
        <v>0</v>
      </c>
      <c r="I77" s="60">
        <v>0</v>
      </c>
      <c r="J77" s="60">
        <v>0</v>
      </c>
    </row>
    <row r="78" spans="2:10">
      <c r="B78" s="50" t="s">
        <v>44</v>
      </c>
      <c r="C78" s="61">
        <f>(((C55/C68)*1000))</f>
        <v>174.87095260441106</v>
      </c>
      <c r="D78" s="61">
        <f>(((D55/D68)*1000))</f>
        <v>159.67581401962178</v>
      </c>
      <c r="E78" s="61">
        <f>(((E55/E68)*1000))</f>
        <v>167.21634633610068</v>
      </c>
      <c r="F78" s="61">
        <f>E78*(1+F79)</f>
        <v>165.54418287273967</v>
      </c>
      <c r="G78" s="61">
        <f>F78*(1+G79)</f>
        <v>162.23329921528486</v>
      </c>
      <c r="H78" s="61">
        <f>G78*(1+H79)</f>
        <v>162.23329921528486</v>
      </c>
      <c r="I78" s="61">
        <f>H78*(1+I79)</f>
        <v>162.23329921528486</v>
      </c>
      <c r="J78" s="61">
        <f>I78*(1+J79)</f>
        <v>162.23329921528486</v>
      </c>
    </row>
    <row r="79" spans="2:10">
      <c r="B79" s="59" t="s">
        <v>48</v>
      </c>
      <c r="D79" s="16">
        <f>D78/C78-1</f>
        <v>-8.6893439753618518E-2</v>
      </c>
      <c r="E79" s="16">
        <f>E78/D78-1</f>
        <v>4.7224010491359047E-2</v>
      </c>
      <c r="F79" s="60">
        <v>-0.01</v>
      </c>
      <c r="G79" s="60">
        <v>-0.02</v>
      </c>
      <c r="H79" s="60">
        <v>0</v>
      </c>
      <c r="I79" s="60">
        <v>0</v>
      </c>
      <c r="J79" s="60">
        <v>0</v>
      </c>
    </row>
    <row r="80" spans="2:10">
      <c r="C80" s="14"/>
    </row>
    <row r="81" spans="1:10">
      <c r="B81" s="17" t="s">
        <v>45</v>
      </c>
      <c r="C81" s="14"/>
      <c r="D81" s="14">
        <f>D56/C56-1</f>
        <v>0.37522671503254035</v>
      </c>
      <c r="E81" s="14">
        <f>E56/D56-1</f>
        <v>0.24522885958107055</v>
      </c>
      <c r="F81" s="63">
        <v>0.2</v>
      </c>
      <c r="G81" s="63">
        <v>0.2</v>
      </c>
      <c r="H81" s="63">
        <v>0.2</v>
      </c>
      <c r="I81" s="63">
        <v>0.2</v>
      </c>
      <c r="J81" s="63">
        <v>0.2</v>
      </c>
    </row>
    <row r="82" spans="1:10">
      <c r="B82" s="17" t="s">
        <v>46</v>
      </c>
      <c r="C82" s="14"/>
      <c r="D82" s="14">
        <f>D57/C57-1</f>
        <v>0.14997764863656693</v>
      </c>
      <c r="E82" s="14">
        <f>E57/D57-1</f>
        <v>0.10903790087463561</v>
      </c>
      <c r="F82" s="63">
        <v>0.1</v>
      </c>
      <c r="G82" s="63">
        <v>0.15</v>
      </c>
      <c r="H82" s="63">
        <v>0.15</v>
      </c>
      <c r="I82" s="63">
        <v>0.15</v>
      </c>
      <c r="J82" s="63">
        <v>0.15</v>
      </c>
    </row>
    <row r="83" spans="1:10">
      <c r="C83" s="53"/>
      <c r="D83" s="53"/>
      <c r="E83" s="53"/>
    </row>
    <row r="84" spans="1:10">
      <c r="A84" s="17" t="s">
        <v>210</v>
      </c>
      <c r="B84" s="22" t="s">
        <v>51</v>
      </c>
      <c r="C84" s="29"/>
      <c r="D84" s="29"/>
      <c r="E84" s="29"/>
      <c r="F84" s="24"/>
      <c r="G84" s="24"/>
      <c r="H84" s="24"/>
      <c r="I84" s="24"/>
      <c r="J84" s="24"/>
    </row>
    <row r="85" spans="1:10">
      <c r="B85" s="64" t="str">
        <f>B13</f>
        <v xml:space="preserve">Fiscal year  </v>
      </c>
      <c r="C85" s="54"/>
      <c r="D85" s="54">
        <f t="shared" ref="D85:J86" si="16">D13</f>
        <v>2015</v>
      </c>
      <c r="E85" s="54">
        <f t="shared" si="16"/>
        <v>2016</v>
      </c>
      <c r="F85" s="54">
        <f t="shared" si="16"/>
        <v>2017</v>
      </c>
      <c r="G85" s="54">
        <f t="shared" si="16"/>
        <v>2018</v>
      </c>
      <c r="H85" s="54">
        <f t="shared" si="16"/>
        <v>2019</v>
      </c>
      <c r="I85" s="54">
        <f t="shared" si="16"/>
        <v>2020</v>
      </c>
      <c r="J85" s="54">
        <f t="shared" si="16"/>
        <v>2021</v>
      </c>
    </row>
    <row r="86" spans="1:10">
      <c r="B86" s="24" t="str">
        <f>B14</f>
        <v>Fiscal year end date</v>
      </c>
      <c r="C86" s="56"/>
      <c r="D86" s="56">
        <f t="shared" si="16"/>
        <v>41181</v>
      </c>
      <c r="E86" s="56">
        <f t="shared" si="16"/>
        <v>42735</v>
      </c>
      <c r="F86" s="56">
        <f t="shared" si="16"/>
        <v>43100</v>
      </c>
      <c r="G86" s="56">
        <f t="shared" si="16"/>
        <v>43465</v>
      </c>
      <c r="H86" s="56">
        <f t="shared" si="16"/>
        <v>43830</v>
      </c>
      <c r="I86" s="56">
        <f t="shared" si="16"/>
        <v>44196</v>
      </c>
      <c r="J86" s="56">
        <f t="shared" si="16"/>
        <v>44561</v>
      </c>
    </row>
    <row r="87" spans="1:10">
      <c r="B87" s="17" t="s">
        <v>52</v>
      </c>
      <c r="C87" s="65"/>
      <c r="D87" s="237">
        <v>129.852</v>
      </c>
      <c r="E87" s="237">
        <v>250.46999999999997</v>
      </c>
      <c r="F87" s="37">
        <f>E87+F290</f>
        <v>4999.9999999999982</v>
      </c>
      <c r="G87" s="37">
        <f>F87+G290</f>
        <v>4999.9999999999982</v>
      </c>
      <c r="H87" s="37">
        <f>G87+H290</f>
        <v>4999.9999999999982</v>
      </c>
      <c r="I87" s="37">
        <f>H87+I290</f>
        <v>4999.9999999999982</v>
      </c>
      <c r="J87" s="37">
        <f>I87+J290</f>
        <v>4999.9999999999982</v>
      </c>
    </row>
    <row r="88" spans="1:10">
      <c r="B88" s="20" t="s">
        <v>53</v>
      </c>
      <c r="C88" s="66"/>
      <c r="D88" s="238">
        <v>433.63800000000003</v>
      </c>
      <c r="E88" s="238">
        <v>622.68500000000006</v>
      </c>
      <c r="F88" s="68">
        <f>F126</f>
        <v>403.51863937499996</v>
      </c>
      <c r="G88" s="68">
        <f>G126</f>
        <v>462.05574332699996</v>
      </c>
      <c r="H88" s="68">
        <f>H126</f>
        <v>522.12298995950982</v>
      </c>
      <c r="I88" s="68">
        <f>I126</f>
        <v>589.99897865424612</v>
      </c>
      <c r="J88" s="68">
        <f>J126</f>
        <v>666.69884587929812</v>
      </c>
    </row>
    <row r="89" spans="1:10">
      <c r="B89" s="20" t="s">
        <v>54</v>
      </c>
      <c r="C89" s="66"/>
      <c r="D89" s="238">
        <v>783.03100000000006</v>
      </c>
      <c r="E89" s="238">
        <v>917.49099999999999</v>
      </c>
      <c r="F89" s="68">
        <f>F134</f>
        <v>33.144821333333333</v>
      </c>
      <c r="G89" s="68">
        <f>G134</f>
        <v>44.746450932719995</v>
      </c>
      <c r="H89" s="68">
        <f>H134</f>
        <v>50.563489553973589</v>
      </c>
      <c r="I89" s="68">
        <f>I134</f>
        <v>57.136743195990142</v>
      </c>
      <c r="J89" s="68">
        <f>J134</f>
        <v>64.56451981146887</v>
      </c>
    </row>
    <row r="90" spans="1:10">
      <c r="B90" s="36" t="s">
        <v>55</v>
      </c>
      <c r="C90" s="66"/>
      <c r="D90" s="238">
        <v>92.157000000000011</v>
      </c>
      <c r="E90" s="238">
        <v>136.86200000000002</v>
      </c>
      <c r="F90" s="68">
        <f>F192</f>
        <v>136.86200000000002</v>
      </c>
      <c r="G90" s="68">
        <f>G192</f>
        <v>136.86200000000002</v>
      </c>
      <c r="H90" s="68">
        <f>H192</f>
        <v>136.86200000000002</v>
      </c>
      <c r="I90" s="68">
        <f>I192</f>
        <v>136.86200000000002</v>
      </c>
      <c r="J90" s="68">
        <f>J192</f>
        <v>136.86200000000002</v>
      </c>
    </row>
    <row r="91" spans="1:10">
      <c r="B91" s="20" t="s">
        <v>56</v>
      </c>
      <c r="C91" s="66"/>
      <c r="D91" s="238">
        <v>152.24200000000002</v>
      </c>
      <c r="E91" s="238">
        <v>174.50700000000001</v>
      </c>
      <c r="F91" s="68">
        <f>F187</f>
        <v>174.50700000000001</v>
      </c>
      <c r="G91" s="68">
        <f>G187</f>
        <v>174.50700000000001</v>
      </c>
      <c r="H91" s="68">
        <f>H187</f>
        <v>174.50700000000001</v>
      </c>
      <c r="I91" s="68">
        <f>I187</f>
        <v>174.50700000000001</v>
      </c>
      <c r="J91" s="68">
        <f>J187</f>
        <v>174.50700000000001</v>
      </c>
    </row>
    <row r="92" spans="1:10">
      <c r="B92" s="36" t="s">
        <v>57</v>
      </c>
      <c r="C92" s="66"/>
      <c r="D92" s="238">
        <v>538.53099999999995</v>
      </c>
      <c r="E92" s="238">
        <v>804.21100000000001</v>
      </c>
      <c r="F92" s="68">
        <f>F173</f>
        <v>890.2949764</v>
      </c>
      <c r="G92" s="68">
        <f>G173</f>
        <v>1025.4462813231476</v>
      </c>
      <c r="H92" s="68">
        <f>H173</f>
        <v>1178.167255886304</v>
      </c>
      <c r="I92" s="68">
        <f>I173</f>
        <v>1350.741957142671</v>
      </c>
      <c r="J92" s="68">
        <f>J173</f>
        <v>1545.7513695623657</v>
      </c>
    </row>
    <row r="93" spans="1:10">
      <c r="B93" s="36" t="s">
        <v>58</v>
      </c>
      <c r="C93" s="66"/>
      <c r="D93" s="239">
        <f>(((75686+585181)/10)/10)/10</f>
        <v>660.86699999999996</v>
      </c>
      <c r="E93" s="61">
        <f>(((563591+64310)/10)/10)/10</f>
        <v>627.90100000000007</v>
      </c>
      <c r="F93" s="68">
        <f>F161</f>
        <v>-389.13300000000004</v>
      </c>
      <c r="G93" s="68">
        <f>G161</f>
        <v>-1374.133</v>
      </c>
      <c r="H93" s="68">
        <f>H161</f>
        <v>-2207.1329999999998</v>
      </c>
      <c r="I93" s="68">
        <f>I161</f>
        <v>-2813.1329999999998</v>
      </c>
      <c r="J93" s="68">
        <f>J161</f>
        <v>-3247.1329999999998</v>
      </c>
    </row>
    <row r="94" spans="1:10">
      <c r="B94" s="69" t="s">
        <v>59</v>
      </c>
      <c r="C94" s="70"/>
      <c r="D94" s="238">
        <v>75.652000000000001</v>
      </c>
      <c r="E94" s="238">
        <v>110.20399999999999</v>
      </c>
      <c r="F94" s="68">
        <f>F197</f>
        <v>110.20399999999999</v>
      </c>
      <c r="G94" s="68">
        <f>G197</f>
        <v>110.20399999999999</v>
      </c>
      <c r="H94" s="68">
        <f>H197</f>
        <v>110.20399999999999</v>
      </c>
      <c r="I94" s="68">
        <f>I197</f>
        <v>110.20399999999999</v>
      </c>
      <c r="J94" s="68">
        <f>J197</f>
        <v>110.20399999999999</v>
      </c>
    </row>
    <row r="95" spans="1:10">
      <c r="B95" s="71" t="s">
        <v>60</v>
      </c>
      <c r="C95" s="72"/>
      <c r="D95" s="73">
        <f>SUM(D87:D94)</f>
        <v>2865.9700000000003</v>
      </c>
      <c r="E95" s="73">
        <f>SUM(E87:E94)</f>
        <v>3644.3309999999997</v>
      </c>
      <c r="F95" s="73">
        <f t="shared" ref="D95:J95" si="17">SUM(F87:F94)</f>
        <v>6359.3984371083316</v>
      </c>
      <c r="G95" s="73">
        <f t="shared" si="17"/>
        <v>5579.6884755828651</v>
      </c>
      <c r="H95" s="73">
        <f t="shared" si="17"/>
        <v>4965.293735399785</v>
      </c>
      <c r="I95" s="73">
        <f t="shared" si="17"/>
        <v>4606.3176789929048</v>
      </c>
      <c r="J95" s="73">
        <f t="shared" si="17"/>
        <v>4451.4547352531308</v>
      </c>
    </row>
    <row r="96" spans="1:10">
      <c r="B96" s="74"/>
      <c r="C96" s="75"/>
      <c r="D96" s="76"/>
      <c r="E96" s="76"/>
    </row>
    <row r="97" spans="2:10">
      <c r="B97" s="74" t="s">
        <v>61</v>
      </c>
      <c r="C97" s="77"/>
      <c r="D97" s="67">
        <v>200.45999999999998</v>
      </c>
      <c r="E97" s="67">
        <v>409.67899999999997</v>
      </c>
      <c r="F97" s="58">
        <f>F142</f>
        <v>420.52492066666667</v>
      </c>
      <c r="G97" s="58">
        <f>G142</f>
        <v>578.90720894206481</v>
      </c>
      <c r="H97" s="58">
        <f>H142</f>
        <v>654.16514610453328</v>
      </c>
      <c r="I97" s="58">
        <f>I142</f>
        <v>739.20661509812248</v>
      </c>
      <c r="J97" s="58">
        <f>J142</f>
        <v>835.30347506087844</v>
      </c>
    </row>
    <row r="98" spans="2:10">
      <c r="B98" s="74" t="s">
        <v>62</v>
      </c>
      <c r="C98" s="77"/>
      <c r="D98" s="67">
        <v>192.935</v>
      </c>
      <c r="E98" s="67">
        <v>208.75</v>
      </c>
      <c r="F98" s="58">
        <f>F150</f>
        <v>715.57305382499999</v>
      </c>
      <c r="G98" s="58">
        <f>G150</f>
        <v>772.11946582274993</v>
      </c>
      <c r="H98" s="58">
        <f>H150</f>
        <v>831.27476033027233</v>
      </c>
      <c r="I98" s="58">
        <f>I150</f>
        <v>900.524756893323</v>
      </c>
      <c r="J98" s="58">
        <f>J150</f>
        <v>964.95885587793146</v>
      </c>
    </row>
    <row r="99" spans="2:10">
      <c r="B99" s="74" t="s">
        <v>63</v>
      </c>
      <c r="C99" s="77"/>
      <c r="D99" s="67"/>
      <c r="E99" s="67"/>
      <c r="F99" s="78">
        <f>F299</f>
        <v>24149.315502010832</v>
      </c>
      <c r="G99" s="78">
        <f>G299</f>
        <v>45129.569541168792</v>
      </c>
      <c r="H99" s="78">
        <f>H299</f>
        <v>68500.243617950997</v>
      </c>
      <c r="I99" s="78">
        <f>I299</f>
        <v>89355.496580955849</v>
      </c>
      <c r="J99" s="78">
        <f>J299</f>
        <v>116209.54659629347</v>
      </c>
    </row>
    <row r="100" spans="2:10">
      <c r="B100" s="74" t="s">
        <v>64</v>
      </c>
      <c r="C100" s="72"/>
      <c r="D100" s="67">
        <f>(((42000+624070)/10)/10)/10</f>
        <v>666.06999999999994</v>
      </c>
      <c r="E100" s="67">
        <f>(((27000+790388)/10)/10)/10</f>
        <v>817.38800000000003</v>
      </c>
      <c r="F100" s="58">
        <f>F212</f>
        <v>817.38800000000003</v>
      </c>
      <c r="G100" s="58">
        <f>G212</f>
        <v>817.38800000000003</v>
      </c>
      <c r="H100" s="58">
        <f>H212</f>
        <v>-1682.6120000000001</v>
      </c>
      <c r="I100" s="58">
        <f>I212</f>
        <v>-1682.6120000000001</v>
      </c>
      <c r="J100" s="58">
        <f>J212</f>
        <v>-7682.6120000000001</v>
      </c>
    </row>
    <row r="101" spans="2:10">
      <c r="B101" s="69" t="s">
        <v>65</v>
      </c>
      <c r="C101" s="72"/>
      <c r="D101" s="67">
        <f>(((43415+94868)/10)/10)/10</f>
        <v>138.28299999999999</v>
      </c>
      <c r="E101" s="67">
        <f>(((40387+137227)/10)/10)/10</f>
        <v>177.614</v>
      </c>
      <c r="F101" s="58">
        <f>F202</f>
        <v>3177.614</v>
      </c>
      <c r="G101" s="58">
        <f>G202</f>
        <v>6177.6139999999996</v>
      </c>
      <c r="H101" s="58">
        <f>H202</f>
        <v>9177.6139999999996</v>
      </c>
      <c r="I101" s="58">
        <f>I202</f>
        <v>12177.614</v>
      </c>
      <c r="J101" s="58">
        <f>J202</f>
        <v>15177.614</v>
      </c>
    </row>
    <row r="102" spans="2:10">
      <c r="B102" s="71" t="s">
        <v>66</v>
      </c>
      <c r="C102" s="72"/>
      <c r="D102" s="79">
        <f>SUM(D97:D101)</f>
        <v>1197.7479999999998</v>
      </c>
      <c r="E102" s="79">
        <f>SUM(E97:E101)</f>
        <v>1613.431</v>
      </c>
      <c r="F102" s="79">
        <f t="shared" ref="D102:J102" si="18">SUM(F97:F101)</f>
        <v>29280.415476502498</v>
      </c>
      <c r="G102" s="79">
        <f>SUM(G97:G101)</f>
        <v>53475.598215933605</v>
      </c>
      <c r="H102" s="79">
        <f t="shared" si="18"/>
        <v>77480.685524385815</v>
      </c>
      <c r="I102" s="79">
        <f t="shared" si="18"/>
        <v>101490.22995294729</v>
      </c>
      <c r="J102" s="79">
        <f t="shared" si="18"/>
        <v>125504.81092723229</v>
      </c>
    </row>
    <row r="103" spans="2:10">
      <c r="B103" s="71"/>
      <c r="C103" s="72"/>
      <c r="D103" s="79"/>
      <c r="E103" s="79"/>
    </row>
    <row r="104" spans="2:10">
      <c r="B104" s="74" t="s">
        <v>67</v>
      </c>
      <c r="C104" s="77"/>
      <c r="D104" s="67">
        <f>(((61+11+72+636558)/10)/10)/10</f>
        <v>636.702</v>
      </c>
      <c r="E104" s="67">
        <f>(((61+11+73+823484)/10)/10)/10</f>
        <v>823.62899999999991</v>
      </c>
      <c r="F104" s="58">
        <f>F228</f>
        <v>909.67451586666652</v>
      </c>
      <c r="G104" s="58">
        <f>G228</f>
        <v>1005.1035913439135</v>
      </c>
      <c r="H104" s="58">
        <f>H228</f>
        <v>1111.38309995804</v>
      </c>
      <c r="I104" s="58">
        <f>I228</f>
        <v>1231.4789446920031</v>
      </c>
      <c r="J104" s="58">
        <f>J228</f>
        <v>1367.1872492413813</v>
      </c>
    </row>
    <row r="105" spans="2:10">
      <c r="B105" s="74" t="s">
        <v>68</v>
      </c>
      <c r="C105" s="77"/>
      <c r="D105" s="67"/>
      <c r="E105" s="67"/>
      <c r="F105" s="39">
        <f>F237</f>
        <v>-23968</v>
      </c>
      <c r="G105" s="39">
        <f>G237</f>
        <v>-47936</v>
      </c>
      <c r="H105" s="39">
        <f>H237</f>
        <v>-71904</v>
      </c>
      <c r="I105" s="39">
        <f>I237</f>
        <v>-95872</v>
      </c>
      <c r="J105" s="39">
        <f>J237</f>
        <v>-119840</v>
      </c>
    </row>
    <row r="106" spans="2:10">
      <c r="B106" s="74" t="s">
        <v>69</v>
      </c>
      <c r="C106" s="70"/>
      <c r="D106" s="67">
        <v>1076.5329999999999</v>
      </c>
      <c r="E106" s="67">
        <v>1259.414</v>
      </c>
      <c r="F106" s="58">
        <f>F249</f>
        <v>1389.4138945891664</v>
      </c>
      <c r="G106" s="58">
        <f>G249</f>
        <v>1483.4826207274448</v>
      </c>
      <c r="H106" s="58">
        <f>H249</f>
        <v>1797.5923313845133</v>
      </c>
      <c r="I106" s="58">
        <f>I249</f>
        <v>2152.9005344165012</v>
      </c>
      <c r="J106" s="58">
        <f>J249</f>
        <v>2554.7630338321469</v>
      </c>
    </row>
    <row r="107" spans="2:10">
      <c r="B107" s="74" t="s">
        <v>70</v>
      </c>
      <c r="C107" s="70"/>
      <c r="D107" s="67">
        <v>-45.012999999999998</v>
      </c>
      <c r="E107" s="67">
        <v>-52.143000000000008</v>
      </c>
      <c r="F107" s="58">
        <f>F258</f>
        <v>-52.143000000000008</v>
      </c>
      <c r="G107" s="58">
        <f>G258</f>
        <v>-52.143000000000008</v>
      </c>
      <c r="H107" s="58">
        <f>H258</f>
        <v>-52.143000000000008</v>
      </c>
      <c r="I107" s="58">
        <f>I258</f>
        <v>-52.143000000000008</v>
      </c>
      <c r="J107" s="58">
        <f>J258</f>
        <v>-52.143000000000008</v>
      </c>
    </row>
    <row r="108" spans="2:10">
      <c r="B108" s="71" t="s">
        <v>71</v>
      </c>
      <c r="C108" s="80"/>
      <c r="D108" s="81">
        <f>SUM(D104:D107)</f>
        <v>1668.222</v>
      </c>
      <c r="E108" s="81">
        <f>SUM(E104:E107)</f>
        <v>2030.8999999999996</v>
      </c>
      <c r="F108" s="81">
        <f t="shared" ref="D108:J108" si="19">SUM(F104:F107)</f>
        <v>-21721.054589544165</v>
      </c>
      <c r="G108" s="81">
        <f t="shared" si="19"/>
        <v>-45499.556787928639</v>
      </c>
      <c r="H108" s="81">
        <f t="shared" si="19"/>
        <v>-69047.167568657445</v>
      </c>
      <c r="I108" s="81">
        <f t="shared" si="19"/>
        <v>-92539.763520891487</v>
      </c>
      <c r="J108" s="81">
        <f t="shared" si="19"/>
        <v>-115970.19271692647</v>
      </c>
    </row>
    <row r="109" spans="2:10">
      <c r="B109" s="20"/>
      <c r="C109" s="82"/>
      <c r="D109" s="83"/>
      <c r="E109" s="83"/>
    </row>
    <row r="110" spans="2:10">
      <c r="B110" s="30" t="s">
        <v>72</v>
      </c>
      <c r="C110" s="84"/>
      <c r="D110" s="85">
        <f>ROUND(D95-D102-D108,3)</f>
        <v>0</v>
      </c>
      <c r="E110" s="85">
        <f t="shared" ref="E110:J110" si="20">ROUND(E95-E102-E108,3)</f>
        <v>0</v>
      </c>
      <c r="F110" s="85">
        <f t="shared" si="20"/>
        <v>-1199.962</v>
      </c>
      <c r="G110" s="85">
        <f t="shared" si="20"/>
        <v>-2396.3530000000001</v>
      </c>
      <c r="H110" s="85">
        <f t="shared" si="20"/>
        <v>-3468.2240000000002</v>
      </c>
      <c r="I110" s="85">
        <f t="shared" si="20"/>
        <v>-4344.1490000000003</v>
      </c>
      <c r="J110" s="85">
        <f t="shared" si="20"/>
        <v>-5083.1629999999996</v>
      </c>
    </row>
    <row r="111" spans="2:10">
      <c r="C111" s="14"/>
      <c r="D111" s="14"/>
      <c r="E111" s="14"/>
    </row>
    <row r="112" spans="2:10">
      <c r="B112" s="42" t="s">
        <v>73</v>
      </c>
      <c r="C112" s="14"/>
      <c r="D112" s="14"/>
      <c r="E112" s="14"/>
    </row>
    <row r="113" spans="1:10">
      <c r="B113" s="17" t="s">
        <v>74</v>
      </c>
      <c r="C113" s="14"/>
      <c r="D113" s="58">
        <f>D100+D99-D87</f>
        <v>536.21799999999996</v>
      </c>
      <c r="E113" s="58">
        <f t="shared" ref="E113:J113" si="21">E100+E99-E87</f>
        <v>566.91800000000012</v>
      </c>
      <c r="F113" s="58">
        <f t="shared" si="21"/>
        <v>19966.703502010831</v>
      </c>
      <c r="G113" s="58">
        <f t="shared" si="21"/>
        <v>40946.957541168791</v>
      </c>
      <c r="H113" s="58">
        <f t="shared" si="21"/>
        <v>61817.631617951003</v>
      </c>
      <c r="I113" s="58">
        <f t="shared" si="21"/>
        <v>82672.884580955855</v>
      </c>
      <c r="J113" s="58">
        <f t="shared" si="21"/>
        <v>103526.93459629347</v>
      </c>
    </row>
    <row r="114" spans="1:10">
      <c r="B114" s="17" t="s">
        <v>75</v>
      </c>
      <c r="C114" s="14"/>
      <c r="D114" s="86">
        <f>D16/SUM(D95)</f>
        <v>1.3828871202420121</v>
      </c>
      <c r="E114" s="86">
        <f>E16/SUM(E95)</f>
        <v>1.3240660631539782</v>
      </c>
      <c r="F114" s="86">
        <f t="shared" ref="F114:J114" si="22">F16/F95</f>
        <v>0.84603104809492657</v>
      </c>
      <c r="G114" s="86">
        <f t="shared" si="22"/>
        <v>1.0896093679521963</v>
      </c>
      <c r="H114" s="86">
        <f t="shared" si="22"/>
        <v>1.3836118682350926</v>
      </c>
      <c r="I114" s="86">
        <f t="shared" si="22"/>
        <v>1.6853254588541982</v>
      </c>
      <c r="J114" s="86">
        <f t="shared" si="22"/>
        <v>1.9706711079822055</v>
      </c>
    </row>
    <row r="115" spans="1:10">
      <c r="B115" s="17" t="s">
        <v>76</v>
      </c>
      <c r="C115" s="14"/>
      <c r="D115" s="14">
        <f>D27/D16</f>
        <v>0.10001960481041984</v>
      </c>
      <c r="E115" s="14">
        <f>E27/E16</f>
        <v>0.10660841164395847</v>
      </c>
      <c r="F115" s="14">
        <f t="shared" ref="F115:J115" si="23">F27/F16</f>
        <v>3.4031595795722659E-2</v>
      </c>
      <c r="G115" s="14">
        <f t="shared" si="23"/>
        <v>2.0225676060199264E-2</v>
      </c>
      <c r="H115" s="14">
        <f t="shared" si="23"/>
        <v>5.9766896308559574E-2</v>
      </c>
      <c r="I115" s="14">
        <f t="shared" si="23"/>
        <v>5.982822682173413E-2</v>
      </c>
      <c r="J115" s="14">
        <f t="shared" si="23"/>
        <v>5.9882501612154096E-2</v>
      </c>
    </row>
    <row r="116" spans="1:10">
      <c r="B116" s="17" t="s">
        <v>77</v>
      </c>
      <c r="C116" s="14"/>
      <c r="D116" s="14">
        <f>D27/D95</f>
        <v>0.13831582326402561</v>
      </c>
      <c r="E116" s="14">
        <f>E27/E95</f>
        <v>0.1411565799045148</v>
      </c>
      <c r="F116" s="14">
        <f t="shared" ref="F116:J116" si="24">F27/F95</f>
        <v>2.879178665939814E-2</v>
      </c>
      <c r="G116" s="14">
        <f t="shared" si="24"/>
        <v>2.2038086108359591E-2</v>
      </c>
      <c r="H116" s="14">
        <f t="shared" si="24"/>
        <v>8.2694187060099178E-2</v>
      </c>
      <c r="I116" s="14">
        <f t="shared" si="24"/>
        <v>0.10083003382077213</v>
      </c>
      <c r="J116" s="14">
        <f t="shared" si="24"/>
        <v>0.11800871580076992</v>
      </c>
    </row>
    <row r="117" spans="1:10">
      <c r="B117" s="17" t="s">
        <v>78</v>
      </c>
      <c r="C117" s="14"/>
      <c r="D117" s="14">
        <f>D27/D108</f>
        <v>0.23762364961018348</v>
      </c>
      <c r="E117" s="14">
        <f>E27/E108</f>
        <v>0.25329720813432488</v>
      </c>
      <c r="F117" s="14">
        <f t="shared" ref="F117:J117" si="25">F27/F108</f>
        <v>-8.4295374484934498E-3</v>
      </c>
      <c r="G117" s="14">
        <f t="shared" si="25"/>
        <v>-2.7025681954629612E-3</v>
      </c>
      <c r="H117" s="14">
        <f t="shared" si="25"/>
        <v>-5.9466730268870919E-3</v>
      </c>
      <c r="I117" s="14">
        <f t="shared" si="25"/>
        <v>-5.0189794061578858E-3</v>
      </c>
      <c r="J117" s="14">
        <f t="shared" si="25"/>
        <v>-4.5297023695969624E-3</v>
      </c>
    </row>
    <row r="119" spans="1:10">
      <c r="A119" s="17" t="s">
        <v>210</v>
      </c>
      <c r="B119" s="22" t="s">
        <v>79</v>
      </c>
      <c r="C119" s="29"/>
      <c r="D119" s="29"/>
      <c r="E119" s="29"/>
      <c r="F119" s="24"/>
      <c r="G119" s="24"/>
      <c r="H119" s="24"/>
      <c r="I119" s="24"/>
      <c r="J119" s="24"/>
    </row>
    <row r="120" spans="1:10">
      <c r="B120" s="64" t="str">
        <f>B13</f>
        <v xml:space="preserve">Fiscal year  </v>
      </c>
      <c r="C120" s="54"/>
      <c r="D120" s="54">
        <f t="shared" ref="D120:J121" si="26">D13</f>
        <v>2015</v>
      </c>
      <c r="E120" s="54">
        <f t="shared" si="26"/>
        <v>2016</v>
      </c>
      <c r="F120" s="55">
        <f t="shared" si="26"/>
        <v>2017</v>
      </c>
      <c r="G120" s="55">
        <f t="shared" si="26"/>
        <v>2018</v>
      </c>
      <c r="H120" s="55">
        <f t="shared" si="26"/>
        <v>2019</v>
      </c>
      <c r="I120" s="55">
        <f t="shared" si="26"/>
        <v>2020</v>
      </c>
      <c r="J120" s="55">
        <f t="shared" si="26"/>
        <v>2021</v>
      </c>
    </row>
    <row r="121" spans="1:10">
      <c r="B121" s="24" t="str">
        <f>B14</f>
        <v>Fiscal year end date</v>
      </c>
      <c r="C121" s="56"/>
      <c r="D121" s="56">
        <f t="shared" si="26"/>
        <v>41181</v>
      </c>
      <c r="E121" s="56">
        <f t="shared" si="26"/>
        <v>42735</v>
      </c>
      <c r="F121" s="56">
        <f t="shared" si="26"/>
        <v>43100</v>
      </c>
      <c r="G121" s="56">
        <f t="shared" si="26"/>
        <v>43465</v>
      </c>
      <c r="H121" s="56">
        <f t="shared" si="26"/>
        <v>43830</v>
      </c>
      <c r="I121" s="56">
        <f t="shared" si="26"/>
        <v>44196</v>
      </c>
      <c r="J121" s="56">
        <f t="shared" si="26"/>
        <v>44561</v>
      </c>
    </row>
    <row r="122" spans="1:10">
      <c r="B122" s="20"/>
      <c r="C122" s="87"/>
      <c r="D122" s="88"/>
      <c r="E122" s="88"/>
    </row>
    <row r="123" spans="1:10">
      <c r="B123" s="34" t="s">
        <v>53</v>
      </c>
      <c r="C123" s="34"/>
      <c r="D123" s="34"/>
      <c r="E123" s="34"/>
    </row>
    <row r="124" spans="1:10">
      <c r="B124" s="45" t="s">
        <v>80</v>
      </c>
      <c r="C124" s="20"/>
      <c r="D124" s="20"/>
      <c r="E124" s="20"/>
      <c r="F124" s="58">
        <f>E126</f>
        <v>622.68500000000006</v>
      </c>
      <c r="G124" s="58">
        <f>F126</f>
        <v>403.51863937499996</v>
      </c>
      <c r="H124" s="58">
        <f>G126</f>
        <v>462.05574332699996</v>
      </c>
      <c r="I124" s="58">
        <f>H126</f>
        <v>522.12298995950982</v>
      </c>
      <c r="J124" s="58">
        <f>I126</f>
        <v>589.99897865424612</v>
      </c>
    </row>
    <row r="125" spans="1:10">
      <c r="B125" s="89" t="s">
        <v>81</v>
      </c>
      <c r="C125" s="20"/>
      <c r="D125" s="20"/>
      <c r="E125" s="20"/>
      <c r="F125" s="58">
        <f>F126-F124</f>
        <v>-219.1663606250001</v>
      </c>
      <c r="G125" s="58">
        <f>G126-G124</f>
        <v>58.537103951999995</v>
      </c>
      <c r="H125" s="58">
        <f>H126-H124</f>
        <v>60.067246632509864</v>
      </c>
      <c r="I125" s="58">
        <f>I126-I124</f>
        <v>67.875988694736293</v>
      </c>
      <c r="J125" s="58">
        <f>J126-J124</f>
        <v>76.699867225052003</v>
      </c>
    </row>
    <row r="126" spans="1:10">
      <c r="B126" s="45" t="s">
        <v>82</v>
      </c>
      <c r="C126" s="90"/>
      <c r="D126" s="58">
        <f>D88</f>
        <v>433.63800000000003</v>
      </c>
      <c r="E126" s="58">
        <f>E88</f>
        <v>622.68500000000006</v>
      </c>
      <c r="F126" s="58">
        <f>IF(F128,F128*F16,E126*(1+F37))</f>
        <v>403.51863937499996</v>
      </c>
      <c r="G126" s="58">
        <f>IF(G128,G128*G16,F126*(1+G37))</f>
        <v>462.05574332699996</v>
      </c>
      <c r="H126" s="58">
        <f>IF(H128,H128*H16,G126*(1+H37))</f>
        <v>522.12298995950982</v>
      </c>
      <c r="I126" s="58">
        <f>IF(I128,I128*I16,H126*(1+I37))</f>
        <v>589.99897865424612</v>
      </c>
      <c r="J126" s="58">
        <f>IF(J128,J128*J16,I126*(1+J37))</f>
        <v>666.69884587929812</v>
      </c>
    </row>
    <row r="127" spans="1:10">
      <c r="B127" s="20"/>
      <c r="C127" s="91"/>
    </row>
    <row r="128" spans="1:10">
      <c r="B128" s="45" t="s">
        <v>83</v>
      </c>
      <c r="C128" s="92"/>
      <c r="D128" s="14">
        <f>D126/E16</f>
        <v>8.9866921156769433E-2</v>
      </c>
      <c r="E128" s="14" t="e">
        <f>E126/#REF!</f>
        <v>#REF!</v>
      </c>
      <c r="F128" s="60">
        <v>7.4999999999999997E-2</v>
      </c>
      <c r="G128" s="60">
        <v>7.5999999999999998E-2</v>
      </c>
      <c r="H128" s="60">
        <v>7.5999999999999998E-2</v>
      </c>
      <c r="I128" s="60">
        <v>7.5999999999999998E-2</v>
      </c>
      <c r="J128" s="60">
        <v>7.5999999999999998E-2</v>
      </c>
    </row>
    <row r="129" spans="2:10">
      <c r="B129" s="48" t="s">
        <v>84</v>
      </c>
      <c r="C129" s="92"/>
      <c r="D129" s="93">
        <f t="shared" ref="D129:J129" si="27">D128*365</f>
        <v>32.80142622222084</v>
      </c>
      <c r="E129" s="93" t="e">
        <f t="shared" si="27"/>
        <v>#REF!</v>
      </c>
      <c r="F129" s="94">
        <f t="shared" si="27"/>
        <v>27.375</v>
      </c>
      <c r="G129" s="94">
        <f t="shared" si="27"/>
        <v>27.74</v>
      </c>
      <c r="H129" s="94">
        <f t="shared" si="27"/>
        <v>27.74</v>
      </c>
      <c r="I129" s="94">
        <f t="shared" si="27"/>
        <v>27.74</v>
      </c>
      <c r="J129" s="94">
        <f t="shared" si="27"/>
        <v>27.74</v>
      </c>
    </row>
    <row r="130" spans="2:10">
      <c r="B130" s="20"/>
      <c r="C130" s="92"/>
    </row>
    <row r="131" spans="2:10">
      <c r="B131" s="34" t="s">
        <v>85</v>
      </c>
      <c r="C131" s="34"/>
    </row>
    <row r="132" spans="2:10">
      <c r="B132" s="45" t="s">
        <v>80</v>
      </c>
      <c r="C132" s="20"/>
      <c r="F132" s="58">
        <f>E134</f>
        <v>917.49099999999999</v>
      </c>
      <c r="G132" s="58">
        <f>F134</f>
        <v>33.144821333333333</v>
      </c>
      <c r="H132" s="58">
        <f>G134</f>
        <v>44.746450932719995</v>
      </c>
      <c r="I132" s="58">
        <f>H134</f>
        <v>50.563489553973589</v>
      </c>
      <c r="J132" s="58">
        <f>I134</f>
        <v>57.136743195990142</v>
      </c>
    </row>
    <row r="133" spans="2:10">
      <c r="B133" s="89" t="s">
        <v>81</v>
      </c>
      <c r="C133" s="20"/>
      <c r="F133" s="58">
        <f>F134-F132</f>
        <v>-884.34617866666667</v>
      </c>
      <c r="G133" s="58">
        <f>G134-G132</f>
        <v>11.601629599386662</v>
      </c>
      <c r="H133" s="58">
        <f>H134-H132</f>
        <v>5.8170386212535945</v>
      </c>
      <c r="I133" s="58">
        <f>I134-I132</f>
        <v>6.573253642016553</v>
      </c>
      <c r="J133" s="58">
        <f>J134-J132</f>
        <v>7.4277766154787273</v>
      </c>
    </row>
    <row r="134" spans="2:10">
      <c r="B134" s="45" t="s">
        <v>82</v>
      </c>
      <c r="C134" s="90"/>
      <c r="D134" s="58">
        <f>D89</f>
        <v>783.03100000000006</v>
      </c>
      <c r="E134" s="58">
        <f>E89</f>
        <v>917.49099999999999</v>
      </c>
      <c r="F134" s="58">
        <f>IF(F136,-(F136*F17),E134*F17/#REF!)</f>
        <v>33.144821333333333</v>
      </c>
      <c r="G134" s="58">
        <f>IF(G136,-(G136*G17),F134*G17/F17)</f>
        <v>44.746450932719995</v>
      </c>
      <c r="H134" s="58">
        <f>IF(H136,-(H136*H17),G134*H17/G17)</f>
        <v>50.563489553973589</v>
      </c>
      <c r="I134" s="58">
        <f>IF(I136,-(I136*I17),H134*I17/H17)</f>
        <v>57.136743195990142</v>
      </c>
      <c r="J134" s="58">
        <f>IF(J136,-(J136*J17),I134*J17/I17)</f>
        <v>64.56451981146887</v>
      </c>
    </row>
    <row r="135" spans="2:10">
      <c r="B135" s="20"/>
      <c r="C135" s="91"/>
    </row>
    <row r="136" spans="2:10">
      <c r="B136" s="45" t="s">
        <v>86</v>
      </c>
      <c r="C136" s="92"/>
      <c r="D136" s="14">
        <f>-(D134/E17)</f>
        <v>0.30294569168700414</v>
      </c>
      <c r="E136" s="14" t="e">
        <f>-(E134/#REF!)</f>
        <v>#REF!</v>
      </c>
      <c r="F136" s="60">
        <v>1.6E-2</v>
      </c>
      <c r="G136" s="60">
        <f>F136</f>
        <v>1.6E-2</v>
      </c>
      <c r="H136" s="60">
        <f>G136</f>
        <v>1.6E-2</v>
      </c>
      <c r="I136" s="60">
        <f>H136</f>
        <v>1.6E-2</v>
      </c>
      <c r="J136" s="60">
        <f>I136</f>
        <v>1.6E-2</v>
      </c>
    </row>
    <row r="137" spans="2:10">
      <c r="B137" s="45" t="s">
        <v>87</v>
      </c>
      <c r="C137" s="92"/>
      <c r="D137" s="12">
        <f>-(E17/D134)</f>
        <v>3.3009216748762173</v>
      </c>
      <c r="E137" s="12" t="e">
        <f>-(#REF!/E134)</f>
        <v>#REF!</v>
      </c>
      <c r="F137" s="13">
        <f t="shared" ref="F137:J137" si="28">-(F17/F134)</f>
        <v>62.5</v>
      </c>
      <c r="G137" s="13">
        <f t="shared" si="28"/>
        <v>62.499999999999993</v>
      </c>
      <c r="H137" s="13">
        <f t="shared" si="28"/>
        <v>62.5</v>
      </c>
      <c r="I137" s="13">
        <f t="shared" si="28"/>
        <v>62.5</v>
      </c>
      <c r="J137" s="13">
        <f t="shared" si="28"/>
        <v>62.5</v>
      </c>
    </row>
    <row r="138" spans="2:10">
      <c r="B138" s="20"/>
      <c r="C138" s="92"/>
    </row>
    <row r="139" spans="2:10">
      <c r="B139" s="34" t="s">
        <v>61</v>
      </c>
      <c r="C139" s="34"/>
    </row>
    <row r="140" spans="2:10">
      <c r="B140" s="45" t="s">
        <v>80</v>
      </c>
      <c r="C140" s="20"/>
      <c r="F140" s="58">
        <f>E142</f>
        <v>409.67899999999997</v>
      </c>
      <c r="G140" s="58">
        <f>F142</f>
        <v>420.52492066666667</v>
      </c>
      <c r="H140" s="58">
        <f>G142</f>
        <v>578.90720894206481</v>
      </c>
      <c r="I140" s="58">
        <f>H142</f>
        <v>654.16514610453328</v>
      </c>
      <c r="J140" s="58">
        <f>I142</f>
        <v>739.20661509812248</v>
      </c>
    </row>
    <row r="141" spans="2:10">
      <c r="B141" s="89" t="s">
        <v>81</v>
      </c>
      <c r="C141" s="20"/>
      <c r="F141" s="58">
        <f>F142-F140</f>
        <v>10.8459206666667</v>
      </c>
      <c r="G141" s="58">
        <f>G142-G140</f>
        <v>158.38228827539814</v>
      </c>
      <c r="H141" s="58">
        <f>H142-H140</f>
        <v>75.257937162468465</v>
      </c>
      <c r="I141" s="58">
        <f>I142-I140</f>
        <v>85.041468993589206</v>
      </c>
      <c r="J141" s="58">
        <f>J142-J140</f>
        <v>96.096859962755957</v>
      </c>
    </row>
    <row r="142" spans="2:10">
      <c r="B142" s="45" t="s">
        <v>82</v>
      </c>
      <c r="C142" s="90"/>
      <c r="D142" s="58">
        <f>D97</f>
        <v>200.45999999999998</v>
      </c>
      <c r="E142" s="58">
        <f>E97</f>
        <v>409.67899999999997</v>
      </c>
      <c r="F142" s="58">
        <f>IF(F144,-(F144*F17),E142*F17/#REF!)</f>
        <v>420.52492066666667</v>
      </c>
      <c r="G142" s="58">
        <f>IF(G144,-(G144*G17),F142*G17/F17)</f>
        <v>578.90720894206481</v>
      </c>
      <c r="H142" s="58">
        <f>IF(H144,-(H144*H17),G142*H17/G17)</f>
        <v>654.16514610453328</v>
      </c>
      <c r="I142" s="58">
        <f>IF(I144,-(I144*I17),H142*I17/H17)</f>
        <v>739.20661509812248</v>
      </c>
      <c r="J142" s="58">
        <f>IF(J144,-(J144*J17),I142*J17/I17)</f>
        <v>835.30347506087844</v>
      </c>
    </row>
    <row r="143" spans="2:10">
      <c r="B143" s="20"/>
      <c r="C143" s="92"/>
    </row>
    <row r="144" spans="2:10">
      <c r="B144" s="45" t="s">
        <v>88</v>
      </c>
      <c r="C144" s="92"/>
      <c r="D144" s="14">
        <f>-(D142/E17)</f>
        <v>7.7555669386750778E-2</v>
      </c>
      <c r="E144" s="14" t="e">
        <f>-(E142/#REF!)</f>
        <v>#REF!</v>
      </c>
      <c r="F144" s="60">
        <v>0.20300000000000001</v>
      </c>
      <c r="G144" s="60">
        <v>0.20699999999999999</v>
      </c>
      <c r="H144" s="60">
        <v>0.20699999999999999</v>
      </c>
      <c r="I144" s="60">
        <v>0.20699999999999999</v>
      </c>
      <c r="J144" s="60">
        <v>0.20699999999999999</v>
      </c>
    </row>
    <row r="145" spans="1:10">
      <c r="B145" s="45" t="s">
        <v>89</v>
      </c>
      <c r="C145" s="92"/>
      <c r="D145" s="93">
        <f t="shared" ref="D145:J145" si="29">D144*365</f>
        <v>28.307819326164033</v>
      </c>
      <c r="E145" s="93" t="e">
        <f t="shared" si="29"/>
        <v>#REF!</v>
      </c>
      <c r="F145" s="15">
        <f t="shared" si="29"/>
        <v>74.094999999999999</v>
      </c>
      <c r="G145" s="15">
        <f t="shared" si="29"/>
        <v>75.554999999999993</v>
      </c>
      <c r="H145" s="15">
        <f t="shared" si="29"/>
        <v>75.554999999999993</v>
      </c>
      <c r="I145" s="15">
        <f t="shared" si="29"/>
        <v>75.554999999999993</v>
      </c>
      <c r="J145" s="15">
        <f t="shared" si="29"/>
        <v>75.554999999999993</v>
      </c>
    </row>
    <row r="146" spans="1:10">
      <c r="B146" s="20"/>
      <c r="C146" s="92"/>
    </row>
    <row r="147" spans="1:10">
      <c r="B147" s="34" t="s">
        <v>90</v>
      </c>
      <c r="C147" s="92"/>
    </row>
    <row r="148" spans="1:10">
      <c r="B148" s="45" t="s">
        <v>80</v>
      </c>
      <c r="C148" s="92"/>
      <c r="F148" s="58">
        <f>E150</f>
        <v>208.75</v>
      </c>
      <c r="G148" s="58">
        <f>F150</f>
        <v>715.57305382499999</v>
      </c>
      <c r="H148" s="58">
        <f>G150</f>
        <v>772.11946582274993</v>
      </c>
      <c r="I148" s="58">
        <f>H150</f>
        <v>831.27476033027233</v>
      </c>
      <c r="J148" s="58">
        <f>I150</f>
        <v>900.524756893323</v>
      </c>
    </row>
    <row r="149" spans="1:10">
      <c r="B149" s="89" t="s">
        <v>81</v>
      </c>
      <c r="C149" s="92"/>
      <c r="F149" s="58">
        <f>F150-F148</f>
        <v>506.82305382499999</v>
      </c>
      <c r="G149" s="58">
        <f>G150-G148</f>
        <v>56.546411997749942</v>
      </c>
      <c r="H149" s="58">
        <f>H150-H148</f>
        <v>59.155294507522399</v>
      </c>
      <c r="I149" s="58">
        <f>I150-I148</f>
        <v>69.249996563050672</v>
      </c>
      <c r="J149" s="58">
        <f>J150-J148</f>
        <v>64.434098984608454</v>
      </c>
    </row>
    <row r="150" spans="1:10">
      <c r="B150" s="45" t="s">
        <v>82</v>
      </c>
      <c r="C150" s="92"/>
      <c r="D150" s="58">
        <f>D98</f>
        <v>192.935</v>
      </c>
      <c r="E150" s="58">
        <f>E98</f>
        <v>208.75</v>
      </c>
      <c r="F150" s="58">
        <f>IF(F152,F152*F16,E150*(1+F37))</f>
        <v>715.57305382499999</v>
      </c>
      <c r="G150" s="58">
        <f>IF(G152,G152*G16,F150*(1+G37))</f>
        <v>772.11946582274993</v>
      </c>
      <c r="H150" s="58">
        <f>IF(H152,H152*H16,G150*(1+H37))</f>
        <v>831.27476033027233</v>
      </c>
      <c r="I150" s="58">
        <f>IF(I152,I152*I16,H150*(1+I37))</f>
        <v>900.524756893323</v>
      </c>
      <c r="J150" s="58">
        <f>IF(J152,J152*J16,I150*(1+J37))</f>
        <v>964.95885587793146</v>
      </c>
    </row>
    <row r="151" spans="1:10">
      <c r="B151" s="20"/>
      <c r="C151" s="92"/>
    </row>
    <row r="152" spans="1:10">
      <c r="B152" s="45" t="s">
        <v>91</v>
      </c>
      <c r="C152" s="92"/>
      <c r="D152" s="14">
        <f>D150/E16</f>
        <v>3.9983752423406869E-2</v>
      </c>
      <c r="E152" s="16" t="e">
        <f>E150/#REF!</f>
        <v>#REF!</v>
      </c>
      <c r="F152" s="60">
        <v>0.13300000000000001</v>
      </c>
      <c r="G152" s="60">
        <v>0.127</v>
      </c>
      <c r="H152" s="60">
        <v>0.121</v>
      </c>
      <c r="I152" s="60">
        <v>0.11600000000000001</v>
      </c>
      <c r="J152" s="60">
        <v>0.11</v>
      </c>
    </row>
    <row r="154" spans="1:10">
      <c r="A154" s="17" t="s">
        <v>210</v>
      </c>
      <c r="B154" s="22" t="s">
        <v>92</v>
      </c>
      <c r="C154" s="24"/>
      <c r="D154" s="24"/>
      <c r="E154" s="24"/>
      <c r="F154" s="24"/>
      <c r="G154" s="24"/>
      <c r="H154" s="24"/>
      <c r="I154" s="24"/>
      <c r="J154" s="24"/>
    </row>
    <row r="155" spans="1:10">
      <c r="B155" s="64" t="str">
        <f t="shared" ref="B155:J156" si="30">B13</f>
        <v xml:space="preserve">Fiscal year  </v>
      </c>
      <c r="C155" s="54">
        <f t="shared" si="30"/>
        <v>2014</v>
      </c>
      <c r="D155" s="54">
        <f t="shared" si="30"/>
        <v>2015</v>
      </c>
      <c r="E155" s="54">
        <f t="shared" si="30"/>
        <v>2016</v>
      </c>
      <c r="F155" s="55">
        <f t="shared" si="30"/>
        <v>2017</v>
      </c>
      <c r="G155" s="55">
        <f t="shared" si="30"/>
        <v>2018</v>
      </c>
      <c r="H155" s="55">
        <f t="shared" si="30"/>
        <v>2019</v>
      </c>
      <c r="I155" s="55">
        <f t="shared" si="30"/>
        <v>2020</v>
      </c>
      <c r="J155" s="55">
        <f t="shared" si="30"/>
        <v>2021</v>
      </c>
    </row>
    <row r="156" spans="1:10">
      <c r="B156" s="24" t="str">
        <f t="shared" si="30"/>
        <v>Fiscal year end date</v>
      </c>
      <c r="C156" s="56">
        <f t="shared" si="30"/>
        <v>40810</v>
      </c>
      <c r="D156" s="56">
        <f t="shared" si="30"/>
        <v>41181</v>
      </c>
      <c r="E156" s="56">
        <f t="shared" si="30"/>
        <v>42735</v>
      </c>
      <c r="F156" s="56">
        <f t="shared" si="30"/>
        <v>43100</v>
      </c>
      <c r="G156" s="56">
        <f t="shared" si="30"/>
        <v>43465</v>
      </c>
      <c r="H156" s="56">
        <f t="shared" si="30"/>
        <v>43830</v>
      </c>
      <c r="I156" s="56">
        <f t="shared" si="30"/>
        <v>44196</v>
      </c>
      <c r="J156" s="56">
        <f t="shared" si="30"/>
        <v>44561</v>
      </c>
    </row>
    <row r="157" spans="1:10">
      <c r="B157" s="20"/>
    </row>
    <row r="158" spans="1:10">
      <c r="B158" s="45" t="s">
        <v>80</v>
      </c>
      <c r="F158" s="58">
        <f>E161</f>
        <v>660.86699999999996</v>
      </c>
      <c r="G158" s="58">
        <f>F161</f>
        <v>-389.13300000000004</v>
      </c>
      <c r="H158" s="58">
        <f>G161</f>
        <v>-1374.133</v>
      </c>
      <c r="I158" s="58">
        <f>H161</f>
        <v>-2207.1329999999998</v>
      </c>
      <c r="J158" s="58">
        <f>I161</f>
        <v>-2813.1329999999998</v>
      </c>
    </row>
    <row r="159" spans="1:10">
      <c r="B159" s="89" t="s">
        <v>93</v>
      </c>
      <c r="F159" s="58">
        <f>F163</f>
        <v>0</v>
      </c>
      <c r="G159" s="58">
        <f t="shared" ref="G159:J160" si="31">G163</f>
        <v>0</v>
      </c>
      <c r="H159" s="58">
        <f t="shared" si="31"/>
        <v>0</v>
      </c>
      <c r="I159" s="58">
        <f t="shared" si="31"/>
        <v>0</v>
      </c>
      <c r="J159" s="58">
        <f t="shared" si="31"/>
        <v>0</v>
      </c>
    </row>
    <row r="160" spans="1:10">
      <c r="B160" s="89" t="s">
        <v>94</v>
      </c>
      <c r="D160" s="58"/>
      <c r="E160" s="58"/>
      <c r="F160" s="58">
        <f>F164</f>
        <v>-1050</v>
      </c>
      <c r="G160" s="58">
        <f t="shared" si="31"/>
        <v>-985</v>
      </c>
      <c r="H160" s="58">
        <f t="shared" si="31"/>
        <v>-833</v>
      </c>
      <c r="I160" s="58">
        <f t="shared" si="31"/>
        <v>-606</v>
      </c>
      <c r="J160" s="58">
        <f t="shared" si="31"/>
        <v>-434</v>
      </c>
    </row>
    <row r="161" spans="2:10">
      <c r="B161" s="45" t="s">
        <v>82</v>
      </c>
      <c r="D161" s="58" t="e">
        <f>#REF!</f>
        <v>#REF!</v>
      </c>
      <c r="E161" s="58">
        <f>D93</f>
        <v>660.86699999999996</v>
      </c>
      <c r="F161" s="58">
        <f>SUM(F158:F160)</f>
        <v>-389.13300000000004</v>
      </c>
      <c r="G161" s="58">
        <f>SUM(G158:G160)</f>
        <v>-1374.133</v>
      </c>
      <c r="H161" s="58">
        <f>SUM(H158:H160)</f>
        <v>-2207.1329999999998</v>
      </c>
      <c r="I161" s="58">
        <f>SUM(I158:I160)</f>
        <v>-2813.1329999999998</v>
      </c>
      <c r="J161" s="58">
        <f>SUM(J158:J160)</f>
        <v>-3247.1329999999998</v>
      </c>
    </row>
    <row r="162" spans="2:10">
      <c r="B162" s="20"/>
      <c r="E162" s="58"/>
    </row>
    <row r="163" spans="2:10">
      <c r="B163" s="48" t="s">
        <v>95</v>
      </c>
      <c r="C163" s="95">
        <v>3192</v>
      </c>
      <c r="D163" s="95">
        <v>1107</v>
      </c>
      <c r="E163" s="95">
        <v>911</v>
      </c>
      <c r="F163" s="95">
        <v>0</v>
      </c>
      <c r="G163" s="95">
        <v>0</v>
      </c>
      <c r="H163" s="95">
        <v>0</v>
      </c>
      <c r="I163" s="95">
        <v>0</v>
      </c>
      <c r="J163" s="95">
        <v>0</v>
      </c>
    </row>
    <row r="164" spans="2:10">
      <c r="B164" s="48" t="s">
        <v>96</v>
      </c>
      <c r="C164" s="95">
        <v>-192</v>
      </c>
      <c r="D164" s="95">
        <v>-605</v>
      </c>
      <c r="E164" s="95">
        <v>-960</v>
      </c>
      <c r="F164" s="95">
        <v>-1050</v>
      </c>
      <c r="G164" s="95">
        <v>-985</v>
      </c>
      <c r="H164" s="95">
        <v>-833</v>
      </c>
      <c r="I164" s="95">
        <v>-606</v>
      </c>
      <c r="J164" s="95">
        <v>-434</v>
      </c>
    </row>
    <row r="165" spans="2:10">
      <c r="B165" s="20"/>
    </row>
    <row r="166" spans="2:10">
      <c r="B166" s="22" t="s">
        <v>97</v>
      </c>
      <c r="C166" s="24"/>
      <c r="D166" s="24"/>
      <c r="E166" s="24"/>
      <c r="F166" s="24"/>
      <c r="G166" s="24"/>
      <c r="H166" s="24"/>
      <c r="I166" s="24"/>
      <c r="J166" s="24"/>
    </row>
    <row r="167" spans="2:10">
      <c r="B167" s="64" t="str">
        <f t="shared" ref="B167:J168" si="32">B13</f>
        <v xml:space="preserve">Fiscal year  </v>
      </c>
      <c r="C167" s="54">
        <f t="shared" si="32"/>
        <v>2014</v>
      </c>
      <c r="D167" s="54">
        <f t="shared" si="32"/>
        <v>2015</v>
      </c>
      <c r="E167" s="54">
        <f t="shared" si="32"/>
        <v>2016</v>
      </c>
      <c r="F167" s="55">
        <f t="shared" si="32"/>
        <v>2017</v>
      </c>
      <c r="G167" s="55">
        <f t="shared" si="32"/>
        <v>2018</v>
      </c>
      <c r="H167" s="55">
        <f t="shared" si="32"/>
        <v>2019</v>
      </c>
      <c r="I167" s="55">
        <f t="shared" si="32"/>
        <v>2020</v>
      </c>
      <c r="J167" s="55">
        <f t="shared" si="32"/>
        <v>2021</v>
      </c>
    </row>
    <row r="168" spans="2:10">
      <c r="B168" s="24" t="str">
        <f t="shared" si="32"/>
        <v>Fiscal year end date</v>
      </c>
      <c r="C168" s="56">
        <f t="shared" si="32"/>
        <v>40810</v>
      </c>
      <c r="D168" s="56">
        <f t="shared" si="32"/>
        <v>41181</v>
      </c>
      <c r="E168" s="56">
        <f t="shared" si="32"/>
        <v>42735</v>
      </c>
      <c r="F168" s="56">
        <f t="shared" si="32"/>
        <v>43100</v>
      </c>
      <c r="G168" s="56">
        <f t="shared" si="32"/>
        <v>43465</v>
      </c>
      <c r="H168" s="56">
        <f t="shared" si="32"/>
        <v>43830</v>
      </c>
      <c r="I168" s="56">
        <f t="shared" si="32"/>
        <v>44196</v>
      </c>
      <c r="J168" s="56">
        <f t="shared" si="32"/>
        <v>44561</v>
      </c>
    </row>
    <row r="169" spans="2:10">
      <c r="B169" s="34"/>
    </row>
    <row r="170" spans="2:10">
      <c r="B170" s="45" t="s">
        <v>80</v>
      </c>
      <c r="F170" s="58">
        <f>E173</f>
        <v>804.21100000000001</v>
      </c>
      <c r="G170" s="58">
        <f>F173</f>
        <v>890.2949764</v>
      </c>
      <c r="H170" s="58">
        <f>G173</f>
        <v>1025.4462813231476</v>
      </c>
      <c r="I170" s="58">
        <f>H173</f>
        <v>1178.167255886304</v>
      </c>
      <c r="J170" s="58">
        <f>I173</f>
        <v>1350.741957142671</v>
      </c>
    </row>
    <row r="171" spans="2:10">
      <c r="B171" s="89" t="s">
        <v>98</v>
      </c>
      <c r="F171" s="58">
        <f>F175</f>
        <v>269.01242625000003</v>
      </c>
      <c r="G171" s="58">
        <f>G175</f>
        <v>346.54180749525</v>
      </c>
      <c r="H171" s="58">
        <f>H175</f>
        <v>391.59224246963242</v>
      </c>
      <c r="I171" s="58">
        <f>I175</f>
        <v>442.49923399068462</v>
      </c>
      <c r="J171" s="58">
        <f>J175</f>
        <v>500.02413440947362</v>
      </c>
    </row>
    <row r="172" spans="2:10">
      <c r="B172" s="89" t="s">
        <v>99</v>
      </c>
      <c r="F172" s="58">
        <f>F177</f>
        <v>-182.92844985000005</v>
      </c>
      <c r="G172" s="58">
        <f>G177</f>
        <v>-211.39050257210249</v>
      </c>
      <c r="H172" s="58">
        <f>H177</f>
        <v>-238.87126790647577</v>
      </c>
      <c r="I172" s="58">
        <f>I177</f>
        <v>-269.92453273431761</v>
      </c>
      <c r="J172" s="58">
        <f>J177</f>
        <v>-305.01472198977888</v>
      </c>
    </row>
    <row r="173" spans="2:10">
      <c r="B173" s="45" t="s">
        <v>82</v>
      </c>
      <c r="D173" s="58">
        <f>D92</f>
        <v>538.53099999999995</v>
      </c>
      <c r="E173" s="58">
        <f>E92</f>
        <v>804.21100000000001</v>
      </c>
      <c r="F173" s="58">
        <f>SUM(F170:F172)</f>
        <v>890.2949764</v>
      </c>
      <c r="G173" s="58">
        <f>SUM(G170:G172)</f>
        <v>1025.4462813231476</v>
      </c>
      <c r="H173" s="58">
        <f>SUM(H170:H172)</f>
        <v>1178.167255886304</v>
      </c>
      <c r="I173" s="58">
        <f>SUM(I170:I172)</f>
        <v>1350.741957142671</v>
      </c>
      <c r="J173" s="58">
        <f>SUM(J170:J172)</f>
        <v>1545.7513695623657</v>
      </c>
    </row>
    <row r="174" spans="2:10">
      <c r="B174" s="45"/>
    </row>
    <row r="175" spans="2:10">
      <c r="B175" s="48" t="s">
        <v>100</v>
      </c>
      <c r="C175" s="95">
        <v>4260</v>
      </c>
      <c r="D175" s="95">
        <v>8295</v>
      </c>
      <c r="E175" s="95">
        <v>8165</v>
      </c>
      <c r="F175" s="58">
        <f>F176*F16</f>
        <v>269.01242625000003</v>
      </c>
      <c r="G175" s="58">
        <f>G176*G16</f>
        <v>346.54180749525</v>
      </c>
      <c r="H175" s="58">
        <f>H176*H16</f>
        <v>391.59224246963242</v>
      </c>
      <c r="I175" s="58">
        <f>I176*I16</f>
        <v>442.49923399068462</v>
      </c>
      <c r="J175" s="58">
        <f>J176*J16</f>
        <v>500.02413440947362</v>
      </c>
    </row>
    <row r="176" spans="2:10">
      <c r="B176" s="45" t="s">
        <v>101</v>
      </c>
      <c r="C176" s="14">
        <f>C175/D16</f>
        <v>1.0748583319056557</v>
      </c>
      <c r="D176" s="14">
        <f>D175/E16</f>
        <v>1.719051630612175</v>
      </c>
      <c r="E176" s="14" t="e">
        <f>E175/#REF!</f>
        <v>#REF!</v>
      </c>
      <c r="F176" s="60">
        <v>0.05</v>
      </c>
      <c r="G176" s="60">
        <v>5.7000000000000002E-2</v>
      </c>
      <c r="H176" s="60">
        <v>5.7000000000000002E-2</v>
      </c>
      <c r="I176" s="60">
        <v>5.7000000000000002E-2</v>
      </c>
      <c r="J176" s="60">
        <v>5.7000000000000002E-2</v>
      </c>
    </row>
    <row r="177" spans="1:10">
      <c r="B177" s="48" t="s">
        <v>102</v>
      </c>
      <c r="C177" s="95">
        <f>-(C44+C164)</f>
        <v>192</v>
      </c>
      <c r="D177" s="95">
        <f>-(D44+D164)</f>
        <v>605</v>
      </c>
      <c r="E177" s="95">
        <f>-(E44+E164)</f>
        <v>960</v>
      </c>
      <c r="F177" s="58">
        <f>-(F178*F175)</f>
        <v>-182.92844985000005</v>
      </c>
      <c r="G177" s="58">
        <f>-(G178*G175)</f>
        <v>-211.39050257210249</v>
      </c>
      <c r="H177" s="58">
        <f>-(H178*H175)</f>
        <v>-238.87126790647577</v>
      </c>
      <c r="I177" s="58">
        <f>-(I178*I175)</f>
        <v>-269.92453273431761</v>
      </c>
      <c r="J177" s="58">
        <f>-(J178*J175)</f>
        <v>-305.01472198977888</v>
      </c>
    </row>
    <row r="178" spans="1:10">
      <c r="B178" s="45" t="s">
        <v>103</v>
      </c>
      <c r="C178" s="14">
        <f>-(C177/C175)</f>
        <v>-4.507042253521127E-2</v>
      </c>
      <c r="D178" s="14">
        <f>-(D177/D175)</f>
        <v>-7.2935503315250144E-2</v>
      </c>
      <c r="E178" s="14">
        <f>-(E177/E175)</f>
        <v>-0.11757501530924679</v>
      </c>
      <c r="F178" s="60">
        <v>0.68</v>
      </c>
      <c r="G178" s="60">
        <v>0.61</v>
      </c>
      <c r="H178" s="60">
        <f>G178</f>
        <v>0.61</v>
      </c>
      <c r="I178" s="60">
        <f>H178</f>
        <v>0.61</v>
      </c>
      <c r="J178" s="60">
        <f>I178</f>
        <v>0.61</v>
      </c>
    </row>
    <row r="180" spans="1:10">
      <c r="A180" s="17" t="s">
        <v>210</v>
      </c>
      <c r="B180" s="22" t="s">
        <v>104</v>
      </c>
      <c r="C180" s="24"/>
      <c r="D180" s="24"/>
      <c r="E180" s="24"/>
      <c r="F180" s="24"/>
      <c r="G180" s="24"/>
      <c r="H180" s="24"/>
      <c r="I180" s="24"/>
      <c r="J180" s="24"/>
    </row>
    <row r="181" spans="1:10">
      <c r="B181" s="64" t="str">
        <f t="shared" ref="B181:J182" si="33">B13</f>
        <v xml:space="preserve">Fiscal year  </v>
      </c>
      <c r="C181" s="54">
        <f t="shared" si="33"/>
        <v>2014</v>
      </c>
      <c r="D181" s="54">
        <f t="shared" si="33"/>
        <v>2015</v>
      </c>
      <c r="E181" s="54">
        <f t="shared" si="33"/>
        <v>2016</v>
      </c>
      <c r="F181" s="55">
        <f t="shared" si="33"/>
        <v>2017</v>
      </c>
      <c r="G181" s="55">
        <f t="shared" si="33"/>
        <v>2018</v>
      </c>
      <c r="H181" s="55">
        <f t="shared" si="33"/>
        <v>2019</v>
      </c>
      <c r="I181" s="55">
        <f t="shared" si="33"/>
        <v>2020</v>
      </c>
      <c r="J181" s="55">
        <f t="shared" si="33"/>
        <v>2021</v>
      </c>
    </row>
    <row r="182" spans="1:10">
      <c r="B182" s="24" t="str">
        <f t="shared" si="33"/>
        <v>Fiscal year end date</v>
      </c>
      <c r="C182" s="56">
        <f t="shared" si="33"/>
        <v>40810</v>
      </c>
      <c r="D182" s="56">
        <f t="shared" si="33"/>
        <v>41181</v>
      </c>
      <c r="E182" s="56">
        <f t="shared" si="33"/>
        <v>42735</v>
      </c>
      <c r="F182" s="56">
        <f t="shared" si="33"/>
        <v>43100</v>
      </c>
      <c r="G182" s="56">
        <f t="shared" si="33"/>
        <v>43465</v>
      </c>
      <c r="H182" s="56">
        <f t="shared" si="33"/>
        <v>43830</v>
      </c>
      <c r="I182" s="56">
        <f t="shared" si="33"/>
        <v>44196</v>
      </c>
      <c r="J182" s="56">
        <f t="shared" si="33"/>
        <v>44561</v>
      </c>
    </row>
    <row r="183" spans="1:10">
      <c r="B183" s="34"/>
    </row>
    <row r="184" spans="1:10">
      <c r="B184" s="34" t="s">
        <v>56</v>
      </c>
    </row>
    <row r="185" spans="1:10">
      <c r="B185" s="45" t="s">
        <v>80</v>
      </c>
      <c r="F185" s="58">
        <f>E187</f>
        <v>174.50700000000001</v>
      </c>
      <c r="G185" s="58">
        <f>F187</f>
        <v>174.50700000000001</v>
      </c>
      <c r="H185" s="58">
        <f>G187</f>
        <v>174.50700000000001</v>
      </c>
      <c r="I185" s="58">
        <f>H187</f>
        <v>174.50700000000001</v>
      </c>
      <c r="J185" s="58">
        <f>I187</f>
        <v>174.50700000000001</v>
      </c>
    </row>
    <row r="186" spans="1:10">
      <c r="B186" s="89" t="s">
        <v>81</v>
      </c>
      <c r="F186" s="95">
        <v>0</v>
      </c>
      <c r="G186" s="95">
        <v>0</v>
      </c>
      <c r="H186" s="95">
        <v>0</v>
      </c>
      <c r="I186" s="95">
        <v>0</v>
      </c>
      <c r="J186" s="95">
        <v>0</v>
      </c>
    </row>
    <row r="187" spans="1:10">
      <c r="B187" s="45" t="s">
        <v>82</v>
      </c>
      <c r="D187" s="58">
        <f>D91</f>
        <v>152.24200000000002</v>
      </c>
      <c r="E187" s="58">
        <f>E91</f>
        <v>174.50700000000001</v>
      </c>
      <c r="F187" s="58">
        <f>SUM(F185:F186)</f>
        <v>174.50700000000001</v>
      </c>
      <c r="G187" s="58">
        <f>SUM(G185:G186)</f>
        <v>174.50700000000001</v>
      </c>
      <c r="H187" s="58">
        <f>SUM(H185:H186)</f>
        <v>174.50700000000001</v>
      </c>
      <c r="I187" s="58">
        <f>SUM(I185:I186)</f>
        <v>174.50700000000001</v>
      </c>
      <c r="J187" s="58">
        <f>SUM(J185:J186)</f>
        <v>174.50700000000001</v>
      </c>
    </row>
    <row r="188" spans="1:10">
      <c r="B188" s="20"/>
    </row>
    <row r="189" spans="1:10">
      <c r="B189" s="96" t="s">
        <v>105</v>
      </c>
    </row>
    <row r="190" spans="1:10">
      <c r="B190" s="45" t="s">
        <v>80</v>
      </c>
      <c r="F190" s="58">
        <f>E192</f>
        <v>136.86200000000002</v>
      </c>
      <c r="G190" s="58">
        <f>F192</f>
        <v>136.86200000000002</v>
      </c>
      <c r="H190" s="58">
        <f>G192</f>
        <v>136.86200000000002</v>
      </c>
      <c r="I190" s="58">
        <f>H192</f>
        <v>136.86200000000002</v>
      </c>
      <c r="J190" s="58">
        <f>I192</f>
        <v>136.86200000000002</v>
      </c>
    </row>
    <row r="191" spans="1:10">
      <c r="B191" s="89" t="s">
        <v>81</v>
      </c>
      <c r="F191" s="95">
        <v>0</v>
      </c>
      <c r="G191" s="95">
        <v>0</v>
      </c>
      <c r="H191" s="95">
        <v>0</v>
      </c>
      <c r="I191" s="95">
        <v>0</v>
      </c>
      <c r="J191" s="95">
        <v>0</v>
      </c>
    </row>
    <row r="192" spans="1:10">
      <c r="B192" s="45" t="s">
        <v>82</v>
      </c>
      <c r="D192" s="58">
        <f>D90</f>
        <v>92.157000000000011</v>
      </c>
      <c r="E192" s="58">
        <f>E90</f>
        <v>136.86200000000002</v>
      </c>
      <c r="F192" s="58">
        <f>SUM(F190:F191)</f>
        <v>136.86200000000002</v>
      </c>
      <c r="G192" s="58">
        <f>SUM(G190:G191)</f>
        <v>136.86200000000002</v>
      </c>
      <c r="H192" s="58">
        <f>SUM(H190:H191)</f>
        <v>136.86200000000002</v>
      </c>
      <c r="I192" s="58">
        <f>SUM(I190:I191)</f>
        <v>136.86200000000002</v>
      </c>
      <c r="J192" s="58">
        <f>SUM(J190:J191)</f>
        <v>136.86200000000002</v>
      </c>
    </row>
    <row r="193" spans="1:10">
      <c r="B193" s="20"/>
    </row>
    <row r="194" spans="1:10">
      <c r="B194" s="96" t="s">
        <v>59</v>
      </c>
    </row>
    <row r="195" spans="1:10">
      <c r="B195" s="45" t="s">
        <v>80</v>
      </c>
      <c r="F195" s="58">
        <f>E197</f>
        <v>110.20399999999999</v>
      </c>
      <c r="G195" s="58">
        <f>F197</f>
        <v>110.20399999999999</v>
      </c>
      <c r="H195" s="58">
        <f>G197</f>
        <v>110.20399999999999</v>
      </c>
      <c r="I195" s="58">
        <f>H197</f>
        <v>110.20399999999999</v>
      </c>
      <c r="J195" s="58">
        <f>I197</f>
        <v>110.20399999999999</v>
      </c>
    </row>
    <row r="196" spans="1:10">
      <c r="B196" s="89" t="s">
        <v>81</v>
      </c>
      <c r="F196" s="95">
        <v>0</v>
      </c>
      <c r="G196" s="95">
        <v>0</v>
      </c>
      <c r="H196" s="95">
        <v>0</v>
      </c>
      <c r="I196" s="95">
        <v>0</v>
      </c>
      <c r="J196" s="95">
        <v>0</v>
      </c>
    </row>
    <row r="197" spans="1:10">
      <c r="B197" s="45" t="s">
        <v>82</v>
      </c>
      <c r="D197" s="58">
        <f>D94</f>
        <v>75.652000000000001</v>
      </c>
      <c r="E197" s="58">
        <f>E94</f>
        <v>110.20399999999999</v>
      </c>
      <c r="F197" s="58">
        <f>SUM(F195:F196)</f>
        <v>110.20399999999999</v>
      </c>
      <c r="G197" s="58">
        <f>SUM(G195:G196)</f>
        <v>110.20399999999999</v>
      </c>
      <c r="H197" s="58">
        <f>SUM(H195:H196)</f>
        <v>110.20399999999999</v>
      </c>
      <c r="I197" s="58">
        <f>SUM(I195:I196)</f>
        <v>110.20399999999999</v>
      </c>
      <c r="J197" s="58">
        <f>SUM(J195:J196)</f>
        <v>110.20399999999999</v>
      </c>
    </row>
    <row r="198" spans="1:10">
      <c r="B198" s="20"/>
    </row>
    <row r="199" spans="1:10">
      <c r="B199" s="34" t="s">
        <v>106</v>
      </c>
    </row>
    <row r="200" spans="1:10">
      <c r="B200" s="45" t="s">
        <v>80</v>
      </c>
      <c r="F200" s="58">
        <f>E202</f>
        <v>177.614</v>
      </c>
      <c r="G200" s="58">
        <f>F202</f>
        <v>3177.614</v>
      </c>
      <c r="H200" s="58">
        <f>G202</f>
        <v>6177.6139999999996</v>
      </c>
      <c r="I200" s="58">
        <f>H202</f>
        <v>9177.6139999999996</v>
      </c>
      <c r="J200" s="58">
        <f>I202</f>
        <v>12177.614</v>
      </c>
    </row>
    <row r="201" spans="1:10">
      <c r="B201" s="89" t="s">
        <v>81</v>
      </c>
      <c r="F201" s="95">
        <v>3000</v>
      </c>
      <c r="G201" s="95">
        <v>3000</v>
      </c>
      <c r="H201" s="95">
        <v>3000</v>
      </c>
      <c r="I201" s="95">
        <v>3000</v>
      </c>
      <c r="J201" s="95">
        <v>3000</v>
      </c>
    </row>
    <row r="202" spans="1:10">
      <c r="B202" s="45" t="s">
        <v>82</v>
      </c>
      <c r="D202" s="58">
        <f>D101</f>
        <v>138.28299999999999</v>
      </c>
      <c r="E202" s="58">
        <f>E101</f>
        <v>177.614</v>
      </c>
      <c r="F202" s="58">
        <f>SUM(F200:F201)</f>
        <v>3177.614</v>
      </c>
      <c r="G202" s="58">
        <f>SUM(G200:G201)</f>
        <v>6177.6139999999996</v>
      </c>
      <c r="H202" s="58">
        <f>SUM(H200:H201)</f>
        <v>9177.6139999999996</v>
      </c>
      <c r="I202" s="58">
        <f>SUM(I200:I201)</f>
        <v>12177.614</v>
      </c>
      <c r="J202" s="58">
        <f>SUM(J200:J201)</f>
        <v>15177.614</v>
      </c>
    </row>
    <row r="204" spans="1:10">
      <c r="A204" s="17" t="s">
        <v>210</v>
      </c>
      <c r="B204" s="22" t="s">
        <v>107</v>
      </c>
      <c r="C204" s="97"/>
      <c r="D204" s="97"/>
      <c r="E204" s="97"/>
      <c r="F204" s="98"/>
      <c r="G204" s="98"/>
      <c r="H204" s="98"/>
      <c r="I204" s="98"/>
      <c r="J204" s="98"/>
    </row>
    <row r="205" spans="1:10">
      <c r="B205" s="64" t="str">
        <f>B13</f>
        <v xml:space="preserve">Fiscal year  </v>
      </c>
      <c r="C205" s="54"/>
      <c r="D205" s="54">
        <f t="shared" ref="D205:J206" si="34">D13</f>
        <v>2015</v>
      </c>
      <c r="E205" s="54">
        <f t="shared" si="34"/>
        <v>2016</v>
      </c>
      <c r="F205" s="55">
        <f t="shared" si="34"/>
        <v>2017</v>
      </c>
      <c r="G205" s="55">
        <f t="shared" si="34"/>
        <v>2018</v>
      </c>
      <c r="H205" s="55">
        <f t="shared" si="34"/>
        <v>2019</v>
      </c>
      <c r="I205" s="55">
        <f t="shared" si="34"/>
        <v>2020</v>
      </c>
      <c r="J205" s="55">
        <f t="shared" si="34"/>
        <v>2021</v>
      </c>
    </row>
    <row r="206" spans="1:10">
      <c r="B206" s="24" t="str">
        <f>B14</f>
        <v>Fiscal year end date</v>
      </c>
      <c r="C206" s="56"/>
      <c r="D206" s="56">
        <f t="shared" si="34"/>
        <v>41181</v>
      </c>
      <c r="E206" s="56">
        <f t="shared" si="34"/>
        <v>42735</v>
      </c>
      <c r="F206" s="56">
        <f t="shared" si="34"/>
        <v>43100</v>
      </c>
      <c r="G206" s="56">
        <f t="shared" si="34"/>
        <v>43465</v>
      </c>
      <c r="H206" s="56">
        <f t="shared" si="34"/>
        <v>43830</v>
      </c>
      <c r="I206" s="56">
        <f t="shared" si="34"/>
        <v>44196</v>
      </c>
      <c r="J206" s="56">
        <f t="shared" si="34"/>
        <v>44561</v>
      </c>
    </row>
    <row r="207" spans="1:10">
      <c r="B207" s="20"/>
    </row>
    <row r="208" spans="1:10">
      <c r="B208" s="71" t="s">
        <v>108</v>
      </c>
    </row>
    <row r="209" spans="1:10">
      <c r="B209" s="45" t="s">
        <v>80</v>
      </c>
      <c r="F209" s="58">
        <f>E212</f>
        <v>817.38800000000003</v>
      </c>
      <c r="G209" s="58">
        <f>F212</f>
        <v>817.38800000000003</v>
      </c>
      <c r="H209" s="58">
        <f>G212</f>
        <v>817.38800000000003</v>
      </c>
      <c r="I209" s="58">
        <f>H212</f>
        <v>-1682.6120000000001</v>
      </c>
      <c r="J209" s="58">
        <f>I212</f>
        <v>-1682.6120000000001</v>
      </c>
    </row>
    <row r="210" spans="1:10">
      <c r="B210" s="45" t="s">
        <v>109</v>
      </c>
      <c r="F210" s="95">
        <v>0</v>
      </c>
      <c r="G210" s="95">
        <v>0</v>
      </c>
      <c r="H210" s="95">
        <v>-2500</v>
      </c>
      <c r="I210" s="95">
        <v>0</v>
      </c>
      <c r="J210" s="95">
        <v>-6000</v>
      </c>
    </row>
    <row r="211" spans="1:10">
      <c r="B211" s="45" t="s">
        <v>110</v>
      </c>
      <c r="F211" s="58">
        <f>F218*F214</f>
        <v>0</v>
      </c>
      <c r="G211" s="58">
        <f>G218*G214</f>
        <v>0</v>
      </c>
      <c r="H211" s="58">
        <f>H218*H214</f>
        <v>0</v>
      </c>
      <c r="I211" s="58">
        <f>I218*I214</f>
        <v>0</v>
      </c>
      <c r="J211" s="58">
        <f>J218*J214</f>
        <v>0</v>
      </c>
    </row>
    <row r="212" spans="1:10">
      <c r="B212" s="45" t="s">
        <v>82</v>
      </c>
      <c r="D212" s="58">
        <f>D100</f>
        <v>666.06999999999994</v>
      </c>
      <c r="E212" s="58">
        <f>E100</f>
        <v>817.38800000000003</v>
      </c>
      <c r="F212" s="58">
        <f>SUM(F209:F211)</f>
        <v>817.38800000000003</v>
      </c>
      <c r="G212" s="58">
        <f>SUM(G209:G211)</f>
        <v>817.38800000000003</v>
      </c>
      <c r="H212" s="58">
        <f>SUM(H209:H211)</f>
        <v>-1682.6120000000001</v>
      </c>
      <c r="I212" s="58">
        <f>SUM(I209:I211)</f>
        <v>-1682.6120000000001</v>
      </c>
      <c r="J212" s="58">
        <f>SUM(J209:J211)</f>
        <v>-7682.6120000000001</v>
      </c>
    </row>
    <row r="213" spans="1:10">
      <c r="B213" s="20"/>
    </row>
    <row r="214" spans="1:10">
      <c r="B214" s="45" t="s">
        <v>111</v>
      </c>
      <c r="F214" s="95">
        <f>1000*0.0051+2000*0.011+1500*0.0051+4000*0.0108+5500*0.0244+3000*0.0391</f>
        <v>329.45000000000005</v>
      </c>
      <c r="G214" s="95">
        <f>1000*0.0051+2000*0.011+1500*0.0051+4000*0.0108+5500*0.0244+3000*0.0391</f>
        <v>329.45000000000005</v>
      </c>
      <c r="H214" s="95">
        <f>2000*0.011+4000*0.0108+5500*0.0244+3000*0.0391</f>
        <v>316.70000000000005</v>
      </c>
      <c r="I214" s="95">
        <f>1000*0.0051+2000*0.011+1500*0.0051+4000*0.0108+5500*0.0244+3000*0.0391</f>
        <v>329.45000000000005</v>
      </c>
      <c r="J214" s="95">
        <f>1000*0.0051+1500*0.0051+5500*0.0244+3000*0.0391</f>
        <v>264.25</v>
      </c>
    </row>
    <row r="215" spans="1:10">
      <c r="B215" s="45" t="s">
        <v>112</v>
      </c>
      <c r="F215" s="14">
        <f>F214/AVERAGE(E212:F212)</f>
        <v>0.40305216127469456</v>
      </c>
      <c r="G215" s="14">
        <f>G214/AVERAGE(F212:G212)</f>
        <v>0.40305216127469456</v>
      </c>
      <c r="H215" s="14">
        <f>H214/AVERAGE(G212:H212)</f>
        <v>-0.73206476010836508</v>
      </c>
      <c r="I215" s="14">
        <f>I214/AVERAGE(H212:I212)</f>
        <v>-0.19579677311228022</v>
      </c>
      <c r="J215" s="14">
        <f>J214/AVERAGE(I212:J212)</f>
        <v>-5.6432179305054529E-2</v>
      </c>
    </row>
    <row r="216" spans="1:10">
      <c r="B216" s="45"/>
    </row>
    <row r="217" spans="1:10">
      <c r="B217" s="45" t="s">
        <v>113</v>
      </c>
      <c r="F217" s="99">
        <v>1</v>
      </c>
      <c r="G217" s="99">
        <v>1</v>
      </c>
      <c r="H217" s="99">
        <v>1</v>
      </c>
      <c r="I217" s="99">
        <v>1</v>
      </c>
      <c r="J217" s="99">
        <v>1</v>
      </c>
    </row>
    <row r="218" spans="1:10">
      <c r="B218" s="45" t="s">
        <v>114</v>
      </c>
      <c r="F218" s="100">
        <f>1-F217</f>
        <v>0</v>
      </c>
      <c r="G218" s="100">
        <f>1-G217</f>
        <v>0</v>
      </c>
      <c r="H218" s="100">
        <f>1-H217</f>
        <v>0</v>
      </c>
      <c r="I218" s="100">
        <f>1-I217</f>
        <v>0</v>
      </c>
      <c r="J218" s="100">
        <f>1-J217</f>
        <v>0</v>
      </c>
    </row>
    <row r="220" spans="1:10">
      <c r="A220" s="17" t="s">
        <v>210</v>
      </c>
      <c r="B220" s="22" t="s">
        <v>115</v>
      </c>
      <c r="C220" s="24"/>
      <c r="D220" s="24"/>
      <c r="E220" s="24"/>
      <c r="F220" s="24"/>
      <c r="G220" s="24"/>
      <c r="H220" s="24"/>
      <c r="I220" s="24"/>
      <c r="J220" s="24"/>
    </row>
    <row r="221" spans="1:10">
      <c r="B221" s="64" t="str">
        <f>B13</f>
        <v xml:space="preserve">Fiscal year  </v>
      </c>
      <c r="C221" s="54"/>
      <c r="D221" s="54">
        <f t="shared" ref="D221:J222" si="35">D13</f>
        <v>2015</v>
      </c>
      <c r="E221" s="54">
        <f t="shared" si="35"/>
        <v>2016</v>
      </c>
      <c r="F221" s="55">
        <f t="shared" si="35"/>
        <v>2017</v>
      </c>
      <c r="G221" s="55">
        <f t="shared" si="35"/>
        <v>2018</v>
      </c>
      <c r="H221" s="55">
        <f t="shared" si="35"/>
        <v>2019</v>
      </c>
      <c r="I221" s="55">
        <f t="shared" si="35"/>
        <v>2020</v>
      </c>
      <c r="J221" s="55">
        <f t="shared" si="35"/>
        <v>2021</v>
      </c>
    </row>
    <row r="222" spans="1:10">
      <c r="B222" s="24" t="str">
        <f>B14</f>
        <v>Fiscal year end date</v>
      </c>
      <c r="C222" s="56"/>
      <c r="D222" s="56">
        <f t="shared" si="35"/>
        <v>41181</v>
      </c>
      <c r="E222" s="56">
        <f t="shared" si="35"/>
        <v>42735</v>
      </c>
      <c r="F222" s="56">
        <f t="shared" si="35"/>
        <v>43100</v>
      </c>
      <c r="G222" s="56">
        <f t="shared" si="35"/>
        <v>43465</v>
      </c>
      <c r="H222" s="56">
        <f t="shared" si="35"/>
        <v>43830</v>
      </c>
      <c r="I222" s="56">
        <f t="shared" si="35"/>
        <v>44196</v>
      </c>
      <c r="J222" s="56">
        <f t="shared" si="35"/>
        <v>44561</v>
      </c>
    </row>
    <row r="223" spans="1:10">
      <c r="B223" s="20"/>
    </row>
    <row r="224" spans="1:10">
      <c r="B224" s="34" t="s">
        <v>116</v>
      </c>
    </row>
    <row r="225" spans="2:10">
      <c r="B225" s="45" t="s">
        <v>80</v>
      </c>
      <c r="F225" s="58">
        <f>E228</f>
        <v>823.62899999999991</v>
      </c>
      <c r="G225" s="58">
        <f>F228</f>
        <v>909.67451586666652</v>
      </c>
      <c r="H225" s="58">
        <f>G228</f>
        <v>1005.1035913439135</v>
      </c>
      <c r="I225" s="58">
        <f>H228</f>
        <v>1111.38309995804</v>
      </c>
      <c r="J225" s="58">
        <f>I228</f>
        <v>1231.4789446920031</v>
      </c>
    </row>
    <row r="226" spans="2:10">
      <c r="B226" s="89" t="s">
        <v>117</v>
      </c>
      <c r="F226" s="58">
        <f>F230</f>
        <v>0</v>
      </c>
      <c r="G226" s="58">
        <f t="shared" ref="G226:J227" si="36">G230</f>
        <v>0</v>
      </c>
      <c r="H226" s="58">
        <f t="shared" si="36"/>
        <v>0</v>
      </c>
      <c r="I226" s="58">
        <f t="shared" si="36"/>
        <v>0</v>
      </c>
      <c r="J226" s="58">
        <f t="shared" si="36"/>
        <v>0</v>
      </c>
    </row>
    <row r="227" spans="2:10">
      <c r="B227" s="89" t="s">
        <v>118</v>
      </c>
      <c r="F227" s="58">
        <f>F231</f>
        <v>86.045515866666676</v>
      </c>
      <c r="G227" s="58">
        <f t="shared" si="36"/>
        <v>95.429075477246982</v>
      </c>
      <c r="H227" s="58">
        <f t="shared" si="36"/>
        <v>106.27950861412654</v>
      </c>
      <c r="I227" s="58">
        <f t="shared" si="36"/>
        <v>120.09584473396299</v>
      </c>
      <c r="J227" s="58">
        <f t="shared" si="36"/>
        <v>135.7083045493782</v>
      </c>
    </row>
    <row r="228" spans="2:10">
      <c r="B228" s="45" t="s">
        <v>82</v>
      </c>
      <c r="D228" s="58">
        <f>D104</f>
        <v>636.702</v>
      </c>
      <c r="E228" s="58">
        <f>E104</f>
        <v>823.62899999999991</v>
      </c>
      <c r="F228" s="58">
        <f>SUM(F225:F227)</f>
        <v>909.67451586666652</v>
      </c>
      <c r="G228" s="58">
        <f>SUM(G225:G227)</f>
        <v>1005.1035913439135</v>
      </c>
      <c r="H228" s="58">
        <f>SUM(H225:H227)</f>
        <v>1111.38309995804</v>
      </c>
      <c r="I228" s="58">
        <f>SUM(I225:I227)</f>
        <v>1231.4789446920031</v>
      </c>
      <c r="J228" s="58">
        <f>SUM(J225:J227)</f>
        <v>1367.1872492413813</v>
      </c>
    </row>
    <row r="229" spans="2:10">
      <c r="B229" s="45"/>
    </row>
    <row r="230" spans="2:10">
      <c r="B230" s="45" t="s">
        <v>119</v>
      </c>
      <c r="C230" s="101">
        <v>831</v>
      </c>
      <c r="D230" s="101">
        <v>665</v>
      </c>
      <c r="E230" s="101">
        <v>530</v>
      </c>
      <c r="F230" s="101">
        <v>0</v>
      </c>
      <c r="G230" s="101">
        <v>0</v>
      </c>
      <c r="H230" s="101">
        <v>0</v>
      </c>
      <c r="I230" s="101">
        <v>0</v>
      </c>
      <c r="J230" s="101">
        <v>0</v>
      </c>
    </row>
    <row r="231" spans="2:10">
      <c r="B231" s="45" t="s">
        <v>37</v>
      </c>
      <c r="C231" s="53">
        <f>C45</f>
        <v>0</v>
      </c>
      <c r="D231" s="53">
        <f>D45</f>
        <v>0</v>
      </c>
      <c r="E231" s="53">
        <f>E45</f>
        <v>0</v>
      </c>
      <c r="F231" s="58">
        <f>-(F232*SUM(F17,F19,F20))</f>
        <v>86.045515866666676</v>
      </c>
      <c r="G231" s="58">
        <f>-(G232*SUM(G17,G19,G20))</f>
        <v>95.429075477246982</v>
      </c>
      <c r="H231" s="58">
        <f>-(H232*SUM(H17,H19,H20))</f>
        <v>106.27950861412654</v>
      </c>
      <c r="I231" s="58">
        <f>-(I232*SUM(I17,I19,I20))</f>
        <v>120.09584473396299</v>
      </c>
      <c r="J231" s="58">
        <f>-(J232*SUM(J17,J19,J20))</f>
        <v>135.7083045493782</v>
      </c>
    </row>
    <row r="232" spans="2:10">
      <c r="B232" s="45" t="s">
        <v>120</v>
      </c>
      <c r="C232" s="14">
        <f>-(C231/SUM(D17,D19,D20))</f>
        <v>0</v>
      </c>
      <c r="D232" s="14">
        <f>-(D231/SUM(E17,E19,E20))</f>
        <v>0</v>
      </c>
      <c r="E232" s="14" t="e">
        <f>-(E231/SUM(#REF!,#REF!,#REF!))</f>
        <v>#REF!</v>
      </c>
      <c r="F232" s="60">
        <v>1.7000000000000001E-2</v>
      </c>
      <c r="G232" s="60">
        <v>1.6199999999999999E-2</v>
      </c>
      <c r="H232" s="60">
        <v>1.7000000000000001E-2</v>
      </c>
      <c r="I232" s="60">
        <v>1.7000000000000001E-2</v>
      </c>
      <c r="J232" s="60">
        <v>1.7000000000000001E-2</v>
      </c>
    </row>
    <row r="233" spans="2:10">
      <c r="B233" s="45"/>
    </row>
    <row r="234" spans="2:10">
      <c r="B234" s="34" t="s">
        <v>68</v>
      </c>
    </row>
    <row r="235" spans="2:10">
      <c r="B235" s="45" t="s">
        <v>80</v>
      </c>
      <c r="F235" s="39">
        <f>E237</f>
        <v>0</v>
      </c>
      <c r="G235" s="39">
        <f>F237</f>
        <v>-23968</v>
      </c>
      <c r="H235" s="39">
        <f>G237</f>
        <v>-47936</v>
      </c>
      <c r="I235" s="39">
        <f>H237</f>
        <v>-71904</v>
      </c>
      <c r="J235" s="39">
        <f>I237</f>
        <v>-95872</v>
      </c>
    </row>
    <row r="236" spans="2:10">
      <c r="B236" s="89" t="s">
        <v>121</v>
      </c>
      <c r="F236" s="39">
        <f>F239</f>
        <v>-23968</v>
      </c>
      <c r="G236" s="39">
        <f>G239</f>
        <v>-23968</v>
      </c>
      <c r="H236" s="39">
        <f>H239</f>
        <v>-23968</v>
      </c>
      <c r="I236" s="39">
        <f>I239</f>
        <v>-23968</v>
      </c>
      <c r="J236" s="39">
        <f>J239</f>
        <v>-23968</v>
      </c>
    </row>
    <row r="237" spans="2:10">
      <c r="B237" s="45" t="s">
        <v>82</v>
      </c>
      <c r="D237" s="58">
        <f>D105</f>
        <v>0</v>
      </c>
      <c r="E237" s="58">
        <f>E105</f>
        <v>0</v>
      </c>
      <c r="F237" s="39">
        <f>SUM(F235:F236)</f>
        <v>-23968</v>
      </c>
      <c r="G237" s="39">
        <f>SUM(G235:G236)</f>
        <v>-47936</v>
      </c>
      <c r="H237" s="39">
        <f>SUM(H235:H236)</f>
        <v>-71904</v>
      </c>
      <c r="I237" s="39">
        <f>SUM(I235:I236)</f>
        <v>-95872</v>
      </c>
      <c r="J237" s="39">
        <f>SUM(J235:J236)</f>
        <v>-119840</v>
      </c>
    </row>
    <row r="238" spans="2:10">
      <c r="B238" s="20"/>
    </row>
    <row r="239" spans="2:10">
      <c r="B239" s="89" t="s">
        <v>122</v>
      </c>
      <c r="C239" s="95">
        <v>0</v>
      </c>
      <c r="D239" s="95">
        <v>0</v>
      </c>
      <c r="E239" s="102">
        <v>-22.86</v>
      </c>
      <c r="F239" s="95">
        <v>-23968</v>
      </c>
      <c r="G239" s="95">
        <v>-23968</v>
      </c>
      <c r="H239" s="95">
        <v>-23968</v>
      </c>
      <c r="I239" s="95">
        <v>-23968</v>
      </c>
      <c r="J239" s="95">
        <v>-23968</v>
      </c>
    </row>
    <row r="241" spans="2:10">
      <c r="B241" s="22" t="s">
        <v>123</v>
      </c>
      <c r="C241" s="24"/>
      <c r="D241" s="24"/>
      <c r="E241" s="24"/>
      <c r="F241" s="24"/>
      <c r="G241" s="24"/>
      <c r="H241" s="24"/>
      <c r="I241" s="24"/>
      <c r="J241" s="24"/>
    </row>
    <row r="242" spans="2:10">
      <c r="B242" s="64" t="str">
        <f t="shared" ref="B242:J243" si="37">B13</f>
        <v xml:space="preserve">Fiscal year  </v>
      </c>
      <c r="C242" s="54">
        <f t="shared" si="37"/>
        <v>2014</v>
      </c>
      <c r="D242" s="54">
        <f t="shared" si="37"/>
        <v>2015</v>
      </c>
      <c r="E242" s="54">
        <f t="shared" si="37"/>
        <v>2016</v>
      </c>
      <c r="F242" s="55">
        <f t="shared" si="37"/>
        <v>2017</v>
      </c>
      <c r="G242" s="55">
        <f t="shared" si="37"/>
        <v>2018</v>
      </c>
      <c r="H242" s="55">
        <f t="shared" si="37"/>
        <v>2019</v>
      </c>
      <c r="I242" s="55">
        <f t="shared" si="37"/>
        <v>2020</v>
      </c>
      <c r="J242" s="55">
        <f t="shared" si="37"/>
        <v>2021</v>
      </c>
    </row>
    <row r="243" spans="2:10">
      <c r="B243" s="24" t="str">
        <f t="shared" si="37"/>
        <v>Fiscal year end date</v>
      </c>
      <c r="C243" s="56">
        <f t="shared" si="37"/>
        <v>40810</v>
      </c>
      <c r="D243" s="56">
        <f t="shared" si="37"/>
        <v>41181</v>
      </c>
      <c r="E243" s="56">
        <f t="shared" si="37"/>
        <v>42735</v>
      </c>
      <c r="F243" s="56">
        <f t="shared" si="37"/>
        <v>43100</v>
      </c>
      <c r="G243" s="56">
        <f t="shared" si="37"/>
        <v>43465</v>
      </c>
      <c r="H243" s="56">
        <f t="shared" si="37"/>
        <v>43830</v>
      </c>
      <c r="I243" s="56">
        <f t="shared" si="37"/>
        <v>44196</v>
      </c>
      <c r="J243" s="56">
        <f t="shared" si="37"/>
        <v>44561</v>
      </c>
    </row>
    <row r="244" spans="2:10">
      <c r="B244" s="20"/>
    </row>
    <row r="245" spans="2:10">
      <c r="B245" s="34" t="s">
        <v>124</v>
      </c>
    </row>
    <row r="246" spans="2:10">
      <c r="B246" s="45" t="s">
        <v>80</v>
      </c>
      <c r="F246" s="58">
        <f>E249</f>
        <v>1259.414</v>
      </c>
      <c r="G246" s="58">
        <f>F249</f>
        <v>1389.4138945891664</v>
      </c>
      <c r="H246" s="58">
        <f>G249</f>
        <v>1483.4826207274448</v>
      </c>
      <c r="I246" s="58">
        <f>H249</f>
        <v>1797.5923313845133</v>
      </c>
      <c r="J246" s="58">
        <f>I249</f>
        <v>2152.9005344165012</v>
      </c>
    </row>
    <row r="247" spans="2:10">
      <c r="B247" s="89" t="s">
        <v>125</v>
      </c>
      <c r="F247" s="58">
        <f>F251</f>
        <v>183.09844308333305</v>
      </c>
      <c r="G247" s="58">
        <f>G251</f>
        <v>122.96565508271684</v>
      </c>
      <c r="H247" s="58">
        <f>H251</f>
        <v>410.6009289634884</v>
      </c>
      <c r="I247" s="58">
        <f>I251</f>
        <v>464.45516736207514</v>
      </c>
      <c r="J247" s="58">
        <f>J251</f>
        <v>525.31045675247822</v>
      </c>
    </row>
    <row r="248" spans="2:10">
      <c r="B248" s="89" t="s">
        <v>126</v>
      </c>
      <c r="F248" s="58">
        <f>F253</f>
        <v>-53.098548494166579</v>
      </c>
      <c r="G248" s="58">
        <f>G253</f>
        <v>-28.896928944438454</v>
      </c>
      <c r="H248" s="58">
        <f>H253</f>
        <v>-96.491218306419768</v>
      </c>
      <c r="I248" s="58">
        <f>I253</f>
        <v>-109.14696433008766</v>
      </c>
      <c r="J248" s="58">
        <f>J253</f>
        <v>-123.44795733683237</v>
      </c>
    </row>
    <row r="249" spans="2:10">
      <c r="B249" s="45" t="s">
        <v>82</v>
      </c>
      <c r="D249" s="58">
        <f>D106</f>
        <v>1076.5329999999999</v>
      </c>
      <c r="E249" s="58">
        <f>E106</f>
        <v>1259.414</v>
      </c>
      <c r="F249" s="58">
        <f>SUM(F246:F248)</f>
        <v>1389.4138945891664</v>
      </c>
      <c r="G249" s="58">
        <f>SUM(G246:G248)</f>
        <v>1483.4826207274448</v>
      </c>
      <c r="H249" s="58">
        <f>SUM(H246:H248)</f>
        <v>1797.5923313845133</v>
      </c>
      <c r="I249" s="58">
        <f>SUM(I246:I248)</f>
        <v>2152.9005344165012</v>
      </c>
      <c r="J249" s="58">
        <f>SUM(J246:J248)</f>
        <v>2554.7630338321469</v>
      </c>
    </row>
    <row r="250" spans="2:10">
      <c r="B250" s="20"/>
    </row>
    <row r="251" spans="2:10">
      <c r="B251" s="48" t="s">
        <v>22</v>
      </c>
      <c r="C251" s="58">
        <f>D27</f>
        <v>396.40899999999948</v>
      </c>
      <c r="D251" s="58">
        <f>E27</f>
        <v>514.42130000000031</v>
      </c>
      <c r="E251" s="58" t="e">
        <f>#REF!</f>
        <v>#REF!</v>
      </c>
      <c r="F251" s="58">
        <f t="shared" ref="F251:J251" si="38">F27</f>
        <v>183.09844308333305</v>
      </c>
      <c r="G251" s="58">
        <f t="shared" si="38"/>
        <v>122.96565508271684</v>
      </c>
      <c r="H251" s="58">
        <f t="shared" si="38"/>
        <v>410.6009289634884</v>
      </c>
      <c r="I251" s="58">
        <f t="shared" si="38"/>
        <v>464.45516736207514</v>
      </c>
      <c r="J251" s="58">
        <f t="shared" si="38"/>
        <v>525.31045675247822</v>
      </c>
    </row>
    <row r="252" spans="2:10">
      <c r="B252" s="45" t="s">
        <v>127</v>
      </c>
      <c r="C252" s="14">
        <f>-(C253/C251)</f>
        <v>0</v>
      </c>
      <c r="D252" s="14">
        <f>-(D253/D251)</f>
        <v>4.8365026875831125</v>
      </c>
      <c r="E252" s="14" t="e">
        <f>-(E253/E251)</f>
        <v>#REF!</v>
      </c>
      <c r="F252" s="60">
        <v>0.28999999999999998</v>
      </c>
      <c r="G252" s="60">
        <v>0.23499999999999999</v>
      </c>
      <c r="H252" s="60">
        <f t="shared" ref="H252:J252" si="39">G252</f>
        <v>0.23499999999999999</v>
      </c>
      <c r="I252" s="60">
        <f t="shared" si="39"/>
        <v>0.23499999999999999</v>
      </c>
      <c r="J252" s="60">
        <f t="shared" si="39"/>
        <v>0.23499999999999999</v>
      </c>
    </row>
    <row r="253" spans="2:10">
      <c r="B253" s="48" t="s">
        <v>128</v>
      </c>
      <c r="C253" s="95">
        <v>0</v>
      </c>
      <c r="D253" s="95">
        <v>-2488</v>
      </c>
      <c r="E253" s="95">
        <v>-10564</v>
      </c>
      <c r="F253" s="58">
        <f>-(F252*F251)</f>
        <v>-53.098548494166579</v>
      </c>
      <c r="G253" s="58">
        <f>-(G252*G251)</f>
        <v>-28.896928944438454</v>
      </c>
      <c r="H253" s="58">
        <f>-(H252*H251)</f>
        <v>-96.491218306419768</v>
      </c>
      <c r="I253" s="58">
        <f>-(I252*I251)</f>
        <v>-109.14696433008766</v>
      </c>
      <c r="J253" s="58">
        <f>-(J252*J251)</f>
        <v>-123.44795733683237</v>
      </c>
    </row>
    <row r="254" spans="2:10">
      <c r="B254" s="20"/>
    </row>
    <row r="255" spans="2:10">
      <c r="B255" s="103" t="s">
        <v>70</v>
      </c>
    </row>
    <row r="256" spans="2:10">
      <c r="B256" s="45" t="s">
        <v>80</v>
      </c>
      <c r="F256" s="58">
        <f>E258</f>
        <v>-52.143000000000008</v>
      </c>
      <c r="G256" s="58">
        <f>F258</f>
        <v>-52.143000000000008</v>
      </c>
      <c r="H256" s="58">
        <f>G258</f>
        <v>-52.143000000000008</v>
      </c>
      <c r="I256" s="58">
        <f>H258</f>
        <v>-52.143000000000008</v>
      </c>
      <c r="J256" s="58">
        <f>I258</f>
        <v>-52.143000000000008</v>
      </c>
    </row>
    <row r="257" spans="2:10">
      <c r="B257" s="89" t="s">
        <v>129</v>
      </c>
      <c r="F257" s="95">
        <v>0</v>
      </c>
      <c r="G257" s="95">
        <v>0</v>
      </c>
      <c r="H257" s="95">
        <v>0</v>
      </c>
      <c r="I257" s="95">
        <v>0</v>
      </c>
      <c r="J257" s="95">
        <v>0</v>
      </c>
    </row>
    <row r="258" spans="2:10">
      <c r="B258" s="45" t="s">
        <v>82</v>
      </c>
      <c r="D258" s="58">
        <f>D107</f>
        <v>-45.012999999999998</v>
      </c>
      <c r="E258" s="58">
        <f>E107</f>
        <v>-52.143000000000008</v>
      </c>
      <c r="F258" s="58">
        <f>SUM(F256:F257)</f>
        <v>-52.143000000000008</v>
      </c>
      <c r="G258" s="58">
        <f>SUM(G256:G257)</f>
        <v>-52.143000000000008</v>
      </c>
      <c r="H258" s="58">
        <f>SUM(H256:H257)</f>
        <v>-52.143000000000008</v>
      </c>
      <c r="I258" s="58">
        <f>SUM(I256:I257)</f>
        <v>-52.143000000000008</v>
      </c>
      <c r="J258" s="58">
        <f>SUM(J256:J257)</f>
        <v>-52.143000000000008</v>
      </c>
    </row>
    <row r="259" spans="2:10">
      <c r="E259" s="58"/>
    </row>
    <row r="260" spans="2:10">
      <c r="B260" s="22" t="s">
        <v>130</v>
      </c>
      <c r="C260" s="29"/>
      <c r="D260" s="29"/>
      <c r="E260" s="29"/>
      <c r="F260" s="29"/>
      <c r="G260" s="29"/>
      <c r="H260" s="29"/>
      <c r="I260" s="29"/>
      <c r="J260" s="29"/>
    </row>
    <row r="261" spans="2:10">
      <c r="B261" s="64" t="str">
        <f>B13</f>
        <v xml:space="preserve">Fiscal year  </v>
      </c>
      <c r="C261" s="54"/>
      <c r="D261" s="54">
        <f t="shared" ref="D261:J262" si="40">D13</f>
        <v>2015</v>
      </c>
      <c r="E261" s="54">
        <f t="shared" si="40"/>
        <v>2016</v>
      </c>
      <c r="F261" s="55">
        <f t="shared" si="40"/>
        <v>2017</v>
      </c>
      <c r="G261" s="55">
        <f t="shared" si="40"/>
        <v>2018</v>
      </c>
      <c r="H261" s="55">
        <f t="shared" si="40"/>
        <v>2019</v>
      </c>
      <c r="I261" s="55">
        <f t="shared" si="40"/>
        <v>2020</v>
      </c>
      <c r="J261" s="55">
        <f t="shared" si="40"/>
        <v>2021</v>
      </c>
    </row>
    <row r="262" spans="2:10">
      <c r="B262" s="24" t="str">
        <f>B14</f>
        <v>Fiscal year end date</v>
      </c>
      <c r="C262" s="56"/>
      <c r="D262" s="56">
        <f t="shared" si="40"/>
        <v>41181</v>
      </c>
      <c r="E262" s="56">
        <f t="shared" si="40"/>
        <v>42735</v>
      </c>
      <c r="F262" s="56">
        <f t="shared" si="40"/>
        <v>43100</v>
      </c>
      <c r="G262" s="56">
        <f t="shared" si="40"/>
        <v>43465</v>
      </c>
      <c r="H262" s="56">
        <f t="shared" si="40"/>
        <v>43830</v>
      </c>
      <c r="I262" s="56">
        <f t="shared" si="40"/>
        <v>44196</v>
      </c>
      <c r="J262" s="56">
        <f t="shared" si="40"/>
        <v>44561</v>
      </c>
    </row>
    <row r="264" spans="2:10">
      <c r="B264" s="20" t="s">
        <v>22</v>
      </c>
      <c r="C264" s="104"/>
      <c r="D264" s="104"/>
      <c r="E264" s="104"/>
      <c r="F264" s="37">
        <f>F27</f>
        <v>183.09844308333305</v>
      </c>
      <c r="G264" s="37">
        <f>G27</f>
        <v>122.96565508271684</v>
      </c>
      <c r="H264" s="37">
        <f>H27</f>
        <v>410.6009289634884</v>
      </c>
      <c r="I264" s="37">
        <f>I27</f>
        <v>464.45516736207514</v>
      </c>
      <c r="J264" s="37">
        <f>J27</f>
        <v>525.31045675247822</v>
      </c>
    </row>
    <row r="265" spans="2:10">
      <c r="B265" s="20" t="s">
        <v>131</v>
      </c>
      <c r="C265" s="104"/>
      <c r="D265" s="104"/>
      <c r="E265" s="104"/>
      <c r="F265" s="78">
        <f>F44</f>
        <v>0</v>
      </c>
      <c r="G265" s="78">
        <f>G44</f>
        <v>0</v>
      </c>
      <c r="H265" s="78">
        <f>H44</f>
        <v>0</v>
      </c>
      <c r="I265" s="78">
        <f>I44</f>
        <v>0</v>
      </c>
      <c r="J265" s="78">
        <f>J44</f>
        <v>0</v>
      </c>
    </row>
    <row r="266" spans="2:10">
      <c r="B266" s="20" t="s">
        <v>37</v>
      </c>
      <c r="C266" s="104"/>
      <c r="D266" s="104"/>
      <c r="E266" s="104"/>
      <c r="F266" s="37">
        <f>F227</f>
        <v>86.045515866666676</v>
      </c>
      <c r="G266" s="37">
        <f>G227</f>
        <v>95.429075477246982</v>
      </c>
      <c r="H266" s="37">
        <f>H227</f>
        <v>106.27950861412654</v>
      </c>
      <c r="I266" s="37">
        <f>I227</f>
        <v>120.09584473396299</v>
      </c>
      <c r="J266" s="37">
        <f>J227</f>
        <v>135.7083045493782</v>
      </c>
    </row>
    <row r="267" spans="2:10">
      <c r="B267" s="20" t="s">
        <v>53</v>
      </c>
      <c r="C267" s="37"/>
      <c r="D267" s="37"/>
      <c r="E267" s="37"/>
      <c r="F267" s="37">
        <f>-(F125)</f>
        <v>219.1663606250001</v>
      </c>
      <c r="G267" s="37">
        <f>-(G125)</f>
        <v>-58.537103951999995</v>
      </c>
      <c r="H267" s="37">
        <f>-(H125)</f>
        <v>-60.067246632509864</v>
      </c>
      <c r="I267" s="37">
        <f>-(I125)</f>
        <v>-67.875988694736293</v>
      </c>
      <c r="J267" s="37">
        <f>-(J125)</f>
        <v>-76.699867225052003</v>
      </c>
    </row>
    <row r="268" spans="2:10">
      <c r="B268" s="20" t="s">
        <v>54</v>
      </c>
      <c r="E268" s="58"/>
      <c r="F268" s="37">
        <f>-(F133)</f>
        <v>884.34617866666667</v>
      </c>
      <c r="G268" s="37">
        <f>-(G133)</f>
        <v>-11.601629599386662</v>
      </c>
      <c r="H268" s="37">
        <f>-(H133)</f>
        <v>-5.8170386212535945</v>
      </c>
      <c r="I268" s="37">
        <f>-(I133)</f>
        <v>-6.573253642016553</v>
      </c>
      <c r="J268" s="37">
        <f>-(J133)</f>
        <v>-7.4277766154787273</v>
      </c>
    </row>
    <row r="269" spans="2:10">
      <c r="B269" s="20" t="s">
        <v>61</v>
      </c>
      <c r="F269" s="37">
        <f>F141</f>
        <v>10.8459206666667</v>
      </c>
      <c r="G269" s="37">
        <f>G141</f>
        <v>158.38228827539814</v>
      </c>
      <c r="H269" s="37">
        <f>H141</f>
        <v>75.257937162468465</v>
      </c>
      <c r="I269" s="37">
        <f>I141</f>
        <v>85.041468993589206</v>
      </c>
      <c r="J269" s="37">
        <f>J141</f>
        <v>96.096859962755957</v>
      </c>
    </row>
    <row r="270" spans="2:10">
      <c r="B270" s="20" t="s">
        <v>90</v>
      </c>
      <c r="F270" s="37">
        <f>F149</f>
        <v>506.82305382499999</v>
      </c>
      <c r="G270" s="37">
        <f>G149</f>
        <v>56.546411997749942</v>
      </c>
      <c r="H270" s="37">
        <f>H149</f>
        <v>59.155294507522399</v>
      </c>
      <c r="I270" s="37">
        <f>I149</f>
        <v>69.249996563050672</v>
      </c>
      <c r="J270" s="37">
        <f>J149</f>
        <v>64.434098984608454</v>
      </c>
    </row>
    <row r="271" spans="2:10">
      <c r="B271" s="20" t="s">
        <v>56</v>
      </c>
      <c r="F271" s="37">
        <f>-(F186)</f>
        <v>0</v>
      </c>
      <c r="G271" s="37">
        <f>-(G186)</f>
        <v>0</v>
      </c>
      <c r="H271" s="37">
        <f>-(H186)</f>
        <v>0</v>
      </c>
      <c r="I271" s="37">
        <f>-(I186)</f>
        <v>0</v>
      </c>
      <c r="J271" s="37">
        <f>-(J186)</f>
        <v>0</v>
      </c>
    </row>
    <row r="272" spans="2:10">
      <c r="B272" s="36" t="s">
        <v>105</v>
      </c>
      <c r="F272" s="37">
        <f>-(F191)</f>
        <v>0</v>
      </c>
      <c r="G272" s="37">
        <f>-(G191)</f>
        <v>0</v>
      </c>
      <c r="H272" s="37">
        <f>-(H191)</f>
        <v>0</v>
      </c>
      <c r="I272" s="37">
        <f>-(I191)</f>
        <v>0</v>
      </c>
      <c r="J272" s="37">
        <f>-(J191)</f>
        <v>0</v>
      </c>
    </row>
    <row r="273" spans="2:10">
      <c r="B273" s="36" t="s">
        <v>59</v>
      </c>
      <c r="F273" s="37">
        <f>-(F196)</f>
        <v>0</v>
      </c>
      <c r="G273" s="37">
        <f>-(G196)</f>
        <v>0</v>
      </c>
      <c r="H273" s="37">
        <f>-(H196)</f>
        <v>0</v>
      </c>
      <c r="I273" s="37">
        <f>-(I196)</f>
        <v>0</v>
      </c>
      <c r="J273" s="37">
        <f>-(J196)</f>
        <v>0</v>
      </c>
    </row>
    <row r="274" spans="2:10">
      <c r="B274" s="20" t="s">
        <v>106</v>
      </c>
      <c r="F274" s="37">
        <f>F201</f>
        <v>3000</v>
      </c>
      <c r="G274" s="37">
        <f>G201</f>
        <v>3000</v>
      </c>
      <c r="H274" s="37">
        <f>H201</f>
        <v>3000</v>
      </c>
      <c r="I274" s="37">
        <f>I201</f>
        <v>3000</v>
      </c>
      <c r="J274" s="37">
        <f>J201</f>
        <v>3000</v>
      </c>
    </row>
    <row r="275" spans="2:10">
      <c r="B275" s="20" t="s">
        <v>132</v>
      </c>
      <c r="F275" s="37">
        <f>F211</f>
        <v>0</v>
      </c>
      <c r="G275" s="37">
        <f>G211</f>
        <v>0</v>
      </c>
      <c r="H275" s="37">
        <f>H211</f>
        <v>0</v>
      </c>
      <c r="I275" s="37">
        <f>I211</f>
        <v>0</v>
      </c>
      <c r="J275" s="37">
        <f>J211</f>
        <v>0</v>
      </c>
    </row>
    <row r="276" spans="2:10">
      <c r="B276" s="34" t="s">
        <v>133</v>
      </c>
      <c r="F276" s="105">
        <f>SUM(F264:F275)</f>
        <v>4890.3254727333333</v>
      </c>
      <c r="G276" s="105">
        <f>SUM(G264:G275)</f>
        <v>3363.1846972817252</v>
      </c>
      <c r="H276" s="105">
        <f>SUM(H264:H275)</f>
        <v>3585.4093839938423</v>
      </c>
      <c r="I276" s="105">
        <f>SUM(I264:I275)</f>
        <v>3664.3932353159253</v>
      </c>
      <c r="J276" s="105">
        <f>SUM(J264:J275)</f>
        <v>3737.4220764086904</v>
      </c>
    </row>
    <row r="277" spans="2:10">
      <c r="B277" s="20"/>
    </row>
    <row r="278" spans="2:10">
      <c r="B278" s="20" t="s">
        <v>134</v>
      </c>
      <c r="F278" s="58">
        <f>-(F171)</f>
        <v>-269.01242625000003</v>
      </c>
      <c r="G278" s="58">
        <f>-(G171)</f>
        <v>-346.54180749525</v>
      </c>
      <c r="H278" s="58">
        <f>-(H171)</f>
        <v>-391.59224246963242</v>
      </c>
      <c r="I278" s="58">
        <f>-(I171)</f>
        <v>-442.49923399068462</v>
      </c>
      <c r="J278" s="58">
        <f>-(J171)</f>
        <v>-500.02413440947362</v>
      </c>
    </row>
    <row r="279" spans="2:10">
      <c r="B279" s="20" t="s">
        <v>135</v>
      </c>
      <c r="F279" s="58">
        <f>-(F159)</f>
        <v>0</v>
      </c>
      <c r="G279" s="58">
        <f>-(G159)</f>
        <v>0</v>
      </c>
      <c r="H279" s="58">
        <f>-(H159)</f>
        <v>0</v>
      </c>
      <c r="I279" s="58">
        <f>-(I159)</f>
        <v>0</v>
      </c>
      <c r="J279" s="58">
        <f>-(J159)</f>
        <v>0</v>
      </c>
    </row>
    <row r="280" spans="2:10">
      <c r="B280" s="34" t="s">
        <v>136</v>
      </c>
      <c r="F280" s="106">
        <f>SUM(F278:F279)</f>
        <v>-269.01242625000003</v>
      </c>
      <c r="G280" s="106">
        <f>SUM(G278:G279)</f>
        <v>-346.54180749525</v>
      </c>
      <c r="H280" s="106">
        <f>SUM(H278:H279)</f>
        <v>-391.59224246963242</v>
      </c>
      <c r="I280" s="106">
        <f>SUM(I278:I279)</f>
        <v>-442.49923399068462</v>
      </c>
      <c r="J280" s="106">
        <f>SUM(J278:J279)</f>
        <v>-500.02413440947362</v>
      </c>
    </row>
    <row r="281" spans="2:10">
      <c r="B281" s="20"/>
    </row>
    <row r="282" spans="2:10">
      <c r="B282" s="20" t="s">
        <v>64</v>
      </c>
      <c r="F282" s="58">
        <f>F210</f>
        <v>0</v>
      </c>
      <c r="G282" s="58">
        <f>G210</f>
        <v>0</v>
      </c>
      <c r="H282" s="58">
        <f>H210</f>
        <v>-2500</v>
      </c>
      <c r="I282" s="58">
        <f>I210</f>
        <v>0</v>
      </c>
      <c r="J282" s="58">
        <f>J210</f>
        <v>-6000</v>
      </c>
    </row>
    <row r="283" spans="2:10">
      <c r="B283" s="20" t="s">
        <v>128</v>
      </c>
      <c r="F283" s="58">
        <f>F248</f>
        <v>-53.098548494166579</v>
      </c>
      <c r="G283" s="58">
        <f>G248</f>
        <v>-28.896928944438454</v>
      </c>
      <c r="H283" s="58">
        <f>H248</f>
        <v>-96.491218306419768</v>
      </c>
      <c r="I283" s="58">
        <f>I248</f>
        <v>-109.14696433008766</v>
      </c>
      <c r="J283" s="58">
        <f>J248</f>
        <v>-123.44795733683237</v>
      </c>
    </row>
    <row r="284" spans="2:10">
      <c r="B284" s="36" t="s">
        <v>137</v>
      </c>
      <c r="F284" s="58">
        <f>F226</f>
        <v>0</v>
      </c>
      <c r="G284" s="58">
        <f>G226</f>
        <v>0</v>
      </c>
      <c r="H284" s="58">
        <f>H226</f>
        <v>0</v>
      </c>
      <c r="I284" s="58">
        <f>I226</f>
        <v>0</v>
      </c>
      <c r="J284" s="58">
        <f>J226</f>
        <v>0</v>
      </c>
    </row>
    <row r="285" spans="2:10">
      <c r="B285" s="36" t="s">
        <v>138</v>
      </c>
      <c r="F285" s="39">
        <f>F236</f>
        <v>-23968</v>
      </c>
      <c r="G285" s="39">
        <f>G236</f>
        <v>-23968</v>
      </c>
      <c r="H285" s="39">
        <f>H236</f>
        <v>-23968</v>
      </c>
      <c r="I285" s="39">
        <f>I236</f>
        <v>-23968</v>
      </c>
      <c r="J285" s="39">
        <f>J236</f>
        <v>-23968</v>
      </c>
    </row>
    <row r="286" spans="2:10">
      <c r="B286" s="36" t="s">
        <v>70</v>
      </c>
      <c r="F286" s="58">
        <f>F257</f>
        <v>0</v>
      </c>
      <c r="G286" s="58">
        <f>G257</f>
        <v>0</v>
      </c>
      <c r="H286" s="58">
        <f>H257</f>
        <v>0</v>
      </c>
      <c r="I286" s="58">
        <f>I257</f>
        <v>0</v>
      </c>
      <c r="J286" s="58">
        <f>J257</f>
        <v>0</v>
      </c>
    </row>
    <row r="287" spans="2:10">
      <c r="B287" s="20" t="s">
        <v>63</v>
      </c>
      <c r="F287" s="37">
        <f>F298</f>
        <v>24149.315502010832</v>
      </c>
      <c r="G287" s="37">
        <f>G298</f>
        <v>20980.254039157964</v>
      </c>
      <c r="H287" s="37">
        <f>H298</f>
        <v>23370.674076782208</v>
      </c>
      <c r="I287" s="37">
        <f>I298</f>
        <v>20855.252963004848</v>
      </c>
      <c r="J287" s="37">
        <f>J298</f>
        <v>26854.050015337616</v>
      </c>
    </row>
    <row r="288" spans="2:10">
      <c r="B288" s="34" t="s">
        <v>139</v>
      </c>
      <c r="F288" s="106">
        <f>SUM(F282:F287)</f>
        <v>128.21695351666494</v>
      </c>
      <c r="G288" s="106">
        <f>SUM(G282:G287)</f>
        <v>-3016.6428897864753</v>
      </c>
      <c r="H288" s="106">
        <f>SUM(H282:H287)</f>
        <v>-3193.8171415242105</v>
      </c>
      <c r="I288" s="106">
        <f>SUM(I282:I287)</f>
        <v>-3221.8940013252395</v>
      </c>
      <c r="J288" s="106">
        <f>SUM(J282:J287)</f>
        <v>-3237.3979419992174</v>
      </c>
    </row>
    <row r="290" spans="2:10">
      <c r="B290" s="42" t="s">
        <v>140</v>
      </c>
      <c r="F290" s="106">
        <f>F276+F280+F288</f>
        <v>4749.5299999999979</v>
      </c>
      <c r="G290" s="106">
        <f>G276+G280+G288</f>
        <v>0</v>
      </c>
      <c r="H290" s="106">
        <f>H276+H280+H288</f>
        <v>0</v>
      </c>
      <c r="I290" s="106">
        <f>I276+I280+I288</f>
        <v>0</v>
      </c>
      <c r="J290" s="106">
        <f>J276+J280+J288</f>
        <v>0</v>
      </c>
    </row>
    <row r="292" spans="2:10">
      <c r="B292" s="22" t="s">
        <v>141</v>
      </c>
      <c r="C292" s="24"/>
      <c r="D292" s="24"/>
      <c r="E292" s="24"/>
      <c r="F292" s="24"/>
      <c r="G292" s="24"/>
      <c r="H292" s="24"/>
      <c r="I292" s="24"/>
      <c r="J292" s="24"/>
    </row>
    <row r="293" spans="2:10">
      <c r="B293" s="64" t="str">
        <f>B13</f>
        <v xml:space="preserve">Fiscal year  </v>
      </c>
      <c r="C293" s="54"/>
      <c r="D293" s="54">
        <f t="shared" ref="D293:J294" si="41">D13</f>
        <v>2015</v>
      </c>
      <c r="E293" s="54">
        <f t="shared" si="41"/>
        <v>2016</v>
      </c>
      <c r="F293" s="55">
        <f t="shared" si="41"/>
        <v>2017</v>
      </c>
      <c r="G293" s="55">
        <f t="shared" si="41"/>
        <v>2018</v>
      </c>
      <c r="H293" s="55">
        <f t="shared" si="41"/>
        <v>2019</v>
      </c>
      <c r="I293" s="55">
        <f t="shared" si="41"/>
        <v>2020</v>
      </c>
      <c r="J293" s="55">
        <f t="shared" si="41"/>
        <v>2021</v>
      </c>
    </row>
    <row r="294" spans="2:10">
      <c r="B294" s="24" t="str">
        <f>B14</f>
        <v>Fiscal year end date</v>
      </c>
      <c r="C294" s="56"/>
      <c r="D294" s="56">
        <f t="shared" si="41"/>
        <v>41181</v>
      </c>
      <c r="E294" s="56">
        <f t="shared" si="41"/>
        <v>42735</v>
      </c>
      <c r="F294" s="56">
        <f t="shared" si="41"/>
        <v>43100</v>
      </c>
      <c r="G294" s="56">
        <f t="shared" si="41"/>
        <v>43465</v>
      </c>
      <c r="H294" s="56">
        <f t="shared" si="41"/>
        <v>43830</v>
      </c>
      <c r="I294" s="56">
        <f t="shared" si="41"/>
        <v>44196</v>
      </c>
      <c r="J294" s="56">
        <f t="shared" si="41"/>
        <v>44561</v>
      </c>
    </row>
    <row r="295" spans="2:10">
      <c r="B295" s="34"/>
    </row>
    <row r="296" spans="2:10">
      <c r="B296" s="34" t="s">
        <v>63</v>
      </c>
    </row>
    <row r="297" spans="2:10">
      <c r="B297" s="45" t="s">
        <v>80</v>
      </c>
      <c r="F297" s="58">
        <f>E299</f>
        <v>0</v>
      </c>
      <c r="G297" s="58">
        <f>F299</f>
        <v>24149.315502010832</v>
      </c>
      <c r="H297" s="58">
        <f>G299</f>
        <v>45129.569541168792</v>
      </c>
      <c r="I297" s="58">
        <f>H299</f>
        <v>68500.243617950997</v>
      </c>
      <c r="J297" s="58">
        <f>I299</f>
        <v>89355.496580955849</v>
      </c>
    </row>
    <row r="298" spans="2:10">
      <c r="B298" s="89" t="s">
        <v>81</v>
      </c>
      <c r="F298" s="58">
        <f>-MIN(F309,F297)</f>
        <v>24149.315502010832</v>
      </c>
      <c r="G298" s="58">
        <f>-MIN(G309,G297)</f>
        <v>20980.254039157964</v>
      </c>
      <c r="H298" s="58">
        <f>-MIN(H309,H297)</f>
        <v>23370.674076782208</v>
      </c>
      <c r="I298" s="58">
        <f>-MIN(I309,I297)</f>
        <v>20855.252963004848</v>
      </c>
      <c r="J298" s="58">
        <f>-MIN(J309,J297)</f>
        <v>26854.050015337616</v>
      </c>
    </row>
    <row r="299" spans="2:10">
      <c r="B299" s="45" t="s">
        <v>82</v>
      </c>
      <c r="D299" s="58">
        <f>D99</f>
        <v>0</v>
      </c>
      <c r="E299" s="58">
        <f>E99</f>
        <v>0</v>
      </c>
      <c r="F299" s="58">
        <f>SUM(F297:F298)</f>
        <v>24149.315502010832</v>
      </c>
      <c r="G299" s="58">
        <f>SUM(G297:G298)</f>
        <v>45129.569541168792</v>
      </c>
      <c r="H299" s="58">
        <f>SUM(H297:H298)</f>
        <v>68500.243617950997</v>
      </c>
      <c r="I299" s="58">
        <f>SUM(I297:I298)</f>
        <v>89355.496580955849</v>
      </c>
      <c r="J299" s="58">
        <f>SUM(J297:J298)</f>
        <v>116209.54659629347</v>
      </c>
    </row>
    <row r="300" spans="2:10">
      <c r="B300" s="45"/>
    </row>
    <row r="301" spans="2:10">
      <c r="B301" s="45" t="s">
        <v>142</v>
      </c>
      <c r="F301" s="58">
        <f>F88+F89</f>
        <v>436.66346070833328</v>
      </c>
      <c r="G301" s="58">
        <f>G88+G89</f>
        <v>506.80219425971995</v>
      </c>
      <c r="H301" s="58">
        <f>H88+H89</f>
        <v>572.68647951348339</v>
      </c>
      <c r="I301" s="58">
        <f>I88+I89</f>
        <v>647.13572185023622</v>
      </c>
      <c r="J301" s="58">
        <f>J88+J89</f>
        <v>731.26336569076693</v>
      </c>
    </row>
    <row r="302" spans="2:10">
      <c r="B302" s="45" t="s">
        <v>143</v>
      </c>
      <c r="F302" s="17" t="str">
        <f>IF(F299&gt;F301,"OVERDRAWN","OK")</f>
        <v>OVERDRAWN</v>
      </c>
      <c r="G302" s="17" t="str">
        <f>IF(G299&gt;G301,"OVERDRAWN","OK")</f>
        <v>OVERDRAWN</v>
      </c>
      <c r="H302" s="17" t="str">
        <f>IF(H299&gt;H301,"OVERDRAWN","OK")</f>
        <v>OVERDRAWN</v>
      </c>
      <c r="I302" s="17" t="str">
        <f>IF(I299&gt;I301,"OVERDRAWN","OK")</f>
        <v>OVERDRAWN</v>
      </c>
      <c r="J302" s="17" t="str">
        <f>IF(J299&gt;J301,"OVERDRAWN","OK")</f>
        <v>OVERDRAWN</v>
      </c>
    </row>
    <row r="303" spans="2:10">
      <c r="B303" s="20"/>
    </row>
    <row r="304" spans="2:10">
      <c r="B304" s="107" t="s">
        <v>144</v>
      </c>
    </row>
    <row r="305" spans="2:10">
      <c r="B305" s="45" t="s">
        <v>80</v>
      </c>
      <c r="F305" s="58">
        <f>E87</f>
        <v>250.46999999999997</v>
      </c>
      <c r="G305" s="58">
        <f>F87</f>
        <v>4999.9999999999982</v>
      </c>
      <c r="H305" s="58">
        <f>G87</f>
        <v>4999.9999999999982</v>
      </c>
      <c r="I305" s="58">
        <f>H87</f>
        <v>4999.9999999999982</v>
      </c>
      <c r="J305" s="58">
        <f>I87</f>
        <v>4999.9999999999982</v>
      </c>
    </row>
    <row r="306" spans="2:10">
      <c r="B306" s="45" t="s">
        <v>145</v>
      </c>
      <c r="F306" s="95">
        <v>5000</v>
      </c>
      <c r="G306" s="95">
        <v>5000</v>
      </c>
      <c r="H306" s="95">
        <v>5000</v>
      </c>
      <c r="I306" s="95">
        <v>5000</v>
      </c>
      <c r="J306" s="95">
        <v>5000</v>
      </c>
    </row>
    <row r="307" spans="2:10">
      <c r="B307" s="45" t="s">
        <v>146</v>
      </c>
      <c r="F307" s="58">
        <f>F305-F306</f>
        <v>-4749.53</v>
      </c>
      <c r="G307" s="58">
        <f>G305-G306</f>
        <v>0</v>
      </c>
      <c r="H307" s="58">
        <f>H305-H306</f>
        <v>0</v>
      </c>
      <c r="I307" s="58">
        <f>I305-I306</f>
        <v>0</v>
      </c>
      <c r="J307" s="58">
        <f>J305-J306</f>
        <v>0</v>
      </c>
    </row>
    <row r="308" spans="2:10">
      <c r="B308" s="45" t="s">
        <v>147</v>
      </c>
      <c r="F308" s="58">
        <f>SUM(F276,F280,F282:F286)</f>
        <v>-19399.785502010833</v>
      </c>
      <c r="G308" s="58">
        <f>SUM(G276,G280,G282:G286)</f>
        <v>-20980.254039157964</v>
      </c>
      <c r="H308" s="58">
        <f>SUM(H276,H280,H282:H286)</f>
        <v>-23370.674076782208</v>
      </c>
      <c r="I308" s="58">
        <f>SUM(I276,I280,I282:I286)</f>
        <v>-20855.252963004848</v>
      </c>
      <c r="J308" s="58">
        <f>SUM(J276,J280,J282:J286)</f>
        <v>-26854.050015337616</v>
      </c>
    </row>
    <row r="309" spans="2:10">
      <c r="B309" s="108" t="s">
        <v>148</v>
      </c>
      <c r="F309" s="58">
        <f>SUM(F307:F308)</f>
        <v>-24149.315502010832</v>
      </c>
      <c r="G309" s="58">
        <f>SUM(G307:G308)</f>
        <v>-20980.254039157964</v>
      </c>
      <c r="H309" s="58">
        <f>SUM(H307:H308)</f>
        <v>-23370.674076782208</v>
      </c>
      <c r="I309" s="58">
        <f>SUM(I307:I308)</f>
        <v>-20855.252963004848</v>
      </c>
      <c r="J309" s="58">
        <f>SUM(J307:J308)</f>
        <v>-26854.050015337616</v>
      </c>
    </row>
    <row r="310" spans="2:10">
      <c r="B310" s="20"/>
    </row>
    <row r="311" spans="2:10">
      <c r="B311" s="45" t="s">
        <v>149</v>
      </c>
      <c r="F311" s="99">
        <v>0.02</v>
      </c>
      <c r="G311" s="99">
        <v>0.02</v>
      </c>
      <c r="H311" s="99">
        <v>0.02</v>
      </c>
      <c r="I311" s="99">
        <v>0.02</v>
      </c>
      <c r="J311" s="99">
        <v>0.02</v>
      </c>
    </row>
    <row r="312" spans="2:10">
      <c r="B312" s="45" t="s">
        <v>150</v>
      </c>
      <c r="F312" s="39">
        <f>IF($C$10="OFF",F311*AVERAGE(F297,F299),0)</f>
        <v>241.49315502010833</v>
      </c>
      <c r="G312" s="39">
        <f>IF($C$10="OFF",G311*AVERAGE(G297,G299),0)</f>
        <v>692.78885043179616</v>
      </c>
      <c r="H312" s="39">
        <f>IF($C$10="OFF",H311*AVERAGE(H297,H299),0)</f>
        <v>1136.2981315911979</v>
      </c>
      <c r="I312" s="39">
        <f>IF($C$10="OFF",I311*AVERAGE(I297,I299),0)</f>
        <v>1578.5574019890687</v>
      </c>
      <c r="J312" s="39">
        <f>IF($C$10="OFF",J311*AVERAGE(J297,J299),0)</f>
        <v>2055.650431772493</v>
      </c>
    </row>
    <row r="314" spans="2:10">
      <c r="B314" s="71" t="s">
        <v>151</v>
      </c>
    </row>
    <row r="315" spans="2:10">
      <c r="B315" s="45" t="s">
        <v>80</v>
      </c>
      <c r="F315" s="58">
        <f>E317</f>
        <v>250.46999999999997</v>
      </c>
      <c r="G315" s="58">
        <f>F317</f>
        <v>4999.9999999999982</v>
      </c>
      <c r="H315" s="58">
        <f>G317</f>
        <v>4999.9999999999982</v>
      </c>
      <c r="I315" s="58">
        <f>H317</f>
        <v>4999.9999999999982</v>
      </c>
      <c r="J315" s="58">
        <f>I317</f>
        <v>4999.9999999999982</v>
      </c>
    </row>
    <row r="316" spans="2:10">
      <c r="B316" s="109" t="s">
        <v>152</v>
      </c>
      <c r="F316" s="58">
        <f>F317-F315</f>
        <v>4749.5299999999979</v>
      </c>
      <c r="G316" s="58">
        <f>G317-G315</f>
        <v>0</v>
      </c>
      <c r="H316" s="58">
        <f>H317-H315</f>
        <v>0</v>
      </c>
      <c r="I316" s="58">
        <f>I317-I315</f>
        <v>0</v>
      </c>
      <c r="J316" s="58">
        <f>J317-J315</f>
        <v>0</v>
      </c>
    </row>
    <row r="317" spans="2:10">
      <c r="B317" s="45" t="s">
        <v>82</v>
      </c>
      <c r="D317" s="58">
        <f t="shared" ref="D317:J317" si="42">D87</f>
        <v>129.852</v>
      </c>
      <c r="E317" s="58">
        <f t="shared" si="42"/>
        <v>250.46999999999997</v>
      </c>
      <c r="F317" s="58">
        <f t="shared" si="42"/>
        <v>4999.9999999999982</v>
      </c>
      <c r="G317" s="58">
        <f t="shared" si="42"/>
        <v>4999.9999999999982</v>
      </c>
      <c r="H317" s="58">
        <f t="shared" si="42"/>
        <v>4999.9999999999982</v>
      </c>
      <c r="I317" s="58">
        <f t="shared" si="42"/>
        <v>4999.9999999999982</v>
      </c>
      <c r="J317" s="58">
        <f t="shared" si="42"/>
        <v>4999.9999999999982</v>
      </c>
    </row>
    <row r="318" spans="2:10">
      <c r="B318" s="45"/>
    </row>
    <row r="319" spans="2:10">
      <c r="B319" s="45" t="s">
        <v>153</v>
      </c>
      <c r="D319" s="110">
        <v>7.7000000000000002E-3</v>
      </c>
      <c r="E319" s="111">
        <v>1.03E-2</v>
      </c>
      <c r="F319" s="112">
        <f>E319</f>
        <v>1.03E-2</v>
      </c>
      <c r="G319" s="112">
        <f>F319</f>
        <v>1.03E-2</v>
      </c>
      <c r="H319" s="112">
        <f>G319</f>
        <v>1.03E-2</v>
      </c>
      <c r="I319" s="112">
        <f>H319</f>
        <v>1.03E-2</v>
      </c>
      <c r="J319" s="112">
        <f>I319</f>
        <v>1.03E-2</v>
      </c>
    </row>
    <row r="320" spans="2:10">
      <c r="B320" s="45" t="s">
        <v>17</v>
      </c>
      <c r="C320" s="58">
        <f>D22</f>
        <v>164</v>
      </c>
      <c r="D320" s="58">
        <f>E22</f>
        <v>257.7</v>
      </c>
      <c r="E320" s="58" t="e">
        <f>#REF!</f>
        <v>#REF!</v>
      </c>
      <c r="F320" s="113">
        <f>IF($C$10="OFF",AVERAGE(F315,F317)*F319,0)</f>
        <v>27.039920499999994</v>
      </c>
      <c r="G320" s="113">
        <f>IF($C$10="OFF",AVERAGE(G315,G317)*G319,0)</f>
        <v>51.499999999999979</v>
      </c>
      <c r="H320" s="113">
        <f>IF($C$10="OFF",AVERAGE(H315,H317)*H319,0)</f>
        <v>51.499999999999979</v>
      </c>
      <c r="I320" s="113">
        <f>IF($C$10="OFF",AVERAGE(I315,I317)*I319,0)</f>
        <v>51.499999999999979</v>
      </c>
      <c r="J320" s="113">
        <f>IF($C$10="OFF",AVERAGE(J315,J317)*J319,0)</f>
        <v>51.499999999999979</v>
      </c>
    </row>
    <row r="322" spans="2:10">
      <c r="B322" s="22" t="s">
        <v>154</v>
      </c>
      <c r="C322" s="22"/>
      <c r="D322" s="22"/>
      <c r="E322" s="22"/>
      <c r="F322" s="22"/>
      <c r="G322" s="22"/>
      <c r="H322" s="22"/>
      <c r="I322" s="22"/>
      <c r="J322" s="22"/>
    </row>
    <row r="323" spans="2:10">
      <c r="B323" s="64" t="str">
        <f>B13</f>
        <v xml:space="preserve">Fiscal year  </v>
      </c>
      <c r="C323" s="54"/>
      <c r="D323" s="54">
        <f t="shared" ref="D323:J324" si="43">D13</f>
        <v>2015</v>
      </c>
      <c r="E323" s="54">
        <f t="shared" si="43"/>
        <v>2016</v>
      </c>
      <c r="F323" s="55">
        <f t="shared" si="43"/>
        <v>2017</v>
      </c>
      <c r="G323" s="55">
        <f t="shared" si="43"/>
        <v>2018</v>
      </c>
      <c r="H323" s="55">
        <f t="shared" si="43"/>
        <v>2019</v>
      </c>
      <c r="I323" s="55">
        <f t="shared" si="43"/>
        <v>2020</v>
      </c>
      <c r="J323" s="55">
        <f t="shared" si="43"/>
        <v>2021</v>
      </c>
    </row>
    <row r="324" spans="2:10">
      <c r="B324" s="24" t="str">
        <f>B14</f>
        <v>Fiscal year end date</v>
      </c>
      <c r="C324" s="56"/>
      <c r="D324" s="56">
        <f t="shared" si="43"/>
        <v>41181</v>
      </c>
      <c r="E324" s="56">
        <f t="shared" si="43"/>
        <v>42735</v>
      </c>
      <c r="F324" s="56">
        <f t="shared" si="43"/>
        <v>43100</v>
      </c>
      <c r="G324" s="56">
        <f t="shared" si="43"/>
        <v>43465</v>
      </c>
      <c r="H324" s="56">
        <f t="shared" si="43"/>
        <v>43830</v>
      </c>
      <c r="I324" s="56">
        <f t="shared" si="43"/>
        <v>44196</v>
      </c>
      <c r="J324" s="56">
        <f t="shared" si="43"/>
        <v>44561</v>
      </c>
    </row>
    <row r="326" spans="2:10">
      <c r="B326" s="34" t="s">
        <v>23</v>
      </c>
    </row>
    <row r="327" spans="2:10">
      <c r="B327" s="20" t="s">
        <v>80</v>
      </c>
      <c r="F327" s="53">
        <f>E330</f>
        <v>438.530462</v>
      </c>
      <c r="G327" s="53" t="e">
        <f>F330</f>
        <v>#DIV/0!</v>
      </c>
      <c r="H327" s="53" t="e">
        <f>G330</f>
        <v>#DIV/0!</v>
      </c>
      <c r="I327" s="53" t="e">
        <f>H330</f>
        <v>#DIV/0!</v>
      </c>
      <c r="J327" s="53" t="e">
        <f>I330</f>
        <v>#DIV/0!</v>
      </c>
    </row>
    <row r="328" spans="2:10">
      <c r="B328" s="109" t="s">
        <v>155</v>
      </c>
      <c r="F328" s="114" t="e">
        <f>F230/F334</f>
        <v>#DIV/0!</v>
      </c>
      <c r="G328" s="114" t="e">
        <f>G230/G334</f>
        <v>#DIV/0!</v>
      </c>
      <c r="H328" s="114" t="e">
        <f>H230/H334</f>
        <v>#DIV/0!</v>
      </c>
      <c r="I328" s="114" t="e">
        <f>I230/I334</f>
        <v>#DIV/0!</v>
      </c>
      <c r="J328" s="114" t="e">
        <f>J230/J334</f>
        <v>#DIV/0!</v>
      </c>
    </row>
    <row r="329" spans="2:10">
      <c r="B329" s="109" t="s">
        <v>156</v>
      </c>
      <c r="F329" s="58" t="e">
        <f>F239/F334</f>
        <v>#DIV/0!</v>
      </c>
      <c r="G329" s="58" t="e">
        <f>G239/G334</f>
        <v>#DIV/0!</v>
      </c>
      <c r="H329" s="58" t="e">
        <f>H239/H334</f>
        <v>#DIV/0!</v>
      </c>
      <c r="I329" s="58" t="e">
        <f>I239/I334</f>
        <v>#DIV/0!</v>
      </c>
      <c r="J329" s="58" t="e">
        <f>J239/J334</f>
        <v>#DIV/0!</v>
      </c>
    </row>
    <row r="330" spans="2:10">
      <c r="B330" s="20" t="s">
        <v>82</v>
      </c>
      <c r="E330" s="38">
        <f>((((((183837686+34450000+220242776)/10)/10)/10)/10)/10)/10</f>
        <v>438.530462</v>
      </c>
      <c r="F330" s="53" t="e">
        <f>SUM(F327:F329)</f>
        <v>#DIV/0!</v>
      </c>
      <c r="G330" s="53" t="e">
        <f>SUM(G327:G329)</f>
        <v>#DIV/0!</v>
      </c>
      <c r="H330" s="53" t="e">
        <f>SUM(H327:H329)</f>
        <v>#DIV/0!</v>
      </c>
      <c r="I330" s="53" t="e">
        <f>SUM(I327:I329)</f>
        <v>#DIV/0!</v>
      </c>
      <c r="J330" s="53" t="e">
        <f>SUM(J327:J329)</f>
        <v>#DIV/0!</v>
      </c>
    </row>
    <row r="331" spans="2:10">
      <c r="B331" s="34"/>
    </row>
    <row r="332" spans="2:10">
      <c r="B332" s="45" t="s">
        <v>157</v>
      </c>
      <c r="C332" s="41">
        <f>C34</f>
        <v>0</v>
      </c>
      <c r="D332" s="41">
        <f>D34</f>
        <v>0</v>
      </c>
      <c r="E332" s="41">
        <f>E34</f>
        <v>0</v>
      </c>
      <c r="F332" s="17">
        <v>43.98</v>
      </c>
      <c r="G332" s="17">
        <v>47.57</v>
      </c>
      <c r="H332" s="115">
        <f>G332*(1+H333)</f>
        <v>53.754099999999994</v>
      </c>
      <c r="I332" s="115">
        <f>H332*(1+I333)</f>
        <v>60.742132999999988</v>
      </c>
      <c r="J332" s="115">
        <f>I332*(1+J333)</f>
        <v>68.638610289999974</v>
      </c>
    </row>
    <row r="333" spans="2:10">
      <c r="B333" s="45" t="s">
        <v>158</v>
      </c>
      <c r="D333" s="14" t="e">
        <f>D332/C332-1</f>
        <v>#DIV/0!</v>
      </c>
      <c r="E333" s="14" t="e">
        <f>E332/D332-1</f>
        <v>#DIV/0!</v>
      </c>
      <c r="F333" s="14" t="e">
        <f>F332/E332-1</f>
        <v>#DIV/0!</v>
      </c>
      <c r="G333" s="14">
        <f>G332/F332-1</f>
        <v>8.162801273306064E-2</v>
      </c>
      <c r="H333" s="116">
        <v>0.13</v>
      </c>
      <c r="I333" s="116">
        <v>0.13</v>
      </c>
      <c r="J333" s="116">
        <v>0.13</v>
      </c>
    </row>
    <row r="334" spans="2:10">
      <c r="B334" s="45" t="s">
        <v>159</v>
      </c>
      <c r="E334" s="6">
        <v>604.86</v>
      </c>
      <c r="F334" s="117" t="e">
        <f>E334*(1+F333)</f>
        <v>#DIV/0!</v>
      </c>
      <c r="G334" s="117" t="e">
        <f>F334*(1+G333)</f>
        <v>#DIV/0!</v>
      </c>
      <c r="H334" s="117" t="e">
        <f>G334*(1+H333)</f>
        <v>#DIV/0!</v>
      </c>
      <c r="I334" s="117" t="e">
        <f>H334*(1+I333)</f>
        <v>#DIV/0!</v>
      </c>
      <c r="J334" s="117" t="e">
        <f>I334*(1+J333)</f>
        <v>#DIV/0!</v>
      </c>
    </row>
    <row r="336" spans="2:10">
      <c r="B336" s="22" t="s">
        <v>160</v>
      </c>
      <c r="C336" s="22"/>
      <c r="D336" s="22"/>
      <c r="E336" s="22"/>
      <c r="F336" s="22"/>
      <c r="G336" s="22"/>
      <c r="H336" s="22"/>
      <c r="I336" s="22"/>
      <c r="J336" s="22"/>
    </row>
    <row r="337" spans="2:8">
      <c r="B337" s="42"/>
    </row>
    <row r="338" spans="2:8" ht="15" thickBot="1">
      <c r="B338" s="118" t="s">
        <v>211</v>
      </c>
      <c r="C338" s="118"/>
      <c r="D338" s="119"/>
      <c r="E338" s="119"/>
      <c r="F338" s="119"/>
      <c r="G338" s="119"/>
      <c r="H338" s="119"/>
    </row>
    <row r="339" spans="2:8">
      <c r="D339" s="120" t="s">
        <v>161</v>
      </c>
      <c r="E339" s="120"/>
      <c r="F339" s="120"/>
      <c r="G339" s="120"/>
      <c r="H339" s="120"/>
    </row>
    <row r="340" spans="2:8" ht="15" thickBot="1">
      <c r="C340" s="121">
        <f>F34</f>
        <v>0</v>
      </c>
      <c r="D340" s="122">
        <v>0</v>
      </c>
      <c r="E340" s="122">
        <v>2.5000000000000001E-2</v>
      </c>
      <c r="F340" s="122">
        <v>0.05</v>
      </c>
      <c r="G340" s="122">
        <v>7.4999999999999997E-2</v>
      </c>
      <c r="H340" s="122">
        <v>0.1</v>
      </c>
    </row>
    <row r="341" spans="2:8">
      <c r="B341" s="123" t="s">
        <v>162</v>
      </c>
      <c r="C341" s="124">
        <v>0.38</v>
      </c>
      <c r="D341" s="125">
        <f t="dataTable" ref="D341:H346" dt2D="1" dtr="1" r1="F37" r2="F38"/>
        <v>0</v>
      </c>
      <c r="E341" s="125">
        <v>0</v>
      </c>
      <c r="F341" s="125">
        <v>0</v>
      </c>
      <c r="G341" s="125">
        <v>0</v>
      </c>
      <c r="H341" s="125">
        <v>0</v>
      </c>
    </row>
    <row r="342" spans="2:8">
      <c r="B342" s="123" t="s">
        <v>163</v>
      </c>
      <c r="C342" s="124">
        <v>0.375</v>
      </c>
      <c r="D342" s="125">
        <v>0</v>
      </c>
      <c r="E342" s="125">
        <v>0</v>
      </c>
      <c r="F342" s="125">
        <v>0</v>
      </c>
      <c r="G342" s="125">
        <v>0</v>
      </c>
      <c r="H342" s="125">
        <v>0</v>
      </c>
    </row>
    <row r="343" spans="2:8">
      <c r="B343" s="123" t="s">
        <v>164</v>
      </c>
      <c r="C343" s="124">
        <v>0.37</v>
      </c>
      <c r="D343" s="125">
        <v>0</v>
      </c>
      <c r="E343" s="125">
        <v>0</v>
      </c>
      <c r="F343" s="125">
        <v>0</v>
      </c>
      <c r="G343" s="125">
        <v>0</v>
      </c>
      <c r="H343" s="125">
        <v>0</v>
      </c>
    </row>
    <row r="344" spans="2:8">
      <c r="B344" s="123"/>
      <c r="C344" s="124">
        <v>0.36499999999999999</v>
      </c>
      <c r="D344" s="125">
        <v>0</v>
      </c>
      <c r="E344" s="125">
        <v>0</v>
      </c>
      <c r="F344" s="125">
        <v>0</v>
      </c>
      <c r="G344" s="125">
        <v>0</v>
      </c>
      <c r="H344" s="125">
        <v>0</v>
      </c>
    </row>
    <row r="345" spans="2:8">
      <c r="C345" s="124">
        <v>0.36</v>
      </c>
      <c r="D345" s="125">
        <v>0</v>
      </c>
      <c r="E345" s="125">
        <v>0</v>
      </c>
      <c r="F345" s="125">
        <v>0</v>
      </c>
      <c r="G345" s="125">
        <v>0</v>
      </c>
      <c r="H345" s="125">
        <v>0</v>
      </c>
    </row>
    <row r="346" spans="2:8">
      <c r="C346" s="124">
        <v>0.36499999999999999</v>
      </c>
      <c r="D346" s="125">
        <v>0</v>
      </c>
      <c r="E346" s="125">
        <v>0</v>
      </c>
      <c r="F346" s="125">
        <v>0</v>
      </c>
      <c r="G346" s="125">
        <v>0</v>
      </c>
      <c r="H346" s="125">
        <v>0</v>
      </c>
    </row>
    <row r="348" spans="2:8" ht="15" thickBot="1">
      <c r="B348" s="126"/>
      <c r="C348" s="118"/>
      <c r="D348" s="119"/>
      <c r="E348" s="119"/>
      <c r="F348" s="119"/>
      <c r="G348" s="119"/>
      <c r="H348" s="119"/>
    </row>
    <row r="349" spans="2:8">
      <c r="D349" s="120" t="s">
        <v>165</v>
      </c>
      <c r="E349" s="120"/>
      <c r="F349" s="120"/>
      <c r="G349" s="120"/>
      <c r="H349" s="120"/>
    </row>
    <row r="350" spans="2:8" ht="15" thickBot="1">
      <c r="C350" s="127">
        <f>F34</f>
        <v>0</v>
      </c>
      <c r="D350" s="128">
        <v>0</v>
      </c>
      <c r="E350" s="128">
        <v>0.05</v>
      </c>
      <c r="F350" s="128">
        <v>0.1</v>
      </c>
      <c r="G350" s="128">
        <v>0.15</v>
      </c>
      <c r="H350" s="128">
        <v>0.2</v>
      </c>
    </row>
    <row r="351" spans="2:8">
      <c r="C351" s="124">
        <v>0.25</v>
      </c>
      <c r="D351" s="125">
        <f t="dataTable" ref="D351:H356" dt2D="1" dtr="1" r1="F65" r2="F63"/>
        <v>0</v>
      </c>
      <c r="E351" s="125">
        <v>0</v>
      </c>
      <c r="F351" s="125">
        <v>0</v>
      </c>
      <c r="G351" s="125">
        <v>0</v>
      </c>
      <c r="H351" s="125">
        <v>0</v>
      </c>
    </row>
    <row r="352" spans="2:8">
      <c r="C352" s="124">
        <v>0.2</v>
      </c>
      <c r="D352" s="125">
        <v>0</v>
      </c>
      <c r="E352" s="125">
        <v>0</v>
      </c>
      <c r="F352" s="125">
        <v>0</v>
      </c>
      <c r="G352" s="125">
        <v>0</v>
      </c>
      <c r="H352" s="125">
        <v>0</v>
      </c>
    </row>
    <row r="353" spans="2:10">
      <c r="B353" s="123" t="s">
        <v>41</v>
      </c>
      <c r="C353" s="124">
        <v>0.15</v>
      </c>
      <c r="D353" s="125">
        <v>0</v>
      </c>
      <c r="E353" s="125">
        <v>0</v>
      </c>
      <c r="F353" s="125">
        <v>0</v>
      </c>
      <c r="G353" s="125">
        <v>0</v>
      </c>
      <c r="H353" s="125">
        <v>0</v>
      </c>
    </row>
    <row r="354" spans="2:10">
      <c r="B354" s="123" t="s">
        <v>166</v>
      </c>
      <c r="C354" s="124">
        <v>0.1</v>
      </c>
      <c r="D354" s="125">
        <v>0</v>
      </c>
      <c r="E354" s="125">
        <v>0</v>
      </c>
      <c r="F354" s="125">
        <v>0</v>
      </c>
      <c r="G354" s="125">
        <v>0</v>
      </c>
      <c r="H354" s="125">
        <v>0</v>
      </c>
    </row>
    <row r="355" spans="2:10">
      <c r="B355" s="123" t="s">
        <v>167</v>
      </c>
      <c r="C355" s="124">
        <v>0.05</v>
      </c>
      <c r="D355" s="125">
        <v>0</v>
      </c>
      <c r="E355" s="125">
        <v>0</v>
      </c>
      <c r="F355" s="125">
        <v>0</v>
      </c>
      <c r="G355" s="125">
        <v>0</v>
      </c>
      <c r="H355" s="125">
        <v>0</v>
      </c>
    </row>
    <row r="356" spans="2:10">
      <c r="C356" s="124">
        <v>0</v>
      </c>
      <c r="D356" s="125">
        <v>0</v>
      </c>
      <c r="E356" s="125">
        <v>0</v>
      </c>
      <c r="F356" s="125">
        <v>0</v>
      </c>
      <c r="G356" s="125">
        <v>0</v>
      </c>
      <c r="H356" s="125">
        <v>0</v>
      </c>
    </row>
    <row r="358" spans="2:10">
      <c r="B358" s="22" t="s">
        <v>168</v>
      </c>
      <c r="C358" s="22"/>
      <c r="D358" s="22"/>
      <c r="E358" s="22"/>
      <c r="F358" s="22"/>
      <c r="G358" s="22"/>
      <c r="H358" s="22"/>
      <c r="I358" s="22"/>
      <c r="J358" s="22"/>
    </row>
    <row r="359" spans="2:10">
      <c r="B359" s="64" t="s">
        <v>9</v>
      </c>
      <c r="C359" s="54"/>
      <c r="D359" s="54">
        <v>2012</v>
      </c>
      <c r="E359" s="54">
        <v>2013</v>
      </c>
      <c r="F359" s="55">
        <v>2014</v>
      </c>
      <c r="G359" s="55">
        <v>2015</v>
      </c>
      <c r="H359" s="55">
        <v>2016</v>
      </c>
      <c r="I359" s="55">
        <v>2017</v>
      </c>
      <c r="J359" s="55">
        <v>2018</v>
      </c>
    </row>
    <row r="360" spans="2:10">
      <c r="B360" s="24" t="s">
        <v>10</v>
      </c>
      <c r="C360" s="56"/>
      <c r="D360" s="56">
        <v>41181</v>
      </c>
      <c r="E360" s="56">
        <v>41545</v>
      </c>
      <c r="F360" s="56">
        <v>41912</v>
      </c>
      <c r="G360" s="56">
        <v>42277</v>
      </c>
      <c r="H360" s="56">
        <v>42643</v>
      </c>
      <c r="I360" s="56">
        <v>43008</v>
      </c>
      <c r="J360" s="56">
        <v>43373</v>
      </c>
    </row>
    <row r="361" spans="2:10" ht="15" thickBot="1"/>
    <row r="362" spans="2:10" ht="15" thickBot="1">
      <c r="B362" s="129" t="s">
        <v>169</v>
      </c>
      <c r="C362" s="18"/>
      <c r="D362" s="18"/>
      <c r="E362" s="130" t="s">
        <v>170</v>
      </c>
    </row>
    <row r="363" spans="2:10">
      <c r="F363" s="20"/>
      <c r="G363" s="20"/>
      <c r="H363" s="20"/>
      <c r="I363" s="20"/>
      <c r="J363" s="20"/>
    </row>
    <row r="364" spans="2:10">
      <c r="B364" s="45" t="s">
        <v>29</v>
      </c>
      <c r="F364" s="92">
        <f t="shared" ref="F364:J367" ca="1" si="44">OFFSET(F$369,MATCH($E$362,$B$370:$B$372,0)+MATCH($B364,$B$369:$B$384,0)-1,0)</f>
        <v>4.9561884149552426E-2</v>
      </c>
      <c r="G364" s="92">
        <f t="shared" ca="1" si="44"/>
        <v>5.0220754528721434E-2</v>
      </c>
      <c r="H364" s="92">
        <f t="shared" ca="1" si="44"/>
        <v>4.4805845541729505E-2</v>
      </c>
      <c r="I364" s="92">
        <f t="shared" ca="1" si="44"/>
        <v>4.9197799418123411E-2</v>
      </c>
      <c r="J364" s="92">
        <f t="shared" ca="1" si="44"/>
        <v>5.3890712310316946E-2</v>
      </c>
    </row>
    <row r="365" spans="2:10">
      <c r="B365" s="45" t="s">
        <v>31</v>
      </c>
      <c r="F365" s="92">
        <f t="shared" ca="1" si="44"/>
        <v>0.371</v>
      </c>
      <c r="G365" s="92">
        <f ca="1">OFFSET(G$369,MATCH($E$362,$B$370:$B$372,0)+MATCH($B365,$B$369:$B$384,0)-1,0)</f>
        <v>0.374</v>
      </c>
      <c r="H365" s="92">
        <f t="shared" ca="1" si="44"/>
        <v>0.374</v>
      </c>
      <c r="I365" s="92">
        <f t="shared" ca="1" si="44"/>
        <v>0.374</v>
      </c>
      <c r="J365" s="92">
        <f t="shared" ca="1" si="44"/>
        <v>0.374</v>
      </c>
    </row>
    <row r="366" spans="2:10">
      <c r="B366" s="48" t="s">
        <v>32</v>
      </c>
      <c r="F366" s="92">
        <f t="shared" ca="1" si="44"/>
        <v>2.9000000000000001E-2</v>
      </c>
      <c r="G366" s="92">
        <f t="shared" ca="1" si="44"/>
        <v>3.1E-2</v>
      </c>
      <c r="H366" s="92">
        <f t="shared" ca="1" si="44"/>
        <v>3.1E-2</v>
      </c>
      <c r="I366" s="92">
        <f t="shared" ca="1" si="44"/>
        <v>3.1E-2</v>
      </c>
      <c r="J366" s="92">
        <f t="shared" ca="1" si="44"/>
        <v>3.1E-2</v>
      </c>
    </row>
    <row r="367" spans="2:10">
      <c r="B367" s="45" t="s">
        <v>33</v>
      </c>
      <c r="F367" s="92">
        <f t="shared" ca="1" si="44"/>
        <v>6.8000000000000005E-2</v>
      </c>
      <c r="G367" s="92">
        <f t="shared" ca="1" si="44"/>
        <v>6.8000000000000005E-2</v>
      </c>
      <c r="H367" s="92">
        <f t="shared" ca="1" si="44"/>
        <v>6.8000000000000005E-2</v>
      </c>
      <c r="I367" s="92">
        <f t="shared" ca="1" si="44"/>
        <v>6.8000000000000005E-2</v>
      </c>
      <c r="J367" s="92">
        <f t="shared" ca="1" si="44"/>
        <v>6.8000000000000005E-2</v>
      </c>
    </row>
    <row r="369" spans="2:10">
      <c r="B369" s="108" t="s">
        <v>29</v>
      </c>
    </row>
    <row r="370" spans="2:10">
      <c r="B370" s="131" t="s">
        <v>171</v>
      </c>
      <c r="F370" s="60">
        <v>0.1</v>
      </c>
      <c r="G370" s="60">
        <v>0.1</v>
      </c>
      <c r="H370" s="60">
        <v>0.1</v>
      </c>
      <c r="I370" s="60">
        <v>0.1</v>
      </c>
      <c r="J370" s="60">
        <v>0.1</v>
      </c>
    </row>
    <row r="371" spans="2:10">
      <c r="B371" s="131" t="s">
        <v>170</v>
      </c>
      <c r="F371" s="132">
        <f>F59</f>
        <v>4.9561884149552426E-2</v>
      </c>
      <c r="G371" s="132">
        <f>G59</f>
        <v>5.0220754528721434E-2</v>
      </c>
      <c r="H371" s="132">
        <f>H59</f>
        <v>4.4805845541729505E-2</v>
      </c>
      <c r="I371" s="132">
        <f>I59</f>
        <v>4.9197799418123411E-2</v>
      </c>
      <c r="J371" s="132">
        <f>J59</f>
        <v>5.3890712310316946E-2</v>
      </c>
    </row>
    <row r="372" spans="2:10">
      <c r="B372" s="131" t="s">
        <v>172</v>
      </c>
      <c r="F372" s="60">
        <v>0</v>
      </c>
      <c r="G372" s="60">
        <v>0</v>
      </c>
      <c r="H372" s="60">
        <v>0</v>
      </c>
      <c r="I372" s="60">
        <v>0</v>
      </c>
      <c r="J372" s="60">
        <v>0</v>
      </c>
    </row>
    <row r="373" spans="2:10">
      <c r="B373" s="108" t="s">
        <v>31</v>
      </c>
      <c r="F373" s="133"/>
      <c r="G373" s="133"/>
      <c r="H373" s="133"/>
      <c r="I373" s="133"/>
      <c r="J373" s="133"/>
    </row>
    <row r="374" spans="2:10">
      <c r="B374" s="131" t="s">
        <v>171</v>
      </c>
      <c r="F374" s="60">
        <v>0.375</v>
      </c>
      <c r="G374" s="60">
        <v>0.375</v>
      </c>
      <c r="H374" s="60">
        <v>0.375</v>
      </c>
      <c r="I374" s="60">
        <v>0.375</v>
      </c>
      <c r="J374" s="60">
        <v>0.375</v>
      </c>
    </row>
    <row r="375" spans="2:10">
      <c r="B375" s="131" t="s">
        <v>170</v>
      </c>
      <c r="F375" s="134">
        <v>0.371</v>
      </c>
      <c r="G375" s="60">
        <v>0.374</v>
      </c>
      <c r="H375" s="60">
        <v>0.374</v>
      </c>
      <c r="I375" s="60">
        <v>0.374</v>
      </c>
      <c r="J375" s="60">
        <v>0.374</v>
      </c>
    </row>
    <row r="376" spans="2:10">
      <c r="B376" s="131" t="s">
        <v>172</v>
      </c>
      <c r="F376" s="60">
        <v>0.36499999999999999</v>
      </c>
      <c r="G376" s="60">
        <v>0.36499999999999999</v>
      </c>
      <c r="H376" s="60">
        <v>0.36499999999999999</v>
      </c>
      <c r="I376" s="60">
        <v>0.36499999999999999</v>
      </c>
      <c r="J376" s="60">
        <v>0.36499999999999999</v>
      </c>
    </row>
    <row r="377" spans="2:10">
      <c r="B377" s="135" t="s">
        <v>32</v>
      </c>
      <c r="F377" s="133"/>
      <c r="G377" s="133"/>
      <c r="H377" s="133"/>
      <c r="I377" s="133"/>
      <c r="J377" s="133"/>
    </row>
    <row r="378" spans="2:10">
      <c r="B378" s="131" t="s">
        <v>171</v>
      </c>
      <c r="F378" s="60">
        <v>2.5000000000000001E-2</v>
      </c>
      <c r="G378" s="60">
        <v>2.5000000000000001E-2</v>
      </c>
      <c r="H378" s="60">
        <v>2.5000000000000001E-2</v>
      </c>
      <c r="I378" s="60">
        <v>2.5000000000000001E-2</v>
      </c>
      <c r="J378" s="60">
        <v>2.5000000000000001E-2</v>
      </c>
    </row>
    <row r="379" spans="2:10">
      <c r="B379" s="131" t="s">
        <v>170</v>
      </c>
      <c r="F379" s="134">
        <v>2.9000000000000001E-2</v>
      </c>
      <c r="G379" s="60">
        <v>3.1E-2</v>
      </c>
      <c r="H379" s="60">
        <v>3.1E-2</v>
      </c>
      <c r="I379" s="60">
        <v>3.1E-2</v>
      </c>
      <c r="J379" s="60">
        <v>3.1E-2</v>
      </c>
    </row>
    <row r="380" spans="2:10">
      <c r="B380" s="131" t="s">
        <v>172</v>
      </c>
      <c r="F380" s="60">
        <v>3.3000000000000002E-2</v>
      </c>
      <c r="G380" s="60">
        <v>3.3000000000000002E-2</v>
      </c>
      <c r="H380" s="60">
        <v>3.3000000000000002E-2</v>
      </c>
      <c r="I380" s="60">
        <v>3.3000000000000002E-2</v>
      </c>
      <c r="J380" s="60">
        <v>3.3000000000000002E-2</v>
      </c>
    </row>
    <row r="381" spans="2:10">
      <c r="B381" s="108" t="s">
        <v>33</v>
      </c>
      <c r="F381" s="133"/>
      <c r="G381" s="133"/>
      <c r="H381" s="133"/>
      <c r="I381" s="133"/>
      <c r="J381" s="133"/>
    </row>
    <row r="382" spans="2:10">
      <c r="B382" s="131" t="s">
        <v>171</v>
      </c>
      <c r="F382" s="60">
        <v>6.4000000000000001E-2</v>
      </c>
      <c r="G382" s="60">
        <v>6.4000000000000001E-2</v>
      </c>
      <c r="H382" s="60">
        <v>6.4000000000000001E-2</v>
      </c>
      <c r="I382" s="60">
        <v>6.4000000000000001E-2</v>
      </c>
      <c r="J382" s="60">
        <v>6.4000000000000001E-2</v>
      </c>
    </row>
    <row r="383" spans="2:10">
      <c r="B383" s="131" t="s">
        <v>170</v>
      </c>
      <c r="F383" s="134">
        <v>6.8000000000000005E-2</v>
      </c>
      <c r="G383" s="134">
        <v>6.8000000000000005E-2</v>
      </c>
      <c r="H383" s="134">
        <v>6.8000000000000005E-2</v>
      </c>
      <c r="I383" s="134">
        <v>6.8000000000000005E-2</v>
      </c>
      <c r="J383" s="134">
        <v>6.8000000000000005E-2</v>
      </c>
    </row>
    <row r="384" spans="2:10">
      <c r="B384" s="131" t="s">
        <v>172</v>
      </c>
      <c r="F384" s="134">
        <v>7.0000000000000007E-2</v>
      </c>
      <c r="G384" s="134">
        <v>7.0000000000000007E-2</v>
      </c>
      <c r="H384" s="134">
        <v>7.0000000000000007E-2</v>
      </c>
      <c r="I384" s="134">
        <v>7.0000000000000007E-2</v>
      </c>
      <c r="J384" s="134">
        <v>7.0000000000000007E-2</v>
      </c>
    </row>
    <row r="387" spans="2:2">
      <c r="B387" s="151"/>
    </row>
  </sheetData>
  <dataValidations count="3">
    <dataValidation type="list" allowBlank="1" showInputMessage="1" showErrorMessage="1" sqref="E362">
      <formula1>$B$370:$B$372</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41"/>
  <sheetViews>
    <sheetView zoomScaleNormal="100" workbookViewId="0">
      <selection activeCell="J14" sqref="J14"/>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Discounted Cash Flow Model for Under Armour</v>
      </c>
      <c r="C2" s="18"/>
      <c r="D2" s="18"/>
      <c r="E2" s="18"/>
      <c r="F2" s="18"/>
      <c r="G2" s="18"/>
      <c r="H2" s="18"/>
      <c r="I2" s="18"/>
      <c r="J2" s="18"/>
    </row>
    <row r="4" spans="2:10" ht="15" thickBot="1">
      <c r="B4" s="136" t="s">
        <v>173</v>
      </c>
      <c r="C4" s="119"/>
    </row>
    <row r="5" spans="2:10">
      <c r="B5" s="20" t="s">
        <v>3</v>
      </c>
      <c r="C5" s="150">
        <f>'Financial Statement Model'!C7</f>
        <v>19.93</v>
      </c>
    </row>
    <row r="6" spans="2:10">
      <c r="B6" s="138" t="s">
        <v>4</v>
      </c>
      <c r="C6" s="153">
        <f>'Financial Statement Model'!C8</f>
        <v>42929</v>
      </c>
    </row>
    <row r="7" spans="2:10">
      <c r="B7" s="138" t="s">
        <v>174</v>
      </c>
      <c r="C7" s="164">
        <v>861.38100000000009</v>
      </c>
    </row>
    <row r="8" spans="2:10">
      <c r="B8" s="138" t="s">
        <v>175</v>
      </c>
      <c r="C8" s="149">
        <f>J75</f>
        <v>4.5294721915210431E-2</v>
      </c>
    </row>
    <row r="10" spans="2:10" ht="15" thickBot="1">
      <c r="B10" s="139" t="s">
        <v>176</v>
      </c>
      <c r="C10" s="119"/>
      <c r="D10" s="119"/>
      <c r="E10" s="119"/>
      <c r="F10" s="119"/>
      <c r="G10" s="119"/>
      <c r="H10" s="119"/>
      <c r="I10" s="119"/>
      <c r="J10" s="119"/>
    </row>
    <row r="11" spans="2:10">
      <c r="B11" s="20" t="s">
        <v>9</v>
      </c>
      <c r="C11" s="25">
        <f>D11-1</f>
        <v>2014</v>
      </c>
      <c r="D11" s="25">
        <f>E11-1</f>
        <v>2015</v>
      </c>
      <c r="E11" s="25">
        <f>YEAR(E12)</f>
        <v>2016</v>
      </c>
      <c r="F11" s="26">
        <f>E11+1</f>
        <v>2017</v>
      </c>
      <c r="G11" s="26">
        <f>F11+1</f>
        <v>2018</v>
      </c>
      <c r="H11" s="26">
        <f>G11+1</f>
        <v>2019</v>
      </c>
      <c r="I11" s="26">
        <f>H11+1</f>
        <v>2020</v>
      </c>
      <c r="J11" s="26">
        <f>I11+1</f>
        <v>2021</v>
      </c>
    </row>
    <row r="12" spans="2:10">
      <c r="B12" s="27" t="s">
        <v>10</v>
      </c>
      <c r="C12" s="56">
        <f>'Financial Statement Model'!C14</f>
        <v>40810</v>
      </c>
      <c r="D12" s="56">
        <f>'Financial Statement Model'!D14</f>
        <v>41181</v>
      </c>
      <c r="E12" s="56">
        <f>'Financial Statement Model'!E14</f>
        <v>42735</v>
      </c>
      <c r="F12" s="56">
        <f>'Financial Statement Model'!F14</f>
        <v>43100</v>
      </c>
      <c r="G12" s="56">
        <f>'Financial Statement Model'!G14</f>
        <v>43465</v>
      </c>
      <c r="H12" s="56">
        <f>'Financial Statement Model'!H14</f>
        <v>43830</v>
      </c>
      <c r="I12" s="56">
        <f>'Financial Statement Model'!I14</f>
        <v>44196</v>
      </c>
      <c r="J12" s="56">
        <f>'Financial Statement Model'!J14</f>
        <v>44561</v>
      </c>
    </row>
    <row r="13" spans="2:10">
      <c r="B13" s="140"/>
      <c r="F13" s="14"/>
      <c r="G13" s="14"/>
      <c r="H13" s="14"/>
      <c r="I13" s="14"/>
      <c r="J13" s="14"/>
    </row>
    <row r="14" spans="2:10">
      <c r="B14" s="20" t="s">
        <v>38</v>
      </c>
      <c r="C14" s="137">
        <f>'Financial Statement Model'!C46</f>
        <v>353.95499999999993</v>
      </c>
      <c r="D14" s="137">
        <f>'Financial Statement Model'!D46</f>
        <v>408.54699999999957</v>
      </c>
      <c r="E14" s="137">
        <f>'Financial Statement Model'!E46</f>
        <v>417.47100000000023</v>
      </c>
      <c r="F14" s="137">
        <f>'Financial Statement Model'!F46</f>
        <v>318.74759166666627</v>
      </c>
      <c r="G14" s="137">
        <f>'Financial Statement Model'!G46</f>
        <v>188.99716181500025</v>
      </c>
      <c r="H14" s="137">
        <f>'Financial Statement Model'!H46</f>
        <v>618.30354074152501</v>
      </c>
      <c r="I14" s="137">
        <f>'Financial Statement Model'!I46</f>
        <v>698.68300103792308</v>
      </c>
      <c r="J14" s="137">
        <f>'Financial Statement Model'!J46</f>
        <v>789.51179117285301</v>
      </c>
    </row>
    <row r="15" spans="2:10">
      <c r="B15" s="20" t="s">
        <v>177</v>
      </c>
      <c r="C15" s="137">
        <f>'Financial Statement Model'!D21</f>
        <v>408.54699999999957</v>
      </c>
      <c r="D15" s="137">
        <f>'Financial Statement Model'!E21</f>
        <v>417.47100000000023</v>
      </c>
      <c r="E15" s="137" t="e">
        <f>'Financial Statement Model'!#REF!</f>
        <v>#REF!</v>
      </c>
      <c r="F15" s="137">
        <f>'Financial Statement Model'!F21</f>
        <v>318.74759166666627</v>
      </c>
      <c r="G15" s="137">
        <f>'Financial Statement Model'!G21</f>
        <v>188.99716181500025</v>
      </c>
      <c r="H15" s="137">
        <f>'Financial Statement Model'!H21</f>
        <v>618.30354074152501</v>
      </c>
      <c r="I15" s="137">
        <f>'Financial Statement Model'!I21</f>
        <v>698.68300103792308</v>
      </c>
      <c r="J15" s="137">
        <f>'Financial Statement Model'!J21</f>
        <v>789.51179117285301</v>
      </c>
    </row>
    <row r="16" spans="2:10">
      <c r="B16" s="20" t="s">
        <v>178</v>
      </c>
      <c r="C16" s="155">
        <f>'Financial Statement Model'!C41</f>
        <v>0.2512424674823695</v>
      </c>
      <c r="D16" s="155">
        <f>'Financial Statement Model'!D41</f>
        <v>0.27993845829677733</v>
      </c>
      <c r="E16" s="155">
        <f>'Financial Statement Model'!E41</f>
        <v>0.2033422003787064</v>
      </c>
      <c r="F16" s="155">
        <f>'Financial Statement Model'!F41</f>
        <v>0.33</v>
      </c>
      <c r="G16" s="155">
        <f>'Financial Statement Model'!G41</f>
        <v>0.33</v>
      </c>
      <c r="H16" s="155">
        <f>'Financial Statement Model'!H41</f>
        <v>0.33</v>
      </c>
      <c r="I16" s="155">
        <f>'Financial Statement Model'!I41</f>
        <v>0.33</v>
      </c>
      <c r="J16" s="155">
        <f>'Financial Statement Model'!J41</f>
        <v>0.33</v>
      </c>
    </row>
    <row r="17" spans="2:10">
      <c r="B17" s="34" t="s">
        <v>179</v>
      </c>
      <c r="C17" s="141">
        <f>C15*(1-C16)</f>
        <v>305.90264363748008</v>
      </c>
      <c r="D17" s="141">
        <f t="shared" ref="D17:J17" si="0">D15*(1-D16)</f>
        <v>300.60481187638624</v>
      </c>
      <c r="E17" s="141" t="e">
        <f t="shared" si="0"/>
        <v>#REF!</v>
      </c>
      <c r="F17" s="141">
        <f t="shared" si="0"/>
        <v>213.56088641666636</v>
      </c>
      <c r="G17" s="141">
        <f t="shared" si="0"/>
        <v>126.62809841605015</v>
      </c>
      <c r="H17" s="141">
        <f t="shared" si="0"/>
        <v>414.26337229682173</v>
      </c>
      <c r="I17" s="141">
        <f t="shared" si="0"/>
        <v>468.11761069540842</v>
      </c>
      <c r="J17" s="141">
        <f t="shared" si="0"/>
        <v>528.97290008581149</v>
      </c>
    </row>
    <row r="18" spans="2:10">
      <c r="B18" s="34"/>
      <c r="C18"/>
      <c r="D18"/>
      <c r="E18"/>
      <c r="F18"/>
      <c r="G18"/>
      <c r="H18"/>
      <c r="I18"/>
      <c r="J18"/>
    </row>
    <row r="19" spans="2:10">
      <c r="B19" s="45" t="s">
        <v>131</v>
      </c>
      <c r="F19" s="137">
        <f>'Financial Statement Model'!F265</f>
        <v>0</v>
      </c>
      <c r="G19" s="137">
        <f>'Financial Statement Model'!G265</f>
        <v>0</v>
      </c>
      <c r="H19" s="137">
        <f>'Financial Statement Model'!H265</f>
        <v>0</v>
      </c>
      <c r="I19" s="137">
        <f>'Financial Statement Model'!I265</f>
        <v>0</v>
      </c>
      <c r="J19" s="137">
        <f>'Financial Statement Model'!J265</f>
        <v>0</v>
      </c>
    </row>
    <row r="20" spans="2:10">
      <c r="B20" s="45" t="s">
        <v>37</v>
      </c>
      <c r="F20" s="137">
        <f>'Financial Statement Model'!F266</f>
        <v>86.045515866666676</v>
      </c>
      <c r="G20" s="137">
        <f>'Financial Statement Model'!G266</f>
        <v>95.429075477246982</v>
      </c>
      <c r="H20" s="137">
        <f>'Financial Statement Model'!H266</f>
        <v>106.27950861412654</v>
      </c>
      <c r="I20" s="137">
        <f>'Financial Statement Model'!I266</f>
        <v>120.09584473396299</v>
      </c>
      <c r="J20" s="137">
        <f>'Financial Statement Model'!J266</f>
        <v>135.7083045493782</v>
      </c>
    </row>
    <row r="21" spans="2:10">
      <c r="B21" s="45" t="s">
        <v>53</v>
      </c>
      <c r="F21" s="137">
        <f>'Financial Statement Model'!F267</f>
        <v>219.1663606250001</v>
      </c>
      <c r="G21" s="137">
        <f>'Financial Statement Model'!G267</f>
        <v>-58.537103951999995</v>
      </c>
      <c r="H21" s="137">
        <f>'Financial Statement Model'!H267</f>
        <v>-60.067246632509864</v>
      </c>
      <c r="I21" s="137">
        <f>'Financial Statement Model'!I267</f>
        <v>-67.875988694736293</v>
      </c>
      <c r="J21" s="137">
        <f>'Financial Statement Model'!J267</f>
        <v>-76.699867225052003</v>
      </c>
    </row>
    <row r="22" spans="2:10">
      <c r="B22" s="45" t="s">
        <v>54</v>
      </c>
      <c r="F22" s="137">
        <f>'Financial Statement Model'!F268</f>
        <v>884.34617866666667</v>
      </c>
      <c r="G22" s="137">
        <f>'Financial Statement Model'!G268</f>
        <v>-11.601629599386662</v>
      </c>
      <c r="H22" s="137">
        <f>'Financial Statement Model'!H268</f>
        <v>-5.8170386212535945</v>
      </c>
      <c r="I22" s="137">
        <f>'Financial Statement Model'!I268</f>
        <v>-6.573253642016553</v>
      </c>
      <c r="J22" s="137">
        <f>'Financial Statement Model'!J268</f>
        <v>-7.4277766154787273</v>
      </c>
    </row>
    <row r="23" spans="2:10">
      <c r="B23" s="45" t="s">
        <v>61</v>
      </c>
      <c r="F23" s="137">
        <f>'Financial Statement Model'!F269</f>
        <v>10.8459206666667</v>
      </c>
      <c r="G23" s="137">
        <f>'Financial Statement Model'!G269</f>
        <v>158.38228827539814</v>
      </c>
      <c r="H23" s="137">
        <f>'Financial Statement Model'!H269</f>
        <v>75.257937162468465</v>
      </c>
      <c r="I23" s="137">
        <f>'Financial Statement Model'!I269</f>
        <v>85.041468993589206</v>
      </c>
      <c r="J23" s="137">
        <f>'Financial Statement Model'!J269</f>
        <v>96.096859962755957</v>
      </c>
    </row>
    <row r="24" spans="2:10">
      <c r="B24" s="45" t="s">
        <v>90</v>
      </c>
      <c r="F24" s="137">
        <f>'Financial Statement Model'!F270</f>
        <v>506.82305382499999</v>
      </c>
      <c r="G24" s="137">
        <f>'Financial Statement Model'!G270</f>
        <v>56.546411997749942</v>
      </c>
      <c r="H24" s="137">
        <f>'Financial Statement Model'!H270</f>
        <v>59.155294507522399</v>
      </c>
      <c r="I24" s="137">
        <f>'Financial Statement Model'!I270</f>
        <v>69.249996563050672</v>
      </c>
      <c r="J24" s="137">
        <f>'Financial Statement Model'!J270</f>
        <v>64.434098984608454</v>
      </c>
    </row>
    <row r="25" spans="2:10">
      <c r="B25" s="45" t="s">
        <v>56</v>
      </c>
      <c r="F25" s="137">
        <f>'Financial Statement Model'!F271</f>
        <v>0</v>
      </c>
      <c r="G25" s="137">
        <f>'Financial Statement Model'!G271</f>
        <v>0</v>
      </c>
      <c r="H25" s="137">
        <f>'Financial Statement Model'!H271</f>
        <v>0</v>
      </c>
      <c r="I25" s="137">
        <f>'Financial Statement Model'!I271</f>
        <v>0</v>
      </c>
      <c r="J25" s="137">
        <f>'Financial Statement Model'!J271</f>
        <v>0</v>
      </c>
    </row>
    <row r="26" spans="2:10">
      <c r="B26" s="48" t="s">
        <v>105</v>
      </c>
      <c r="F26" s="137">
        <f>'Financial Statement Model'!F272</f>
        <v>0</v>
      </c>
      <c r="G26" s="137">
        <f>'Financial Statement Model'!G272</f>
        <v>0</v>
      </c>
      <c r="H26" s="137">
        <f>'Financial Statement Model'!H272</f>
        <v>0</v>
      </c>
      <c r="I26" s="137">
        <f>'Financial Statement Model'!I272</f>
        <v>0</v>
      </c>
      <c r="J26" s="137">
        <f>'Financial Statement Model'!J272</f>
        <v>0</v>
      </c>
    </row>
    <row r="27" spans="2:10">
      <c r="B27" s="48" t="s">
        <v>59</v>
      </c>
      <c r="F27" s="137">
        <f>'Financial Statement Model'!F273</f>
        <v>0</v>
      </c>
      <c r="G27" s="137">
        <f>'Financial Statement Model'!G273</f>
        <v>0</v>
      </c>
      <c r="H27" s="137">
        <f>'Financial Statement Model'!H273</f>
        <v>0</v>
      </c>
      <c r="I27" s="137">
        <f>'Financial Statement Model'!I273</f>
        <v>0</v>
      </c>
      <c r="J27" s="137">
        <f>'Financial Statement Model'!J273</f>
        <v>0</v>
      </c>
    </row>
    <row r="28" spans="2:10">
      <c r="B28" s="45" t="s">
        <v>106</v>
      </c>
      <c r="F28" s="137">
        <f>'Financial Statement Model'!F274</f>
        <v>3000</v>
      </c>
      <c r="G28" s="137">
        <f>'Financial Statement Model'!G274</f>
        <v>3000</v>
      </c>
      <c r="H28" s="137">
        <f>'Financial Statement Model'!H274</f>
        <v>3000</v>
      </c>
      <c r="I28" s="137">
        <f>'Financial Statement Model'!I274</f>
        <v>3000</v>
      </c>
      <c r="J28" s="137">
        <f>'Financial Statement Model'!J274</f>
        <v>3000</v>
      </c>
    </row>
    <row r="29" spans="2:10">
      <c r="B29" s="34" t="s">
        <v>180</v>
      </c>
      <c r="C29"/>
      <c r="D29"/>
      <c r="E29"/>
      <c r="F29" s="106">
        <f>F17+SUM(F19:F28)</f>
        <v>4920.7879160666662</v>
      </c>
      <c r="G29" s="106">
        <f t="shared" ref="G29:J29" si="1">G17+SUM(G19:G28)</f>
        <v>3366.8471406150588</v>
      </c>
      <c r="H29" s="106">
        <f t="shared" si="1"/>
        <v>3589.0718273271755</v>
      </c>
      <c r="I29" s="106">
        <f t="shared" si="1"/>
        <v>3668.0556786492584</v>
      </c>
      <c r="J29" s="106">
        <f t="shared" si="1"/>
        <v>3741.0845197420235</v>
      </c>
    </row>
    <row r="30" spans="2:10">
      <c r="B30" s="50" t="s">
        <v>181</v>
      </c>
      <c r="C30"/>
      <c r="D30"/>
      <c r="E30"/>
      <c r="F30" s="137">
        <f>'Financial Statement Model'!F278</f>
        <v>-269.01242625000003</v>
      </c>
      <c r="G30" s="137">
        <f>'Financial Statement Model'!G278</f>
        <v>-346.54180749525</v>
      </c>
      <c r="H30" s="137">
        <f>'Financial Statement Model'!H278</f>
        <v>-391.59224246963242</v>
      </c>
      <c r="I30" s="137">
        <f>'Financial Statement Model'!I278</f>
        <v>-442.49923399068462</v>
      </c>
      <c r="J30" s="137">
        <f>'Financial Statement Model'!J278</f>
        <v>-500.02413440947362</v>
      </c>
    </row>
    <row r="31" spans="2:10">
      <c r="B31" s="45" t="s">
        <v>182</v>
      </c>
      <c r="C31"/>
      <c r="D31"/>
      <c r="E31"/>
      <c r="F31" s="137">
        <f>'Financial Statement Model'!F279</f>
        <v>0</v>
      </c>
      <c r="G31" s="137">
        <f>'Financial Statement Model'!G279</f>
        <v>0</v>
      </c>
      <c r="H31" s="137">
        <f>'Financial Statement Model'!H279</f>
        <v>0</v>
      </c>
      <c r="I31" s="137">
        <f>'Financial Statement Model'!I279</f>
        <v>0</v>
      </c>
      <c r="J31" s="137">
        <f>'Financial Statement Model'!J279</f>
        <v>0</v>
      </c>
    </row>
    <row r="32" spans="2:10">
      <c r="B32" s="42" t="s">
        <v>183</v>
      </c>
      <c r="C32"/>
      <c r="D32"/>
      <c r="E32"/>
      <c r="F32" s="106">
        <f>SUM(F29:F31)</f>
        <v>4651.7754898166659</v>
      </c>
      <c r="G32" s="106">
        <f t="shared" ref="G32:J32" si="2">SUM(G29:G31)</f>
        <v>3020.3053331198089</v>
      </c>
      <c r="H32" s="106">
        <f t="shared" si="2"/>
        <v>3197.4795848575432</v>
      </c>
      <c r="I32" s="106">
        <f t="shared" si="2"/>
        <v>3225.556444658574</v>
      </c>
      <c r="J32" s="106">
        <f t="shared" si="2"/>
        <v>3241.0603853325501</v>
      </c>
    </row>
    <row r="33" spans="2:11">
      <c r="B33" s="152" t="s">
        <v>48</v>
      </c>
      <c r="C33"/>
      <c r="D33"/>
      <c r="E33"/>
      <c r="F33"/>
      <c r="G33" s="157">
        <f>G32/F32-1</f>
        <v>-0.35071988325067593</v>
      </c>
      <c r="H33" s="157">
        <f t="shared" ref="H33:J33" si="3">H32/G32-1</f>
        <v>5.8661039926954262E-2</v>
      </c>
      <c r="I33" s="157">
        <f t="shared" si="3"/>
        <v>8.780934813156005E-3</v>
      </c>
      <c r="J33" s="157">
        <f t="shared" si="3"/>
        <v>4.8065941303399029E-3</v>
      </c>
    </row>
    <row r="34" spans="2:11">
      <c r="B34" s="152"/>
      <c r="C34"/>
      <c r="D34"/>
      <c r="E34"/>
      <c r="F34"/>
      <c r="G34" s="157"/>
      <c r="H34" s="157"/>
      <c r="I34" s="157"/>
      <c r="J34" s="157"/>
    </row>
    <row r="35" spans="2:11">
      <c r="B35" s="143" t="s">
        <v>184</v>
      </c>
      <c r="C35"/>
      <c r="D35"/>
      <c r="E35"/>
      <c r="F35" s="133">
        <f>YEARFRAC($C$6,F12)</f>
        <v>0.46666666666666667</v>
      </c>
      <c r="G35" s="133">
        <f>YEARFRAC($C$6,G12)</f>
        <v>1.4666666666666666</v>
      </c>
      <c r="H35" s="133">
        <f>YEARFRAC($C$6,H12)</f>
        <v>2.4666666666666668</v>
      </c>
      <c r="I35" s="133">
        <f>YEARFRAC($C$6,I12)</f>
        <v>3.4666666666666668</v>
      </c>
      <c r="J35" s="133">
        <f>YEARFRAC($C$6,J12)</f>
        <v>4.4666666666666668</v>
      </c>
    </row>
    <row r="36" spans="2:11">
      <c r="B36" s="20" t="s">
        <v>227</v>
      </c>
      <c r="C36" s="170" t="s">
        <v>228</v>
      </c>
      <c r="E36"/>
    </row>
    <row r="37" spans="2:11">
      <c r="B37" s="17" t="s">
        <v>229</v>
      </c>
      <c r="C37" s="171">
        <f>IF(C36="Middle of period",(1+C8)^0.5,1)</f>
        <v>1.0223965580513319</v>
      </c>
      <c r="F37" s="211">
        <f>F35-E35</f>
        <v>0.46666666666666667</v>
      </c>
      <c r="G37" s="62">
        <f>G35-F35</f>
        <v>0.99999999999999989</v>
      </c>
      <c r="H37" s="62">
        <f>H35-G35</f>
        <v>1.0000000000000002</v>
      </c>
      <c r="I37" s="62">
        <f>I35-H35</f>
        <v>1</v>
      </c>
      <c r="J37" s="62">
        <f>J35-I35</f>
        <v>1</v>
      </c>
    </row>
    <row r="38" spans="2:11">
      <c r="B38" s="143" t="s">
        <v>185</v>
      </c>
      <c r="D38"/>
      <c r="E38"/>
      <c r="F38" s="200">
        <f>IF($C$36="End of period",F32/(1+$C$8)^F35,F32/(1+$C$8)^(F35-0.5*F37))</f>
        <v>4603.9405037412253</v>
      </c>
      <c r="G38" s="200">
        <f t="shared" ref="G38:J38" si="4">IF($C$36="End of period",G32/(1+$C$8)^G35,G32/(1+$C$8)^(G35-0.5*G37))</f>
        <v>2893.6991981117317</v>
      </c>
      <c r="H38" s="200">
        <f t="shared" si="4"/>
        <v>2930.7013018260059</v>
      </c>
      <c r="I38" s="200">
        <f t="shared" si="4"/>
        <v>2828.327300359203</v>
      </c>
      <c r="J38" s="200">
        <f t="shared" si="4"/>
        <v>2718.7757310711017</v>
      </c>
    </row>
    <row r="39" spans="2:11">
      <c r="B39" s="42"/>
      <c r="C39" s="157"/>
      <c r="D39" s="58"/>
      <c r="E39"/>
      <c r="F39" s="200"/>
      <c r="G39" s="200"/>
      <c r="H39" s="200"/>
      <c r="I39" s="200"/>
      <c r="J39" s="200"/>
    </row>
    <row r="40" spans="2:11" ht="15" thickBot="1">
      <c r="B40" s="126" t="s">
        <v>186</v>
      </c>
      <c r="C40" s="119"/>
      <c r="D40"/>
      <c r="E40" s="126" t="s">
        <v>187</v>
      </c>
      <c r="F40" s="119"/>
      <c r="G40" s="119"/>
      <c r="H40" s="119"/>
      <c r="I40" s="119"/>
      <c r="J40" s="119"/>
    </row>
    <row r="41" spans="2:11">
      <c r="B41" s="17" t="s">
        <v>260</v>
      </c>
      <c r="C41" s="58">
        <f>J17+SUM(J20:J27)</f>
        <v>741.0845197420233</v>
      </c>
      <c r="D41"/>
      <c r="E41" s="17" t="s">
        <v>188</v>
      </c>
      <c r="J41" s="154">
        <f>J14</f>
        <v>789.51179117285301</v>
      </c>
    </row>
    <row r="42" spans="2:11" ht="16.2">
      <c r="B42" s="17" t="s">
        <v>259</v>
      </c>
      <c r="C42" s="57">
        <f>C41*(1+C43)</f>
        <v>763.31705533428408</v>
      </c>
      <c r="D42"/>
      <c r="E42" s="17" t="s">
        <v>189</v>
      </c>
      <c r="J42" s="210">
        <v>9.25</v>
      </c>
      <c r="K42" s="160"/>
    </row>
    <row r="43" spans="2:11">
      <c r="B43" s="17" t="s">
        <v>190</v>
      </c>
      <c r="C43" s="208">
        <v>0.03</v>
      </c>
      <c r="D43"/>
      <c r="E43" s="17" t="s">
        <v>191</v>
      </c>
      <c r="J43" s="58">
        <f>J41*J42</f>
        <v>7302.9840683488901</v>
      </c>
    </row>
    <row r="44" spans="2:11">
      <c r="B44" s="17" t="s">
        <v>191</v>
      </c>
      <c r="C44" s="58">
        <f>C37*C42/(C8-C43)</f>
        <v>51024.970208810286</v>
      </c>
      <c r="D44"/>
      <c r="E44" s="20" t="s">
        <v>192</v>
      </c>
      <c r="J44" s="58">
        <f>J43/(1+C8)^J35</f>
        <v>5991.9369718641947</v>
      </c>
    </row>
    <row r="45" spans="2:11">
      <c r="B45" s="20" t="s">
        <v>192</v>
      </c>
      <c r="C45" s="58">
        <f>C44/(1+C8)^J35</f>
        <v>41864.859983401686</v>
      </c>
      <c r="D45"/>
      <c r="E45" s="36" t="s">
        <v>193</v>
      </c>
      <c r="J45" s="154">
        <f>C46</f>
        <v>15975.444035109267</v>
      </c>
    </row>
    <row r="46" spans="2:11">
      <c r="B46" s="36" t="s">
        <v>193</v>
      </c>
      <c r="C46" s="154">
        <f>SUM(F38:J38)</f>
        <v>15975.444035109267</v>
      </c>
      <c r="D46"/>
      <c r="E46" s="34" t="s">
        <v>194</v>
      </c>
      <c r="J46" s="106">
        <f>SUM(J44:J45)</f>
        <v>21967.381006973461</v>
      </c>
    </row>
    <row r="47" spans="2:11">
      <c r="B47" s="34" t="s">
        <v>194</v>
      </c>
      <c r="C47" s="106">
        <f>SUM(C45:C46)</f>
        <v>57840.304018510957</v>
      </c>
      <c r="E47" s="173" t="s">
        <v>233</v>
      </c>
      <c r="F47" s="142"/>
      <c r="G47" s="142"/>
      <c r="H47" s="142"/>
      <c r="I47" s="142"/>
      <c r="J47" s="207">
        <f>(C8-(C41*(1+C8)^0.5)/J43)/(1+(C41*(1+C8)^0.5)/J43)</f>
        <v>-5.296034002349384E-2</v>
      </c>
    </row>
    <row r="48" spans="2:11">
      <c r="B48" s="173" t="s">
        <v>232</v>
      </c>
      <c r="C48" s="209">
        <f>C44/J41</f>
        <v>64.628509389341161</v>
      </c>
      <c r="E48" s="36"/>
      <c r="J48" s="157"/>
    </row>
    <row r="49" spans="2:10">
      <c r="B49" s="173"/>
      <c r="C49" s="159"/>
      <c r="E49" s="36"/>
      <c r="J49" s="157"/>
    </row>
    <row r="50" spans="2:10" ht="15" thickBot="1">
      <c r="B50" s="126" t="s">
        <v>212</v>
      </c>
      <c r="C50" s="161"/>
      <c r="D50"/>
      <c r="E50" s="126" t="s">
        <v>217</v>
      </c>
      <c r="F50" s="161"/>
      <c r="G50" s="161"/>
      <c r="H50" s="161"/>
      <c r="I50" s="161"/>
      <c r="J50" s="161"/>
    </row>
    <row r="51" spans="2:10" ht="16.2">
      <c r="B51" s="17" t="s">
        <v>52</v>
      </c>
      <c r="C51" s="95">
        <f>18949+22401+109239</f>
        <v>150589</v>
      </c>
      <c r="D51"/>
      <c r="E51"/>
      <c r="F51"/>
      <c r="G51"/>
      <c r="I51" s="162" t="s">
        <v>214</v>
      </c>
      <c r="J51" s="162" t="s">
        <v>38</v>
      </c>
    </row>
    <row r="52" spans="2:10">
      <c r="B52" s="36" t="s">
        <v>108</v>
      </c>
      <c r="C52" s="95">
        <v>16962</v>
      </c>
      <c r="D52"/>
      <c r="E52" t="s">
        <v>215</v>
      </c>
      <c r="F52"/>
      <c r="G52"/>
      <c r="I52" s="154">
        <f>C47</f>
        <v>57840.304018510957</v>
      </c>
      <c r="J52" s="154">
        <f>J46</f>
        <v>21967.381006973461</v>
      </c>
    </row>
    <row r="53" spans="2:10">
      <c r="B53" s="96" t="s">
        <v>74</v>
      </c>
      <c r="C53" s="141">
        <f>C52-C51</f>
        <v>-133627</v>
      </c>
      <c r="D53"/>
      <c r="E53" t="s">
        <v>195</v>
      </c>
      <c r="F53"/>
      <c r="G53"/>
      <c r="I53" s="154">
        <f>-C53</f>
        <v>133627</v>
      </c>
      <c r="J53" s="154">
        <f>-C53</f>
        <v>133627</v>
      </c>
    </row>
    <row r="54" spans="2:10">
      <c r="B54" s="36" t="s">
        <v>213</v>
      </c>
      <c r="C54" s="95">
        <v>18400</v>
      </c>
      <c r="D54"/>
      <c r="E54" t="s">
        <v>216</v>
      </c>
      <c r="F54"/>
      <c r="G54"/>
      <c r="I54" s="154">
        <f>-$C$54</f>
        <v>-18400</v>
      </c>
      <c r="J54" s="154">
        <f>-$C$54</f>
        <v>-18400</v>
      </c>
    </row>
    <row r="55" spans="2:10">
      <c r="D55"/>
      <c r="E55" s="42" t="s">
        <v>196</v>
      </c>
      <c r="F55" s="42"/>
      <c r="G55" s="42"/>
      <c r="I55" s="106">
        <f>I52+I53+I54</f>
        <v>173067.30401851097</v>
      </c>
      <c r="J55" s="106">
        <f>J52+J53+J54</f>
        <v>137194.38100697345</v>
      </c>
    </row>
    <row r="56" spans="2:10" ht="15" thickBot="1">
      <c r="B56" s="126" t="s">
        <v>246</v>
      </c>
      <c r="C56" s="119"/>
      <c r="D56" s="20"/>
      <c r="E56" s="36" t="s">
        <v>197</v>
      </c>
      <c r="I56" s="165">
        <f>$C$65</f>
        <v>861.38100000000009</v>
      </c>
      <c r="J56" s="165">
        <f>$C$65</f>
        <v>861.38100000000009</v>
      </c>
    </row>
    <row r="57" spans="2:10">
      <c r="B57" s="142" t="s">
        <v>23</v>
      </c>
      <c r="C57" s="165">
        <f>C7</f>
        <v>861.38100000000009</v>
      </c>
      <c r="D57" s="20"/>
      <c r="E57" s="42" t="s">
        <v>198</v>
      </c>
      <c r="I57" s="144">
        <f>I55/I56</f>
        <v>200.91841359225586</v>
      </c>
      <c r="J57" s="144">
        <f t="shared" ref="J57" si="5">J55/J56</f>
        <v>159.27258786410826</v>
      </c>
    </row>
    <row r="58" spans="2:10">
      <c r="B58" s="69" t="s">
        <v>219</v>
      </c>
      <c r="C58" s="163">
        <v>2.4</v>
      </c>
      <c r="D58" s="20"/>
      <c r="E58" s="142" t="s">
        <v>218</v>
      </c>
      <c r="I58" s="157">
        <f>$C$5/I57-1</f>
        <v>-0.90080550784934044</v>
      </c>
      <c r="J58" s="157">
        <f t="shared" ref="J58" si="6">$C$5/J57-1</f>
        <v>-0.87486861193588239</v>
      </c>
    </row>
    <row r="59" spans="2:10">
      <c r="B59" s="69" t="s">
        <v>220</v>
      </c>
      <c r="C59">
        <v>157.93</v>
      </c>
      <c r="D59"/>
      <c r="E59"/>
      <c r="F59"/>
      <c r="G59"/>
      <c r="H59"/>
      <c r="I59"/>
      <c r="J59"/>
    </row>
    <row r="60" spans="2:10" ht="15" thickBot="1">
      <c r="B60" s="17" t="s">
        <v>221</v>
      </c>
      <c r="C60" s="163">
        <f>IF(C59&lt;C5,C58,0)</f>
        <v>0</v>
      </c>
      <c r="D60"/>
      <c r="E60" s="126" t="s">
        <v>199</v>
      </c>
      <c r="F60" s="119"/>
      <c r="G60" s="119"/>
      <c r="H60" s="119"/>
      <c r="I60" s="119"/>
      <c r="J60" s="119"/>
    </row>
    <row r="61" spans="2:10">
      <c r="B61" s="74" t="s">
        <v>205</v>
      </c>
      <c r="C61" s="58">
        <f>C60*C59</f>
        <v>0</v>
      </c>
      <c r="D61"/>
      <c r="E61" s="145" t="s">
        <v>200</v>
      </c>
      <c r="J61" s="146">
        <v>0.02</v>
      </c>
    </row>
    <row r="62" spans="2:10">
      <c r="B62" s="74" t="s">
        <v>206</v>
      </c>
      <c r="C62" s="163">
        <f>C61/C5</f>
        <v>0</v>
      </c>
      <c r="D62"/>
      <c r="E62" s="20" t="s">
        <v>34</v>
      </c>
      <c r="J62" s="157">
        <f>J16</f>
        <v>0.33</v>
      </c>
    </row>
    <row r="63" spans="2:10">
      <c r="B63" s="74" t="s">
        <v>207</v>
      </c>
      <c r="C63" s="166">
        <f>C60-C62</f>
        <v>0</v>
      </c>
      <c r="D63"/>
      <c r="E63" s="17" t="s">
        <v>253</v>
      </c>
      <c r="J63" s="14">
        <f>J61*(1-J62)</f>
        <v>1.3399999999999999E-2</v>
      </c>
    </row>
    <row r="64" spans="2:10">
      <c r="B64" s="74" t="s">
        <v>208</v>
      </c>
      <c r="C64" s="95">
        <v>0</v>
      </c>
    </row>
    <row r="65" spans="2:12">
      <c r="B65" s="71" t="s">
        <v>209</v>
      </c>
      <c r="C65" s="167">
        <f>C57+C63+C64</f>
        <v>861.38100000000009</v>
      </c>
      <c r="E65" s="17" t="s">
        <v>201</v>
      </c>
      <c r="J65" s="146">
        <v>2.5000000000000001E-2</v>
      </c>
      <c r="K65" s="220" t="s">
        <v>271</v>
      </c>
      <c r="L65" s="220" t="s">
        <v>272</v>
      </c>
    </row>
    <row r="66" spans="2:12">
      <c r="E66" s="17" t="s">
        <v>202</v>
      </c>
      <c r="J66" s="222">
        <f>IF(L66="Observed",K66,C86)</f>
        <v>-2.8495924183430708</v>
      </c>
      <c r="K66" s="147">
        <v>0.93</v>
      </c>
      <c r="L66" s="221" t="s">
        <v>273</v>
      </c>
    </row>
    <row r="67" spans="2:12">
      <c r="E67" s="20" t="s">
        <v>203</v>
      </c>
      <c r="J67" s="148">
        <v>0.08</v>
      </c>
    </row>
    <row r="68" spans="2:12">
      <c r="E68" s="36" t="s">
        <v>254</v>
      </c>
      <c r="J68" s="201">
        <f>J65+J66*J67</f>
        <v>-0.20296739346744566</v>
      </c>
    </row>
    <row r="70" spans="2:12">
      <c r="E70" s="24" t="s">
        <v>255</v>
      </c>
      <c r="F70" s="24"/>
      <c r="G70" s="24"/>
      <c r="H70" s="24"/>
      <c r="I70" s="24"/>
      <c r="J70" s="24"/>
    </row>
    <row r="71" spans="2:12" ht="16.2">
      <c r="I71" s="202" t="s">
        <v>256</v>
      </c>
      <c r="J71" s="203" t="s">
        <v>257</v>
      </c>
    </row>
    <row r="72" spans="2:12">
      <c r="E72" s="36" t="s">
        <v>258</v>
      </c>
      <c r="I72" s="62">
        <f>C65*C5</f>
        <v>17167.323330000003</v>
      </c>
      <c r="J72" s="14">
        <f>I72/(I72+I73)</f>
        <v>-0.14741002053994456</v>
      </c>
    </row>
    <row r="73" spans="2:12">
      <c r="E73" s="36" t="s">
        <v>74</v>
      </c>
      <c r="I73" s="62">
        <f>C53</f>
        <v>-133627</v>
      </c>
      <c r="J73" s="14">
        <f>1-J72</f>
        <v>1.1474100205399447</v>
      </c>
    </row>
    <row r="75" spans="2:12">
      <c r="E75" s="204" t="s">
        <v>204</v>
      </c>
      <c r="F75" s="205"/>
      <c r="G75" s="205"/>
      <c r="H75" s="205"/>
      <c r="I75" s="205"/>
      <c r="J75" s="206">
        <f>J63*J73+J68*J72</f>
        <v>4.5294721915210431E-2</v>
      </c>
    </row>
    <row r="76" spans="2:12">
      <c r="E76" s="36"/>
      <c r="J76" s="156"/>
    </row>
    <row r="77" spans="2:12" ht="15" thickBot="1">
      <c r="B77" s="126" t="s">
        <v>261</v>
      </c>
      <c r="C77" s="119"/>
      <c r="D77" s="119"/>
      <c r="E77" s="119"/>
      <c r="F77" s="119"/>
      <c r="G77" s="119"/>
      <c r="H77" s="119"/>
      <c r="I77" s="119"/>
      <c r="J77" s="119"/>
    </row>
    <row r="78" spans="2:12">
      <c r="H78" s="212"/>
    </row>
    <row r="79" spans="2:12" ht="15" thickBot="1">
      <c r="C79" s="213" t="s">
        <v>262</v>
      </c>
      <c r="D79" s="213" t="s">
        <v>263</v>
      </c>
      <c r="E79" s="213" t="s">
        <v>264</v>
      </c>
      <c r="F79" s="213" t="s">
        <v>225</v>
      </c>
      <c r="G79" s="213" t="s">
        <v>151</v>
      </c>
      <c r="H79" s="214" t="s">
        <v>265</v>
      </c>
      <c r="I79" s="213" t="s">
        <v>34</v>
      </c>
      <c r="J79" s="213" t="s">
        <v>266</v>
      </c>
    </row>
    <row r="80" spans="2:12">
      <c r="B80" s="17" t="s">
        <v>267</v>
      </c>
      <c r="C80" s="215">
        <v>0.68</v>
      </c>
      <c r="D80" s="215">
        <v>44.83</v>
      </c>
      <c r="E80" s="216">
        <v>8260</v>
      </c>
      <c r="F80" s="58">
        <f>D80*E80</f>
        <v>370295.8</v>
      </c>
      <c r="G80" s="95">
        <f>11572+76853+14792</f>
        <v>103217</v>
      </c>
      <c r="H80" s="95">
        <f>2000+794+20679</f>
        <v>23473</v>
      </c>
      <c r="I80" s="60">
        <v>0.18</v>
      </c>
      <c r="J80" s="115">
        <f>C80/(1+(1-I80)*(H80-G80)/F80)</f>
        <v>0.82583279841388346</v>
      </c>
    </row>
    <row r="81" spans="2:10">
      <c r="B81" s="17" t="s">
        <v>268</v>
      </c>
      <c r="C81" s="215">
        <v>1.1439999999999999</v>
      </c>
      <c r="D81" s="215">
        <v>589.47</v>
      </c>
      <c r="E81" s="216">
        <v>675.9</v>
      </c>
      <c r="F81" s="58">
        <f>D81*E81</f>
        <v>398422.77299999999</v>
      </c>
      <c r="G81" s="95">
        <f>16639+42740
+3873
+2123</f>
        <v>65375</v>
      </c>
      <c r="H81" s="95">
        <f>3009
+2153
+3234</f>
        <v>8396</v>
      </c>
      <c r="I81" s="60">
        <f>495/4537</f>
        <v>0.10910293145250165</v>
      </c>
      <c r="J81" s="115">
        <f t="shared" ref="J81:J82" si="7">C81/(1+(1-I81)*(H81-G81)/F81)</f>
        <v>1.3110372054598531</v>
      </c>
    </row>
    <row r="82" spans="2:10">
      <c r="B82" s="17" t="s">
        <v>269</v>
      </c>
      <c r="C82" s="215">
        <v>0.77</v>
      </c>
      <c r="D82" s="215">
        <v>359.76</v>
      </c>
      <c r="E82" s="216">
        <v>460.17</v>
      </c>
      <c r="F82" s="58">
        <f>D82*E82</f>
        <v>165550.7592</v>
      </c>
      <c r="G82" s="95">
        <f>5074+3592</f>
        <v>8666</v>
      </c>
      <c r="H82" s="95">
        <v>3147</v>
      </c>
      <c r="I82" s="60">
        <f>161/506</f>
        <v>0.31818181818181818</v>
      </c>
      <c r="J82" s="115">
        <f t="shared" si="7"/>
        <v>0.78790910635190825</v>
      </c>
    </row>
    <row r="83" spans="2:10">
      <c r="B83" s="20" t="str">
        <f>'Financial Statement Model'!C6</f>
        <v>UAA</v>
      </c>
      <c r="C83" s="217">
        <f>K66</f>
        <v>0.93</v>
      </c>
      <c r="D83" s="218">
        <f>C5</f>
        <v>19.93</v>
      </c>
      <c r="E83" s="219">
        <f>C65</f>
        <v>861.38100000000009</v>
      </c>
      <c r="F83" s="37">
        <f>D83*E83</f>
        <v>17167.323330000003</v>
      </c>
      <c r="G83" s="37">
        <f>C51</f>
        <v>150589</v>
      </c>
      <c r="H83" s="37">
        <f>C52</f>
        <v>16962</v>
      </c>
      <c r="I83" s="92">
        <f>J62</f>
        <v>0.33</v>
      </c>
      <c r="J83" s="218">
        <f>C83/(1+(1-I83)*(H83-G83)/F83)</f>
        <v>-0.22063295022575463</v>
      </c>
    </row>
    <row r="84" spans="2:10">
      <c r="C84" s="115"/>
      <c r="F84" s="58"/>
      <c r="G84" s="58"/>
      <c r="H84" s="58"/>
      <c r="I84" s="14"/>
      <c r="J84" s="218"/>
    </row>
    <row r="85" spans="2:10">
      <c r="B85" s="17" t="s">
        <v>270</v>
      </c>
      <c r="C85" s="115">
        <f>AVERAGE(J80:J83)</f>
        <v>0.67603653999997249</v>
      </c>
    </row>
    <row r="86" spans="2:10">
      <c r="B86" s="17" t="str">
        <f>B83&amp;" beta"</f>
        <v>UAA beta</v>
      </c>
      <c r="C86" s="115">
        <f>C85*(1+(1-I83)*(H83-G83)/F83)</f>
        <v>-2.8495924183430708</v>
      </c>
    </row>
    <row r="87" spans="2:10">
      <c r="E87" s="36"/>
      <c r="J87" s="156"/>
    </row>
    <row r="88" spans="2:10" ht="15" thickBot="1">
      <c r="B88" s="126" t="s">
        <v>222</v>
      </c>
      <c r="C88" s="119"/>
      <c r="D88" s="119"/>
      <c r="E88" s="119"/>
      <c r="F88" s="119"/>
      <c r="G88" s="119"/>
      <c r="H88" s="119"/>
      <c r="I88" s="119"/>
      <c r="J88" s="119"/>
    </row>
    <row r="89" spans="2:10">
      <c r="B89" s="34"/>
      <c r="C89" s="20"/>
      <c r="D89" s="20"/>
      <c r="E89" s="20"/>
      <c r="F89" s="20"/>
      <c r="G89" s="20"/>
      <c r="H89" s="20"/>
    </row>
    <row r="90" spans="2:10" ht="16.2">
      <c r="B90" s="34"/>
      <c r="C90" s="185" t="s">
        <v>198</v>
      </c>
      <c r="D90" s="185"/>
      <c r="E90" s="185"/>
      <c r="F90" s="185"/>
      <c r="G90" s="185"/>
      <c r="H90" s="185"/>
    </row>
    <row r="91" spans="2:10">
      <c r="B91" s="20"/>
      <c r="C91" s="74"/>
      <c r="D91" s="120" t="s">
        <v>252</v>
      </c>
      <c r="E91" s="120"/>
      <c r="F91" s="120"/>
      <c r="G91" s="120"/>
      <c r="H91" s="120"/>
    </row>
    <row r="92" spans="2:10">
      <c r="B92" s="177"/>
      <c r="C92" s="184">
        <f>I57</f>
        <v>200.91841359225586</v>
      </c>
      <c r="D92" s="186">
        <f>E92-0.005</f>
        <v>1.9999999999999997E-2</v>
      </c>
      <c r="E92" s="187">
        <f>F92-0.005</f>
        <v>2.4999999999999998E-2</v>
      </c>
      <c r="F92" s="188">
        <v>0.03</v>
      </c>
      <c r="G92" s="187">
        <f>F92+0.005</f>
        <v>3.4999999999999996E-2</v>
      </c>
      <c r="H92" s="189">
        <f>G92+0.005</f>
        <v>3.9999999999999994E-2</v>
      </c>
    </row>
    <row r="93" spans="2:10">
      <c r="B93" s="20"/>
      <c r="C93" s="223">
        <f t="shared" ref="C93" si="8">C94+0.01</f>
        <v>0.14850165365441742</v>
      </c>
      <c r="D93" s="226">
        <f t="dataTable" ref="D93:H97" dt2D="1" dtr="1" r1="C43" r2="J75" ca="1"/>
        <v>153.49197301651989</v>
      </c>
      <c r="E93" s="226">
        <v>153.67172367149777</v>
      </c>
      <c r="F93" s="226">
        <v>153.86664294644297</v>
      </c>
      <c r="G93" s="226">
        <v>154.07873547558043</v>
      </c>
      <c r="H93" s="226">
        <v>154.31037540533288</v>
      </c>
    </row>
    <row r="94" spans="2:10">
      <c r="B94" s="20"/>
      <c r="C94" s="223">
        <f>C95+0.01</f>
        <v>0.13850165365441741</v>
      </c>
      <c r="D94" s="226">
        <v>154.20336784276356</v>
      </c>
      <c r="E94" s="226">
        <v>154.42103487181117</v>
      </c>
      <c r="F94" s="226">
        <v>154.65876307243698</v>
      </c>
      <c r="G94" s="226">
        <v>154.91945981435961</v>
      </c>
      <c r="H94" s="226">
        <v>155.20662278626432</v>
      </c>
    </row>
    <row r="95" spans="2:10">
      <c r="B95" s="177" t="s">
        <v>248</v>
      </c>
      <c r="C95" s="224">
        <v>0.1285016536544174</v>
      </c>
      <c r="D95" s="226">
        <v>155.01886775635742</v>
      </c>
      <c r="E95" s="226">
        <v>155.28647772422406</v>
      </c>
      <c r="F95" s="226">
        <v>155.58125576063964</v>
      </c>
      <c r="G95" s="226">
        <v>155.90756030219117</v>
      </c>
      <c r="H95" s="226">
        <v>156.27073472448251</v>
      </c>
    </row>
    <row r="96" spans="2:10">
      <c r="B96" s="20"/>
      <c r="C96" s="223">
        <f t="shared" ref="C96:C97" si="9">C95-0.01</f>
        <v>0.11850165365441741</v>
      </c>
      <c r="D96" s="226">
        <v>155.96865173702852</v>
      </c>
      <c r="E96" s="226">
        <v>156.30368735052028</v>
      </c>
      <c r="F96" s="226">
        <v>156.67657938811911</v>
      </c>
      <c r="G96" s="226">
        <v>157.09412827037659</v>
      </c>
      <c r="H96" s="226">
        <v>157.56486697257029</v>
      </c>
    </row>
    <row r="97" spans="2:8">
      <c r="B97" s="20"/>
      <c r="C97" s="225">
        <f t="shared" si="9"/>
        <v>0.10850165365441741</v>
      </c>
      <c r="D97" s="226">
        <v>157.09643200124947</v>
      </c>
      <c r="E97" s="226">
        <v>157.52525510072303</v>
      </c>
      <c r="F97" s="226">
        <v>158.00870419589359</v>
      </c>
      <c r="G97" s="226">
        <v>158.55792719833482</v>
      </c>
      <c r="H97" s="226">
        <v>159.18732680573979</v>
      </c>
    </row>
    <row r="98" spans="2:8">
      <c r="B98" s="20"/>
      <c r="C98" s="20"/>
      <c r="D98" s="158"/>
      <c r="E98" s="158"/>
      <c r="F98" s="158"/>
      <c r="G98" s="158"/>
      <c r="H98" s="158"/>
    </row>
    <row r="99" spans="2:8" ht="16.2">
      <c r="C99" s="185" t="s">
        <v>198</v>
      </c>
      <c r="D99" s="185"/>
      <c r="E99" s="185"/>
      <c r="F99" s="185"/>
      <c r="G99" s="185"/>
      <c r="H99" s="185"/>
    </row>
    <row r="100" spans="2:8">
      <c r="D100" s="120" t="s">
        <v>223</v>
      </c>
      <c r="E100" s="120"/>
      <c r="F100" s="120"/>
      <c r="G100" s="120"/>
      <c r="H100" s="120"/>
    </row>
    <row r="101" spans="2:8">
      <c r="C101" s="168">
        <f>J57</f>
        <v>159.27258786410826</v>
      </c>
      <c r="D101" s="190">
        <f>E101-1</f>
        <v>7.25</v>
      </c>
      <c r="E101" s="190">
        <f>F101-1</f>
        <v>8.25</v>
      </c>
      <c r="F101" s="191">
        <v>9.25</v>
      </c>
      <c r="G101" s="190">
        <f>F101+1</f>
        <v>10.25</v>
      </c>
      <c r="H101" s="192">
        <f>G101+1</f>
        <v>11.25</v>
      </c>
    </row>
    <row r="102" spans="2:8">
      <c r="C102" s="223">
        <f t="shared" ref="C102" si="10">C103+0.01</f>
        <v>0.14850165365441742</v>
      </c>
      <c r="D102" s="227">
        <f t="dataTable" ref="D102:H106" dt2D="1" dtr="1" r1="J42" r2="J75" ca="1"/>
        <v>153.12908715351961</v>
      </c>
      <c r="E102" s="226">
        <v>153.62291480942426</v>
      </c>
      <c r="F102" s="226">
        <v>154.11674246532888</v>
      </c>
      <c r="G102" s="226">
        <v>154.61057012123354</v>
      </c>
      <c r="H102" s="226">
        <v>155.10439777713819</v>
      </c>
    </row>
    <row r="103" spans="2:8">
      <c r="C103" s="223">
        <f>C104+0.01</f>
        <v>0.13850165365441741</v>
      </c>
      <c r="D103" s="227">
        <v>153.49942112409767</v>
      </c>
      <c r="E103" s="226">
        <v>154.01292015154624</v>
      </c>
      <c r="F103" s="226">
        <v>154.52641917899479</v>
      </c>
      <c r="G103" s="226">
        <v>155.03991820644336</v>
      </c>
      <c r="H103" s="226">
        <v>155.55341723389191</v>
      </c>
    </row>
    <row r="104" spans="2:8">
      <c r="B104" s="177" t="s">
        <v>248</v>
      </c>
      <c r="C104" s="224">
        <v>0.1285016536544174</v>
      </c>
      <c r="D104" s="227">
        <v>153.88436909829861</v>
      </c>
      <c r="E104" s="226">
        <v>154.41850713604646</v>
      </c>
      <c r="F104" s="226">
        <v>154.95264517379434</v>
      </c>
      <c r="G104" s="226">
        <v>155.48678321154222</v>
      </c>
      <c r="H104" s="226">
        <v>156.02092124929007</v>
      </c>
    </row>
    <row r="105" spans="2:8">
      <c r="C105" s="223">
        <f t="shared" ref="C105:C106" si="11">C104-0.01</f>
        <v>0.11850165365441741</v>
      </c>
      <c r="D105" s="227">
        <v>154.28469195971363</v>
      </c>
      <c r="E105" s="226">
        <v>154.8404934617725</v>
      </c>
      <c r="F105" s="226">
        <v>155.39629496383139</v>
      </c>
      <c r="G105" s="226">
        <v>155.95209646589026</v>
      </c>
      <c r="H105" s="226">
        <v>156.50789796794913</v>
      </c>
    </row>
    <row r="106" spans="2:8">
      <c r="C106" s="225">
        <f t="shared" si="11"/>
        <v>0.10850165365441741</v>
      </c>
      <c r="D106" s="227">
        <v>154.70119874769213</v>
      </c>
      <c r="E106" s="226">
        <v>155.27974887032263</v>
      </c>
      <c r="F106" s="226">
        <v>155.85829899295308</v>
      </c>
      <c r="G106" s="226">
        <v>156.43684911558358</v>
      </c>
      <c r="H106" s="226">
        <v>157.01539923821409</v>
      </c>
    </row>
    <row r="107" spans="2:8">
      <c r="C107" s="20"/>
      <c r="D107" s="20"/>
    </row>
    <row r="108" spans="2:8" ht="16.2">
      <c r="C108" s="185" t="s">
        <v>198</v>
      </c>
      <c r="D108" s="185"/>
      <c r="E108" s="185"/>
      <c r="F108" s="185"/>
      <c r="G108" s="185"/>
      <c r="H108" s="185"/>
    </row>
    <row r="109" spans="2:8">
      <c r="C109" s="20"/>
      <c r="D109" s="120" t="s">
        <v>223</v>
      </c>
      <c r="E109" s="120"/>
      <c r="F109" s="120"/>
      <c r="G109" s="120"/>
      <c r="H109" s="120"/>
    </row>
    <row r="110" spans="2:8">
      <c r="C110" s="198" t="s">
        <v>231</v>
      </c>
      <c r="D110" s="172">
        <f>J57</f>
        <v>159.27258786410826</v>
      </c>
      <c r="E110" s="193">
        <f>F110-1</f>
        <v>7.25</v>
      </c>
      <c r="F110" s="190">
        <f>G110-1</f>
        <v>8.25</v>
      </c>
      <c r="G110" s="191">
        <v>9.25</v>
      </c>
      <c r="H110" s="192">
        <f>G110+1</f>
        <v>10.25</v>
      </c>
    </row>
    <row r="111" spans="2:8">
      <c r="C111" s="199">
        <v>0.7</v>
      </c>
      <c r="D111" s="194">
        <f t="shared" ref="D111:D112" si="12">70535.7155695408*C111</f>
        <v>49375.000898678554</v>
      </c>
      <c r="E111" s="226">
        <f t="dataTable" ref="E111:H115" dt2D="1" dtr="1" r1="J42" r2="J14"/>
        <v>493.28682045731318</v>
      </c>
      <c r="F111" s="226">
        <v>540.3172247062771</v>
      </c>
      <c r="G111" s="226">
        <v>587.34762895524113</v>
      </c>
      <c r="H111" s="226">
        <v>634.37803320420494</v>
      </c>
    </row>
    <row r="112" spans="2:8">
      <c r="C112" s="199">
        <v>0.85</v>
      </c>
      <c r="D112" s="195">
        <f t="shared" si="12"/>
        <v>59955.358234109677</v>
      </c>
      <c r="E112" s="226">
        <v>566.3519127726679</v>
      </c>
      <c r="F112" s="226">
        <v>623.46026078926695</v>
      </c>
      <c r="G112" s="226">
        <v>680.56860880586578</v>
      </c>
      <c r="H112" s="226">
        <v>737.67695682246483</v>
      </c>
    </row>
    <row r="113" spans="2:10">
      <c r="C113" s="199">
        <v>1</v>
      </c>
      <c r="D113" s="196">
        <f>70535.7155695408*C113</f>
        <v>70535.7155695408</v>
      </c>
      <c r="E113" s="226">
        <v>639.41700508802262</v>
      </c>
      <c r="F113" s="226">
        <v>706.60329687225669</v>
      </c>
      <c r="G113" s="226">
        <v>773.78958865649088</v>
      </c>
      <c r="H113" s="226">
        <v>840.97588044072506</v>
      </c>
    </row>
    <row r="114" spans="2:10">
      <c r="C114" s="199">
        <v>1.1499999999999999</v>
      </c>
      <c r="D114" s="195">
        <f t="shared" ref="D114:D115" si="13">70535.7155695408*C114</f>
        <v>81116.072904971908</v>
      </c>
      <c r="E114" s="226">
        <v>712.48209740337722</v>
      </c>
      <c r="F114" s="226">
        <v>789.74633295524643</v>
      </c>
      <c r="G114" s="226">
        <v>867.01056850711575</v>
      </c>
      <c r="H114" s="226">
        <v>944.27480405898496</v>
      </c>
    </row>
    <row r="115" spans="2:10">
      <c r="C115" s="199">
        <v>1.3</v>
      </c>
      <c r="D115" s="197">
        <f t="shared" si="13"/>
        <v>91696.430240403046</v>
      </c>
      <c r="E115" s="226">
        <v>785.54718971873183</v>
      </c>
      <c r="F115" s="226">
        <v>872.8893690382364</v>
      </c>
      <c r="G115" s="226">
        <v>960.23154835774073</v>
      </c>
      <c r="H115" s="226">
        <v>1047.5737276772452</v>
      </c>
    </row>
    <row r="117" spans="2:10" ht="15" thickBot="1">
      <c r="B117" s="126" t="s">
        <v>245</v>
      </c>
      <c r="C117" s="119"/>
      <c r="D117" s="119"/>
      <c r="E117" s="119"/>
      <c r="F117" s="20"/>
      <c r="G117" s="175" t="s">
        <v>247</v>
      </c>
      <c r="H117" s="119"/>
      <c r="I117" s="119"/>
      <c r="J117" s="119"/>
    </row>
    <row r="118" spans="2:10">
      <c r="F118" s="20"/>
      <c r="G118" s="44" t="s">
        <v>249</v>
      </c>
    </row>
    <row r="119" spans="2:10">
      <c r="G119" s="48" t="s">
        <v>224</v>
      </c>
      <c r="J119" s="95" t="e">
        <f>E15+31056-29768</f>
        <v>#REF!</v>
      </c>
    </row>
    <row r="120" spans="2:10">
      <c r="G120" s="50" t="s">
        <v>250</v>
      </c>
      <c r="J120" s="95">
        <f>'Financial Statement Model'!E44+4031-3280</f>
        <v>751</v>
      </c>
    </row>
    <row r="121" spans="2:10">
      <c r="G121" s="50" t="s">
        <v>37</v>
      </c>
      <c r="J121" s="183">
        <f>'Financial Statement Model'!E45+1377-1120</f>
        <v>257</v>
      </c>
    </row>
    <row r="122" spans="2:10">
      <c r="G122" s="42" t="s">
        <v>251</v>
      </c>
      <c r="H122" s="42"/>
      <c r="I122" s="42"/>
      <c r="J122" s="141" t="e">
        <f>J119+J120+J121</f>
        <v>#REF!</v>
      </c>
    </row>
    <row r="123" spans="2:10">
      <c r="G123" s="17" t="s">
        <v>225</v>
      </c>
      <c r="J123" s="57">
        <f>C5*C65</f>
        <v>17167.323330000003</v>
      </c>
    </row>
    <row r="124" spans="2:10">
      <c r="G124" s="17" t="s">
        <v>215</v>
      </c>
      <c r="J124" s="57">
        <f>J123+C53</f>
        <v>-116459.67667</v>
      </c>
    </row>
    <row r="125" spans="2:10">
      <c r="G125" s="42" t="s">
        <v>226</v>
      </c>
      <c r="J125" s="169" t="e">
        <f>J124/J122</f>
        <v>#REF!</v>
      </c>
    </row>
    <row r="126" spans="2:10">
      <c r="G126" s="142" t="s">
        <v>230</v>
      </c>
      <c r="J126" s="159">
        <f>J42</f>
        <v>9.25</v>
      </c>
    </row>
    <row r="138" spans="2:5">
      <c r="B138" s="180"/>
      <c r="C138" s="181" t="s">
        <v>235</v>
      </c>
      <c r="D138" s="181" t="s">
        <v>236</v>
      </c>
      <c r="E138" s="182" t="s">
        <v>234</v>
      </c>
    </row>
    <row r="139" spans="2:5">
      <c r="B139" s="178" t="str">
        <f>"DCF Value at "&amp;TEXT(D101,"0.0x")&amp;"-"&amp;TEXT(H101,"0.0x")&amp;" Exit EBITDA Range"</f>
        <v>DCF Value at 7.3x-11.3x Exit EBITDA Range</v>
      </c>
      <c r="C139" s="218">
        <f>D105</f>
        <v>154.28469195971363</v>
      </c>
      <c r="D139" s="218">
        <f>E139-C139</f>
        <v>2.2232060082355076</v>
      </c>
      <c r="E139" s="228">
        <f>H105</f>
        <v>156.50789796794913</v>
      </c>
    </row>
    <row r="140" spans="2:5">
      <c r="B140" s="176" t="str">
        <f>"DCF Value at "&amp;TEXT(D92,"0.0%")&amp;"-"&amp;TEXT(H92,"0.0%")&amp;" Perpetuity Range"</f>
        <v>DCF Value at 2.0%-4.0% Perpetuity Range</v>
      </c>
      <c r="C140" s="218">
        <f>D96</f>
        <v>155.96865173702852</v>
      </c>
      <c r="D140" s="218">
        <f>E140-C140</f>
        <v>1.5962152355417629</v>
      </c>
      <c r="E140" s="228">
        <f>H96</f>
        <v>157.56486697257029</v>
      </c>
    </row>
    <row r="141" spans="2:5">
      <c r="B141" s="179" t="s">
        <v>244</v>
      </c>
      <c r="C141" s="229">
        <f>'52wkHL'!E5</f>
        <v>393.78</v>
      </c>
      <c r="D141" s="229">
        <f>E141-C141</f>
        <v>210.81000000000006</v>
      </c>
      <c r="E141" s="230">
        <f>'52wkHL'!E4</f>
        <v>604.59</v>
      </c>
    </row>
  </sheetData>
  <conditionalFormatting sqref="D93:H97">
    <cfRule type="cellIs" dxfId="2" priority="3" operator="lessThan">
      <formula>$C$5</formula>
    </cfRule>
  </conditionalFormatting>
  <conditionalFormatting sqref="D102:H106">
    <cfRule type="cellIs" dxfId="1" priority="2" operator="lessThan">
      <formula>$C$5</formula>
    </cfRule>
  </conditionalFormatting>
  <conditionalFormatting sqref="E111:H115">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9"/>
  <sheetViews>
    <sheetView zoomScaleNormal="100" workbookViewId="0"/>
  </sheetViews>
  <sheetFormatPr defaultRowHeight="14.4"/>
  <cols>
    <col min="1" max="1" width="10.88671875" bestFit="1" customWidth="1"/>
    <col min="2" max="5" width="9.33203125" bestFit="1" customWidth="1"/>
    <col min="6" max="6" width="10" bestFit="1" customWidth="1"/>
    <col min="9" max="9" width="9.33203125" bestFit="1" customWidth="1"/>
  </cols>
  <sheetData>
    <row r="2" spans="1:6" ht="18" thickBot="1">
      <c r="A2" s="174" t="s">
        <v>237</v>
      </c>
      <c r="B2" s="161"/>
      <c r="C2" s="161"/>
      <c r="D2" s="161"/>
      <c r="E2" s="161"/>
      <c r="F2" s="161"/>
    </row>
    <row r="4" spans="1:6">
      <c r="A4" t="s">
        <v>238</v>
      </c>
      <c r="E4" s="42">
        <f>MAX(E8:E259)</f>
        <v>604.59</v>
      </c>
    </row>
    <row r="5" spans="1:6">
      <c r="A5" t="s">
        <v>239</v>
      </c>
      <c r="E5" s="42">
        <f>MIN(E8:E259)</f>
        <v>393.78</v>
      </c>
    </row>
    <row r="7" spans="1:6">
      <c r="A7" t="s">
        <v>240</v>
      </c>
      <c r="B7" t="s">
        <v>241</v>
      </c>
      <c r="C7" t="s">
        <v>234</v>
      </c>
      <c r="D7" t="s">
        <v>235</v>
      </c>
      <c r="E7" s="42" t="s">
        <v>242</v>
      </c>
      <c r="F7" t="s">
        <v>243</v>
      </c>
    </row>
    <row r="8" spans="1:6">
      <c r="A8" s="153">
        <v>41778</v>
      </c>
      <c r="B8">
        <v>597.85</v>
      </c>
      <c r="C8">
        <v>607.33000000000004</v>
      </c>
      <c r="D8">
        <v>597.33000000000004</v>
      </c>
      <c r="E8" s="42">
        <v>604.59</v>
      </c>
      <c r="F8">
        <v>79438800</v>
      </c>
    </row>
    <row r="9" spans="1:6">
      <c r="A9" s="153">
        <v>41775</v>
      </c>
      <c r="B9">
        <v>588.63</v>
      </c>
      <c r="C9">
        <v>597.53</v>
      </c>
      <c r="D9">
        <v>585.4</v>
      </c>
      <c r="E9" s="42">
        <v>597.51</v>
      </c>
      <c r="F9">
        <v>69064100</v>
      </c>
    </row>
    <row r="10" spans="1:6">
      <c r="A10" s="153">
        <v>41774</v>
      </c>
      <c r="B10">
        <v>594.70000000000005</v>
      </c>
      <c r="C10">
        <v>596.6</v>
      </c>
      <c r="D10">
        <v>588.04</v>
      </c>
      <c r="E10" s="42">
        <v>588.82000000000005</v>
      </c>
      <c r="F10">
        <v>57711500</v>
      </c>
    </row>
    <row r="11" spans="1:6">
      <c r="A11" s="153">
        <v>41773</v>
      </c>
      <c r="B11">
        <v>592.42999999999995</v>
      </c>
      <c r="C11">
        <v>597.4</v>
      </c>
      <c r="D11">
        <v>591.74</v>
      </c>
      <c r="E11" s="42">
        <v>593.87</v>
      </c>
      <c r="F11">
        <v>41601000</v>
      </c>
    </row>
    <row r="12" spans="1:6">
      <c r="A12" s="153">
        <v>41772</v>
      </c>
      <c r="B12">
        <v>592</v>
      </c>
      <c r="C12">
        <v>594.54</v>
      </c>
      <c r="D12">
        <v>590.70000000000005</v>
      </c>
      <c r="E12" s="42">
        <v>593.76</v>
      </c>
      <c r="F12">
        <v>39934300</v>
      </c>
    </row>
    <row r="13" spans="1:6">
      <c r="A13" s="153">
        <v>41771</v>
      </c>
      <c r="B13">
        <v>587.49</v>
      </c>
      <c r="C13">
        <v>593.66</v>
      </c>
      <c r="D13">
        <v>587.4</v>
      </c>
      <c r="E13" s="42">
        <v>592.83000000000004</v>
      </c>
      <c r="F13">
        <v>53302200</v>
      </c>
    </row>
    <row r="14" spans="1:6">
      <c r="A14" s="153">
        <v>41768</v>
      </c>
      <c r="B14">
        <v>584.54</v>
      </c>
      <c r="C14">
        <v>586.25</v>
      </c>
      <c r="D14">
        <v>580.33000000000004</v>
      </c>
      <c r="E14" s="42">
        <v>585.54</v>
      </c>
      <c r="F14">
        <v>72899400</v>
      </c>
    </row>
    <row r="15" spans="1:6">
      <c r="A15" s="153">
        <v>41767</v>
      </c>
      <c r="B15">
        <v>588.25</v>
      </c>
      <c r="C15">
        <v>594.41</v>
      </c>
      <c r="D15">
        <v>586.4</v>
      </c>
      <c r="E15" s="42">
        <v>587.99</v>
      </c>
      <c r="F15">
        <v>57574300</v>
      </c>
    </row>
    <row r="16" spans="1:6">
      <c r="A16" s="153">
        <v>41766</v>
      </c>
      <c r="B16">
        <v>595.25</v>
      </c>
      <c r="C16">
        <v>597.29</v>
      </c>
      <c r="D16">
        <v>587.73</v>
      </c>
      <c r="E16" s="42">
        <v>592.33000000000004</v>
      </c>
      <c r="F16">
        <v>70716100</v>
      </c>
    </row>
    <row r="17" spans="1:6">
      <c r="A17" s="153">
        <v>41765</v>
      </c>
      <c r="B17">
        <v>601.79999999999995</v>
      </c>
      <c r="C17">
        <v>604.41</v>
      </c>
      <c r="D17">
        <v>594.41</v>
      </c>
      <c r="E17" s="42">
        <v>594.41</v>
      </c>
      <c r="F17">
        <v>93641100</v>
      </c>
    </row>
    <row r="18" spans="1:6">
      <c r="A18" s="153">
        <v>41764</v>
      </c>
      <c r="B18">
        <v>590.14</v>
      </c>
      <c r="C18">
        <v>601</v>
      </c>
      <c r="D18">
        <v>590</v>
      </c>
      <c r="E18" s="42">
        <v>600.96</v>
      </c>
      <c r="F18">
        <v>71766800</v>
      </c>
    </row>
    <row r="19" spans="1:6">
      <c r="A19" s="153">
        <v>41761</v>
      </c>
      <c r="B19">
        <v>592.34</v>
      </c>
      <c r="C19">
        <v>594.20000000000005</v>
      </c>
      <c r="D19">
        <v>589.71</v>
      </c>
      <c r="E19" s="42">
        <v>592.58000000000004</v>
      </c>
      <c r="F19">
        <v>47878600</v>
      </c>
    </row>
    <row r="20" spans="1:6">
      <c r="A20" s="153">
        <v>41760</v>
      </c>
      <c r="B20">
        <v>592</v>
      </c>
      <c r="C20">
        <v>594.79999999999995</v>
      </c>
      <c r="D20">
        <v>586.36</v>
      </c>
      <c r="E20" s="42">
        <v>591.48</v>
      </c>
      <c r="F20">
        <v>61012000</v>
      </c>
    </row>
    <row r="21" spans="1:6">
      <c r="A21" s="153">
        <v>41759</v>
      </c>
      <c r="B21">
        <v>592.64</v>
      </c>
      <c r="C21">
        <v>599.42999999999995</v>
      </c>
      <c r="D21">
        <v>589.79999999999995</v>
      </c>
      <c r="E21" s="42">
        <v>590.09</v>
      </c>
      <c r="F21">
        <v>114160200</v>
      </c>
    </row>
    <row r="22" spans="1:6">
      <c r="A22" s="153">
        <v>41758</v>
      </c>
      <c r="B22">
        <v>593.74</v>
      </c>
      <c r="C22">
        <v>595.98</v>
      </c>
      <c r="D22">
        <v>589.51</v>
      </c>
      <c r="E22" s="42">
        <v>592.33000000000004</v>
      </c>
      <c r="F22">
        <v>84344400</v>
      </c>
    </row>
    <row r="23" spans="1:6">
      <c r="A23" s="153">
        <v>41757</v>
      </c>
      <c r="B23">
        <v>572.79999999999995</v>
      </c>
      <c r="C23">
        <v>595.75</v>
      </c>
      <c r="D23">
        <v>572.54999999999995</v>
      </c>
      <c r="E23" s="42">
        <v>594.09</v>
      </c>
      <c r="F23">
        <v>167371400</v>
      </c>
    </row>
    <row r="24" spans="1:6">
      <c r="A24" s="153">
        <v>41754</v>
      </c>
      <c r="B24">
        <v>564.53</v>
      </c>
      <c r="C24">
        <v>571.99</v>
      </c>
      <c r="D24">
        <v>563.96</v>
      </c>
      <c r="E24" s="42">
        <v>571.94000000000005</v>
      </c>
      <c r="F24">
        <v>97568800</v>
      </c>
    </row>
    <row r="25" spans="1:6">
      <c r="A25" s="153">
        <v>41753</v>
      </c>
      <c r="B25">
        <v>568.21</v>
      </c>
      <c r="C25">
        <v>570</v>
      </c>
      <c r="D25">
        <v>560.73</v>
      </c>
      <c r="E25" s="42">
        <v>567.77</v>
      </c>
      <c r="F25">
        <v>189977900</v>
      </c>
    </row>
    <row r="26" spans="1:6">
      <c r="A26" s="153">
        <v>41752</v>
      </c>
      <c r="B26">
        <v>529.05999999999995</v>
      </c>
      <c r="C26">
        <v>531.13</v>
      </c>
      <c r="D26">
        <v>524.45000000000005</v>
      </c>
      <c r="E26" s="42">
        <v>524.75</v>
      </c>
      <c r="F26">
        <v>98735000</v>
      </c>
    </row>
    <row r="27" spans="1:6">
      <c r="A27" s="153">
        <v>41751</v>
      </c>
      <c r="B27">
        <v>528.30999999999995</v>
      </c>
      <c r="C27">
        <v>531.83000000000004</v>
      </c>
      <c r="D27">
        <v>526.5</v>
      </c>
      <c r="E27" s="42">
        <v>531.70000000000005</v>
      </c>
      <c r="F27">
        <v>50640800</v>
      </c>
    </row>
    <row r="28" spans="1:6">
      <c r="A28" s="153">
        <v>41750</v>
      </c>
      <c r="B28">
        <v>525.34</v>
      </c>
      <c r="C28">
        <v>532.14</v>
      </c>
      <c r="D28">
        <v>523.96</v>
      </c>
      <c r="E28" s="42">
        <v>531.16999999999996</v>
      </c>
      <c r="F28">
        <v>45637200</v>
      </c>
    </row>
    <row r="29" spans="1:6">
      <c r="A29" s="153">
        <v>41746</v>
      </c>
      <c r="B29">
        <v>520</v>
      </c>
      <c r="C29">
        <v>527.76</v>
      </c>
      <c r="D29">
        <v>519.20000000000005</v>
      </c>
      <c r="E29" s="42">
        <v>524.94000000000005</v>
      </c>
      <c r="F29">
        <v>71083600</v>
      </c>
    </row>
    <row r="30" spans="1:6">
      <c r="A30" s="153">
        <v>41745</v>
      </c>
      <c r="B30">
        <v>518.04999999999995</v>
      </c>
      <c r="C30">
        <v>521.09</v>
      </c>
      <c r="D30">
        <v>514.14</v>
      </c>
      <c r="E30" s="42">
        <v>519.01</v>
      </c>
      <c r="F30">
        <v>53691400</v>
      </c>
    </row>
    <row r="31" spans="1:6">
      <c r="A31" s="153">
        <v>41744</v>
      </c>
      <c r="B31">
        <v>520.27</v>
      </c>
      <c r="C31">
        <v>521.64</v>
      </c>
      <c r="D31">
        <v>511.33</v>
      </c>
      <c r="E31" s="42">
        <v>517.96</v>
      </c>
      <c r="F31">
        <v>66622500</v>
      </c>
    </row>
    <row r="32" spans="1:6">
      <c r="A32" s="153">
        <v>41743</v>
      </c>
      <c r="B32">
        <v>521.9</v>
      </c>
      <c r="C32">
        <v>522.16</v>
      </c>
      <c r="D32">
        <v>517.21</v>
      </c>
      <c r="E32" s="42">
        <v>521.67999999999995</v>
      </c>
      <c r="F32">
        <v>51418500</v>
      </c>
    </row>
    <row r="33" spans="1:6">
      <c r="A33" s="153">
        <v>41740</v>
      </c>
      <c r="B33">
        <v>519</v>
      </c>
      <c r="C33">
        <v>522.83000000000004</v>
      </c>
      <c r="D33">
        <v>517.14</v>
      </c>
      <c r="E33" s="42">
        <v>519.61</v>
      </c>
      <c r="F33">
        <v>67929400</v>
      </c>
    </row>
    <row r="34" spans="1:6">
      <c r="A34" s="153">
        <v>41739</v>
      </c>
      <c r="B34">
        <v>530.67999999999995</v>
      </c>
      <c r="C34">
        <v>532.24</v>
      </c>
      <c r="D34">
        <v>523.16999999999996</v>
      </c>
      <c r="E34" s="42">
        <v>523.48</v>
      </c>
      <c r="F34">
        <v>59913000</v>
      </c>
    </row>
    <row r="35" spans="1:6">
      <c r="A35" s="153">
        <v>41738</v>
      </c>
      <c r="B35">
        <v>522.64</v>
      </c>
      <c r="C35">
        <v>530.49</v>
      </c>
      <c r="D35">
        <v>522.02</v>
      </c>
      <c r="E35" s="42">
        <v>530.32000000000005</v>
      </c>
      <c r="F35">
        <v>51542400</v>
      </c>
    </row>
    <row r="36" spans="1:6">
      <c r="A36" s="153">
        <v>41737</v>
      </c>
      <c r="B36">
        <v>525.19000000000005</v>
      </c>
      <c r="C36">
        <v>526.12</v>
      </c>
      <c r="D36">
        <v>518.70000000000005</v>
      </c>
      <c r="E36" s="42">
        <v>523.44000000000005</v>
      </c>
      <c r="F36">
        <v>60972100</v>
      </c>
    </row>
    <row r="37" spans="1:6">
      <c r="A37" s="153">
        <v>41736</v>
      </c>
      <c r="B37">
        <v>528.02</v>
      </c>
      <c r="C37">
        <v>530.9</v>
      </c>
      <c r="D37">
        <v>521.89</v>
      </c>
      <c r="E37" s="42">
        <v>523.47</v>
      </c>
      <c r="F37">
        <v>72462600</v>
      </c>
    </row>
    <row r="38" spans="1:6">
      <c r="A38" s="153">
        <v>41733</v>
      </c>
      <c r="B38">
        <v>539.80999999999995</v>
      </c>
      <c r="C38">
        <v>540</v>
      </c>
      <c r="D38">
        <v>530.58000000000004</v>
      </c>
      <c r="E38" s="42">
        <v>531.82000000000005</v>
      </c>
      <c r="F38">
        <v>68812800</v>
      </c>
    </row>
    <row r="39" spans="1:6">
      <c r="A39" s="153">
        <v>41732</v>
      </c>
      <c r="B39">
        <v>541.39</v>
      </c>
      <c r="C39">
        <v>542.5</v>
      </c>
      <c r="D39">
        <v>537.64</v>
      </c>
      <c r="E39" s="42">
        <v>538.79</v>
      </c>
      <c r="F39">
        <v>40586000</v>
      </c>
    </row>
    <row r="40" spans="1:6">
      <c r="A40" s="153">
        <v>41731</v>
      </c>
      <c r="B40">
        <v>542.38</v>
      </c>
      <c r="C40">
        <v>543.48</v>
      </c>
      <c r="D40">
        <v>540.26</v>
      </c>
      <c r="E40" s="42">
        <v>542.54999999999995</v>
      </c>
      <c r="F40">
        <v>45105200</v>
      </c>
    </row>
    <row r="41" spans="1:6">
      <c r="A41" s="153">
        <v>41730</v>
      </c>
      <c r="B41">
        <v>537.76</v>
      </c>
      <c r="C41">
        <v>541.87</v>
      </c>
      <c r="D41">
        <v>536.77</v>
      </c>
      <c r="E41" s="42">
        <v>541.65</v>
      </c>
      <c r="F41">
        <v>50190000</v>
      </c>
    </row>
    <row r="42" spans="1:6">
      <c r="A42" s="153">
        <v>41729</v>
      </c>
      <c r="B42">
        <v>539.23</v>
      </c>
      <c r="C42">
        <v>540.80999999999995</v>
      </c>
      <c r="D42">
        <v>535.92999999999995</v>
      </c>
      <c r="E42" s="42">
        <v>536.74</v>
      </c>
      <c r="F42">
        <v>42167300</v>
      </c>
    </row>
    <row r="43" spans="1:6">
      <c r="A43" s="153">
        <v>41726</v>
      </c>
      <c r="B43">
        <v>538.32000000000005</v>
      </c>
      <c r="C43">
        <v>538.94000000000005</v>
      </c>
      <c r="D43">
        <v>534.25</v>
      </c>
      <c r="E43" s="42">
        <v>536.86</v>
      </c>
      <c r="F43">
        <v>50141000</v>
      </c>
    </row>
    <row r="44" spans="1:6">
      <c r="A44" s="153">
        <v>41725</v>
      </c>
      <c r="B44">
        <v>540.02</v>
      </c>
      <c r="C44">
        <v>541.5</v>
      </c>
      <c r="D44">
        <v>535.12</v>
      </c>
      <c r="E44" s="42">
        <v>537.46</v>
      </c>
      <c r="F44">
        <v>55507900</v>
      </c>
    </row>
    <row r="45" spans="1:6">
      <c r="A45" s="153">
        <v>41724</v>
      </c>
      <c r="B45">
        <v>546.52</v>
      </c>
      <c r="C45">
        <v>549</v>
      </c>
      <c r="D45">
        <v>538.86</v>
      </c>
      <c r="E45" s="42">
        <v>539.78</v>
      </c>
      <c r="F45">
        <v>74942000</v>
      </c>
    </row>
    <row r="46" spans="1:6">
      <c r="A46" s="153">
        <v>41723</v>
      </c>
      <c r="B46">
        <v>541.5</v>
      </c>
      <c r="C46">
        <v>545.75</v>
      </c>
      <c r="D46">
        <v>539.59</v>
      </c>
      <c r="E46" s="42">
        <v>544.99</v>
      </c>
      <c r="F46">
        <v>70573300</v>
      </c>
    </row>
    <row r="47" spans="1:6">
      <c r="A47" s="153">
        <v>41722</v>
      </c>
      <c r="B47">
        <v>538.41999999999996</v>
      </c>
      <c r="C47">
        <v>540.5</v>
      </c>
      <c r="D47">
        <v>535.05999999999995</v>
      </c>
      <c r="E47" s="42">
        <v>539.19000000000005</v>
      </c>
      <c r="F47">
        <v>88925200</v>
      </c>
    </row>
    <row r="48" spans="1:6">
      <c r="A48" s="153">
        <v>41719</v>
      </c>
      <c r="B48">
        <v>531.92999999999995</v>
      </c>
      <c r="C48">
        <v>533.75</v>
      </c>
      <c r="D48">
        <v>526.33000000000004</v>
      </c>
      <c r="E48" s="42">
        <v>532.87</v>
      </c>
      <c r="F48">
        <v>93511600</v>
      </c>
    </row>
    <row r="49" spans="1:6">
      <c r="A49" s="153">
        <v>41718</v>
      </c>
      <c r="B49">
        <v>529.89</v>
      </c>
      <c r="C49">
        <v>532.66999999999996</v>
      </c>
      <c r="D49">
        <v>527.35</v>
      </c>
      <c r="E49" s="42">
        <v>528.70000000000005</v>
      </c>
      <c r="F49">
        <v>52099600</v>
      </c>
    </row>
    <row r="50" spans="1:6">
      <c r="A50" s="153">
        <v>41717</v>
      </c>
      <c r="B50">
        <v>532.26</v>
      </c>
      <c r="C50">
        <v>536.24</v>
      </c>
      <c r="D50">
        <v>529</v>
      </c>
      <c r="E50" s="42">
        <v>531.26</v>
      </c>
      <c r="F50">
        <v>56189000</v>
      </c>
    </row>
    <row r="51" spans="1:6">
      <c r="A51" s="153">
        <v>41716</v>
      </c>
      <c r="B51">
        <v>525.9</v>
      </c>
      <c r="C51">
        <v>531.97</v>
      </c>
      <c r="D51">
        <v>525.20000000000005</v>
      </c>
      <c r="E51" s="42">
        <v>531.4</v>
      </c>
      <c r="F51">
        <v>52411800</v>
      </c>
    </row>
    <row r="52" spans="1:6">
      <c r="A52" s="153">
        <v>41715</v>
      </c>
      <c r="B52">
        <v>527.70000000000005</v>
      </c>
      <c r="C52">
        <v>529.97</v>
      </c>
      <c r="D52">
        <v>525.85</v>
      </c>
      <c r="E52" s="42">
        <v>526.74</v>
      </c>
      <c r="F52">
        <v>49886200</v>
      </c>
    </row>
    <row r="53" spans="1:6">
      <c r="A53" s="153">
        <v>41712</v>
      </c>
      <c r="B53">
        <v>528.79</v>
      </c>
      <c r="C53">
        <v>530.89</v>
      </c>
      <c r="D53">
        <v>523</v>
      </c>
      <c r="E53" s="42">
        <v>524.69000000000005</v>
      </c>
      <c r="F53">
        <v>59299800</v>
      </c>
    </row>
    <row r="54" spans="1:6">
      <c r="A54" s="153">
        <v>41711</v>
      </c>
      <c r="B54">
        <v>537.44000000000005</v>
      </c>
      <c r="C54">
        <v>539.66</v>
      </c>
      <c r="D54">
        <v>529.16</v>
      </c>
      <c r="E54" s="42">
        <v>530.65</v>
      </c>
      <c r="F54">
        <v>64435700</v>
      </c>
    </row>
    <row r="55" spans="1:6">
      <c r="A55" s="153">
        <v>41710</v>
      </c>
      <c r="B55">
        <v>534.51</v>
      </c>
      <c r="C55">
        <v>537.35</v>
      </c>
      <c r="D55">
        <v>532</v>
      </c>
      <c r="E55" s="42">
        <v>536.61</v>
      </c>
      <c r="F55">
        <v>49831600</v>
      </c>
    </row>
    <row r="56" spans="1:6">
      <c r="A56" s="153">
        <v>41709</v>
      </c>
      <c r="B56">
        <v>535.45000000000005</v>
      </c>
      <c r="C56">
        <v>538.74</v>
      </c>
      <c r="D56">
        <v>532.59</v>
      </c>
      <c r="E56" s="42">
        <v>536.09</v>
      </c>
      <c r="F56">
        <v>69806100</v>
      </c>
    </row>
    <row r="57" spans="1:6">
      <c r="A57" s="153">
        <v>41708</v>
      </c>
      <c r="B57">
        <v>528.36</v>
      </c>
      <c r="C57">
        <v>533.33000000000004</v>
      </c>
      <c r="D57">
        <v>528.34</v>
      </c>
      <c r="E57" s="42">
        <v>530.91999999999996</v>
      </c>
      <c r="F57">
        <v>44646000</v>
      </c>
    </row>
    <row r="58" spans="1:6">
      <c r="A58" s="153">
        <v>41705</v>
      </c>
      <c r="B58">
        <v>531.09</v>
      </c>
      <c r="C58">
        <v>531.98</v>
      </c>
      <c r="D58">
        <v>526.04999999999995</v>
      </c>
      <c r="E58" s="42">
        <v>530.44000000000005</v>
      </c>
      <c r="F58">
        <v>55182400</v>
      </c>
    </row>
    <row r="59" spans="1:6">
      <c r="A59" s="153">
        <v>41704</v>
      </c>
      <c r="B59">
        <v>532.79</v>
      </c>
      <c r="C59">
        <v>534.44000000000005</v>
      </c>
      <c r="D59">
        <v>528.1</v>
      </c>
      <c r="E59" s="42">
        <v>530.75</v>
      </c>
      <c r="F59">
        <v>46372200</v>
      </c>
    </row>
    <row r="60" spans="1:6">
      <c r="A60" s="153">
        <v>41703</v>
      </c>
      <c r="B60">
        <v>530.91999999999996</v>
      </c>
      <c r="C60">
        <v>534.75</v>
      </c>
      <c r="D60">
        <v>529.13</v>
      </c>
      <c r="E60" s="42">
        <v>532.36</v>
      </c>
      <c r="F60">
        <v>50015700</v>
      </c>
    </row>
    <row r="61" spans="1:6">
      <c r="A61" s="153">
        <v>41702</v>
      </c>
      <c r="B61">
        <v>531</v>
      </c>
      <c r="C61">
        <v>532.64</v>
      </c>
      <c r="D61">
        <v>527.77</v>
      </c>
      <c r="E61" s="42">
        <v>531.24</v>
      </c>
      <c r="F61">
        <v>64785000</v>
      </c>
    </row>
    <row r="62" spans="1:6">
      <c r="A62" s="153">
        <v>41701</v>
      </c>
      <c r="B62">
        <v>523.41999999999996</v>
      </c>
      <c r="C62">
        <v>530.65</v>
      </c>
      <c r="D62">
        <v>522.80999999999995</v>
      </c>
      <c r="E62" s="42">
        <v>527.76</v>
      </c>
      <c r="F62">
        <v>59695300</v>
      </c>
    </row>
    <row r="63" spans="1:6">
      <c r="A63" s="153">
        <v>41698</v>
      </c>
      <c r="B63">
        <v>529.08000000000004</v>
      </c>
      <c r="C63">
        <v>532.75</v>
      </c>
      <c r="D63">
        <v>522.12</v>
      </c>
      <c r="E63" s="42">
        <v>526.24</v>
      </c>
      <c r="F63">
        <v>92992200</v>
      </c>
    </row>
    <row r="64" spans="1:6">
      <c r="A64" s="153">
        <v>41697</v>
      </c>
      <c r="B64">
        <v>517.14</v>
      </c>
      <c r="C64">
        <v>528.78</v>
      </c>
      <c r="D64">
        <v>516.04999999999995</v>
      </c>
      <c r="E64" s="42">
        <v>527.66999999999996</v>
      </c>
      <c r="F64">
        <v>75470500</v>
      </c>
    </row>
    <row r="65" spans="1:6">
      <c r="A65" s="153">
        <v>41696</v>
      </c>
      <c r="B65">
        <v>523.61</v>
      </c>
      <c r="C65">
        <v>525</v>
      </c>
      <c r="D65">
        <v>515.6</v>
      </c>
      <c r="E65" s="42">
        <v>517.35</v>
      </c>
      <c r="F65">
        <v>69054300</v>
      </c>
    </row>
    <row r="66" spans="1:6">
      <c r="A66" s="153">
        <v>41695</v>
      </c>
      <c r="B66">
        <v>529.38</v>
      </c>
      <c r="C66">
        <v>529.57000000000005</v>
      </c>
      <c r="D66">
        <v>521</v>
      </c>
      <c r="E66" s="42">
        <v>522.05999999999995</v>
      </c>
      <c r="F66">
        <v>57988000</v>
      </c>
    </row>
    <row r="67" spans="1:6">
      <c r="A67" s="153">
        <v>41694</v>
      </c>
      <c r="B67">
        <v>523.15</v>
      </c>
      <c r="C67">
        <v>529.91999999999996</v>
      </c>
      <c r="D67">
        <v>522.41999999999996</v>
      </c>
      <c r="E67" s="42">
        <v>527.54999999999995</v>
      </c>
      <c r="F67">
        <v>72227400</v>
      </c>
    </row>
    <row r="68" spans="1:6">
      <c r="A68" s="153">
        <v>41691</v>
      </c>
      <c r="B68">
        <v>532.79</v>
      </c>
      <c r="C68">
        <v>534.57000000000005</v>
      </c>
      <c r="D68">
        <v>524.6</v>
      </c>
      <c r="E68" s="42">
        <v>525.25</v>
      </c>
      <c r="F68">
        <v>69696200</v>
      </c>
    </row>
    <row r="69" spans="1:6">
      <c r="A69" s="153">
        <v>41690</v>
      </c>
      <c r="B69">
        <v>532.99</v>
      </c>
      <c r="C69">
        <v>537</v>
      </c>
      <c r="D69">
        <v>529</v>
      </c>
      <c r="E69" s="42">
        <v>531.15</v>
      </c>
      <c r="F69">
        <v>76464500</v>
      </c>
    </row>
    <row r="70" spans="1:6">
      <c r="A70" s="153">
        <v>41689</v>
      </c>
      <c r="B70">
        <v>544.75</v>
      </c>
      <c r="C70">
        <v>546.89</v>
      </c>
      <c r="D70">
        <v>534.35</v>
      </c>
      <c r="E70" s="42">
        <v>537.37</v>
      </c>
      <c r="F70">
        <v>78442000</v>
      </c>
    </row>
    <row r="71" spans="1:6">
      <c r="A71" s="153">
        <v>41688</v>
      </c>
      <c r="B71">
        <v>546</v>
      </c>
      <c r="C71">
        <v>551.19000000000005</v>
      </c>
      <c r="D71">
        <v>545.61</v>
      </c>
      <c r="E71" s="42">
        <v>545.99</v>
      </c>
      <c r="F71">
        <v>65062900</v>
      </c>
    </row>
    <row r="72" spans="1:6">
      <c r="A72" s="153">
        <v>41684</v>
      </c>
      <c r="B72">
        <v>542.47</v>
      </c>
      <c r="C72">
        <v>545.98</v>
      </c>
      <c r="D72">
        <v>541.21</v>
      </c>
      <c r="E72" s="42">
        <v>543.99</v>
      </c>
      <c r="F72">
        <v>68231100</v>
      </c>
    </row>
    <row r="73" spans="1:6">
      <c r="A73" s="153">
        <v>41683</v>
      </c>
      <c r="B73">
        <v>534.66</v>
      </c>
      <c r="C73">
        <v>544.85</v>
      </c>
      <c r="D73">
        <v>534.20000000000005</v>
      </c>
      <c r="E73" s="42">
        <v>544.42999999999995</v>
      </c>
      <c r="F73">
        <v>76849500</v>
      </c>
    </row>
    <row r="74" spans="1:6">
      <c r="A74" s="153">
        <v>41682</v>
      </c>
      <c r="B74">
        <v>536.95000000000005</v>
      </c>
      <c r="C74">
        <v>539.55999999999995</v>
      </c>
      <c r="D74">
        <v>533.24</v>
      </c>
      <c r="E74" s="42">
        <v>535.91999999999996</v>
      </c>
      <c r="F74">
        <v>77025200</v>
      </c>
    </row>
    <row r="75" spans="1:6">
      <c r="A75" s="153">
        <v>41681</v>
      </c>
      <c r="B75">
        <v>530.61</v>
      </c>
      <c r="C75">
        <v>537.75</v>
      </c>
      <c r="D75">
        <v>529.5</v>
      </c>
      <c r="E75" s="42">
        <v>535.96</v>
      </c>
      <c r="F75">
        <v>70564200</v>
      </c>
    </row>
    <row r="76" spans="1:6">
      <c r="A76" s="153">
        <v>41680</v>
      </c>
      <c r="B76">
        <v>518.66</v>
      </c>
      <c r="C76">
        <v>531.99</v>
      </c>
      <c r="D76">
        <v>518</v>
      </c>
      <c r="E76" s="42">
        <v>528.99</v>
      </c>
      <c r="F76">
        <v>86389800</v>
      </c>
    </row>
    <row r="77" spans="1:6">
      <c r="A77" s="153">
        <v>41677</v>
      </c>
      <c r="B77">
        <v>521.38</v>
      </c>
      <c r="C77">
        <v>522.92999999999995</v>
      </c>
      <c r="D77">
        <v>517.38</v>
      </c>
      <c r="E77" s="42">
        <v>519.67999999999995</v>
      </c>
      <c r="F77">
        <v>92570100</v>
      </c>
    </row>
    <row r="78" spans="1:6">
      <c r="A78" s="153">
        <v>41676</v>
      </c>
      <c r="B78">
        <v>510.06</v>
      </c>
      <c r="C78">
        <v>513.5</v>
      </c>
      <c r="D78">
        <v>507.81</v>
      </c>
      <c r="E78" s="42">
        <v>512.51</v>
      </c>
      <c r="F78">
        <v>64441300</v>
      </c>
    </row>
    <row r="79" spans="1:6">
      <c r="A79" s="153">
        <v>41675</v>
      </c>
      <c r="B79">
        <v>506.56</v>
      </c>
      <c r="C79">
        <v>515.28</v>
      </c>
      <c r="D79">
        <v>506.25</v>
      </c>
      <c r="E79" s="42">
        <v>512.59</v>
      </c>
      <c r="F79">
        <v>82086200</v>
      </c>
    </row>
    <row r="80" spans="1:6">
      <c r="A80" s="153">
        <v>41674</v>
      </c>
      <c r="B80">
        <v>505.85</v>
      </c>
      <c r="C80">
        <v>509.46</v>
      </c>
      <c r="D80">
        <v>502.76</v>
      </c>
      <c r="E80" s="42">
        <v>508.79</v>
      </c>
      <c r="F80">
        <v>94170300</v>
      </c>
    </row>
    <row r="81" spans="1:6">
      <c r="A81" s="153">
        <v>41673</v>
      </c>
      <c r="B81">
        <v>502.61</v>
      </c>
      <c r="C81">
        <v>507.73</v>
      </c>
      <c r="D81">
        <v>499.3</v>
      </c>
      <c r="E81" s="42">
        <v>501.53</v>
      </c>
      <c r="F81">
        <v>100366000</v>
      </c>
    </row>
    <row r="82" spans="1:6">
      <c r="A82" s="153">
        <v>41670</v>
      </c>
      <c r="B82">
        <v>495.18</v>
      </c>
      <c r="C82">
        <v>501.53</v>
      </c>
      <c r="D82">
        <v>493.55</v>
      </c>
      <c r="E82" s="42">
        <v>500.6</v>
      </c>
      <c r="F82">
        <v>116199300</v>
      </c>
    </row>
    <row r="83" spans="1:6">
      <c r="A83" s="153">
        <v>41669</v>
      </c>
      <c r="B83">
        <v>502.54</v>
      </c>
      <c r="C83">
        <v>506.5</v>
      </c>
      <c r="D83">
        <v>496.7</v>
      </c>
      <c r="E83" s="42">
        <v>499.78</v>
      </c>
      <c r="F83">
        <v>169625400</v>
      </c>
    </row>
    <row r="84" spans="1:6">
      <c r="A84" s="153">
        <v>41668</v>
      </c>
      <c r="B84">
        <v>503.95</v>
      </c>
      <c r="C84">
        <v>507.37</v>
      </c>
      <c r="D84">
        <v>498.62</v>
      </c>
      <c r="E84" s="42">
        <v>500.75</v>
      </c>
      <c r="F84">
        <v>125702500</v>
      </c>
    </row>
    <row r="85" spans="1:6">
      <c r="A85" s="153">
        <v>41667</v>
      </c>
      <c r="B85">
        <v>508.76</v>
      </c>
      <c r="C85">
        <v>515</v>
      </c>
      <c r="D85">
        <v>502.07</v>
      </c>
      <c r="E85" s="42">
        <v>506.5</v>
      </c>
      <c r="F85">
        <v>266380800</v>
      </c>
    </row>
    <row r="86" spans="1:6">
      <c r="A86" s="153">
        <v>41666</v>
      </c>
      <c r="B86">
        <v>550.07000000000005</v>
      </c>
      <c r="C86">
        <v>554.79999999999995</v>
      </c>
      <c r="D86">
        <v>545.75</v>
      </c>
      <c r="E86" s="42">
        <v>550.5</v>
      </c>
      <c r="F86">
        <v>138719700</v>
      </c>
    </row>
    <row r="87" spans="1:6">
      <c r="A87" s="153">
        <v>41663</v>
      </c>
      <c r="B87">
        <v>554</v>
      </c>
      <c r="C87">
        <v>555.62</v>
      </c>
      <c r="D87">
        <v>544.75</v>
      </c>
      <c r="E87" s="42">
        <v>546.07000000000005</v>
      </c>
      <c r="F87">
        <v>107338700</v>
      </c>
    </row>
    <row r="88" spans="1:6">
      <c r="A88" s="153">
        <v>41662</v>
      </c>
      <c r="B88">
        <v>549.94000000000005</v>
      </c>
      <c r="C88">
        <v>556.5</v>
      </c>
      <c r="D88">
        <v>544.80999999999995</v>
      </c>
      <c r="E88" s="42">
        <v>556.17999999999995</v>
      </c>
      <c r="F88">
        <v>100809800</v>
      </c>
    </row>
    <row r="89" spans="1:6">
      <c r="A89" s="153">
        <v>41661</v>
      </c>
      <c r="B89">
        <v>550.91</v>
      </c>
      <c r="C89">
        <v>557.29</v>
      </c>
      <c r="D89">
        <v>547.80999999999995</v>
      </c>
      <c r="E89" s="42">
        <v>551.51</v>
      </c>
      <c r="F89">
        <v>94996300</v>
      </c>
    </row>
    <row r="90" spans="1:6">
      <c r="A90" s="153">
        <v>41660</v>
      </c>
      <c r="B90">
        <v>540.99</v>
      </c>
      <c r="C90">
        <v>550.07000000000005</v>
      </c>
      <c r="D90">
        <v>540.41999999999996</v>
      </c>
      <c r="E90" s="42">
        <v>549.07000000000005</v>
      </c>
      <c r="F90">
        <v>82131700</v>
      </c>
    </row>
    <row r="91" spans="1:6">
      <c r="A91" s="153">
        <v>41656</v>
      </c>
      <c r="B91">
        <v>551.48</v>
      </c>
      <c r="C91">
        <v>552.07000000000005</v>
      </c>
      <c r="D91">
        <v>539.9</v>
      </c>
      <c r="E91" s="42">
        <v>540.66999999999996</v>
      </c>
      <c r="F91">
        <v>106684900</v>
      </c>
    </row>
    <row r="92" spans="1:6">
      <c r="A92" s="153">
        <v>41655</v>
      </c>
      <c r="B92">
        <v>554.9</v>
      </c>
      <c r="C92">
        <v>556.85</v>
      </c>
      <c r="D92">
        <v>551.67999999999995</v>
      </c>
      <c r="E92" s="42">
        <v>554.25</v>
      </c>
      <c r="F92">
        <v>57319500</v>
      </c>
    </row>
    <row r="93" spans="1:6">
      <c r="A93" s="153">
        <v>41654</v>
      </c>
      <c r="B93">
        <v>553.52</v>
      </c>
      <c r="C93">
        <v>560.20000000000005</v>
      </c>
      <c r="D93">
        <v>551.66</v>
      </c>
      <c r="E93" s="42">
        <v>557.36</v>
      </c>
      <c r="F93">
        <v>97909700</v>
      </c>
    </row>
    <row r="94" spans="1:6">
      <c r="A94" s="153">
        <v>41653</v>
      </c>
      <c r="B94">
        <v>538.22</v>
      </c>
      <c r="C94">
        <v>546.73</v>
      </c>
      <c r="D94">
        <v>537.66</v>
      </c>
      <c r="E94" s="42">
        <v>546.39</v>
      </c>
      <c r="F94">
        <v>83140400</v>
      </c>
    </row>
    <row r="95" spans="1:6">
      <c r="A95" s="153">
        <v>41652</v>
      </c>
      <c r="B95">
        <v>529.91</v>
      </c>
      <c r="C95">
        <v>542.5</v>
      </c>
      <c r="D95">
        <v>529.88</v>
      </c>
      <c r="E95" s="42">
        <v>535.73</v>
      </c>
      <c r="F95">
        <v>94623200</v>
      </c>
    </row>
    <row r="96" spans="1:6">
      <c r="A96" s="153">
        <v>41649</v>
      </c>
      <c r="B96">
        <v>539.83000000000004</v>
      </c>
      <c r="C96">
        <v>540.79999999999995</v>
      </c>
      <c r="D96">
        <v>531.11</v>
      </c>
      <c r="E96" s="42">
        <v>532.94000000000005</v>
      </c>
      <c r="F96">
        <v>76244000</v>
      </c>
    </row>
    <row r="97" spans="1:6">
      <c r="A97" s="153">
        <v>41648</v>
      </c>
      <c r="B97">
        <v>546.79999999999995</v>
      </c>
      <c r="C97">
        <v>546.86</v>
      </c>
      <c r="D97">
        <v>535.35</v>
      </c>
      <c r="E97" s="42">
        <v>536.52</v>
      </c>
      <c r="F97">
        <v>69787200</v>
      </c>
    </row>
    <row r="98" spans="1:6">
      <c r="A98" s="153">
        <v>41647</v>
      </c>
      <c r="B98">
        <v>538.80999999999995</v>
      </c>
      <c r="C98">
        <v>545.55999999999995</v>
      </c>
      <c r="D98">
        <v>538.69000000000005</v>
      </c>
      <c r="E98" s="42">
        <v>543.46</v>
      </c>
      <c r="F98">
        <v>64632400</v>
      </c>
    </row>
    <row r="99" spans="1:6">
      <c r="A99" s="153">
        <v>41646</v>
      </c>
      <c r="B99">
        <v>544.32000000000005</v>
      </c>
      <c r="C99">
        <v>545.96</v>
      </c>
      <c r="D99">
        <v>537.91999999999996</v>
      </c>
      <c r="E99" s="42">
        <v>540.04</v>
      </c>
      <c r="F99">
        <v>79302300</v>
      </c>
    </row>
    <row r="100" spans="1:6">
      <c r="A100" s="153">
        <v>41645</v>
      </c>
      <c r="B100">
        <v>537.45000000000005</v>
      </c>
      <c r="C100">
        <v>546.79999999999995</v>
      </c>
      <c r="D100">
        <v>533.6</v>
      </c>
      <c r="E100" s="42">
        <v>543.92999999999995</v>
      </c>
      <c r="F100">
        <v>103152700</v>
      </c>
    </row>
    <row r="101" spans="1:6">
      <c r="A101" s="153">
        <v>41642</v>
      </c>
      <c r="B101">
        <v>552.86</v>
      </c>
      <c r="C101">
        <v>553.70000000000005</v>
      </c>
      <c r="D101">
        <v>540.42999999999995</v>
      </c>
      <c r="E101" s="42">
        <v>540.98</v>
      </c>
      <c r="F101">
        <v>98116900</v>
      </c>
    </row>
    <row r="102" spans="1:6">
      <c r="A102" s="153">
        <v>41641</v>
      </c>
      <c r="B102">
        <v>555.67999999999995</v>
      </c>
      <c r="C102">
        <v>557.03</v>
      </c>
      <c r="D102">
        <v>552.02</v>
      </c>
      <c r="E102" s="42">
        <v>553.13</v>
      </c>
      <c r="F102">
        <v>58671200</v>
      </c>
    </row>
    <row r="103" spans="1:6">
      <c r="A103" s="153">
        <v>41639</v>
      </c>
      <c r="B103">
        <v>554.16999999999996</v>
      </c>
      <c r="C103">
        <v>561.28</v>
      </c>
      <c r="D103">
        <v>554</v>
      </c>
      <c r="E103" s="42">
        <v>561.02</v>
      </c>
      <c r="F103">
        <v>55771100</v>
      </c>
    </row>
    <row r="104" spans="1:6">
      <c r="A104" s="153">
        <v>41638</v>
      </c>
      <c r="B104">
        <v>557.46</v>
      </c>
      <c r="C104">
        <v>560.09</v>
      </c>
      <c r="D104">
        <v>552.32000000000005</v>
      </c>
      <c r="E104" s="42">
        <v>554.52</v>
      </c>
      <c r="F104">
        <v>63407400</v>
      </c>
    </row>
    <row r="105" spans="1:6">
      <c r="A105" s="153">
        <v>41635</v>
      </c>
      <c r="B105">
        <v>563.82000000000005</v>
      </c>
      <c r="C105">
        <v>564.41</v>
      </c>
      <c r="D105">
        <v>559.5</v>
      </c>
      <c r="E105" s="42">
        <v>560.09</v>
      </c>
      <c r="F105">
        <v>56471100</v>
      </c>
    </row>
    <row r="106" spans="1:6">
      <c r="A106" s="153">
        <v>41634</v>
      </c>
      <c r="B106">
        <v>568.1</v>
      </c>
      <c r="C106">
        <v>569.5</v>
      </c>
      <c r="D106">
        <v>563.38</v>
      </c>
      <c r="E106" s="42">
        <v>563.9</v>
      </c>
      <c r="F106">
        <v>51002000</v>
      </c>
    </row>
    <row r="107" spans="1:6">
      <c r="A107" s="153">
        <v>41632</v>
      </c>
      <c r="B107">
        <v>569.89</v>
      </c>
      <c r="C107">
        <v>571.88</v>
      </c>
      <c r="D107">
        <v>566.03</v>
      </c>
      <c r="E107" s="42">
        <v>567.66999999999996</v>
      </c>
      <c r="F107">
        <v>41888700</v>
      </c>
    </row>
    <row r="108" spans="1:6">
      <c r="A108" s="153">
        <v>41631</v>
      </c>
      <c r="B108">
        <v>568</v>
      </c>
      <c r="C108">
        <v>570.72</v>
      </c>
      <c r="D108">
        <v>562.76</v>
      </c>
      <c r="E108" s="42">
        <v>570.09</v>
      </c>
      <c r="F108">
        <v>125326600</v>
      </c>
    </row>
    <row r="109" spans="1:6">
      <c r="A109" s="153">
        <v>41628</v>
      </c>
      <c r="B109">
        <v>545.42999999999995</v>
      </c>
      <c r="C109">
        <v>551.61</v>
      </c>
      <c r="D109">
        <v>544.82000000000005</v>
      </c>
      <c r="E109" s="42">
        <v>549.02</v>
      </c>
      <c r="F109">
        <v>109103400</v>
      </c>
    </row>
    <row r="110" spans="1:6">
      <c r="A110" s="153">
        <v>41627</v>
      </c>
      <c r="B110">
        <v>549.5</v>
      </c>
      <c r="C110">
        <v>550</v>
      </c>
      <c r="D110">
        <v>543.73</v>
      </c>
      <c r="E110" s="42">
        <v>544.46</v>
      </c>
      <c r="F110">
        <v>80077200</v>
      </c>
    </row>
    <row r="111" spans="1:6">
      <c r="A111" s="153">
        <v>41626</v>
      </c>
      <c r="B111">
        <v>549.70000000000005</v>
      </c>
      <c r="C111">
        <v>551.45000000000005</v>
      </c>
      <c r="D111">
        <v>538.79999999999995</v>
      </c>
      <c r="E111" s="42">
        <v>550.77</v>
      </c>
      <c r="F111">
        <v>141465800</v>
      </c>
    </row>
    <row r="112" spans="1:6">
      <c r="A112" s="153">
        <v>41625</v>
      </c>
      <c r="B112">
        <v>555.80999999999995</v>
      </c>
      <c r="C112">
        <v>559.44000000000005</v>
      </c>
      <c r="D112">
        <v>553.38</v>
      </c>
      <c r="E112" s="42">
        <v>554.99</v>
      </c>
      <c r="F112">
        <v>57475600</v>
      </c>
    </row>
    <row r="113" spans="1:6">
      <c r="A113" s="153">
        <v>41624</v>
      </c>
      <c r="B113">
        <v>555.02</v>
      </c>
      <c r="C113">
        <v>562.64</v>
      </c>
      <c r="D113">
        <v>555.01</v>
      </c>
      <c r="E113" s="42">
        <v>557.5</v>
      </c>
      <c r="F113">
        <v>70648200</v>
      </c>
    </row>
    <row r="114" spans="1:6">
      <c r="A114" s="153">
        <v>41621</v>
      </c>
      <c r="B114">
        <v>562.85</v>
      </c>
      <c r="C114">
        <v>562.88</v>
      </c>
      <c r="D114">
        <v>553.66999999999996</v>
      </c>
      <c r="E114" s="42">
        <v>554.42999999999995</v>
      </c>
      <c r="F114">
        <v>83205500</v>
      </c>
    </row>
    <row r="115" spans="1:6">
      <c r="A115" s="153">
        <v>41620</v>
      </c>
      <c r="B115">
        <v>562.14</v>
      </c>
      <c r="C115">
        <v>565.34</v>
      </c>
      <c r="D115">
        <v>560.03</v>
      </c>
      <c r="E115" s="42">
        <v>560.54</v>
      </c>
      <c r="F115">
        <v>65572500</v>
      </c>
    </row>
    <row r="116" spans="1:6">
      <c r="A116" s="153">
        <v>41619</v>
      </c>
      <c r="B116">
        <v>567</v>
      </c>
      <c r="C116">
        <v>570.97</v>
      </c>
      <c r="D116">
        <v>559.69000000000005</v>
      </c>
      <c r="E116" s="42">
        <v>561.36</v>
      </c>
      <c r="F116">
        <v>89929700</v>
      </c>
    </row>
    <row r="117" spans="1:6">
      <c r="A117" s="153">
        <v>41618</v>
      </c>
      <c r="B117">
        <v>563.58000000000004</v>
      </c>
      <c r="C117">
        <v>567.88</v>
      </c>
      <c r="D117">
        <v>561.20000000000005</v>
      </c>
      <c r="E117" s="42">
        <v>565.54999999999995</v>
      </c>
      <c r="F117">
        <v>69567400</v>
      </c>
    </row>
    <row r="118" spans="1:6">
      <c r="A118" s="153">
        <v>41617</v>
      </c>
      <c r="B118">
        <v>560.9</v>
      </c>
      <c r="C118">
        <v>569.58000000000004</v>
      </c>
      <c r="D118">
        <v>560.9</v>
      </c>
      <c r="E118" s="42">
        <v>566.42999999999995</v>
      </c>
      <c r="F118">
        <v>80123400</v>
      </c>
    </row>
    <row r="119" spans="1:6">
      <c r="A119" s="153">
        <v>41614</v>
      </c>
      <c r="B119">
        <v>565.79</v>
      </c>
      <c r="C119">
        <v>566.75</v>
      </c>
      <c r="D119">
        <v>559.57000000000005</v>
      </c>
      <c r="E119" s="42">
        <v>560.02</v>
      </c>
      <c r="F119">
        <v>86088100</v>
      </c>
    </row>
    <row r="120" spans="1:6">
      <c r="A120" s="153">
        <v>41613</v>
      </c>
      <c r="B120">
        <v>572.65</v>
      </c>
      <c r="C120">
        <v>575.14</v>
      </c>
      <c r="D120">
        <v>566.41</v>
      </c>
      <c r="E120" s="42">
        <v>567.9</v>
      </c>
      <c r="F120">
        <v>111895000</v>
      </c>
    </row>
    <row r="121" spans="1:6">
      <c r="A121" s="153">
        <v>41612</v>
      </c>
      <c r="B121">
        <v>565.5</v>
      </c>
      <c r="C121">
        <v>569.19000000000005</v>
      </c>
      <c r="D121">
        <v>560.82000000000005</v>
      </c>
      <c r="E121" s="42">
        <v>565</v>
      </c>
      <c r="F121">
        <v>94452400</v>
      </c>
    </row>
    <row r="122" spans="1:6">
      <c r="A122" s="153">
        <v>41611</v>
      </c>
      <c r="B122">
        <v>558.29999999999995</v>
      </c>
      <c r="C122">
        <v>566.38</v>
      </c>
      <c r="D122">
        <v>557.67999999999995</v>
      </c>
      <c r="E122" s="42">
        <v>566.32000000000005</v>
      </c>
      <c r="F122">
        <v>112742000</v>
      </c>
    </row>
    <row r="123" spans="1:6">
      <c r="A123" s="153">
        <v>41610</v>
      </c>
      <c r="B123">
        <v>558</v>
      </c>
      <c r="C123">
        <v>564.33000000000004</v>
      </c>
      <c r="D123">
        <v>550.82000000000005</v>
      </c>
      <c r="E123" s="42">
        <v>551.23</v>
      </c>
      <c r="F123">
        <v>118136200</v>
      </c>
    </row>
    <row r="124" spans="1:6">
      <c r="A124" s="153">
        <v>41607</v>
      </c>
      <c r="B124">
        <v>549.48</v>
      </c>
      <c r="C124">
        <v>558.33000000000004</v>
      </c>
      <c r="D124">
        <v>547.80999999999995</v>
      </c>
      <c r="E124" s="42">
        <v>556.07000000000005</v>
      </c>
      <c r="F124">
        <v>79531900</v>
      </c>
    </row>
    <row r="125" spans="1:6">
      <c r="A125" s="153">
        <v>41605</v>
      </c>
      <c r="B125">
        <v>536.30999999999995</v>
      </c>
      <c r="C125">
        <v>546</v>
      </c>
      <c r="D125">
        <v>533.4</v>
      </c>
      <c r="E125" s="42">
        <v>545.96</v>
      </c>
      <c r="F125">
        <v>90862100</v>
      </c>
    </row>
    <row r="126" spans="1:6">
      <c r="A126" s="153">
        <v>41604</v>
      </c>
      <c r="B126">
        <v>524.12</v>
      </c>
      <c r="C126">
        <v>536.14</v>
      </c>
      <c r="D126">
        <v>524</v>
      </c>
      <c r="E126" s="42">
        <v>533.4</v>
      </c>
      <c r="F126">
        <v>100345700</v>
      </c>
    </row>
    <row r="127" spans="1:6">
      <c r="A127" s="153">
        <v>41603</v>
      </c>
      <c r="B127">
        <v>521.02</v>
      </c>
      <c r="C127">
        <v>525.87</v>
      </c>
      <c r="D127">
        <v>521</v>
      </c>
      <c r="E127" s="42">
        <v>523.74</v>
      </c>
      <c r="F127">
        <v>57327900</v>
      </c>
    </row>
    <row r="128" spans="1:6">
      <c r="A128" s="153">
        <v>41600</v>
      </c>
      <c r="B128">
        <v>519.52</v>
      </c>
      <c r="C128">
        <v>522.16</v>
      </c>
      <c r="D128">
        <v>518.53</v>
      </c>
      <c r="E128" s="42">
        <v>519.79999999999995</v>
      </c>
      <c r="F128">
        <v>55931400</v>
      </c>
    </row>
    <row r="129" spans="1:6">
      <c r="A129" s="153">
        <v>41599</v>
      </c>
      <c r="B129">
        <v>517.6</v>
      </c>
      <c r="C129">
        <v>521.21</v>
      </c>
      <c r="D129">
        <v>513.66999999999996</v>
      </c>
      <c r="E129" s="42">
        <v>521.14</v>
      </c>
      <c r="F129">
        <v>65506700</v>
      </c>
    </row>
    <row r="130" spans="1:6">
      <c r="A130" s="153">
        <v>41598</v>
      </c>
      <c r="B130">
        <v>519.23</v>
      </c>
      <c r="C130">
        <v>520.41999999999996</v>
      </c>
      <c r="D130">
        <v>514.33000000000004</v>
      </c>
      <c r="E130" s="42">
        <v>515</v>
      </c>
      <c r="F130">
        <v>48479200</v>
      </c>
    </row>
    <row r="131" spans="1:6">
      <c r="A131" s="153">
        <v>41597</v>
      </c>
      <c r="B131">
        <v>519.03</v>
      </c>
      <c r="C131">
        <v>523.38</v>
      </c>
      <c r="D131">
        <v>517.97</v>
      </c>
      <c r="E131" s="42">
        <v>519.54999999999995</v>
      </c>
      <c r="F131">
        <v>52234700</v>
      </c>
    </row>
    <row r="132" spans="1:6">
      <c r="A132" s="153">
        <v>41596</v>
      </c>
      <c r="B132">
        <v>524.99</v>
      </c>
      <c r="C132">
        <v>527.19000000000005</v>
      </c>
      <c r="D132">
        <v>518.20000000000005</v>
      </c>
      <c r="E132" s="42">
        <v>518.63</v>
      </c>
      <c r="F132">
        <v>61236000</v>
      </c>
    </row>
    <row r="133" spans="1:6">
      <c r="A133" s="153">
        <v>41593</v>
      </c>
      <c r="B133">
        <v>526.58000000000004</v>
      </c>
      <c r="C133">
        <v>529.09</v>
      </c>
      <c r="D133">
        <v>524.49</v>
      </c>
      <c r="E133" s="42">
        <v>524.99</v>
      </c>
      <c r="F133">
        <v>79480100</v>
      </c>
    </row>
    <row r="134" spans="1:6">
      <c r="A134" s="153">
        <v>41592</v>
      </c>
      <c r="B134">
        <v>522.80999999999995</v>
      </c>
      <c r="C134">
        <v>529.28</v>
      </c>
      <c r="D134">
        <v>521.87</v>
      </c>
      <c r="E134" s="42">
        <v>528.16</v>
      </c>
      <c r="F134">
        <v>70604800</v>
      </c>
    </row>
    <row r="135" spans="1:6">
      <c r="A135" s="153">
        <v>41591</v>
      </c>
      <c r="B135">
        <v>518</v>
      </c>
      <c r="C135">
        <v>522.25</v>
      </c>
      <c r="D135">
        <v>516.96</v>
      </c>
      <c r="E135" s="42">
        <v>520.63</v>
      </c>
      <c r="F135">
        <v>49305200</v>
      </c>
    </row>
    <row r="136" spans="1:6">
      <c r="A136" s="153">
        <v>41590</v>
      </c>
      <c r="B136">
        <v>517.66999999999996</v>
      </c>
      <c r="C136">
        <v>523.91999999999996</v>
      </c>
      <c r="D136">
        <v>517</v>
      </c>
      <c r="E136" s="42">
        <v>520.01</v>
      </c>
      <c r="F136">
        <v>51069200</v>
      </c>
    </row>
    <row r="137" spans="1:6">
      <c r="A137" s="153">
        <v>41589</v>
      </c>
      <c r="B137">
        <v>519.99</v>
      </c>
      <c r="C137">
        <v>521.66999999999996</v>
      </c>
      <c r="D137">
        <v>514.41</v>
      </c>
      <c r="E137" s="42">
        <v>519.04999999999995</v>
      </c>
      <c r="F137">
        <v>56863100</v>
      </c>
    </row>
    <row r="138" spans="1:6">
      <c r="A138" s="153">
        <v>41586</v>
      </c>
      <c r="B138">
        <v>514.58000000000004</v>
      </c>
      <c r="C138">
        <v>521.13</v>
      </c>
      <c r="D138">
        <v>512.59</v>
      </c>
      <c r="E138" s="42">
        <v>520.55999999999995</v>
      </c>
      <c r="F138">
        <v>69829200</v>
      </c>
    </row>
    <row r="139" spans="1:6">
      <c r="A139" s="153">
        <v>41585</v>
      </c>
      <c r="B139">
        <v>519.58000000000004</v>
      </c>
      <c r="C139">
        <v>523.19000000000005</v>
      </c>
      <c r="D139">
        <v>512.38</v>
      </c>
      <c r="E139" s="42">
        <v>512.49</v>
      </c>
      <c r="F139">
        <v>65655100</v>
      </c>
    </row>
    <row r="140" spans="1:6">
      <c r="A140" s="153">
        <v>41584</v>
      </c>
      <c r="B140">
        <v>524.15</v>
      </c>
      <c r="C140">
        <v>524.86</v>
      </c>
      <c r="D140">
        <v>518.20000000000005</v>
      </c>
      <c r="E140" s="42">
        <v>520.91999999999996</v>
      </c>
      <c r="F140">
        <v>55843900</v>
      </c>
    </row>
    <row r="141" spans="1:6">
      <c r="A141" s="153">
        <v>41583</v>
      </c>
      <c r="B141">
        <v>524.58000000000004</v>
      </c>
      <c r="C141">
        <v>528.89</v>
      </c>
      <c r="D141">
        <v>523</v>
      </c>
      <c r="E141" s="42">
        <v>525.45000000000005</v>
      </c>
      <c r="F141">
        <v>66303300</v>
      </c>
    </row>
    <row r="142" spans="1:6">
      <c r="A142" s="153">
        <v>41582</v>
      </c>
      <c r="B142">
        <v>521.1</v>
      </c>
      <c r="C142">
        <v>526.82000000000005</v>
      </c>
      <c r="D142">
        <v>518.80999999999995</v>
      </c>
      <c r="E142" s="42">
        <v>526.75</v>
      </c>
      <c r="F142">
        <v>61156900</v>
      </c>
    </row>
    <row r="143" spans="1:6">
      <c r="A143" s="153">
        <v>41579</v>
      </c>
      <c r="B143">
        <v>524.02</v>
      </c>
      <c r="C143">
        <v>524.79999999999995</v>
      </c>
      <c r="D143">
        <v>515.84</v>
      </c>
      <c r="E143" s="42">
        <v>520.03</v>
      </c>
      <c r="F143">
        <v>68722500</v>
      </c>
    </row>
    <row r="144" spans="1:6">
      <c r="A144" s="153">
        <v>41578</v>
      </c>
      <c r="B144">
        <v>525</v>
      </c>
      <c r="C144">
        <v>527.49</v>
      </c>
      <c r="D144">
        <v>521.27</v>
      </c>
      <c r="E144" s="42">
        <v>522.70000000000005</v>
      </c>
      <c r="F144">
        <v>68924100</v>
      </c>
    </row>
    <row r="145" spans="1:6">
      <c r="A145" s="153">
        <v>41577</v>
      </c>
      <c r="B145">
        <v>519.61</v>
      </c>
      <c r="C145">
        <v>527.52</v>
      </c>
      <c r="D145">
        <v>517.02</v>
      </c>
      <c r="E145" s="42">
        <v>524.9</v>
      </c>
      <c r="F145">
        <v>88540900</v>
      </c>
    </row>
    <row r="146" spans="1:6">
      <c r="A146" s="153">
        <v>41576</v>
      </c>
      <c r="B146">
        <v>536.27</v>
      </c>
      <c r="C146">
        <v>539.25</v>
      </c>
      <c r="D146">
        <v>514.54</v>
      </c>
      <c r="E146" s="42">
        <v>516.67999999999995</v>
      </c>
      <c r="F146">
        <v>158951800</v>
      </c>
    </row>
    <row r="147" spans="1:6">
      <c r="A147" s="153">
        <v>41575</v>
      </c>
      <c r="B147">
        <v>529.04</v>
      </c>
      <c r="C147">
        <v>531</v>
      </c>
      <c r="D147">
        <v>523.21</v>
      </c>
      <c r="E147" s="42">
        <v>529.88</v>
      </c>
      <c r="F147">
        <v>137610200</v>
      </c>
    </row>
    <row r="148" spans="1:6">
      <c r="A148" s="153">
        <v>41572</v>
      </c>
      <c r="B148">
        <v>531.32000000000005</v>
      </c>
      <c r="C148">
        <v>533.23</v>
      </c>
      <c r="D148">
        <v>525.11</v>
      </c>
      <c r="E148" s="42">
        <v>525.96</v>
      </c>
      <c r="F148">
        <v>84448000</v>
      </c>
    </row>
    <row r="149" spans="1:6">
      <c r="A149" s="153">
        <v>41571</v>
      </c>
      <c r="B149">
        <v>525</v>
      </c>
      <c r="C149">
        <v>532.47</v>
      </c>
      <c r="D149">
        <v>522.45000000000005</v>
      </c>
      <c r="E149" s="42">
        <v>531.91</v>
      </c>
      <c r="F149">
        <v>96191200</v>
      </c>
    </row>
    <row r="150" spans="1:6">
      <c r="A150" s="153">
        <v>41570</v>
      </c>
      <c r="B150">
        <v>519</v>
      </c>
      <c r="C150">
        <v>525.66999999999996</v>
      </c>
      <c r="D150">
        <v>519</v>
      </c>
      <c r="E150" s="42">
        <v>524.96</v>
      </c>
      <c r="F150">
        <v>78430800</v>
      </c>
    </row>
    <row r="151" spans="1:6">
      <c r="A151" s="153">
        <v>41569</v>
      </c>
      <c r="B151">
        <v>526.41</v>
      </c>
      <c r="C151">
        <v>528.45000000000005</v>
      </c>
      <c r="D151">
        <v>508.03</v>
      </c>
      <c r="E151" s="42">
        <v>519.87</v>
      </c>
      <c r="F151">
        <v>133515900</v>
      </c>
    </row>
    <row r="152" spans="1:6">
      <c r="A152" s="153">
        <v>41568</v>
      </c>
      <c r="B152">
        <v>511.77</v>
      </c>
      <c r="C152">
        <v>524.29999999999995</v>
      </c>
      <c r="D152">
        <v>511.52</v>
      </c>
      <c r="E152" s="42">
        <v>521.36</v>
      </c>
      <c r="F152">
        <v>99526700</v>
      </c>
    </row>
    <row r="153" spans="1:6">
      <c r="A153" s="153">
        <v>41565</v>
      </c>
      <c r="B153">
        <v>505.99</v>
      </c>
      <c r="C153">
        <v>509.26</v>
      </c>
      <c r="D153">
        <v>505.71</v>
      </c>
      <c r="E153" s="42">
        <v>508.89</v>
      </c>
      <c r="F153">
        <v>72635500</v>
      </c>
    </row>
    <row r="154" spans="1:6">
      <c r="A154" s="153">
        <v>41564</v>
      </c>
      <c r="B154">
        <v>499.98</v>
      </c>
      <c r="C154">
        <v>504.78</v>
      </c>
      <c r="D154">
        <v>499.68</v>
      </c>
      <c r="E154" s="42">
        <v>504.5</v>
      </c>
      <c r="F154">
        <v>63398300</v>
      </c>
    </row>
    <row r="155" spans="1:6">
      <c r="A155" s="153">
        <v>41563</v>
      </c>
      <c r="B155">
        <v>500.79</v>
      </c>
      <c r="C155">
        <v>502.53</v>
      </c>
      <c r="D155">
        <v>499.23</v>
      </c>
      <c r="E155" s="42">
        <v>501.11</v>
      </c>
      <c r="F155">
        <v>62775300</v>
      </c>
    </row>
    <row r="156" spans="1:6">
      <c r="A156" s="153">
        <v>41562</v>
      </c>
      <c r="B156">
        <v>497.51</v>
      </c>
      <c r="C156">
        <v>502</v>
      </c>
      <c r="D156">
        <v>495.52</v>
      </c>
      <c r="E156" s="42">
        <v>498.68</v>
      </c>
      <c r="F156">
        <v>80018400</v>
      </c>
    </row>
    <row r="157" spans="1:6">
      <c r="A157" s="153">
        <v>41561</v>
      </c>
      <c r="B157">
        <v>489.83</v>
      </c>
      <c r="C157">
        <v>497.58</v>
      </c>
      <c r="D157">
        <v>489.35</v>
      </c>
      <c r="E157" s="42">
        <v>496.04</v>
      </c>
      <c r="F157">
        <v>65474500</v>
      </c>
    </row>
    <row r="158" spans="1:6">
      <c r="A158" s="153">
        <v>41558</v>
      </c>
      <c r="B158">
        <v>486.99</v>
      </c>
      <c r="C158">
        <v>493.84</v>
      </c>
      <c r="D158">
        <v>485.16</v>
      </c>
      <c r="E158" s="42">
        <v>492.81</v>
      </c>
      <c r="F158">
        <v>66934700</v>
      </c>
    </row>
    <row r="159" spans="1:6">
      <c r="A159" s="153">
        <v>41557</v>
      </c>
      <c r="B159">
        <v>491.32</v>
      </c>
      <c r="C159">
        <v>492.38</v>
      </c>
      <c r="D159">
        <v>487.04</v>
      </c>
      <c r="E159" s="42">
        <v>489.64</v>
      </c>
      <c r="F159">
        <v>69650700</v>
      </c>
    </row>
    <row r="160" spans="1:6">
      <c r="A160" s="153">
        <v>41556</v>
      </c>
      <c r="B160">
        <v>484.64</v>
      </c>
      <c r="C160">
        <v>487.79</v>
      </c>
      <c r="D160">
        <v>478.28</v>
      </c>
      <c r="E160" s="42">
        <v>486.59</v>
      </c>
      <c r="F160">
        <v>75431300</v>
      </c>
    </row>
    <row r="161" spans="1:6">
      <c r="A161" s="153">
        <v>41555</v>
      </c>
      <c r="B161">
        <v>489.94</v>
      </c>
      <c r="C161">
        <v>490.64</v>
      </c>
      <c r="D161">
        <v>480.54</v>
      </c>
      <c r="E161" s="42">
        <v>480.94</v>
      </c>
      <c r="F161">
        <v>72729300</v>
      </c>
    </row>
    <row r="162" spans="1:6">
      <c r="A162" s="153">
        <v>41554</v>
      </c>
      <c r="B162">
        <v>486.56</v>
      </c>
      <c r="C162">
        <v>492.65</v>
      </c>
      <c r="D162">
        <v>485.35</v>
      </c>
      <c r="E162" s="42">
        <v>487.75</v>
      </c>
      <c r="F162">
        <v>78073100</v>
      </c>
    </row>
    <row r="163" spans="1:6">
      <c r="A163" s="153">
        <v>41551</v>
      </c>
      <c r="B163">
        <v>483.86</v>
      </c>
      <c r="C163">
        <v>484.6</v>
      </c>
      <c r="D163">
        <v>478.6</v>
      </c>
      <c r="E163" s="42">
        <v>483.03</v>
      </c>
      <c r="F163">
        <v>64717100</v>
      </c>
    </row>
    <row r="164" spans="1:6">
      <c r="A164" s="153">
        <v>41550</v>
      </c>
      <c r="B164">
        <v>490.51</v>
      </c>
      <c r="C164">
        <v>492.35</v>
      </c>
      <c r="D164">
        <v>480.74</v>
      </c>
      <c r="E164" s="42">
        <v>483.41</v>
      </c>
      <c r="F164">
        <v>80688300</v>
      </c>
    </row>
    <row r="165" spans="1:6">
      <c r="A165" s="153">
        <v>41549</v>
      </c>
      <c r="B165">
        <v>485.63</v>
      </c>
      <c r="C165">
        <v>491.8</v>
      </c>
      <c r="D165">
        <v>483.75</v>
      </c>
      <c r="E165" s="42">
        <v>489.56</v>
      </c>
      <c r="F165">
        <v>72296000</v>
      </c>
    </row>
    <row r="166" spans="1:6">
      <c r="A166" s="153">
        <v>41548</v>
      </c>
      <c r="B166">
        <v>478.45</v>
      </c>
      <c r="C166">
        <v>489.14</v>
      </c>
      <c r="D166">
        <v>478.38</v>
      </c>
      <c r="E166" s="42">
        <v>487.96</v>
      </c>
      <c r="F166">
        <v>88470900</v>
      </c>
    </row>
    <row r="167" spans="1:6">
      <c r="A167" s="153">
        <v>41547</v>
      </c>
      <c r="B167">
        <v>477.25</v>
      </c>
      <c r="C167">
        <v>481.66</v>
      </c>
      <c r="D167">
        <v>474.41</v>
      </c>
      <c r="E167" s="42">
        <v>476.75</v>
      </c>
      <c r="F167">
        <v>65039100</v>
      </c>
    </row>
    <row r="168" spans="1:6">
      <c r="A168" s="153">
        <v>41544</v>
      </c>
      <c r="B168">
        <v>483.78</v>
      </c>
      <c r="C168">
        <v>484.67</v>
      </c>
      <c r="D168">
        <v>480.72</v>
      </c>
      <c r="E168" s="42">
        <v>482.75</v>
      </c>
      <c r="F168">
        <v>57010100</v>
      </c>
    </row>
    <row r="169" spans="1:6">
      <c r="A169" s="153">
        <v>41543</v>
      </c>
      <c r="B169">
        <v>486</v>
      </c>
      <c r="C169">
        <v>488.56</v>
      </c>
      <c r="D169">
        <v>483.9</v>
      </c>
      <c r="E169" s="42">
        <v>486.22</v>
      </c>
      <c r="F169">
        <v>59305400</v>
      </c>
    </row>
    <row r="170" spans="1:6">
      <c r="A170" s="153">
        <v>41542</v>
      </c>
      <c r="B170">
        <v>489.2</v>
      </c>
      <c r="C170">
        <v>489.64</v>
      </c>
      <c r="D170">
        <v>481.43</v>
      </c>
      <c r="E170" s="42">
        <v>481.53</v>
      </c>
      <c r="F170">
        <v>79239300</v>
      </c>
    </row>
    <row r="171" spans="1:6">
      <c r="A171" s="153">
        <v>41541</v>
      </c>
      <c r="B171">
        <v>494.88</v>
      </c>
      <c r="C171">
        <v>495.47</v>
      </c>
      <c r="D171">
        <v>487.82</v>
      </c>
      <c r="E171" s="42">
        <v>489.1</v>
      </c>
      <c r="F171">
        <v>91086100</v>
      </c>
    </row>
    <row r="172" spans="1:6">
      <c r="A172" s="153">
        <v>41540</v>
      </c>
      <c r="B172">
        <v>496.1</v>
      </c>
      <c r="C172">
        <v>496.91</v>
      </c>
      <c r="D172">
        <v>482.6</v>
      </c>
      <c r="E172" s="42">
        <v>490.64</v>
      </c>
      <c r="F172">
        <v>190526700</v>
      </c>
    </row>
    <row r="173" spans="1:6">
      <c r="A173" s="153">
        <v>41537</v>
      </c>
      <c r="B173">
        <v>478</v>
      </c>
      <c r="C173">
        <v>478.55</v>
      </c>
      <c r="D173">
        <v>466</v>
      </c>
      <c r="E173" s="42">
        <v>467.41</v>
      </c>
      <c r="F173">
        <v>174825700</v>
      </c>
    </row>
    <row r="174" spans="1:6">
      <c r="A174" s="153">
        <v>41536</v>
      </c>
      <c r="B174">
        <v>470.7</v>
      </c>
      <c r="C174">
        <v>475.83</v>
      </c>
      <c r="D174">
        <v>469.25</v>
      </c>
      <c r="E174" s="42">
        <v>472.3</v>
      </c>
      <c r="F174">
        <v>101135300</v>
      </c>
    </row>
    <row r="175" spans="1:6">
      <c r="A175" s="153">
        <v>41535</v>
      </c>
      <c r="B175">
        <v>463.18</v>
      </c>
      <c r="C175">
        <v>466.35</v>
      </c>
      <c r="D175">
        <v>460.66</v>
      </c>
      <c r="E175" s="42">
        <v>464.68</v>
      </c>
      <c r="F175">
        <v>114215500</v>
      </c>
    </row>
    <row r="176" spans="1:6">
      <c r="A176" s="153">
        <v>41534</v>
      </c>
      <c r="B176">
        <v>447.96</v>
      </c>
      <c r="C176">
        <v>459.71</v>
      </c>
      <c r="D176">
        <v>447.5</v>
      </c>
      <c r="E176" s="42">
        <v>455.32</v>
      </c>
      <c r="F176">
        <v>99845200</v>
      </c>
    </row>
    <row r="177" spans="1:6">
      <c r="A177" s="153">
        <v>41533</v>
      </c>
      <c r="B177">
        <v>461</v>
      </c>
      <c r="C177">
        <v>461.61</v>
      </c>
      <c r="D177">
        <v>447.22</v>
      </c>
      <c r="E177" s="42">
        <v>450.12</v>
      </c>
      <c r="F177">
        <v>135926700</v>
      </c>
    </row>
    <row r="178" spans="1:6">
      <c r="A178" s="153">
        <v>41530</v>
      </c>
      <c r="B178">
        <v>469.34</v>
      </c>
      <c r="C178">
        <v>471.83</v>
      </c>
      <c r="D178">
        <v>464.7</v>
      </c>
      <c r="E178" s="42">
        <v>464.9</v>
      </c>
      <c r="F178">
        <v>74708900</v>
      </c>
    </row>
    <row r="179" spans="1:6">
      <c r="A179" s="153">
        <v>41529</v>
      </c>
      <c r="B179">
        <v>468.5</v>
      </c>
      <c r="C179">
        <v>475.4</v>
      </c>
      <c r="D179">
        <v>466.01</v>
      </c>
      <c r="E179" s="42">
        <v>472.69</v>
      </c>
      <c r="F179">
        <v>101012800</v>
      </c>
    </row>
    <row r="180" spans="1:6">
      <c r="A180" s="153">
        <v>41528</v>
      </c>
      <c r="B180">
        <v>467.01</v>
      </c>
      <c r="C180">
        <v>473.69</v>
      </c>
      <c r="D180">
        <v>464.81</v>
      </c>
      <c r="E180" s="42">
        <v>467.71</v>
      </c>
      <c r="F180">
        <v>224674100</v>
      </c>
    </row>
    <row r="181" spans="1:6">
      <c r="A181" s="153">
        <v>41527</v>
      </c>
      <c r="B181">
        <v>506.2</v>
      </c>
      <c r="C181">
        <v>507.45</v>
      </c>
      <c r="D181">
        <v>489.5</v>
      </c>
      <c r="E181" s="42">
        <v>494.64</v>
      </c>
      <c r="F181">
        <v>185798900</v>
      </c>
    </row>
    <row r="182" spans="1:6">
      <c r="A182" s="153">
        <v>41526</v>
      </c>
      <c r="B182">
        <v>505</v>
      </c>
      <c r="C182">
        <v>507.92</v>
      </c>
      <c r="D182">
        <v>503.48</v>
      </c>
      <c r="E182" s="42">
        <v>506.17</v>
      </c>
      <c r="F182">
        <v>85171800</v>
      </c>
    </row>
    <row r="183" spans="1:6">
      <c r="A183" s="153">
        <v>41523</v>
      </c>
      <c r="B183">
        <v>498.44</v>
      </c>
      <c r="C183">
        <v>499.38</v>
      </c>
      <c r="D183">
        <v>489.95</v>
      </c>
      <c r="E183" s="42">
        <v>498.22</v>
      </c>
      <c r="F183">
        <v>89881400</v>
      </c>
    </row>
    <row r="184" spans="1:6">
      <c r="A184" s="153">
        <v>41522</v>
      </c>
      <c r="B184">
        <v>500.25</v>
      </c>
      <c r="C184">
        <v>500.68</v>
      </c>
      <c r="D184">
        <v>493.64</v>
      </c>
      <c r="E184" s="42">
        <v>495.27</v>
      </c>
      <c r="F184">
        <v>59091900</v>
      </c>
    </row>
    <row r="185" spans="1:6">
      <c r="A185" s="153">
        <v>41521</v>
      </c>
      <c r="B185">
        <v>499.56</v>
      </c>
      <c r="C185">
        <v>502.24</v>
      </c>
      <c r="D185">
        <v>496.28</v>
      </c>
      <c r="E185" s="42">
        <v>498.69</v>
      </c>
      <c r="F185">
        <v>86258200</v>
      </c>
    </row>
    <row r="186" spans="1:6">
      <c r="A186" s="153">
        <v>41520</v>
      </c>
      <c r="B186">
        <v>493.1</v>
      </c>
      <c r="C186">
        <v>500.6</v>
      </c>
      <c r="D186">
        <v>487.35</v>
      </c>
      <c r="E186" s="42">
        <v>488.58</v>
      </c>
      <c r="F186">
        <v>82982200</v>
      </c>
    </row>
    <row r="187" spans="1:6">
      <c r="A187" s="153">
        <v>41516</v>
      </c>
      <c r="B187">
        <v>492</v>
      </c>
      <c r="C187">
        <v>492.95</v>
      </c>
      <c r="D187">
        <v>486.5</v>
      </c>
      <c r="E187" s="42">
        <v>487.22</v>
      </c>
      <c r="F187">
        <v>68074300</v>
      </c>
    </row>
    <row r="188" spans="1:6">
      <c r="A188" s="153">
        <v>41515</v>
      </c>
      <c r="B188">
        <v>491.65</v>
      </c>
      <c r="C188">
        <v>496.5</v>
      </c>
      <c r="D188">
        <v>491.13</v>
      </c>
      <c r="E188" s="42">
        <v>491.7</v>
      </c>
      <c r="F188">
        <v>59914400</v>
      </c>
    </row>
    <row r="189" spans="1:6">
      <c r="A189" s="153">
        <v>41514</v>
      </c>
      <c r="B189">
        <v>486</v>
      </c>
      <c r="C189">
        <v>495.8</v>
      </c>
      <c r="D189">
        <v>486</v>
      </c>
      <c r="E189" s="42">
        <v>490.9</v>
      </c>
      <c r="F189">
        <v>76902000</v>
      </c>
    </row>
    <row r="190" spans="1:6">
      <c r="A190" s="153">
        <v>41513</v>
      </c>
      <c r="B190">
        <v>498</v>
      </c>
      <c r="C190">
        <v>502.51</v>
      </c>
      <c r="D190">
        <v>486.3</v>
      </c>
      <c r="E190" s="42">
        <v>488.59</v>
      </c>
      <c r="F190">
        <v>106047200</v>
      </c>
    </row>
    <row r="191" spans="1:6">
      <c r="A191" s="153">
        <v>41512</v>
      </c>
      <c r="B191">
        <v>500.75</v>
      </c>
      <c r="C191">
        <v>510.2</v>
      </c>
      <c r="D191">
        <v>500.5</v>
      </c>
      <c r="E191" s="42">
        <v>502.97</v>
      </c>
      <c r="F191">
        <v>82741400</v>
      </c>
    </row>
    <row r="192" spans="1:6">
      <c r="A192" s="153">
        <v>41509</v>
      </c>
      <c r="B192">
        <v>503.27</v>
      </c>
      <c r="C192">
        <v>503.35</v>
      </c>
      <c r="D192">
        <v>499.35</v>
      </c>
      <c r="E192" s="42">
        <v>501.02</v>
      </c>
      <c r="F192">
        <v>55682900</v>
      </c>
    </row>
    <row r="193" spans="1:6">
      <c r="A193" s="153">
        <v>41508</v>
      </c>
      <c r="B193">
        <v>504.98</v>
      </c>
      <c r="C193">
        <v>505.59</v>
      </c>
      <c r="D193">
        <v>498.2</v>
      </c>
      <c r="E193" s="42">
        <v>502.96</v>
      </c>
      <c r="F193">
        <v>61051900</v>
      </c>
    </row>
    <row r="194" spans="1:6">
      <c r="A194" s="153">
        <v>41507</v>
      </c>
      <c r="B194">
        <v>503.59</v>
      </c>
      <c r="C194">
        <v>507.15</v>
      </c>
      <c r="D194">
        <v>501.2</v>
      </c>
      <c r="E194" s="42">
        <v>502.36</v>
      </c>
      <c r="F194">
        <v>83969900</v>
      </c>
    </row>
    <row r="195" spans="1:6">
      <c r="A195" s="153">
        <v>41506</v>
      </c>
      <c r="B195">
        <v>509.71</v>
      </c>
      <c r="C195">
        <v>510.57</v>
      </c>
      <c r="D195">
        <v>500.82</v>
      </c>
      <c r="E195" s="42">
        <v>501.07</v>
      </c>
      <c r="F195">
        <v>89672100</v>
      </c>
    </row>
    <row r="196" spans="1:6">
      <c r="A196" s="153">
        <v>41505</v>
      </c>
      <c r="B196">
        <v>504.34</v>
      </c>
      <c r="C196">
        <v>513.74</v>
      </c>
      <c r="D196">
        <v>504</v>
      </c>
      <c r="E196" s="42">
        <v>507.74</v>
      </c>
      <c r="F196">
        <v>127629600</v>
      </c>
    </row>
    <row r="197" spans="1:6">
      <c r="A197" s="153">
        <v>41502</v>
      </c>
      <c r="B197">
        <v>500.15</v>
      </c>
      <c r="C197">
        <v>502.94</v>
      </c>
      <c r="D197">
        <v>498.86</v>
      </c>
      <c r="E197" s="42">
        <v>502.33</v>
      </c>
      <c r="F197">
        <v>90576500</v>
      </c>
    </row>
    <row r="198" spans="1:6">
      <c r="A198" s="153">
        <v>41501</v>
      </c>
      <c r="B198">
        <v>496.42</v>
      </c>
      <c r="C198">
        <v>502.4</v>
      </c>
      <c r="D198">
        <v>489.08</v>
      </c>
      <c r="E198" s="42">
        <v>497.91</v>
      </c>
      <c r="F198">
        <v>122573500</v>
      </c>
    </row>
    <row r="199" spans="1:6">
      <c r="A199" s="153">
        <v>41500</v>
      </c>
      <c r="B199">
        <v>497.88</v>
      </c>
      <c r="C199">
        <v>504.25</v>
      </c>
      <c r="D199">
        <v>493.4</v>
      </c>
      <c r="E199" s="42">
        <v>498.5</v>
      </c>
      <c r="F199">
        <v>189093100</v>
      </c>
    </row>
    <row r="200" spans="1:6">
      <c r="A200" s="153">
        <v>41499</v>
      </c>
      <c r="B200">
        <v>470.94</v>
      </c>
      <c r="C200">
        <v>494.66</v>
      </c>
      <c r="D200">
        <v>468.05</v>
      </c>
      <c r="E200" s="42">
        <v>489.57</v>
      </c>
      <c r="F200">
        <v>220485300</v>
      </c>
    </row>
    <row r="201" spans="1:6">
      <c r="A201" s="153">
        <v>41498</v>
      </c>
      <c r="B201">
        <v>456.86</v>
      </c>
      <c r="C201">
        <v>468.65</v>
      </c>
      <c r="D201">
        <v>456.63</v>
      </c>
      <c r="E201" s="42">
        <v>467.36</v>
      </c>
      <c r="F201">
        <v>91108500</v>
      </c>
    </row>
    <row r="202" spans="1:6">
      <c r="A202" s="153">
        <v>41495</v>
      </c>
      <c r="B202">
        <v>458.64</v>
      </c>
      <c r="C202">
        <v>460.46</v>
      </c>
      <c r="D202">
        <v>453.65</v>
      </c>
      <c r="E202" s="42">
        <v>454.45</v>
      </c>
      <c r="F202">
        <v>66716300</v>
      </c>
    </row>
    <row r="203" spans="1:6">
      <c r="A203" s="153">
        <v>41494</v>
      </c>
      <c r="B203">
        <v>463.86</v>
      </c>
      <c r="C203">
        <v>464.1</v>
      </c>
      <c r="D203">
        <v>457.95</v>
      </c>
      <c r="E203" s="42">
        <v>461.01</v>
      </c>
      <c r="F203">
        <v>63944300</v>
      </c>
    </row>
    <row r="204" spans="1:6">
      <c r="A204" s="153">
        <v>41493</v>
      </c>
      <c r="B204">
        <v>463.8</v>
      </c>
      <c r="C204">
        <v>467</v>
      </c>
      <c r="D204">
        <v>461.77</v>
      </c>
      <c r="E204" s="42">
        <v>464.98</v>
      </c>
      <c r="F204">
        <v>74714500</v>
      </c>
    </row>
    <row r="205" spans="1:6">
      <c r="A205" s="153">
        <v>41492</v>
      </c>
      <c r="B205">
        <v>468.02</v>
      </c>
      <c r="C205">
        <v>471.89</v>
      </c>
      <c r="D205">
        <v>462.17</v>
      </c>
      <c r="E205" s="42">
        <v>465.25</v>
      </c>
      <c r="F205">
        <v>83714400</v>
      </c>
    </row>
    <row r="206" spans="1:6">
      <c r="A206" s="153">
        <v>41491</v>
      </c>
      <c r="B206">
        <v>464.69</v>
      </c>
      <c r="C206">
        <v>470.67</v>
      </c>
      <c r="D206">
        <v>462.15</v>
      </c>
      <c r="E206" s="42">
        <v>469.45</v>
      </c>
      <c r="F206">
        <v>79713900</v>
      </c>
    </row>
    <row r="207" spans="1:6">
      <c r="A207" s="153">
        <v>41488</v>
      </c>
      <c r="B207">
        <v>458.01</v>
      </c>
      <c r="C207">
        <v>462.85</v>
      </c>
      <c r="D207">
        <v>456.66</v>
      </c>
      <c r="E207" s="42">
        <v>462.54</v>
      </c>
      <c r="F207">
        <v>68695900</v>
      </c>
    </row>
    <row r="208" spans="1:6">
      <c r="A208" s="153">
        <v>41487</v>
      </c>
      <c r="B208">
        <v>455.75</v>
      </c>
      <c r="C208">
        <v>456.8</v>
      </c>
      <c r="D208">
        <v>453.26</v>
      </c>
      <c r="E208" s="42">
        <v>456.68</v>
      </c>
      <c r="F208">
        <v>51562700</v>
      </c>
    </row>
    <row r="209" spans="1:6">
      <c r="A209" s="153">
        <v>41486</v>
      </c>
      <c r="B209">
        <v>454.99</v>
      </c>
      <c r="C209">
        <v>457.34</v>
      </c>
      <c r="D209">
        <v>449.43</v>
      </c>
      <c r="E209" s="42">
        <v>452.53</v>
      </c>
      <c r="F209">
        <v>80739400</v>
      </c>
    </row>
    <row r="210" spans="1:6">
      <c r="A210" s="153">
        <v>41485</v>
      </c>
      <c r="B210">
        <v>449.96</v>
      </c>
      <c r="C210">
        <v>457.15</v>
      </c>
      <c r="D210">
        <v>449.23</v>
      </c>
      <c r="E210" s="42">
        <v>453.32</v>
      </c>
      <c r="F210">
        <v>77355600</v>
      </c>
    </row>
    <row r="211" spans="1:6">
      <c r="A211" s="153">
        <v>41484</v>
      </c>
      <c r="B211">
        <v>440.8</v>
      </c>
      <c r="C211">
        <v>449.99</v>
      </c>
      <c r="D211">
        <v>440.2</v>
      </c>
      <c r="E211" s="42">
        <v>447.79</v>
      </c>
      <c r="F211">
        <v>62014400</v>
      </c>
    </row>
    <row r="212" spans="1:6">
      <c r="A212" s="153">
        <v>41481</v>
      </c>
      <c r="B212">
        <v>435.3</v>
      </c>
      <c r="C212">
        <v>441.04</v>
      </c>
      <c r="D212">
        <v>434.34</v>
      </c>
      <c r="E212" s="42">
        <v>440.99</v>
      </c>
      <c r="F212">
        <v>50038100</v>
      </c>
    </row>
    <row r="213" spans="1:6">
      <c r="A213" s="153">
        <v>41480</v>
      </c>
      <c r="B213">
        <v>440.7</v>
      </c>
      <c r="C213">
        <v>441.4</v>
      </c>
      <c r="D213">
        <v>435.81</v>
      </c>
      <c r="E213" s="42">
        <v>438.5</v>
      </c>
      <c r="F213">
        <v>57373400</v>
      </c>
    </row>
    <row r="214" spans="1:6">
      <c r="A214" s="153">
        <v>41479</v>
      </c>
      <c r="B214">
        <v>438.93</v>
      </c>
      <c r="C214">
        <v>444.59</v>
      </c>
      <c r="D214">
        <v>435.26</v>
      </c>
      <c r="E214" s="42">
        <v>440.51</v>
      </c>
      <c r="F214">
        <v>147984200</v>
      </c>
    </row>
    <row r="215" spans="1:6">
      <c r="A215" s="153">
        <v>41478</v>
      </c>
      <c r="B215">
        <v>426</v>
      </c>
      <c r="C215">
        <v>426.96</v>
      </c>
      <c r="D215">
        <v>418.71</v>
      </c>
      <c r="E215" s="42">
        <v>418.99</v>
      </c>
      <c r="F215">
        <v>92348900</v>
      </c>
    </row>
    <row r="216" spans="1:6">
      <c r="A216" s="153">
        <v>41477</v>
      </c>
      <c r="B216">
        <v>429.46</v>
      </c>
      <c r="C216">
        <v>429.75</v>
      </c>
      <c r="D216">
        <v>425.47</v>
      </c>
      <c r="E216" s="42">
        <v>426.31</v>
      </c>
      <c r="F216">
        <v>51949100</v>
      </c>
    </row>
    <row r="217" spans="1:6">
      <c r="A217" s="153">
        <v>41474</v>
      </c>
      <c r="B217">
        <v>433.1</v>
      </c>
      <c r="C217">
        <v>433.98</v>
      </c>
      <c r="D217">
        <v>424.35</v>
      </c>
      <c r="E217" s="42">
        <v>424.95</v>
      </c>
      <c r="F217">
        <v>67180400</v>
      </c>
    </row>
    <row r="218" spans="1:6">
      <c r="A218" s="153">
        <v>41473</v>
      </c>
      <c r="B218">
        <v>433.38</v>
      </c>
      <c r="C218">
        <v>434.87</v>
      </c>
      <c r="D218">
        <v>430.61</v>
      </c>
      <c r="E218" s="42">
        <v>431.76</v>
      </c>
      <c r="F218">
        <v>54719700</v>
      </c>
    </row>
    <row r="219" spans="1:6">
      <c r="A219" s="153">
        <v>41472</v>
      </c>
      <c r="B219">
        <v>429.7</v>
      </c>
      <c r="C219">
        <v>432.22</v>
      </c>
      <c r="D219">
        <v>428.22</v>
      </c>
      <c r="E219" s="42">
        <v>430.31</v>
      </c>
      <c r="F219">
        <v>49747600</v>
      </c>
    </row>
    <row r="220" spans="1:6">
      <c r="A220" s="153">
        <v>41471</v>
      </c>
      <c r="B220">
        <v>426.52</v>
      </c>
      <c r="C220">
        <v>430.71</v>
      </c>
      <c r="D220">
        <v>424.17</v>
      </c>
      <c r="E220" s="42">
        <v>430.2</v>
      </c>
      <c r="F220">
        <v>54134500</v>
      </c>
    </row>
    <row r="221" spans="1:6">
      <c r="A221" s="153">
        <v>41470</v>
      </c>
      <c r="B221">
        <v>425.01</v>
      </c>
      <c r="C221">
        <v>431.46</v>
      </c>
      <c r="D221">
        <v>424.8</v>
      </c>
      <c r="E221" s="42">
        <v>427.44</v>
      </c>
      <c r="F221">
        <v>60479300</v>
      </c>
    </row>
    <row r="222" spans="1:6">
      <c r="A222" s="153">
        <v>41467</v>
      </c>
      <c r="B222">
        <v>427.65</v>
      </c>
      <c r="C222">
        <v>429.79</v>
      </c>
      <c r="D222">
        <v>423.41</v>
      </c>
      <c r="E222" s="42">
        <v>426.51</v>
      </c>
      <c r="F222">
        <v>69890800</v>
      </c>
    </row>
    <row r="223" spans="1:6">
      <c r="A223" s="153">
        <v>41466</v>
      </c>
      <c r="B223">
        <v>422.95</v>
      </c>
      <c r="C223">
        <v>428.25</v>
      </c>
      <c r="D223">
        <v>421.17</v>
      </c>
      <c r="E223" s="42">
        <v>427.29</v>
      </c>
      <c r="F223">
        <v>81573100</v>
      </c>
    </row>
    <row r="224" spans="1:6">
      <c r="A224" s="153">
        <v>41465</v>
      </c>
      <c r="B224">
        <v>419.6</v>
      </c>
      <c r="C224">
        <v>424.8</v>
      </c>
      <c r="D224">
        <v>418.25</v>
      </c>
      <c r="E224" s="42">
        <v>420.73</v>
      </c>
      <c r="F224">
        <v>70351400</v>
      </c>
    </row>
    <row r="225" spans="1:6">
      <c r="A225" s="153">
        <v>41464</v>
      </c>
      <c r="B225">
        <v>413.6</v>
      </c>
      <c r="C225">
        <v>423.5</v>
      </c>
      <c r="D225">
        <v>410.38</v>
      </c>
      <c r="E225" s="42">
        <v>422.35</v>
      </c>
      <c r="F225">
        <v>88146100</v>
      </c>
    </row>
    <row r="226" spans="1:6">
      <c r="A226" s="153">
        <v>41463</v>
      </c>
      <c r="B226">
        <v>420.11</v>
      </c>
      <c r="C226">
        <v>421</v>
      </c>
      <c r="D226">
        <v>410.65</v>
      </c>
      <c r="E226" s="42">
        <v>415.05</v>
      </c>
      <c r="F226">
        <v>74534600</v>
      </c>
    </row>
    <row r="227" spans="1:6">
      <c r="A227" s="153">
        <v>41460</v>
      </c>
      <c r="B227">
        <v>420.39</v>
      </c>
      <c r="C227">
        <v>423.29</v>
      </c>
      <c r="D227">
        <v>415.35</v>
      </c>
      <c r="E227" s="42">
        <v>417.42</v>
      </c>
      <c r="F227">
        <v>68506200</v>
      </c>
    </row>
    <row r="228" spans="1:6">
      <c r="A228" s="153">
        <v>41458</v>
      </c>
      <c r="B228">
        <v>420.86</v>
      </c>
      <c r="C228">
        <v>422.98</v>
      </c>
      <c r="D228">
        <v>417.45</v>
      </c>
      <c r="E228" s="42">
        <v>420.8</v>
      </c>
      <c r="F228">
        <v>60232200</v>
      </c>
    </row>
    <row r="229" spans="1:6">
      <c r="A229" s="153">
        <v>41457</v>
      </c>
      <c r="B229">
        <v>409.96</v>
      </c>
      <c r="C229">
        <v>421.63</v>
      </c>
      <c r="D229">
        <v>409.47</v>
      </c>
      <c r="E229" s="42">
        <v>418.49</v>
      </c>
      <c r="F229">
        <v>117466300</v>
      </c>
    </row>
    <row r="230" spans="1:6">
      <c r="A230" s="153">
        <v>41456</v>
      </c>
      <c r="B230">
        <v>402.69</v>
      </c>
      <c r="C230">
        <v>412.27</v>
      </c>
      <c r="D230">
        <v>401.22</v>
      </c>
      <c r="E230" s="42">
        <v>409.22</v>
      </c>
      <c r="F230">
        <v>97763400</v>
      </c>
    </row>
    <row r="231" spans="1:6">
      <c r="A231" s="153">
        <v>41453</v>
      </c>
      <c r="B231">
        <v>391.36</v>
      </c>
      <c r="C231">
        <v>400.27</v>
      </c>
      <c r="D231">
        <v>388.87</v>
      </c>
      <c r="E231" s="42">
        <v>396.53</v>
      </c>
      <c r="F231">
        <v>144629100</v>
      </c>
    </row>
    <row r="232" spans="1:6">
      <c r="A232" s="153">
        <v>41452</v>
      </c>
      <c r="B232">
        <v>399.25</v>
      </c>
      <c r="C232">
        <v>401.39</v>
      </c>
      <c r="D232">
        <v>393.54</v>
      </c>
      <c r="E232" s="42">
        <v>393.78</v>
      </c>
      <c r="F232">
        <v>84311500</v>
      </c>
    </row>
    <row r="233" spans="1:6">
      <c r="A233" s="153">
        <v>41451</v>
      </c>
      <c r="B233">
        <v>403.9</v>
      </c>
      <c r="C233">
        <v>404.79</v>
      </c>
      <c r="D233">
        <v>395.66</v>
      </c>
      <c r="E233" s="42">
        <v>398.07</v>
      </c>
      <c r="F233">
        <v>91931000</v>
      </c>
    </row>
    <row r="234" spans="1:6">
      <c r="A234" s="153">
        <v>41450</v>
      </c>
      <c r="B234">
        <v>405.7</v>
      </c>
      <c r="C234">
        <v>407.79</v>
      </c>
      <c r="D234">
        <v>398.83</v>
      </c>
      <c r="E234" s="42">
        <v>402.63</v>
      </c>
      <c r="F234">
        <v>78540700</v>
      </c>
    </row>
    <row r="235" spans="1:6">
      <c r="A235" s="153">
        <v>41449</v>
      </c>
      <c r="B235">
        <v>407.4</v>
      </c>
      <c r="C235">
        <v>408.66</v>
      </c>
      <c r="D235">
        <v>398.05</v>
      </c>
      <c r="E235" s="42">
        <v>402.54</v>
      </c>
      <c r="F235">
        <v>120186500</v>
      </c>
    </row>
    <row r="236" spans="1:6">
      <c r="A236" s="153">
        <v>41446</v>
      </c>
      <c r="B236">
        <v>418.49</v>
      </c>
      <c r="C236">
        <v>420</v>
      </c>
      <c r="D236">
        <v>408.1</v>
      </c>
      <c r="E236" s="42">
        <v>413.5</v>
      </c>
      <c r="F236">
        <v>120279600</v>
      </c>
    </row>
    <row r="237" spans="1:6">
      <c r="A237" s="153">
        <v>41445</v>
      </c>
      <c r="B237">
        <v>419.3</v>
      </c>
      <c r="C237">
        <v>425.98</v>
      </c>
      <c r="D237">
        <v>415.17</v>
      </c>
      <c r="E237" s="42">
        <v>416.84</v>
      </c>
      <c r="F237">
        <v>89327700</v>
      </c>
    </row>
    <row r="238" spans="1:6">
      <c r="A238" s="153">
        <v>41444</v>
      </c>
      <c r="B238">
        <v>431.4</v>
      </c>
      <c r="C238">
        <v>431.66</v>
      </c>
      <c r="D238">
        <v>423</v>
      </c>
      <c r="E238" s="42">
        <v>423</v>
      </c>
      <c r="F238">
        <v>77735000</v>
      </c>
    </row>
    <row r="239" spans="1:6">
      <c r="A239" s="153">
        <v>41443</v>
      </c>
      <c r="B239">
        <v>431.56</v>
      </c>
      <c r="C239">
        <v>434.9</v>
      </c>
      <c r="D239">
        <v>430.21</v>
      </c>
      <c r="E239" s="42">
        <v>431.77</v>
      </c>
      <c r="F239">
        <v>48756400</v>
      </c>
    </row>
    <row r="240" spans="1:6">
      <c r="A240" s="153">
        <v>41442</v>
      </c>
      <c r="B240">
        <v>431.44</v>
      </c>
      <c r="C240">
        <v>435.7</v>
      </c>
      <c r="D240">
        <v>430.36</v>
      </c>
      <c r="E240" s="42">
        <v>432</v>
      </c>
      <c r="F240">
        <v>64853600</v>
      </c>
    </row>
    <row r="241" spans="1:6">
      <c r="A241" s="153">
        <v>41439</v>
      </c>
      <c r="B241">
        <v>435.4</v>
      </c>
      <c r="C241">
        <v>436.29</v>
      </c>
      <c r="D241">
        <v>428.5</v>
      </c>
      <c r="E241" s="42">
        <v>430.05</v>
      </c>
      <c r="F241">
        <v>67966500</v>
      </c>
    </row>
    <row r="242" spans="1:6">
      <c r="A242" s="153">
        <v>41438</v>
      </c>
      <c r="B242">
        <v>432.5</v>
      </c>
      <c r="C242">
        <v>437.14</v>
      </c>
      <c r="D242">
        <v>428.75</v>
      </c>
      <c r="E242" s="42">
        <v>435.96</v>
      </c>
      <c r="F242">
        <v>71458100</v>
      </c>
    </row>
    <row r="243" spans="1:6">
      <c r="A243" s="153">
        <v>41437</v>
      </c>
      <c r="B243">
        <v>439.5</v>
      </c>
      <c r="C243">
        <v>441.25</v>
      </c>
      <c r="D243">
        <v>431.5</v>
      </c>
      <c r="E243" s="42">
        <v>432.19</v>
      </c>
      <c r="F243">
        <v>66306800</v>
      </c>
    </row>
    <row r="244" spans="1:6">
      <c r="A244" s="153">
        <v>41436</v>
      </c>
      <c r="B244">
        <v>435.74</v>
      </c>
      <c r="C244">
        <v>442.76</v>
      </c>
      <c r="D244">
        <v>433.32</v>
      </c>
      <c r="E244" s="42">
        <v>437.6</v>
      </c>
      <c r="F244">
        <v>71528100</v>
      </c>
    </row>
    <row r="245" spans="1:6">
      <c r="A245" s="153">
        <v>41435</v>
      </c>
      <c r="B245">
        <v>444.73</v>
      </c>
      <c r="C245">
        <v>449.08</v>
      </c>
      <c r="D245">
        <v>436.8</v>
      </c>
      <c r="E245" s="42">
        <v>438.89</v>
      </c>
      <c r="F245">
        <v>112538300</v>
      </c>
    </row>
    <row r="246" spans="1:6">
      <c r="A246" s="153">
        <v>41432</v>
      </c>
      <c r="B246">
        <v>436.5</v>
      </c>
      <c r="C246">
        <v>443.24</v>
      </c>
      <c r="D246">
        <v>432.77</v>
      </c>
      <c r="E246" s="42">
        <v>441.81</v>
      </c>
      <c r="F246">
        <v>101133900</v>
      </c>
    </row>
    <row r="247" spans="1:6">
      <c r="A247" s="153">
        <v>41431</v>
      </c>
      <c r="B247">
        <v>445.47</v>
      </c>
      <c r="C247">
        <v>447</v>
      </c>
      <c r="D247">
        <v>434.05</v>
      </c>
      <c r="E247" s="42">
        <v>438.46</v>
      </c>
      <c r="F247">
        <v>104233500</v>
      </c>
    </row>
    <row r="248" spans="1:6">
      <c r="A248" s="153">
        <v>41430</v>
      </c>
      <c r="B248">
        <v>445.65</v>
      </c>
      <c r="C248">
        <v>450.72</v>
      </c>
      <c r="D248">
        <v>443.71</v>
      </c>
      <c r="E248" s="42">
        <v>445.11</v>
      </c>
      <c r="F248">
        <v>72647400</v>
      </c>
    </row>
    <row r="249" spans="1:6">
      <c r="A249" s="153">
        <v>41429</v>
      </c>
      <c r="B249">
        <v>453.22</v>
      </c>
      <c r="C249">
        <v>454.43</v>
      </c>
      <c r="D249">
        <v>447.39</v>
      </c>
      <c r="E249" s="42">
        <v>449.31</v>
      </c>
      <c r="F249">
        <v>73182200</v>
      </c>
    </row>
    <row r="250" spans="1:6">
      <c r="A250" s="153">
        <v>41428</v>
      </c>
      <c r="B250">
        <v>450.73</v>
      </c>
      <c r="C250">
        <v>452.36</v>
      </c>
      <c r="D250">
        <v>442.48</v>
      </c>
      <c r="E250" s="42">
        <v>450.72</v>
      </c>
      <c r="F250">
        <v>93088100</v>
      </c>
    </row>
    <row r="251" spans="1:6">
      <c r="A251" s="153">
        <v>41425</v>
      </c>
      <c r="B251">
        <v>452.5</v>
      </c>
      <c r="C251">
        <v>457.1</v>
      </c>
      <c r="D251">
        <v>449.5</v>
      </c>
      <c r="E251" s="42">
        <v>449.73</v>
      </c>
      <c r="F251">
        <v>96075700</v>
      </c>
    </row>
    <row r="252" spans="1:6">
      <c r="A252" s="153">
        <v>41424</v>
      </c>
      <c r="B252">
        <v>445.65</v>
      </c>
      <c r="C252">
        <v>454.5</v>
      </c>
      <c r="D252">
        <v>444.51</v>
      </c>
      <c r="E252" s="42">
        <v>451.58</v>
      </c>
      <c r="F252">
        <v>88379900</v>
      </c>
    </row>
    <row r="253" spans="1:6">
      <c r="A253" s="153">
        <v>41423</v>
      </c>
      <c r="B253">
        <v>440</v>
      </c>
      <c r="C253">
        <v>447.5</v>
      </c>
      <c r="D253">
        <v>439.4</v>
      </c>
      <c r="E253" s="42">
        <v>444.95</v>
      </c>
      <c r="F253">
        <v>82644100</v>
      </c>
    </row>
    <row r="254" spans="1:6">
      <c r="A254" s="153">
        <v>41422</v>
      </c>
      <c r="B254">
        <v>449.9</v>
      </c>
      <c r="C254">
        <v>451.11</v>
      </c>
      <c r="D254">
        <v>440.85</v>
      </c>
      <c r="E254" s="42">
        <v>441.44</v>
      </c>
      <c r="F254">
        <v>96536300</v>
      </c>
    </row>
    <row r="255" spans="1:6">
      <c r="A255" s="153">
        <v>41418</v>
      </c>
      <c r="B255">
        <v>440.85</v>
      </c>
      <c r="C255">
        <v>445.66</v>
      </c>
      <c r="D255">
        <v>440.36</v>
      </c>
      <c r="E255" s="42">
        <v>445.15</v>
      </c>
      <c r="F255">
        <v>69041700</v>
      </c>
    </row>
    <row r="256" spans="1:6">
      <c r="A256" s="153">
        <v>41417</v>
      </c>
      <c r="B256">
        <v>435.95</v>
      </c>
      <c r="C256">
        <v>446.16</v>
      </c>
      <c r="D256">
        <v>435.79</v>
      </c>
      <c r="E256" s="42">
        <v>442.14</v>
      </c>
      <c r="F256">
        <v>88255300</v>
      </c>
    </row>
    <row r="257" spans="1:6">
      <c r="A257" s="153">
        <v>41416</v>
      </c>
      <c r="B257">
        <v>444.05</v>
      </c>
      <c r="C257">
        <v>448.35</v>
      </c>
      <c r="D257">
        <v>438.22</v>
      </c>
      <c r="E257" s="42">
        <v>441.35</v>
      </c>
      <c r="F257">
        <v>110759600</v>
      </c>
    </row>
    <row r="258" spans="1:6">
      <c r="A258" s="153">
        <v>41415</v>
      </c>
      <c r="B258">
        <v>438.15</v>
      </c>
      <c r="C258">
        <v>445.48</v>
      </c>
      <c r="D258">
        <v>434.2</v>
      </c>
      <c r="E258" s="42">
        <v>439.66</v>
      </c>
      <c r="F258">
        <v>114005500</v>
      </c>
    </row>
    <row r="259" spans="1:6">
      <c r="A259" s="153">
        <v>41414</v>
      </c>
      <c r="B259">
        <v>431.91</v>
      </c>
      <c r="C259">
        <v>445.8</v>
      </c>
      <c r="D259">
        <v>430.1</v>
      </c>
      <c r="E259" s="42">
        <v>442.93</v>
      </c>
      <c r="F259">
        <v>112894600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Statement Model</vt:lpstr>
      <vt:lpstr>DCF</vt:lpstr>
      <vt:lpstr>52wkHL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2017-07-15T15:07:03Z</dcterms:modified>
</cp:coreProperties>
</file>