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WORK/BBB/WILL/"/>
    </mc:Choice>
  </mc:AlternateContent>
  <xr:revisionPtr revIDLastSave="0" documentId="13_ncr:1_{2941BBE1-48D6-1D44-AA74-9A41E3D7D431}" xr6:coauthVersionLast="43" xr6:coauthVersionMax="43" xr10:uidLastSave="{00000000-0000-0000-0000-000000000000}"/>
  <bookViews>
    <workbookView xWindow="0" yWindow="1220" windowWidth="28800" windowHeight="14280" activeTab="4" xr2:uid="{3A851C74-9831-0A44-BDF5-BA87861F002B}"/>
  </bookViews>
  <sheets>
    <sheet name="Summary 1 Torsions" sheetId="14" r:id="rId1"/>
    <sheet name="BBB 1 Org12962 LogP" sheetId="1" r:id="rId2"/>
    <sheet name="BBB 97 Nicotine LogP" sheetId="2" r:id="rId3"/>
    <sheet name="BBB 168 Alprazolam LogP" sheetId="3" r:id="rId4"/>
    <sheet name="BBB 299 Salycylic acid LogP" sheetId="4" r:id="rId5"/>
    <sheet name="BBB 303 BBcpd10 Log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6" l="1"/>
  <c r="I3" i="4" l="1"/>
  <c r="J3" i="4" s="1"/>
  <c r="I4" i="4"/>
  <c r="J4" i="4"/>
  <c r="I5" i="4"/>
  <c r="J5" i="4"/>
  <c r="I7" i="4"/>
  <c r="J7" i="4"/>
  <c r="K7" i="4" s="1"/>
  <c r="L7" i="4" s="1"/>
  <c r="I8" i="4"/>
  <c r="J8" i="4"/>
  <c r="I9" i="4"/>
  <c r="J9" i="4" s="1"/>
  <c r="I10" i="4"/>
  <c r="J10" i="4"/>
  <c r="I12" i="4"/>
  <c r="J12" i="4" s="1"/>
  <c r="C10" i="6"/>
  <c r="C13" i="1"/>
  <c r="C12" i="1"/>
  <c r="I6" i="6"/>
  <c r="J6" i="6" s="1"/>
  <c r="K6" i="6" s="1"/>
  <c r="L6" i="6" s="1"/>
  <c r="I3" i="6"/>
  <c r="J3" i="6"/>
  <c r="I4" i="6"/>
  <c r="J4" i="6" s="1"/>
  <c r="I5" i="6"/>
  <c r="J5" i="6" s="1"/>
  <c r="I6" i="4"/>
  <c r="J6" i="4" s="1"/>
  <c r="I11" i="4"/>
  <c r="J11" i="4" s="1"/>
  <c r="K3" i="4" l="1"/>
  <c r="L3" i="4" s="1"/>
  <c r="K4" i="4"/>
  <c r="L4" i="4" s="1"/>
  <c r="K5" i="4"/>
  <c r="L5" i="4" s="1"/>
  <c r="K9" i="4"/>
  <c r="L9" i="4" s="1"/>
  <c r="K10" i="4"/>
  <c r="L10" i="4" s="1"/>
  <c r="K8" i="4"/>
  <c r="L8" i="4" s="1"/>
  <c r="K12" i="4"/>
  <c r="L12" i="4" s="1"/>
  <c r="K11" i="4"/>
  <c r="K5" i="6"/>
  <c r="L5" i="6" s="1"/>
  <c r="M6" i="6" s="1"/>
  <c r="K3" i="6"/>
  <c r="L3" i="6" s="1"/>
  <c r="K4" i="6"/>
  <c r="L4" i="6" s="1"/>
  <c r="M3" i="6" s="1"/>
  <c r="M10" i="1"/>
  <c r="M9" i="1"/>
  <c r="M8" i="1"/>
  <c r="M7" i="1"/>
  <c r="L10" i="1"/>
  <c r="L9" i="1"/>
  <c r="L8" i="1"/>
  <c r="K10" i="1"/>
  <c r="K9" i="1"/>
  <c r="K8" i="1"/>
  <c r="K7" i="1"/>
  <c r="J10" i="1"/>
  <c r="J9" i="1"/>
  <c r="J8" i="1"/>
  <c r="I10" i="1"/>
  <c r="I9" i="1"/>
  <c r="I8" i="1"/>
  <c r="M6" i="1"/>
  <c r="M5" i="1"/>
  <c r="M4" i="1"/>
  <c r="M3" i="1"/>
  <c r="L6" i="1"/>
  <c r="L5" i="1"/>
  <c r="L4" i="1"/>
  <c r="K6" i="1"/>
  <c r="K5" i="1"/>
  <c r="K4" i="1"/>
  <c r="K3" i="1"/>
  <c r="J6" i="1"/>
  <c r="J5" i="1"/>
  <c r="J4" i="1"/>
  <c r="I6" i="1"/>
  <c r="I5" i="1"/>
  <c r="I4" i="1"/>
  <c r="M4" i="6" l="1"/>
  <c r="I3" i="2" l="1"/>
  <c r="J3" i="2" s="1"/>
  <c r="I4" i="2"/>
  <c r="J4" i="2" s="1"/>
  <c r="K4" i="2" s="1"/>
  <c r="L4" i="2" s="1"/>
  <c r="I5" i="2"/>
  <c r="J5" i="2" s="1"/>
  <c r="I6" i="2"/>
  <c r="J6" i="2" s="1"/>
  <c r="G6" i="14"/>
  <c r="G5" i="14"/>
  <c r="G4" i="14"/>
  <c r="G3" i="14"/>
  <c r="G2" i="14"/>
  <c r="I4" i="3"/>
  <c r="J4" i="3" s="1"/>
  <c r="I3" i="3"/>
  <c r="J3" i="3" s="1"/>
  <c r="M5" i="6"/>
  <c r="I6" i="3"/>
  <c r="J6" i="3" s="1"/>
  <c r="I5" i="3"/>
  <c r="J5" i="3" s="1"/>
  <c r="K6" i="4" l="1"/>
  <c r="L6" i="4" s="1"/>
  <c r="L11" i="4"/>
  <c r="K4" i="3"/>
  <c r="L4" i="3" s="1"/>
  <c r="K3" i="2"/>
  <c r="L3" i="2" s="1"/>
  <c r="K6" i="2"/>
  <c r="L6" i="2" s="1"/>
  <c r="K5" i="2"/>
  <c r="L5" i="2" s="1"/>
  <c r="K3" i="3"/>
  <c r="L3" i="3" s="1"/>
  <c r="K5" i="3"/>
  <c r="L5" i="3" s="1"/>
  <c r="K6" i="3"/>
  <c r="L6" i="3" s="1"/>
  <c r="M7" i="4" l="1"/>
  <c r="M5" i="4"/>
  <c r="M4" i="4"/>
  <c r="M3" i="4"/>
  <c r="M12" i="4"/>
  <c r="M9" i="4"/>
  <c r="M8" i="4"/>
  <c r="M10" i="4"/>
  <c r="M6" i="4"/>
  <c r="M11" i="4"/>
  <c r="M4" i="3"/>
  <c r="M5" i="2"/>
  <c r="M6" i="2"/>
  <c r="M3" i="3"/>
  <c r="C8" i="3"/>
  <c r="C9" i="6"/>
  <c r="C15" i="4"/>
  <c r="C14" i="4"/>
  <c r="C9" i="3"/>
  <c r="M6" i="3"/>
  <c r="M5" i="3"/>
  <c r="C9" i="2"/>
  <c r="I7" i="1"/>
  <c r="J7" i="1" s="1"/>
  <c r="I3" i="1"/>
  <c r="J3" i="1" s="1"/>
  <c r="C16" i="4" l="1"/>
  <c r="L3" i="1"/>
  <c r="L7" i="1"/>
  <c r="M4" i="2"/>
  <c r="M3" i="2"/>
  <c r="C10" i="3"/>
  <c r="C8" i="2"/>
  <c r="C10" i="2" s="1"/>
  <c r="C12" i="3" l="1"/>
  <c r="D4" i="14"/>
  <c r="F4" i="14" s="1"/>
  <c r="C18" i="4"/>
  <c r="D5" i="14"/>
  <c r="F5" i="14" s="1"/>
  <c r="C12" i="6"/>
  <c r="D6" i="14"/>
  <c r="F6" i="14" s="1"/>
  <c r="C12" i="2"/>
  <c r="D3" i="14"/>
  <c r="F3" i="14" s="1"/>
  <c r="C14" i="1" l="1"/>
  <c r="C16" i="1" s="1"/>
  <c r="D2" i="14" l="1"/>
  <c r="F2" i="14" s="1"/>
</calcChain>
</file>

<file path=xl/sharedStrings.xml><?xml version="1.0" encoding="utf-8"?>
<sst xmlns="http://schemas.openxmlformats.org/spreadsheetml/2006/main" count="168" uniqueCount="41">
  <si>
    <t>WATER</t>
  </si>
  <si>
    <t>FREQ NEGATIVAS?</t>
  </si>
  <si>
    <t>REDUNDANTE?</t>
  </si>
  <si>
    <t>CONF</t>
  </si>
  <si>
    <t>MP2/aug-cc-pVDZ</t>
  </si>
  <si>
    <t>ZPE Solvent</t>
  </si>
  <si>
    <t xml:space="preserve">MST Solvent Energy </t>
  </si>
  <si>
    <t>Gas Energy</t>
  </si>
  <si>
    <t>dG Solvation MST</t>
  </si>
  <si>
    <t>Total Energy (+1,89 kcal/mol) MST</t>
  </si>
  <si>
    <t>RELATIVE</t>
  </si>
  <si>
    <t>BOLTZMANN</t>
  </si>
  <si>
    <t>% Fase</t>
  </si>
  <si>
    <t>Solvent</t>
  </si>
  <si>
    <t>OCTANOL</t>
  </si>
  <si>
    <t>LOG P NUESTRO MST</t>
  </si>
  <si>
    <t>LOG P EXPERIMENTAL</t>
  </si>
  <si>
    <t>DIFERENCIA MST</t>
  </si>
  <si>
    <t>NO</t>
  </si>
  <si>
    <t>LOG P EXP</t>
  </si>
  <si>
    <t>LOG P MP2 TONI</t>
  </si>
  <si>
    <t>LOG P B3LYP WILL</t>
  </si>
  <si>
    <t>DIFFERENCE TONI</t>
  </si>
  <si>
    <t>DIFFERENCE WILL</t>
  </si>
  <si>
    <t>Nicotine</t>
  </si>
  <si>
    <t>Alprazolam</t>
  </si>
  <si>
    <t>Salycylic acid</t>
  </si>
  <si>
    <t>12; BBcpd10</t>
  </si>
  <si>
    <t>1-(6-chloro-5-(trifluoromethyl)pyridin-2-yl)piperazine</t>
  </si>
  <si>
    <t>Org12962; CHEBI: 568657; 1-(6-chloro-5-(trifluoromethyl)pyridin-2-yl)piperazine</t>
  </si>
  <si>
    <t>SET_328_BBB299_conf1.geo_000_000_WATER.pdb</t>
  </si>
  <si>
    <t>SET_328_BBB299_conf1.geo_000_180_WATER.pdb</t>
  </si>
  <si>
    <t>SET_328_BBB299_conf1.geo_165_180_WATER.pdb</t>
  </si>
  <si>
    <t>SET_328_BBB299_conf1.geo_180_000_WATER.pdb</t>
  </si>
  <si>
    <t>SET_328_BBB299_conf1.geo_195_180_WATER.pdb</t>
  </si>
  <si>
    <t>SET_328_BBB299_conf1.geo_000_000_OCTANOL.pdb</t>
  </si>
  <si>
    <t>SET_328_BBB299_conf1.geo_000_180_OCTANOL.pdb</t>
  </si>
  <si>
    <t>SET_328_BBB299_conf1.geo_165_180_OCTANOL.pdb</t>
  </si>
  <si>
    <t>SET_328_BBB299_conf1.geo_180_000_OCTANOL.pdb</t>
  </si>
  <si>
    <t>SET_328_BBB299_conf1.geo_195_180_OCTANOL.pdb</t>
  </si>
  <si>
    <r>
      <t xml:space="preserve">LOG P </t>
    </r>
    <r>
      <rPr>
        <b/>
        <sz val="12"/>
        <color rgb="FFFF0000"/>
        <rFont val="Helvetica"/>
        <family val="2"/>
      </rPr>
      <t>ESTIMATE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</si>
</sst>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"/>
    <numFmt numFmtId="166" formatCode="0.000"/>
    <numFmt numFmtId="167" formatCode="0.000000"/>
    <numFmt numFmtId="168" formatCode="0.0000000"/>
    <numFmt numFmtId="169" formatCode="0.0000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6"/>
      <color theme="1"/>
      <name val="Helvetica"/>
      <family val="2"/>
    </font>
    <font>
      <b/>
      <sz val="12"/>
      <color rgb="FFFF0000"/>
      <name val="Helvetica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3" borderId="5" xfId="0" applyFont="1" applyFill="1" applyBorder="1" applyAlignment="1">
      <alignment horizontal="center"/>
    </xf>
    <xf numFmtId="0" fontId="2" fillId="0" borderId="0" xfId="0" applyFont="1"/>
    <xf numFmtId="0" fontId="1" fillId="11" borderId="5" xfId="0" applyFont="1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5" fillId="12" borderId="4" xfId="0" applyFont="1" applyFill="1" applyBorder="1" applyAlignment="1">
      <alignment horizontal="left"/>
    </xf>
    <xf numFmtId="167" fontId="2" fillId="5" borderId="1" xfId="0" applyNumberFormat="1" applyFont="1" applyFill="1" applyBorder="1" applyAlignment="1">
      <alignment horizontal="center"/>
    </xf>
    <xf numFmtId="168" fontId="2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2" fontId="4" fillId="13" borderId="1" xfId="0" applyNumberFormat="1" applyFont="1" applyFill="1" applyBorder="1" applyAlignment="1">
      <alignment horizontal="center"/>
    </xf>
    <xf numFmtId="169" fontId="2" fillId="5" borderId="1" xfId="0" applyNumberFormat="1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ED8-8432-5E4D-B0AD-CC7DDA65C636}">
  <dimension ref="A1:G6"/>
  <sheetViews>
    <sheetView workbookViewId="0">
      <selection activeCell="B6" sqref="B6"/>
    </sheetView>
  </sheetViews>
  <sheetFormatPr baseColWidth="10" defaultRowHeight="16" x14ac:dyDescent="0.2"/>
  <cols>
    <col min="2" max="2" width="75.83203125" customWidth="1"/>
    <col min="3" max="3" width="11.6640625" bestFit="1" customWidth="1"/>
    <col min="4" max="4" width="17.6640625" bestFit="1" customWidth="1"/>
    <col min="5" max="5" width="19.5" bestFit="1" customWidth="1"/>
    <col min="6" max="7" width="19.33203125" bestFit="1" customWidth="1"/>
  </cols>
  <sheetData>
    <row r="1" spans="1:7" ht="17" thickBot="1" x14ac:dyDescent="0.25">
      <c r="C1" s="24" t="s">
        <v>19</v>
      </c>
      <c r="D1" s="24" t="s">
        <v>20</v>
      </c>
      <c r="E1" s="24" t="s">
        <v>21</v>
      </c>
      <c r="F1" s="24" t="s">
        <v>22</v>
      </c>
      <c r="G1" s="24" t="s">
        <v>23</v>
      </c>
    </row>
    <row r="2" spans="1:7" x14ac:dyDescent="0.2">
      <c r="A2" s="27">
        <v>1</v>
      </c>
      <c r="B2" s="28" t="s">
        <v>29</v>
      </c>
      <c r="C2" s="25">
        <v>1.843</v>
      </c>
      <c r="D2" s="25">
        <f>+'BBB 1 Org12962 LogP'!C14</f>
        <v>2.9790038859852364</v>
      </c>
      <c r="E2" s="38"/>
      <c r="F2" s="25">
        <f>C2-D2</f>
        <v>-1.1360038859852364</v>
      </c>
      <c r="G2" s="25">
        <f>C2-E2</f>
        <v>1.843</v>
      </c>
    </row>
    <row r="3" spans="1:7" x14ac:dyDescent="0.2">
      <c r="A3" s="29">
        <v>97</v>
      </c>
      <c r="B3" s="28" t="s">
        <v>24</v>
      </c>
      <c r="C3" s="25">
        <v>1.17</v>
      </c>
      <c r="D3" s="25">
        <f>+'BBB 97 Nicotine LogP'!C10</f>
        <v>1.9215505570598135</v>
      </c>
      <c r="E3" s="38"/>
      <c r="F3" s="26">
        <f>C3-D3</f>
        <v>-0.75155055705981355</v>
      </c>
      <c r="G3" s="25">
        <f>C3-E3</f>
        <v>1.17</v>
      </c>
    </row>
    <row r="4" spans="1:7" x14ac:dyDescent="0.2">
      <c r="A4" s="29">
        <v>168</v>
      </c>
      <c r="B4" s="30" t="s">
        <v>25</v>
      </c>
      <c r="C4" s="25">
        <v>2.12</v>
      </c>
      <c r="D4" s="25">
        <f>+'BBB 168 Alprazolam LogP'!C10</f>
        <v>1.5663039933441436</v>
      </c>
      <c r="E4" s="38"/>
      <c r="F4" s="26">
        <f>C4-D4</f>
        <v>0.5536960066558565</v>
      </c>
      <c r="G4" s="25">
        <f>C4-E4</f>
        <v>2.12</v>
      </c>
    </row>
    <row r="5" spans="1:7" x14ac:dyDescent="0.2">
      <c r="A5" s="31">
        <v>299</v>
      </c>
      <c r="B5" s="28" t="s">
        <v>26</v>
      </c>
      <c r="C5" s="25">
        <v>2.2599999999999998</v>
      </c>
      <c r="D5" s="25">
        <f>+'BBB 299 Salycylic acid LogP'!C16</f>
        <v>0.83193515752863645</v>
      </c>
      <c r="E5" s="38"/>
      <c r="F5" s="25">
        <f>C5-D5</f>
        <v>1.4280648424713633</v>
      </c>
      <c r="G5" s="25">
        <f>C5-E5</f>
        <v>2.2599999999999998</v>
      </c>
    </row>
    <row r="6" spans="1:7" ht="17" thickBot="1" x14ac:dyDescent="0.25">
      <c r="A6" s="32">
        <v>303</v>
      </c>
      <c r="B6" s="28" t="s">
        <v>27</v>
      </c>
      <c r="C6" s="25">
        <v>0.9</v>
      </c>
      <c r="D6" s="25">
        <f>+'BBB 303 BBcpd10 LogP'!C10</f>
        <v>-3.7311326506731173</v>
      </c>
      <c r="E6" s="38"/>
      <c r="F6" s="40">
        <f>C6-D6</f>
        <v>4.6311326506731172</v>
      </c>
      <c r="G6" s="25">
        <f>C6-E6</f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092B-CF5B-6A49-AE32-61027CDFC592}">
  <dimension ref="A1:M16"/>
  <sheetViews>
    <sheetView workbookViewId="0">
      <selection activeCell="C12" sqref="C12"/>
    </sheetView>
  </sheetViews>
  <sheetFormatPr baseColWidth="10" defaultRowHeight="16" x14ac:dyDescent="0.2"/>
  <cols>
    <col min="1" max="1" width="36" customWidth="1"/>
    <col min="2" max="2" width="23.6640625" bestFit="1" customWidth="1"/>
    <col min="3" max="3" width="63.1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5">
      <c r="A1" s="34" t="s">
        <v>28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 t="s">
        <v>18</v>
      </c>
      <c r="B3" s="2"/>
      <c r="C3" s="33">
        <v>30</v>
      </c>
      <c r="D3" s="5" t="s">
        <v>0</v>
      </c>
      <c r="E3" s="6">
        <v>-1309.0132765000001</v>
      </c>
      <c r="F3" s="6">
        <v>0.21229700000000001</v>
      </c>
      <c r="G3" s="6">
        <v>-1311.6663219</v>
      </c>
      <c r="H3" s="6">
        <v>-1311.6601733</v>
      </c>
      <c r="I3" s="6">
        <f t="shared" ref="I3:I10" si="0">(G3-H3)</f>
        <v>-6.1485999999604246E-3</v>
      </c>
      <c r="J3" s="7">
        <f t="shared" ref="J3:J10" si="1">(E3+F3+I3)*627.507 + (1.89)</f>
        <v>-821283.74453264661</v>
      </c>
      <c r="K3" s="7">
        <f>(J3-MIN(J$3:J$6))</f>
        <v>5.1769327488727868E-2</v>
      </c>
      <c r="L3" s="7">
        <f t="shared" ref="L3:L10" si="2">EXP(-K3*1000/(1.987*298))</f>
        <v>0.91628339405307646</v>
      </c>
      <c r="M3" s="8">
        <f>(L3/(SUM(L$3:L$6))*100)</f>
        <v>32.662892469306868</v>
      </c>
    </row>
    <row r="4" spans="1:13" x14ac:dyDescent="0.2">
      <c r="A4" s="2" t="s">
        <v>18</v>
      </c>
      <c r="B4" s="2"/>
      <c r="C4" s="33">
        <v>150</v>
      </c>
      <c r="D4" s="5" t="s">
        <v>0</v>
      </c>
      <c r="E4" s="6">
        <v>-1309.0113607999999</v>
      </c>
      <c r="F4" s="6">
        <v>0.21229700000000001</v>
      </c>
      <c r="G4" s="6">
        <v>-1311.6665737000001</v>
      </c>
      <c r="H4" s="6">
        <v>-1311.6591922</v>
      </c>
      <c r="I4" s="6">
        <f t="shared" si="0"/>
        <v>-7.3815000000649889E-3</v>
      </c>
      <c r="J4" s="7">
        <f t="shared" si="1"/>
        <v>-821283.316070867</v>
      </c>
      <c r="K4" s="7">
        <f>(J4-MIN(J$3:J$6))</f>
        <v>0.48023110709618777</v>
      </c>
      <c r="L4" s="7">
        <f t="shared" si="2"/>
        <v>0.44440073075691677</v>
      </c>
      <c r="M4" s="8">
        <f>(L4/(SUM(L$3:L$6))*100)</f>
        <v>15.841619935713632</v>
      </c>
    </row>
    <row r="5" spans="1:13" x14ac:dyDescent="0.2">
      <c r="A5" s="2" t="s">
        <v>18</v>
      </c>
      <c r="B5" s="2"/>
      <c r="C5" s="33">
        <v>210</v>
      </c>
      <c r="D5" s="5" t="s">
        <v>0</v>
      </c>
      <c r="E5" s="6">
        <v>-1309.0113607999999</v>
      </c>
      <c r="F5" s="6">
        <v>0.21229700000000001</v>
      </c>
      <c r="G5" s="6">
        <v>-1311.6665664</v>
      </c>
      <c r="H5" s="6">
        <v>-1311.6591845</v>
      </c>
      <c r="I5" s="6">
        <f t="shared" si="0"/>
        <v>-7.3818999999275547E-3</v>
      </c>
      <c r="J5" s="7">
        <f t="shared" si="1"/>
        <v>-821283.31632186973</v>
      </c>
      <c r="K5" s="7">
        <f>(J5-MIN(J$3:J$6))</f>
        <v>0.47998010437004268</v>
      </c>
      <c r="L5" s="7">
        <f t="shared" si="2"/>
        <v>0.4445891525462683</v>
      </c>
      <c r="M5" s="8">
        <f>(L5/(SUM(L$3:L$6))*100)</f>
        <v>15.848336635682669</v>
      </c>
    </row>
    <row r="6" spans="1:13" x14ac:dyDescent="0.2">
      <c r="A6" s="2" t="s">
        <v>18</v>
      </c>
      <c r="B6" s="2"/>
      <c r="C6" s="33">
        <v>330</v>
      </c>
      <c r="D6" s="5" t="s">
        <v>0</v>
      </c>
      <c r="E6" s="6">
        <v>-1309.0133378</v>
      </c>
      <c r="F6" s="6">
        <v>0.21229700000000001</v>
      </c>
      <c r="G6" s="6">
        <v>-1311.6663361999999</v>
      </c>
      <c r="H6" s="6">
        <v>-1311.6601664</v>
      </c>
      <c r="I6" s="6">
        <f t="shared" si="0"/>
        <v>-6.1697999999523745E-3</v>
      </c>
      <c r="J6" s="7">
        <f t="shared" si="1"/>
        <v>-821283.7963019741</v>
      </c>
      <c r="K6" s="7">
        <f>(J6-MIN(J$3:J$6))</f>
        <v>0</v>
      </c>
      <c r="L6" s="7">
        <f t="shared" si="2"/>
        <v>1</v>
      </c>
      <c r="M6" s="8">
        <f>(L6/(SUM(L$3:L$6))*100)</f>
        <v>35.647150959296816</v>
      </c>
    </row>
    <row r="7" spans="1:13" x14ac:dyDescent="0.2">
      <c r="A7" s="2" t="s">
        <v>18</v>
      </c>
      <c r="B7" s="2"/>
      <c r="C7" s="16">
        <v>30</v>
      </c>
      <c r="D7" s="10" t="s">
        <v>14</v>
      </c>
      <c r="E7" s="11">
        <v>-1309.013289</v>
      </c>
      <c r="F7" s="23">
        <v>0.21271699999999999</v>
      </c>
      <c r="G7" s="23">
        <v>-1311.6735578</v>
      </c>
      <c r="H7" s="23">
        <v>-1311.6603471000001</v>
      </c>
      <c r="I7" s="23">
        <f t="shared" si="0"/>
        <v>-1.3210699999945064E-2</v>
      </c>
      <c r="J7" s="13">
        <f t="shared" si="1"/>
        <v>-821287.92034072871</v>
      </c>
      <c r="K7" s="13">
        <f>(J7-MIN(J$7:J$10))</f>
        <v>0.12456013960763812</v>
      </c>
      <c r="L7" s="13">
        <f t="shared" si="2"/>
        <v>0.81029178444134886</v>
      </c>
      <c r="M7" s="14">
        <f>(L7/(SUM(L$7:L$10))*100)</f>
        <v>38.319424460517752</v>
      </c>
    </row>
    <row r="8" spans="1:13" x14ac:dyDescent="0.2">
      <c r="A8" s="2" t="s">
        <v>18</v>
      </c>
      <c r="B8" s="2"/>
      <c r="C8" s="16">
        <v>150</v>
      </c>
      <c r="D8" s="10" t="s">
        <v>14</v>
      </c>
      <c r="E8" s="11">
        <v>-1309.0114483</v>
      </c>
      <c r="F8" s="23">
        <v>0.21282499999999999</v>
      </c>
      <c r="G8" s="23">
        <v>-1311.6732747999999</v>
      </c>
      <c r="H8" s="23">
        <v>-1311.6603471000001</v>
      </c>
      <c r="I8" s="23">
        <f t="shared" si="0"/>
        <v>-1.2927699999863762E-2</v>
      </c>
      <c r="J8" s="13">
        <f t="shared" si="1"/>
        <v>-821286.51993335679</v>
      </c>
      <c r="K8" s="13">
        <f>(J8-MIN(J$7:J$10))</f>
        <v>1.5249675115337595</v>
      </c>
      <c r="L8" s="13">
        <f t="shared" si="2"/>
        <v>7.6122568865500201E-2</v>
      </c>
      <c r="M8" s="14">
        <f>(L8/(SUM(L$7:L$10))*100)</f>
        <v>3.5999044830414837</v>
      </c>
    </row>
    <row r="9" spans="1:13" x14ac:dyDescent="0.2">
      <c r="A9" s="2" t="s">
        <v>18</v>
      </c>
      <c r="B9" s="2"/>
      <c r="C9" s="16">
        <v>210</v>
      </c>
      <c r="D9" s="10" t="s">
        <v>14</v>
      </c>
      <c r="E9" s="11">
        <v>-1309.0113848000001</v>
      </c>
      <c r="F9" s="23">
        <v>0.212648</v>
      </c>
      <c r="G9" s="23">
        <v>-1311.6732515000001</v>
      </c>
      <c r="H9" s="23">
        <v>-1311.6594015000001</v>
      </c>
      <c r="I9" s="23">
        <f t="shared" si="0"/>
        <v>-1.3850000000047658E-2</v>
      </c>
      <c r="J9" s="13">
        <f t="shared" si="1"/>
        <v>-821287.16990510758</v>
      </c>
      <c r="K9" s="13">
        <f>(J9-MIN(J$7:J$10))</f>
        <v>0.87499576073605567</v>
      </c>
      <c r="L9" s="13">
        <f t="shared" si="2"/>
        <v>0.22815755336734819</v>
      </c>
      <c r="M9" s="14">
        <f>(L9/(SUM(L$7:L$10))*100)</f>
        <v>10.789775114632768</v>
      </c>
    </row>
    <row r="10" spans="1:13" x14ac:dyDescent="0.2">
      <c r="A10" s="2" t="s">
        <v>18</v>
      </c>
      <c r="B10" s="2"/>
      <c r="C10" s="16">
        <v>330</v>
      </c>
      <c r="D10" s="10" t="s">
        <v>14</v>
      </c>
      <c r="E10" s="11">
        <v>-1309.0133684</v>
      </c>
      <c r="F10" s="23">
        <v>0.21259900000000001</v>
      </c>
      <c r="G10" s="23">
        <v>-1311.6735673999999</v>
      </c>
      <c r="H10" s="23">
        <v>-1311.6603556</v>
      </c>
      <c r="I10" s="23">
        <f t="shared" si="0"/>
        <v>-1.321179999990818E-2</v>
      </c>
      <c r="J10" s="13">
        <f t="shared" si="1"/>
        <v>-821288.04490086832</v>
      </c>
      <c r="K10" s="13">
        <f>(J10-MIN(J$7:J$10))</f>
        <v>0</v>
      </c>
      <c r="L10" s="13">
        <f t="shared" si="2"/>
        <v>1</v>
      </c>
      <c r="M10" s="14">
        <f>(L10/(SUM(L$7:L$10))*100)</f>
        <v>47.290895941807996</v>
      </c>
    </row>
    <row r="12" spans="1:13" x14ac:dyDescent="0.2">
      <c r="B12" s="1" t="s">
        <v>0</v>
      </c>
      <c r="C12" s="17">
        <f>(MIN(J3:J6))-(1.987*298*LN(SUM(L3:L6)))/1000</f>
        <v>-821284.4070805111</v>
      </c>
    </row>
    <row r="13" spans="1:13" x14ac:dyDescent="0.2">
      <c r="B13" s="16" t="s">
        <v>14</v>
      </c>
      <c r="C13" s="18">
        <f>(MIN(J7:J10))-(1.987*298*LN(SUM(L7:L10)))/1000</f>
        <v>-821288.4883158349</v>
      </c>
    </row>
    <row r="14" spans="1:13" x14ac:dyDescent="0.2">
      <c r="B14" s="15" t="s">
        <v>15</v>
      </c>
      <c r="C14" s="19">
        <f>(C12-C13)/1.37</f>
        <v>2.9790038859852364</v>
      </c>
    </row>
    <row r="15" spans="1:13" x14ac:dyDescent="0.2">
      <c r="B15" s="20" t="s">
        <v>16</v>
      </c>
      <c r="C15" s="9">
        <v>1.843</v>
      </c>
    </row>
    <row r="16" spans="1:13" x14ac:dyDescent="0.2">
      <c r="B16" s="21" t="s">
        <v>17</v>
      </c>
      <c r="C16" s="22">
        <f>C14-C15</f>
        <v>1.1360038859852364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BD7F-2481-4E4B-8216-EA95980C43F3}">
  <dimension ref="A1:M12"/>
  <sheetViews>
    <sheetView workbookViewId="0">
      <selection activeCell="C8" sqref="C8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2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C3" s="33">
        <v>45</v>
      </c>
      <c r="D3" s="5" t="s">
        <v>0</v>
      </c>
      <c r="E3" s="6">
        <v>-497.5261959</v>
      </c>
      <c r="F3" s="6">
        <v>0.22720899999999999</v>
      </c>
      <c r="G3" s="6">
        <v>-498.99093210000001</v>
      </c>
      <c r="H3" s="6">
        <v>-498.98470839999999</v>
      </c>
      <c r="I3" s="6">
        <f>(G3-H3)</f>
        <v>-6.2237000000209264E-3</v>
      </c>
      <c r="J3" s="7">
        <f>(E3+F3+I3)*627.507 + (1.89)</f>
        <v>-312060.61078797415</v>
      </c>
      <c r="K3" s="7">
        <f>(J3-MIN(J$3:J$4))</f>
        <v>0.32053057558368891</v>
      </c>
      <c r="L3" s="7">
        <f>EXP(-K3*1000/(1.987*298))</f>
        <v>0.58197861880839474</v>
      </c>
      <c r="M3" s="8">
        <f>(L3/(SUM(L$3:L$4))*100)</f>
        <v>36.788020513625071</v>
      </c>
    </row>
    <row r="4" spans="1:13" x14ac:dyDescent="0.2">
      <c r="C4" s="33">
        <v>225</v>
      </c>
      <c r="D4" s="5" t="s">
        <v>0</v>
      </c>
      <c r="E4" s="6">
        <v>-497.52711929999998</v>
      </c>
      <c r="F4" s="6">
        <v>0.22728000000000001</v>
      </c>
      <c r="G4" s="6">
        <v>-498.99135589999997</v>
      </c>
      <c r="H4" s="6">
        <v>-498.98547380000002</v>
      </c>
      <c r="I4" s="6">
        <f>(G4-H4)</f>
        <v>-5.8820999999511514E-3</v>
      </c>
      <c r="J4" s="7">
        <f>(E4+F4+I4)*627.507 + (1.89)</f>
        <v>-312060.93131854973</v>
      </c>
      <c r="K4" s="7">
        <f>(J4-MIN(J$3:J$4))</f>
        <v>0</v>
      </c>
      <c r="L4" s="7">
        <f>EXP(-K4*1000/(1.987*298))</f>
        <v>1</v>
      </c>
      <c r="M4" s="8">
        <f>(L4/(SUM(L$3:L$4))*100)</f>
        <v>63.211979486374936</v>
      </c>
    </row>
    <row r="5" spans="1:13" x14ac:dyDescent="0.2">
      <c r="C5" s="37">
        <v>45</v>
      </c>
      <c r="D5" s="10" t="s">
        <v>14</v>
      </c>
      <c r="E5" s="23">
        <v>-497.52598010000003</v>
      </c>
      <c r="F5" s="23">
        <v>0.22711899999999999</v>
      </c>
      <c r="G5" s="23">
        <v>-498.99524259999998</v>
      </c>
      <c r="H5" s="23">
        <v>-498.98475589999998</v>
      </c>
      <c r="I5" s="23">
        <f>(G5-H5)</f>
        <v>-1.0486700000001292E-2</v>
      </c>
      <c r="J5" s="13">
        <f>(E5+F5+I5)*627.507 + (1.89)</f>
        <v>-312063.20690993458</v>
      </c>
      <c r="K5" s="13">
        <f>(J5-MIN(J$5:J$6))</f>
        <v>0.37713170697679743</v>
      </c>
      <c r="L5" s="13">
        <f>EXP(-K5*1000/(1.987*298))</f>
        <v>0.5289236198244025</v>
      </c>
      <c r="M5" s="14">
        <f>(L5/(SUM(L$5:L$6))*100)</f>
        <v>34.594509036700579</v>
      </c>
    </row>
    <row r="6" spans="1:13" x14ac:dyDescent="0.2">
      <c r="C6" s="37">
        <v>225</v>
      </c>
      <c r="D6" s="10" t="s">
        <v>14</v>
      </c>
      <c r="E6" s="23">
        <v>-497.52689459999999</v>
      </c>
      <c r="F6" s="23">
        <v>0.22714699999999999</v>
      </c>
      <c r="G6" s="23">
        <v>-498.9957551</v>
      </c>
      <c r="H6" s="23">
        <v>-498.98555390000001</v>
      </c>
      <c r="I6" s="23">
        <f>(G6-H6)</f>
        <v>-1.0201199999983146E-2</v>
      </c>
      <c r="J6" s="13">
        <f>(E6+F6+I6)*627.507 + (1.89)</f>
        <v>-312063.58404164156</v>
      </c>
      <c r="K6" s="13">
        <f>(J6-MIN(J$5:J$6))</f>
        <v>0</v>
      </c>
      <c r="L6" s="13">
        <f>EXP(-K6*1000/(1.987*298))</f>
        <v>1</v>
      </c>
      <c r="M6" s="14">
        <f>(L6/(SUM(L$5:L$6))*100)</f>
        <v>65.405490963299414</v>
      </c>
    </row>
    <row r="8" spans="1:13" x14ac:dyDescent="0.2">
      <c r="B8" s="1" t="s">
        <v>0</v>
      </c>
      <c r="C8" s="17">
        <f>(MIN(J3:J4))-(1.987*298*LN(SUM(L3:L4)))/1000</f>
        <v>-312061.20291274448</v>
      </c>
    </row>
    <row r="9" spans="1:13" x14ac:dyDescent="0.2">
      <c r="B9" s="16" t="s">
        <v>14</v>
      </c>
      <c r="C9" s="18">
        <f>(MIN(J5:J6))-(1.987*298*LN(SUM(L5:L6)))/1000</f>
        <v>-312063.83543700766</v>
      </c>
    </row>
    <row r="10" spans="1:13" x14ac:dyDescent="0.2">
      <c r="B10" s="15" t="s">
        <v>15</v>
      </c>
      <c r="C10" s="19">
        <f>(C8-C9)/1.37</f>
        <v>1.9215505570598135</v>
      </c>
    </row>
    <row r="11" spans="1:13" x14ac:dyDescent="0.2">
      <c r="B11" s="20" t="s">
        <v>16</v>
      </c>
      <c r="C11" s="9">
        <v>1.17</v>
      </c>
    </row>
    <row r="12" spans="1:13" x14ac:dyDescent="0.2">
      <c r="B12" s="21" t="s">
        <v>17</v>
      </c>
      <c r="C12" s="22">
        <f>C10-C11</f>
        <v>0.75155055705981355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E95A-C9A2-894B-B517-BD89F1CEEE6A}">
  <dimension ref="A1:M12"/>
  <sheetViews>
    <sheetView topLeftCell="B1" workbookViewId="0">
      <selection activeCell="C9" sqref="C9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7.6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 t="s">
        <v>18</v>
      </c>
      <c r="B3" s="2"/>
      <c r="C3" s="33">
        <v>30</v>
      </c>
      <c r="D3" s="5" t="s">
        <v>0</v>
      </c>
      <c r="E3" s="6">
        <v>-1331.8351266</v>
      </c>
      <c r="F3" s="6">
        <v>0.26963399999999998</v>
      </c>
      <c r="G3" s="6">
        <v>-1334.83651685</v>
      </c>
      <c r="H3" s="6">
        <v>-1334.8185833699999</v>
      </c>
      <c r="I3" s="6">
        <f>(G3-H3)</f>
        <v>-1.7933480000010604E-2</v>
      </c>
      <c r="J3" s="7">
        <f>(E3+F3+I3)*627.507 + (1.89)</f>
        <v>-835576.03094918246</v>
      </c>
      <c r="K3" s="7">
        <f>(J3-MIN(J$3:J$4))</f>
        <v>5.3457321249879897E-2</v>
      </c>
      <c r="L3" s="7">
        <f>EXP(-K3*1000/(1.987*298))</f>
        <v>0.91367503340281042</v>
      </c>
      <c r="M3" s="8">
        <f>(L3/(SUM(L$3:L$4))*100)</f>
        <v>47.74452388492287</v>
      </c>
    </row>
    <row r="4" spans="1:13" x14ac:dyDescent="0.2">
      <c r="A4" s="2" t="s">
        <v>18</v>
      </c>
      <c r="B4" s="2"/>
      <c r="C4" s="33">
        <v>210</v>
      </c>
      <c r="D4" s="5" t="s">
        <v>0</v>
      </c>
      <c r="E4" s="6">
        <v>-1331.8352315</v>
      </c>
      <c r="F4" s="6">
        <v>0.26969100000000001</v>
      </c>
      <c r="G4" s="6">
        <v>-1334.83655275</v>
      </c>
      <c r="H4" s="6">
        <v>-1334.8185819800001</v>
      </c>
      <c r="I4" s="6">
        <f>(G4-H4)</f>
        <v>-1.7970769999919867E-2</v>
      </c>
      <c r="J4" s="7">
        <f>(E4+F4+I4)*627.507 + (1.89)</f>
        <v>-835576.08440650371</v>
      </c>
      <c r="K4" s="7">
        <f>(J4-MIN(J$3:J$4))</f>
        <v>0</v>
      </c>
      <c r="L4" s="7">
        <f>EXP(-K4*1000/(1.987*298))</f>
        <v>1</v>
      </c>
      <c r="M4" s="8">
        <f>(L4/(SUM(L$3:L$4))*100)</f>
        <v>52.255476115077137</v>
      </c>
    </row>
    <row r="5" spans="1:13" x14ac:dyDescent="0.2">
      <c r="A5" s="2" t="s">
        <v>18</v>
      </c>
      <c r="B5" s="2"/>
      <c r="C5" s="16">
        <v>30</v>
      </c>
      <c r="D5" s="10" t="s">
        <v>14</v>
      </c>
      <c r="E5" s="23">
        <v>-1331.8347613000001</v>
      </c>
      <c r="F5" s="23">
        <v>0.26966699999999999</v>
      </c>
      <c r="G5" s="23">
        <v>-1334.8404424099999</v>
      </c>
      <c r="H5" s="23">
        <v>-1334.81874879</v>
      </c>
      <c r="I5" s="23">
        <f>(G5-H5)</f>
        <v>-2.1693619999950897E-2</v>
      </c>
      <c r="J5" s="13">
        <f>(E5+F5+I5)*627.507 + (1.89)</f>
        <v>-835578.14052731532</v>
      </c>
      <c r="K5" s="13">
        <f>(J5-MIN(J$5:J$6))</f>
        <v>0.12100844993256032</v>
      </c>
      <c r="L5" s="13">
        <f>EXP(-K5*1000/(1.987*298))</f>
        <v>0.81516668162732697</v>
      </c>
      <c r="M5" s="14">
        <f>(L5/(SUM(L$5:L$6))*100)</f>
        <v>44.908640615666023</v>
      </c>
    </row>
    <row r="6" spans="1:13" x14ac:dyDescent="0.2">
      <c r="A6" s="2" t="s">
        <v>18</v>
      </c>
      <c r="B6" s="2"/>
      <c r="C6" s="16">
        <v>210</v>
      </c>
      <c r="D6" s="10" t="s">
        <v>14</v>
      </c>
      <c r="E6" s="23">
        <v>-1331.8349012000001</v>
      </c>
      <c r="F6" s="23">
        <v>0.26962000000000003</v>
      </c>
      <c r="G6" s="23">
        <v>-1334.84046698</v>
      </c>
      <c r="H6" s="23">
        <v>-1334.8187674200001</v>
      </c>
      <c r="I6" s="23">
        <f>(G6-H6)</f>
        <v>-2.1699559999888152E-2</v>
      </c>
      <c r="J6" s="13">
        <f>(E6+F6+I6)*627.507 + (1.89)</f>
        <v>-835578.26153576525</v>
      </c>
      <c r="K6" s="13">
        <f>(J6-MIN(J$5:J$6))</f>
        <v>0</v>
      </c>
      <c r="L6" s="13">
        <f>EXP(-K6*1000/(1.987*298))</f>
        <v>1</v>
      </c>
      <c r="M6" s="14">
        <f>(L6/(SUM(L$5:L$6))*100)</f>
        <v>55.09135938433397</v>
      </c>
    </row>
    <row r="8" spans="1:13" x14ac:dyDescent="0.2">
      <c r="B8" s="1" t="s">
        <v>0</v>
      </c>
      <c r="C8" s="17">
        <f>(MIN(J3:J4))-(1.987*298*LN(SUM(L3:L4)))/1000</f>
        <v>-835576.46871137375</v>
      </c>
    </row>
    <row r="9" spans="1:13" x14ac:dyDescent="0.2">
      <c r="B9" s="16" t="s">
        <v>14</v>
      </c>
      <c r="C9" s="18">
        <f>(MIN(J5:J6))-(1.987*298*LN(SUM(L5:L6)))/1000</f>
        <v>-835578.61454784463</v>
      </c>
    </row>
    <row r="10" spans="1:13" x14ac:dyDescent="0.2">
      <c r="B10" s="15" t="s">
        <v>15</v>
      </c>
      <c r="C10" s="19">
        <f>(C8-C9)/1.37</f>
        <v>1.5663039933441436</v>
      </c>
    </row>
    <row r="11" spans="1:13" x14ac:dyDescent="0.2">
      <c r="B11" s="20" t="s">
        <v>16</v>
      </c>
      <c r="C11" s="9">
        <v>2.12</v>
      </c>
    </row>
    <row r="12" spans="1:13" x14ac:dyDescent="0.2">
      <c r="B12" s="21" t="s">
        <v>17</v>
      </c>
      <c r="C12" s="22">
        <f>C10-C11</f>
        <v>-0.5536960066558565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5D7F-21B6-F94C-AC0F-C9CE27E1D733}">
  <dimension ref="A1:M24"/>
  <sheetViews>
    <sheetView tabSelected="1" workbookViewId="0">
      <selection activeCell="E22" sqref="E22:F24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7.6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 t="s">
        <v>18</v>
      </c>
      <c r="B3" s="2"/>
      <c r="C3" s="5" t="s">
        <v>30</v>
      </c>
      <c r="D3" s="5" t="s">
        <v>0</v>
      </c>
      <c r="E3" s="6">
        <v>-494.7789434</v>
      </c>
      <c r="F3" s="6">
        <v>0.119489</v>
      </c>
      <c r="G3" s="6">
        <v>-496.05909016200002</v>
      </c>
      <c r="H3" s="6">
        <v>-496.043781626</v>
      </c>
      <c r="I3" s="6">
        <f t="shared" ref="I3:I12" si="0">(G3-H3)</f>
        <v>-1.5308536000020467E-2</v>
      </c>
      <c r="J3" s="7">
        <f t="shared" ref="J3:J12" si="1">(E3+F3+I3)*627.507 + (1.89)</f>
        <v>-310409.98646568053</v>
      </c>
      <c r="K3" s="7">
        <f>(J3-MIN(J$3:J$7))</f>
        <v>2.0516868470585905</v>
      </c>
      <c r="L3" s="7">
        <f>EXP(-K3*1000/(1.987*298))</f>
        <v>3.1274576332743172E-2</v>
      </c>
      <c r="M3" s="8">
        <f>(L3/(SUM(L$3:L$7))*100)</f>
        <v>2.9873714560316071</v>
      </c>
    </row>
    <row r="4" spans="1:13" x14ac:dyDescent="0.2">
      <c r="A4" s="2" t="s">
        <v>18</v>
      </c>
      <c r="B4" s="2"/>
      <c r="C4" s="5" t="s">
        <v>31</v>
      </c>
      <c r="D4" s="5" t="s">
        <v>0</v>
      </c>
      <c r="E4" s="6">
        <v>-494.77033290000003</v>
      </c>
      <c r="F4" s="6">
        <v>0.119536</v>
      </c>
      <c r="G4" s="6">
        <v>-496.05592630500001</v>
      </c>
      <c r="H4" s="6">
        <v>-496.03273950699997</v>
      </c>
      <c r="I4" s="6">
        <f t="shared" si="0"/>
        <v>-2.3186798000040199E-2</v>
      </c>
      <c r="J4" s="7">
        <f t="shared" si="1"/>
        <v>-310409.49748838088</v>
      </c>
      <c r="K4" s="7">
        <f>(J4-MIN(J$3:J$7))</f>
        <v>2.5406641467125155</v>
      </c>
      <c r="L4" s="7">
        <f>EXP(-K4*1000/(1.987*298))</f>
        <v>1.3694661738459615E-2</v>
      </c>
      <c r="M4" s="8">
        <f>(L4/(SUM(L$3:L$7))*100)</f>
        <v>1.3081245655324927</v>
      </c>
    </row>
    <row r="5" spans="1:13" x14ac:dyDescent="0.2">
      <c r="A5" s="2" t="s">
        <v>18</v>
      </c>
      <c r="B5" s="2"/>
      <c r="C5" s="5" t="s">
        <v>32</v>
      </c>
      <c r="D5" s="5" t="s">
        <v>0</v>
      </c>
      <c r="E5" s="6">
        <v>-494.76845750000001</v>
      </c>
      <c r="F5" s="6">
        <v>0.119462</v>
      </c>
      <c r="G5" s="6">
        <v>-496.05346432099998</v>
      </c>
      <c r="H5" s="6">
        <v>-496.03098408199997</v>
      </c>
      <c r="I5" s="6">
        <f t="shared" si="0"/>
        <v>-2.2480239000003621E-2</v>
      </c>
      <c r="J5" s="7">
        <f t="shared" si="1"/>
        <v>-310407.92372655263</v>
      </c>
      <c r="K5" s="7">
        <f>(J5-MIN(J$3:J$7))</f>
        <v>4.114425974956248</v>
      </c>
      <c r="L5" s="7">
        <f>EXP(-K5*1000/(1.987*298))</f>
        <v>9.6001182192470048E-4</v>
      </c>
      <c r="M5" s="8">
        <f>(L5/(SUM(L$3:L$7))*100)</f>
        <v>9.1701063629378882E-2</v>
      </c>
    </row>
    <row r="6" spans="1:13" x14ac:dyDescent="0.2">
      <c r="A6" s="2" t="s">
        <v>18</v>
      </c>
      <c r="B6" s="2"/>
      <c r="C6" s="5" t="s">
        <v>33</v>
      </c>
      <c r="D6" s="5" t="s">
        <v>0</v>
      </c>
      <c r="E6" s="6">
        <v>-494.78493309999999</v>
      </c>
      <c r="F6" s="6">
        <v>0.11999700000000001</v>
      </c>
      <c r="G6" s="6">
        <v>-496.063515016</v>
      </c>
      <c r="H6" s="6">
        <v>-496.05041859599999</v>
      </c>
      <c r="I6" s="6">
        <f t="shared" si="0"/>
        <v>-1.3096420000010767E-2</v>
      </c>
      <c r="J6" s="7">
        <f t="shared" si="1"/>
        <v>-310412.03815252759</v>
      </c>
      <c r="K6" s="7">
        <f>(J6-MIN(J$3:J$7))</f>
        <v>0</v>
      </c>
      <c r="L6" s="7">
        <f t="shared" ref="L6:L12" si="2">EXP(-K6*1000/(1.987*298))</f>
        <v>1</v>
      </c>
      <c r="M6" s="8">
        <f>(L6/(SUM(L$3:L$7))*100)</f>
        <v>95.520764989674831</v>
      </c>
    </row>
    <row r="7" spans="1:13" x14ac:dyDescent="0.2">
      <c r="A7" s="2" t="s">
        <v>18</v>
      </c>
      <c r="B7" s="2"/>
      <c r="C7" s="5" t="s">
        <v>34</v>
      </c>
      <c r="D7" s="5" t="s">
        <v>0</v>
      </c>
      <c r="E7" s="6">
        <v>-494.76846060000003</v>
      </c>
      <c r="F7" s="6">
        <v>0.119461</v>
      </c>
      <c r="G7" s="6">
        <v>-496.05346474100003</v>
      </c>
      <c r="H7" s="6">
        <v>-496.03098514200002</v>
      </c>
      <c r="I7" s="6">
        <f t="shared" si="0"/>
        <v>-2.2479599000007511E-2</v>
      </c>
      <c r="J7" s="7">
        <f t="shared" si="1"/>
        <v>-310407.92589772685</v>
      </c>
      <c r="K7" s="7">
        <f>(J7-MIN(J$3:J$7))</f>
        <v>4.1122548007406294</v>
      </c>
      <c r="L7" s="7">
        <f t="shared" si="2"/>
        <v>9.6353840069893454E-4</v>
      </c>
      <c r="M7" s="8">
        <f>(L7/(SUM(L$3:L$7))*100)</f>
        <v>9.2037925131690068E-2</v>
      </c>
    </row>
    <row r="8" spans="1:13" x14ac:dyDescent="0.2">
      <c r="A8" s="2" t="s">
        <v>18</v>
      </c>
      <c r="B8" s="2"/>
      <c r="C8" s="10" t="s">
        <v>35</v>
      </c>
      <c r="D8" s="10" t="s">
        <v>14</v>
      </c>
      <c r="E8" s="36">
        <v>-494.7791957</v>
      </c>
      <c r="F8" s="35">
        <v>0.12038699999999999</v>
      </c>
      <c r="G8" s="39">
        <v>-496.060925172</v>
      </c>
      <c r="H8" s="39">
        <v>-496.04412135000001</v>
      </c>
      <c r="I8" s="23">
        <f t="shared" si="0"/>
        <v>-1.6803821999985757E-2</v>
      </c>
      <c r="J8" s="12">
        <f t="shared" si="1"/>
        <v>-310410.51958684262</v>
      </c>
      <c r="K8" s="13">
        <f>(J8-MIN(J$8:J$12))</f>
        <v>2.6788004001718946</v>
      </c>
      <c r="L8" s="13">
        <f t="shared" si="2"/>
        <v>1.0845144729211643E-2</v>
      </c>
      <c r="M8" s="14">
        <f>(L8/(SUM(L$8:L$12))*100)</f>
        <v>1.0723999664992414</v>
      </c>
    </row>
    <row r="9" spans="1:13" x14ac:dyDescent="0.2">
      <c r="A9" s="2" t="s">
        <v>18</v>
      </c>
      <c r="B9" s="2"/>
      <c r="C9" s="10" t="s">
        <v>36</v>
      </c>
      <c r="D9" s="10" t="s">
        <v>14</v>
      </c>
      <c r="E9" s="36">
        <v>-494.77069560000001</v>
      </c>
      <c r="F9" s="35">
        <v>0.12030100000000001</v>
      </c>
      <c r="G9" s="39">
        <v>-496.05533296300001</v>
      </c>
      <c r="H9" s="39">
        <v>-496.03315960399999</v>
      </c>
      <c r="I9" s="23">
        <f t="shared" si="0"/>
        <v>-2.2173359000021264E-2</v>
      </c>
      <c r="J9" s="12">
        <f t="shared" si="1"/>
        <v>-310408.60910224821</v>
      </c>
      <c r="K9" s="13">
        <f>(J9-MIN(J$8:J$12))</f>
        <v>4.5892849945812486</v>
      </c>
      <c r="L9" s="13">
        <f t="shared" si="2"/>
        <v>4.3051818439078374E-4</v>
      </c>
      <c r="M9" s="14">
        <f>(L9/(SUM(L$8:L$12))*100)</f>
        <v>4.257091058217273E-2</v>
      </c>
    </row>
    <row r="10" spans="1:13" x14ac:dyDescent="0.2">
      <c r="A10" s="2" t="s">
        <v>18</v>
      </c>
      <c r="B10" s="2"/>
      <c r="C10" s="10" t="s">
        <v>37</v>
      </c>
      <c r="D10" s="10" t="s">
        <v>14</v>
      </c>
      <c r="E10" s="36">
        <v>-494.76866330000001</v>
      </c>
      <c r="F10" s="35">
        <v>0.12021</v>
      </c>
      <c r="G10" s="39">
        <v>-496.05186379899999</v>
      </c>
      <c r="H10" s="39">
        <v>-496.03125490600002</v>
      </c>
      <c r="I10" s="23">
        <f t="shared" si="0"/>
        <v>-2.0608892999973705E-2</v>
      </c>
      <c r="J10" s="12">
        <f t="shared" si="1"/>
        <v>-310406.40920954279</v>
      </c>
      <c r="K10" s="13">
        <f>(J10-MIN(J$8:J$12))</f>
        <v>6.7891777000040747</v>
      </c>
      <c r="L10" s="13">
        <f t="shared" si="2"/>
        <v>1.0482899728932587E-5</v>
      </c>
      <c r="M10" s="14">
        <f>(L10/(SUM(L$8:L$12))*100)</f>
        <v>1.0365801101613707E-3</v>
      </c>
    </row>
    <row r="11" spans="1:13" x14ac:dyDescent="0.2">
      <c r="A11" s="2" t="s">
        <v>18</v>
      </c>
      <c r="B11" s="2"/>
      <c r="C11" s="10" t="s">
        <v>38</v>
      </c>
      <c r="D11" s="10" t="s">
        <v>14</v>
      </c>
      <c r="E11" s="36">
        <v>-494.78499269999998</v>
      </c>
      <c r="F11" s="35">
        <v>0.120847</v>
      </c>
      <c r="G11" s="39">
        <v>-496.06632404700002</v>
      </c>
      <c r="H11" s="39">
        <v>-496.05058826800001</v>
      </c>
      <c r="I11" s="23">
        <f t="shared" si="0"/>
        <v>-1.5735779000010552E-2</v>
      </c>
      <c r="J11" s="12">
        <f t="shared" si="1"/>
        <v>-310413.1983872428</v>
      </c>
      <c r="K11" s="13">
        <f>(J11-MIN(J$8:J$12))</f>
        <v>0</v>
      </c>
      <c r="L11" s="13">
        <f t="shared" si="2"/>
        <v>1</v>
      </c>
      <c r="M11" s="14">
        <f>(L11/(SUM(L$8:L$12))*100)</f>
        <v>98.882955762748637</v>
      </c>
    </row>
    <row r="12" spans="1:13" x14ac:dyDescent="0.2">
      <c r="A12" s="2" t="s">
        <v>18</v>
      </c>
      <c r="B12" s="2"/>
      <c r="C12" s="10" t="s">
        <v>39</v>
      </c>
      <c r="D12" s="10" t="s">
        <v>14</v>
      </c>
      <c r="E12" s="36">
        <v>-494.76866619999998</v>
      </c>
      <c r="F12" s="35">
        <v>0.12021</v>
      </c>
      <c r="G12" s="39">
        <v>-496.051860379</v>
      </c>
      <c r="H12" s="39">
        <v>-496.03125420399999</v>
      </c>
      <c r="I12" s="23">
        <f t="shared" si="0"/>
        <v>-2.0606175000011717E-2</v>
      </c>
      <c r="J12" s="12">
        <f t="shared" si="1"/>
        <v>-310406.40932374907</v>
      </c>
      <c r="K12" s="13">
        <f>(J12-MIN(J$8:J$12))</f>
        <v>6.7890634937211871</v>
      </c>
      <c r="L12" s="13">
        <f t="shared" si="2"/>
        <v>1.0484921812873438E-5</v>
      </c>
      <c r="M12" s="14">
        <f>(L12/(SUM(L$8:L$12))*100)</f>
        <v>1.0367800597982425E-3</v>
      </c>
    </row>
    <row r="14" spans="1:13" x14ac:dyDescent="0.2">
      <c r="B14" s="1" t="s">
        <v>0</v>
      </c>
      <c r="C14" s="17">
        <f>(MIN(J3:J7))-(1.987*298*LN(SUM(L3:L7)))/1000</f>
        <v>-310412.06528760615</v>
      </c>
    </row>
    <row r="15" spans="1:13" x14ac:dyDescent="0.2">
      <c r="B15" s="16" t="s">
        <v>14</v>
      </c>
      <c r="C15" s="18">
        <f>(MIN(J8:J12))-(1.987*298*LN(SUM(L8:L12)))/1000</f>
        <v>-310413.20503877196</v>
      </c>
    </row>
    <row r="16" spans="1:13" x14ac:dyDescent="0.2">
      <c r="B16" s="15" t="s">
        <v>15</v>
      </c>
      <c r="C16" s="19">
        <f>(C14-C15)/1.37</f>
        <v>0.83193515752863645</v>
      </c>
    </row>
    <row r="17" spans="2:6" x14ac:dyDescent="0.2">
      <c r="B17" s="20" t="s">
        <v>16</v>
      </c>
      <c r="C17" s="9">
        <v>2.2599999999999998</v>
      </c>
    </row>
    <row r="18" spans="2:6" x14ac:dyDescent="0.2">
      <c r="B18" s="21" t="s">
        <v>17</v>
      </c>
      <c r="C18" s="22">
        <f>C16-C17</f>
        <v>-1.4280648424713633</v>
      </c>
    </row>
    <row r="23" spans="2:6" x14ac:dyDescent="0.2">
      <c r="E23" s="41"/>
      <c r="F23" s="41"/>
    </row>
    <row r="24" spans="2:6" x14ac:dyDescent="0.2">
      <c r="E24" s="4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271E-704C-4949-B1D6-3F97F9C0DFA7}">
  <dimension ref="A1:M12"/>
  <sheetViews>
    <sheetView workbookViewId="0">
      <selection activeCell="E23" sqref="E23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3.332031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x14ac:dyDescent="0.2"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33">
        <v>0</v>
      </c>
      <c r="D3" s="5" t="s">
        <v>0</v>
      </c>
      <c r="E3" s="6">
        <v>-676.83870899999999</v>
      </c>
      <c r="F3" s="6">
        <v>0.219501</v>
      </c>
      <c r="G3" s="6">
        <v>-678.71357699999999</v>
      </c>
      <c r="H3" s="6">
        <v>-678.684845</v>
      </c>
      <c r="I3" s="6">
        <f>(G3-H3)</f>
        <v>-2.8731999999990876E-2</v>
      </c>
      <c r="J3" s="7">
        <f>(E3+F3+I3)*627.507 + (1.89)</f>
        <v>-424599.42888557992</v>
      </c>
      <c r="K3" s="7">
        <f>(J3-MIN(J$3:J$4))</f>
        <v>0.39156436797929928</v>
      </c>
      <c r="L3" s="7">
        <f>EXP(-K3*1000/(1.987*298))</f>
        <v>0.51618732281127433</v>
      </c>
      <c r="M3" s="8">
        <f>(L3/(SUM(L$3:L$4))*100)</f>
        <v>34.045088957357422</v>
      </c>
    </row>
    <row r="4" spans="1:13" x14ac:dyDescent="0.2">
      <c r="A4" s="2"/>
      <c r="B4" s="2"/>
      <c r="C4" s="33">
        <v>180</v>
      </c>
      <c r="D4" s="5" t="s">
        <v>0</v>
      </c>
      <c r="E4" s="6">
        <v>-676.83898999999997</v>
      </c>
      <c r="F4" s="6">
        <v>0.21929899999999999</v>
      </c>
      <c r="G4" s="6">
        <v>-678.71397200000001</v>
      </c>
      <c r="H4" s="6">
        <v>-678.68509900000004</v>
      </c>
      <c r="I4" s="6">
        <f>(G4-H4)</f>
        <v>-2.8872999999975946E-2</v>
      </c>
      <c r="J4" s="7">
        <f>(E4+F4+I4)*627.507 + (1.89)</f>
        <v>-424599.8204499479</v>
      </c>
      <c r="K4" s="7">
        <f>(J4-MIN(J$3:J$4))</f>
        <v>0</v>
      </c>
      <c r="L4" s="7">
        <f>EXP(-K4*1000/(1.987*298))</f>
        <v>1</v>
      </c>
      <c r="M4" s="8">
        <f>(L4/(SUM(L$3:L$4))*100)</f>
        <v>65.954911042642578</v>
      </c>
    </row>
    <row r="5" spans="1:13" x14ac:dyDescent="0.2">
      <c r="A5" s="2"/>
      <c r="B5" s="2"/>
      <c r="C5" s="16">
        <v>0</v>
      </c>
      <c r="D5" s="10" t="s">
        <v>14</v>
      </c>
      <c r="E5" s="23">
        <v>-676.83773099999996</v>
      </c>
      <c r="F5" s="23">
        <v>0.21962599999999999</v>
      </c>
      <c r="G5" s="23">
        <v>-678.70643399999994</v>
      </c>
      <c r="H5" s="23">
        <v>-678.68516299999999</v>
      </c>
      <c r="I5" s="23">
        <f>(G5-H5)</f>
        <v>-2.1270999999956075E-2</v>
      </c>
      <c r="J5" s="13">
        <f>(E5+F5+I5)*627.507 + (1.89)</f>
        <v>-424594.05491563195</v>
      </c>
      <c r="K5" s="13">
        <f>(J5-MIN(J$5:J$6))</f>
        <v>0.75426341395359486</v>
      </c>
      <c r="L5" s="13">
        <f>EXP(-K5*1000/(1.987*298))</f>
        <v>0.27976019560814902</v>
      </c>
      <c r="M5" s="14">
        <f>(L5/(SUM(L$5:L$6))*100)</f>
        <v>21.860360758853375</v>
      </c>
    </row>
    <row r="6" spans="1:13" x14ac:dyDescent="0.2">
      <c r="A6" s="2"/>
      <c r="B6" s="2"/>
      <c r="C6" s="16">
        <v>180</v>
      </c>
      <c r="D6" s="10" t="s">
        <v>14</v>
      </c>
      <c r="E6" s="23">
        <v>-676.83917099999996</v>
      </c>
      <c r="F6" s="23">
        <v>0.219887</v>
      </c>
      <c r="G6" s="23">
        <v>-678.70710799999995</v>
      </c>
      <c r="H6" s="23">
        <v>-678.68581400000005</v>
      </c>
      <c r="I6" s="23">
        <f>(G6-H6)</f>
        <v>-2.1293999999898006E-2</v>
      </c>
      <c r="J6" s="13">
        <f>(E6+F6+I6)*627.507 + (1.89)</f>
        <v>-424594.8091790459</v>
      </c>
      <c r="K6" s="13">
        <f>(J6-MIN(J$5:J$6))</f>
        <v>0</v>
      </c>
      <c r="L6" s="13">
        <f>EXP(-K6*1000/(1.987*298))</f>
        <v>1</v>
      </c>
      <c r="M6" s="14">
        <f>(L6/(SUM(L$5:L$6))*100)</f>
        <v>78.139639241146625</v>
      </c>
    </row>
    <row r="8" spans="1:13" x14ac:dyDescent="0.2">
      <c r="B8" s="1" t="s">
        <v>0</v>
      </c>
      <c r="C8" s="17">
        <f>(MIN(J3:J4))-(1.987*298*LN(SUM(L3:L4)))/1000</f>
        <v>-424600.06689210428</v>
      </c>
    </row>
    <row r="9" spans="1:13" x14ac:dyDescent="0.2">
      <c r="B9" s="16" t="s">
        <v>14</v>
      </c>
      <c r="C9" s="18">
        <f>(MIN(J5:J6))-(1.987*298*LN(SUM(L5:L6)))/1000</f>
        <v>-424594.95524037286</v>
      </c>
    </row>
    <row r="10" spans="1:13" x14ac:dyDescent="0.2">
      <c r="B10" s="15" t="s">
        <v>15</v>
      </c>
      <c r="C10" s="19">
        <f>(C8-C9)/1.37</f>
        <v>-3.7311326506731173</v>
      </c>
    </row>
    <row r="11" spans="1:13" x14ac:dyDescent="0.2">
      <c r="B11" s="20" t="s">
        <v>40</v>
      </c>
      <c r="C11" s="9">
        <v>0.9</v>
      </c>
    </row>
    <row r="12" spans="1:13" x14ac:dyDescent="0.2">
      <c r="B12" s="21" t="s">
        <v>17</v>
      </c>
      <c r="C12" s="22">
        <f>C10-C11</f>
        <v>-4.6311326506731172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Summary 1 Torsions</vt:lpstr>
      <vt:lpstr>BBB 1 Org12962 LogP</vt:lpstr>
      <vt:lpstr>BBB 97 Nicotine LogP</vt:lpstr>
      <vt:lpstr>BBB 168 Alprazolam LogP</vt:lpstr>
      <vt:lpstr>BBB 299 Salycylic acid LogP</vt:lpstr>
      <vt:lpstr>BBB 303 BBcpd10 LogP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2020-11-09T19:31:03Z</dcterms:created>
  <dcterms:modified xsi:type="dcterms:W3CDTF">2021-03-25T15:41:58Z</dcterms:modified>
</cp:coreProperties>
</file>