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_Drive/TONI/COSAS_TORRI/BACK_UPS/BACK_UP_09072021/WORK/BBB/WILL/"/>
    </mc:Choice>
  </mc:AlternateContent>
  <xr:revisionPtr revIDLastSave="0" documentId="13_ncr:1_{80D24B33-92A9-CC43-87C4-61571FA26E02}" xr6:coauthVersionLast="47" xr6:coauthVersionMax="47" xr10:uidLastSave="{00000000-0000-0000-0000-000000000000}"/>
  <bookViews>
    <workbookView xWindow="0" yWindow="1440" windowWidth="28100" windowHeight="14280" firstSheet="8" activeTab="13" xr2:uid="{3A851C74-9831-0A44-BDF5-BA87861F002B}"/>
  </bookViews>
  <sheets>
    <sheet name="Summary 2 Torsions" sheetId="14" r:id="rId1"/>
    <sheet name="BBB 2 Sertraline LogP" sheetId="1" r:id="rId2"/>
    <sheet name="BBB 23 3-methylpentane LogP" sheetId="2" r:id="rId3"/>
    <sheet name="BBB 65 Phenylcyclidine LogP" sheetId="3" r:id="rId4"/>
    <sheet name="BBB 87 Y-G16 LogP" sheetId="4" r:id="rId5"/>
    <sheet name="BBB 181 Diethylether LogP" sheetId="6" r:id="rId6"/>
    <sheet name="BBB 212 Bisphenol A LogP" sheetId="13" r:id="rId7"/>
    <sheet name="BBB 212 Bisphenol A LogP FR" sheetId="15" r:id="rId8"/>
    <sheet name="BBB 277 Alovudine LogP" sheetId="7" r:id="rId9"/>
    <sheet name="BBB 282 Nalidixic Acid LogP" sheetId="8" r:id="rId10"/>
    <sheet name="BBB 285 Ribavirin LogP" sheetId="9" r:id="rId11"/>
    <sheet name="BBB 286 Granisetron LogP" sheetId="10" r:id="rId12"/>
    <sheet name="BBB 304 Zalcitabine LogP" sheetId="11" r:id="rId13"/>
    <sheet name="BBB 315 Y-G20 LogP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5" l="1"/>
  <c r="J5" i="15" s="1"/>
  <c r="I6" i="15"/>
  <c r="J6" i="15" s="1"/>
  <c r="K6" i="15" s="1"/>
  <c r="I3" i="15"/>
  <c r="J3" i="15" s="1"/>
  <c r="K3" i="15" s="1"/>
  <c r="L3" i="15" s="1"/>
  <c r="I4" i="15"/>
  <c r="J4" i="15" s="1"/>
  <c r="K5" i="15" l="1"/>
  <c r="L5" i="15" s="1"/>
  <c r="C9" i="15"/>
  <c r="L6" i="15"/>
  <c r="M6" i="15" s="1"/>
  <c r="K4" i="15"/>
  <c r="L4" i="15" s="1"/>
  <c r="M3" i="15" s="1"/>
  <c r="I3" i="2"/>
  <c r="J3" i="2"/>
  <c r="I4" i="2"/>
  <c r="J4" i="2" s="1"/>
  <c r="I5" i="2"/>
  <c r="J5" i="2"/>
  <c r="I7" i="2"/>
  <c r="J7" i="2" s="1"/>
  <c r="E8" i="2"/>
  <c r="I8" i="2"/>
  <c r="J8" i="2"/>
  <c r="I9" i="2"/>
  <c r="J9" i="2" s="1"/>
  <c r="I10" i="2"/>
  <c r="J10" i="2" s="1"/>
  <c r="I11" i="2"/>
  <c r="J11" i="2"/>
  <c r="I12" i="2"/>
  <c r="J12" i="2" s="1"/>
  <c r="I14" i="2"/>
  <c r="J14" i="2" s="1"/>
  <c r="I15" i="2"/>
  <c r="J15" i="2" s="1"/>
  <c r="I16" i="2"/>
  <c r="J16" i="2" s="1"/>
  <c r="C13" i="14"/>
  <c r="G13" i="14" s="1"/>
  <c r="C12" i="14"/>
  <c r="G12" i="14" s="1"/>
  <c r="C11" i="14"/>
  <c r="G11" i="14" s="1"/>
  <c r="C10" i="14"/>
  <c r="G10" i="14" s="1"/>
  <c r="C9" i="14"/>
  <c r="G9" i="14" s="1"/>
  <c r="C8" i="14"/>
  <c r="G8" i="14" s="1"/>
  <c r="C7" i="14"/>
  <c r="G7" i="14" s="1"/>
  <c r="C6" i="14"/>
  <c r="G6" i="14" s="1"/>
  <c r="C5" i="14"/>
  <c r="G5" i="14" s="1"/>
  <c r="C4" i="14"/>
  <c r="G4" i="14" s="1"/>
  <c r="C3" i="14"/>
  <c r="G3" i="14" s="1"/>
  <c r="C2" i="14"/>
  <c r="G2" i="14" s="1"/>
  <c r="I4" i="13"/>
  <c r="J4" i="13" s="1"/>
  <c r="I5" i="13"/>
  <c r="J5" i="13"/>
  <c r="I7" i="13"/>
  <c r="J7" i="13" s="1"/>
  <c r="I8" i="13"/>
  <c r="J8" i="13"/>
  <c r="I13" i="13"/>
  <c r="J13" i="13" s="1"/>
  <c r="I14" i="13"/>
  <c r="J14" i="13"/>
  <c r="I15" i="13"/>
  <c r="J15" i="13" s="1"/>
  <c r="I4" i="7"/>
  <c r="J4" i="7" s="1"/>
  <c r="I3" i="7"/>
  <c r="J3" i="7" s="1"/>
  <c r="I4" i="3"/>
  <c r="J4" i="3" s="1"/>
  <c r="I3" i="3"/>
  <c r="J3" i="3" s="1"/>
  <c r="I3" i="10"/>
  <c r="J3" i="10" s="1"/>
  <c r="G12" i="13"/>
  <c r="I12" i="13" s="1"/>
  <c r="J12" i="13" s="1"/>
  <c r="I9" i="13"/>
  <c r="J9" i="13" s="1"/>
  <c r="I18" i="13"/>
  <c r="J18" i="13" s="1"/>
  <c r="I17" i="13"/>
  <c r="J17" i="13" s="1"/>
  <c r="I16" i="13"/>
  <c r="J16" i="13" s="1"/>
  <c r="I11" i="13"/>
  <c r="J11" i="13" s="1"/>
  <c r="I10" i="13"/>
  <c r="J10" i="13" s="1"/>
  <c r="I6" i="13"/>
  <c r="J6" i="13" s="1"/>
  <c r="I3" i="13"/>
  <c r="J3" i="13" s="1"/>
  <c r="E11" i="12"/>
  <c r="E10" i="12"/>
  <c r="E8" i="12"/>
  <c r="E7" i="12"/>
  <c r="I12" i="12"/>
  <c r="J12" i="12" s="1"/>
  <c r="I11" i="12"/>
  <c r="I10" i="12"/>
  <c r="I9" i="12"/>
  <c r="J9" i="12" s="1"/>
  <c r="I8" i="12"/>
  <c r="I7" i="12"/>
  <c r="I6" i="12"/>
  <c r="J6" i="12" s="1"/>
  <c r="I5" i="12"/>
  <c r="J5" i="12" s="1"/>
  <c r="I4" i="12"/>
  <c r="J4" i="12" s="1"/>
  <c r="I3" i="12"/>
  <c r="J3" i="12" s="1"/>
  <c r="I6" i="11"/>
  <c r="J6" i="11" s="1"/>
  <c r="I5" i="11"/>
  <c r="J5" i="11" s="1"/>
  <c r="I4" i="11"/>
  <c r="J4" i="11" s="1"/>
  <c r="I3" i="11"/>
  <c r="J3" i="11" s="1"/>
  <c r="I6" i="10"/>
  <c r="J6" i="10" s="1"/>
  <c r="I5" i="10"/>
  <c r="J5" i="10" s="1"/>
  <c r="I4" i="10"/>
  <c r="J4" i="10" s="1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I3" i="9"/>
  <c r="J3" i="9" s="1"/>
  <c r="I6" i="8"/>
  <c r="J6" i="8" s="1"/>
  <c r="I5" i="8"/>
  <c r="J5" i="8" s="1"/>
  <c r="I4" i="8"/>
  <c r="J4" i="8" s="1"/>
  <c r="I3" i="8"/>
  <c r="J3" i="8" s="1"/>
  <c r="I6" i="7"/>
  <c r="J6" i="7" s="1"/>
  <c r="I5" i="7"/>
  <c r="J5" i="7" s="1"/>
  <c r="I12" i="6"/>
  <c r="J1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I6" i="3"/>
  <c r="J6" i="3" s="1"/>
  <c r="I5" i="3"/>
  <c r="J5" i="3" s="1"/>
  <c r="I13" i="2"/>
  <c r="J13" i="2" s="1"/>
  <c r="I6" i="2"/>
  <c r="J6" i="2" s="1"/>
  <c r="K4" i="2" l="1"/>
  <c r="L4" i="2" s="1"/>
  <c r="K3" i="10"/>
  <c r="L3" i="10" s="1"/>
  <c r="K4" i="7"/>
  <c r="L4" i="7" s="1"/>
  <c r="M5" i="15"/>
  <c r="K8" i="13"/>
  <c r="L8" i="13" s="1"/>
  <c r="K5" i="2"/>
  <c r="L5" i="2" s="1"/>
  <c r="K4" i="13"/>
  <c r="L4" i="13" s="1"/>
  <c r="K4" i="3"/>
  <c r="L4" i="3" s="1"/>
  <c r="M4" i="15"/>
  <c r="K3" i="2"/>
  <c r="L3" i="2" s="1"/>
  <c r="K9" i="2"/>
  <c r="L9" i="2" s="1"/>
  <c r="K8" i="2"/>
  <c r="L8" i="2" s="1"/>
  <c r="K7" i="2"/>
  <c r="L7" i="2" s="1"/>
  <c r="K11" i="2"/>
  <c r="L11" i="2" s="1"/>
  <c r="K10" i="2"/>
  <c r="L10" i="2" s="1"/>
  <c r="K12" i="2"/>
  <c r="L12" i="2" s="1"/>
  <c r="K16" i="2"/>
  <c r="L16" i="2" s="1"/>
  <c r="K15" i="2"/>
  <c r="L15" i="2" s="1"/>
  <c r="K14" i="2"/>
  <c r="L14" i="2" s="1"/>
  <c r="K5" i="13"/>
  <c r="L5" i="13" s="1"/>
  <c r="K15" i="13"/>
  <c r="L15" i="13" s="1"/>
  <c r="K7" i="13"/>
  <c r="L7" i="13" s="1"/>
  <c r="K13" i="13"/>
  <c r="L13" i="13" s="1"/>
  <c r="K14" i="13"/>
  <c r="L14" i="13" s="1"/>
  <c r="K3" i="7"/>
  <c r="L3" i="7" s="1"/>
  <c r="M4" i="7" s="1"/>
  <c r="K3" i="3"/>
  <c r="L3" i="3" s="1"/>
  <c r="M4" i="3" s="1"/>
  <c r="K16" i="13"/>
  <c r="L16" i="13" s="1"/>
  <c r="K17" i="13"/>
  <c r="L17" i="13" s="1"/>
  <c r="K12" i="13"/>
  <c r="L12" i="13" s="1"/>
  <c r="K18" i="13"/>
  <c r="L18" i="13" s="1"/>
  <c r="K11" i="13"/>
  <c r="L11" i="13" s="1"/>
  <c r="K9" i="13"/>
  <c r="L9" i="13" s="1"/>
  <c r="K10" i="13"/>
  <c r="L10" i="13" s="1"/>
  <c r="K3" i="13"/>
  <c r="L3" i="13" s="1"/>
  <c r="M4" i="13" s="1"/>
  <c r="K6" i="13"/>
  <c r="L6" i="13" s="1"/>
  <c r="K5" i="7"/>
  <c r="L5" i="7" s="1"/>
  <c r="J11" i="12"/>
  <c r="J10" i="12"/>
  <c r="J8" i="12"/>
  <c r="J7" i="12"/>
  <c r="K5" i="12" s="1"/>
  <c r="L5" i="12" s="1"/>
  <c r="K4" i="11"/>
  <c r="L4" i="11" s="1"/>
  <c r="K5" i="11"/>
  <c r="L5" i="11" s="1"/>
  <c r="K3" i="11"/>
  <c r="L3" i="11" s="1"/>
  <c r="K6" i="11"/>
  <c r="L6" i="11" s="1"/>
  <c r="K5" i="10"/>
  <c r="L5" i="10" s="1"/>
  <c r="K6" i="10"/>
  <c r="L6" i="10" s="1"/>
  <c r="K4" i="10"/>
  <c r="L4" i="10" s="1"/>
  <c r="M3" i="10" s="1"/>
  <c r="K9" i="9"/>
  <c r="L9" i="9" s="1"/>
  <c r="K10" i="9"/>
  <c r="L10" i="9" s="1"/>
  <c r="K7" i="9"/>
  <c r="L7" i="9" s="1"/>
  <c r="K4" i="9"/>
  <c r="L4" i="9" s="1"/>
  <c r="K5" i="9"/>
  <c r="L5" i="9" s="1"/>
  <c r="K3" i="9"/>
  <c r="L3" i="9" s="1"/>
  <c r="K6" i="9"/>
  <c r="L6" i="9" s="1"/>
  <c r="K8" i="9"/>
  <c r="L8" i="9" s="1"/>
  <c r="K6" i="8"/>
  <c r="L6" i="8" s="1"/>
  <c r="K5" i="8"/>
  <c r="L5" i="8" s="1"/>
  <c r="K3" i="8"/>
  <c r="L3" i="8" s="1"/>
  <c r="K4" i="8"/>
  <c r="L4" i="8" s="1"/>
  <c r="K6" i="7"/>
  <c r="L6" i="7" s="1"/>
  <c r="K5" i="6"/>
  <c r="L5" i="6" s="1"/>
  <c r="K10" i="6"/>
  <c r="L10" i="6" s="1"/>
  <c r="K8" i="6"/>
  <c r="L8" i="6" s="1"/>
  <c r="K11" i="6"/>
  <c r="L11" i="6" s="1"/>
  <c r="K3" i="6"/>
  <c r="L3" i="6" s="1"/>
  <c r="K6" i="6"/>
  <c r="L6" i="6" s="1"/>
  <c r="K12" i="6"/>
  <c r="L12" i="6" s="1"/>
  <c r="K4" i="6"/>
  <c r="L4" i="6" s="1"/>
  <c r="K7" i="6"/>
  <c r="L7" i="6" s="1"/>
  <c r="K9" i="6"/>
  <c r="L9" i="6" s="1"/>
  <c r="K5" i="4"/>
  <c r="L5" i="4" s="1"/>
  <c r="K10" i="4"/>
  <c r="L10" i="4" s="1"/>
  <c r="K13" i="4"/>
  <c r="L13" i="4" s="1"/>
  <c r="K3" i="4"/>
  <c r="L3" i="4" s="1"/>
  <c r="K6" i="4"/>
  <c r="L6" i="4" s="1"/>
  <c r="K8" i="4"/>
  <c r="L8" i="4" s="1"/>
  <c r="K14" i="4"/>
  <c r="L14" i="4" s="1"/>
  <c r="K4" i="4"/>
  <c r="L4" i="4" s="1"/>
  <c r="K7" i="4"/>
  <c r="L7" i="4" s="1"/>
  <c r="K11" i="4"/>
  <c r="L11" i="4" s="1"/>
  <c r="K9" i="4"/>
  <c r="L9" i="4" s="1"/>
  <c r="K12" i="4"/>
  <c r="L12" i="4" s="1"/>
  <c r="K5" i="3"/>
  <c r="L5" i="3" s="1"/>
  <c r="K6" i="3"/>
  <c r="L6" i="3" s="1"/>
  <c r="K13" i="2"/>
  <c r="L13" i="2" s="1"/>
  <c r="M16" i="2" s="1"/>
  <c r="M6" i="10" l="1"/>
  <c r="M3" i="11"/>
  <c r="M15" i="13"/>
  <c r="C8" i="15"/>
  <c r="M12" i="2"/>
  <c r="M14" i="2"/>
  <c r="M10" i="2"/>
  <c r="M11" i="2"/>
  <c r="M15" i="2"/>
  <c r="K6" i="2"/>
  <c r="L6" i="2" s="1"/>
  <c r="M9" i="2" s="1"/>
  <c r="M8" i="13"/>
  <c r="M5" i="13"/>
  <c r="M7" i="13"/>
  <c r="M14" i="13"/>
  <c r="M13" i="13"/>
  <c r="M3" i="7"/>
  <c r="M3" i="3"/>
  <c r="C8" i="3"/>
  <c r="M18" i="13"/>
  <c r="M16" i="13"/>
  <c r="M11" i="13"/>
  <c r="M17" i="13"/>
  <c r="M12" i="13"/>
  <c r="C21" i="13"/>
  <c r="M9" i="13"/>
  <c r="M6" i="13"/>
  <c r="C20" i="13"/>
  <c r="M10" i="13"/>
  <c r="M3" i="13"/>
  <c r="M6" i="7"/>
  <c r="K12" i="12"/>
  <c r="L12" i="12" s="1"/>
  <c r="K11" i="12"/>
  <c r="L11" i="12" s="1"/>
  <c r="K9" i="12"/>
  <c r="L9" i="12" s="1"/>
  <c r="K8" i="12"/>
  <c r="L8" i="12" s="1"/>
  <c r="K10" i="12"/>
  <c r="L10" i="12" s="1"/>
  <c r="K6" i="12"/>
  <c r="L6" i="12" s="1"/>
  <c r="K4" i="12"/>
  <c r="L4" i="12" s="1"/>
  <c r="K3" i="12"/>
  <c r="L3" i="12" s="1"/>
  <c r="K7" i="12"/>
  <c r="L7" i="12" s="1"/>
  <c r="C8" i="11"/>
  <c r="C9" i="11"/>
  <c r="M6" i="11"/>
  <c r="M5" i="11"/>
  <c r="M4" i="11"/>
  <c r="C9" i="10"/>
  <c r="M5" i="10"/>
  <c r="M4" i="10"/>
  <c r="C8" i="10"/>
  <c r="M3" i="9"/>
  <c r="M6" i="9"/>
  <c r="M8" i="9"/>
  <c r="C12" i="9"/>
  <c r="M7" i="9"/>
  <c r="C13" i="9"/>
  <c r="M5" i="9"/>
  <c r="M10" i="9"/>
  <c r="M4" i="9"/>
  <c r="M9" i="9"/>
  <c r="M6" i="8"/>
  <c r="C9" i="8"/>
  <c r="M5" i="8"/>
  <c r="M4" i="8"/>
  <c r="M3" i="8"/>
  <c r="C8" i="8"/>
  <c r="C8" i="7"/>
  <c r="C9" i="7"/>
  <c r="M5" i="7"/>
  <c r="M4" i="6"/>
  <c r="M7" i="6"/>
  <c r="M9" i="6"/>
  <c r="M6" i="6"/>
  <c r="M11" i="6"/>
  <c r="C14" i="6"/>
  <c r="M8" i="6"/>
  <c r="M3" i="6"/>
  <c r="C15" i="6"/>
  <c r="M10" i="6"/>
  <c r="M12" i="6"/>
  <c r="M5" i="6"/>
  <c r="M12" i="4"/>
  <c r="M10" i="4"/>
  <c r="M11" i="4"/>
  <c r="M14" i="4"/>
  <c r="M3" i="4"/>
  <c r="M8" i="4"/>
  <c r="M13" i="4"/>
  <c r="M7" i="4"/>
  <c r="M6" i="4"/>
  <c r="C17" i="4"/>
  <c r="M9" i="4"/>
  <c r="M4" i="4"/>
  <c r="C16" i="4"/>
  <c r="M5" i="4"/>
  <c r="C9" i="3"/>
  <c r="M6" i="3"/>
  <c r="M5" i="3"/>
  <c r="C19" i="2"/>
  <c r="M13" i="2"/>
  <c r="I8" i="1"/>
  <c r="J8" i="1" s="1"/>
  <c r="I7" i="1"/>
  <c r="J7" i="1" s="1"/>
  <c r="K7" i="1" s="1"/>
  <c r="I6" i="1"/>
  <c r="J6" i="1" s="1"/>
  <c r="I5" i="1"/>
  <c r="J5" i="1" s="1"/>
  <c r="I4" i="1"/>
  <c r="J4" i="1" s="1"/>
  <c r="I3" i="1"/>
  <c r="J3" i="1" s="1"/>
  <c r="K3" i="1" s="1"/>
  <c r="K8" i="1" l="1"/>
  <c r="K6" i="1"/>
  <c r="K4" i="1"/>
  <c r="M4" i="2"/>
  <c r="K5" i="1"/>
  <c r="C10" i="15"/>
  <c r="C12" i="15" s="1"/>
  <c r="M5" i="2"/>
  <c r="M3" i="2"/>
  <c r="M8" i="2"/>
  <c r="M7" i="2"/>
  <c r="C22" i="13"/>
  <c r="C10" i="7"/>
  <c r="C10" i="11"/>
  <c r="M12" i="12"/>
  <c r="M11" i="12"/>
  <c r="C15" i="12"/>
  <c r="M8" i="12"/>
  <c r="M10" i="12"/>
  <c r="M9" i="12"/>
  <c r="M4" i="12"/>
  <c r="M7" i="12"/>
  <c r="M5" i="12"/>
  <c r="M6" i="12"/>
  <c r="M3" i="12"/>
  <c r="C14" i="12"/>
  <c r="C10" i="10"/>
  <c r="C14" i="9"/>
  <c r="C10" i="8"/>
  <c r="C16" i="6"/>
  <c r="C18" i="4"/>
  <c r="C10" i="3"/>
  <c r="C18" i="2"/>
  <c r="C20" i="2" s="1"/>
  <c r="M6" i="2"/>
  <c r="L8" i="1"/>
  <c r="L3" i="1"/>
  <c r="L6" i="1"/>
  <c r="L7" i="1"/>
  <c r="L5" i="1"/>
  <c r="L4" i="1"/>
  <c r="M4" i="1" s="1"/>
  <c r="M6" i="1" l="1"/>
  <c r="C12" i="8"/>
  <c r="D9" i="14"/>
  <c r="F9" i="14" s="1"/>
  <c r="C12" i="7"/>
  <c r="D8" i="14"/>
  <c r="F8" i="14" s="1"/>
  <c r="C11" i="1"/>
  <c r="M3" i="1"/>
  <c r="C12" i="3"/>
  <c r="D4" i="14"/>
  <c r="F4" i="14" s="1"/>
  <c r="C16" i="9"/>
  <c r="D10" i="14"/>
  <c r="F10" i="14" s="1"/>
  <c r="C24" i="13"/>
  <c r="D7" i="14"/>
  <c r="F7" i="14" s="1"/>
  <c r="M5" i="1"/>
  <c r="C20" i="4"/>
  <c r="D5" i="14"/>
  <c r="F5" i="14" s="1"/>
  <c r="C10" i="1"/>
  <c r="M8" i="1"/>
  <c r="C12" i="10"/>
  <c r="D11" i="14"/>
  <c r="F11" i="14" s="1"/>
  <c r="M7" i="1"/>
  <c r="C18" i="6"/>
  <c r="D6" i="14"/>
  <c r="F6" i="14" s="1"/>
  <c r="C12" i="11"/>
  <c r="D12" i="14"/>
  <c r="F12" i="14" s="1"/>
  <c r="C22" i="2"/>
  <c r="D3" i="14"/>
  <c r="F3" i="14" s="1"/>
  <c r="C16" i="12"/>
  <c r="C12" i="1" l="1"/>
  <c r="D2" i="14"/>
  <c r="F2" i="14" s="1"/>
  <c r="C14" i="1"/>
  <c r="C18" i="12"/>
  <c r="D13" i="14"/>
  <c r="F13" i="14" s="1"/>
</calcChain>
</file>

<file path=xl/sharedStrings.xml><?xml version="1.0" encoding="utf-8"?>
<sst xmlns="http://schemas.openxmlformats.org/spreadsheetml/2006/main" count="598" uniqueCount="136">
  <si>
    <t>WATER</t>
  </si>
  <si>
    <t>FREQ NEGATIVAS?</t>
  </si>
  <si>
    <t>REDUNDANTE?</t>
  </si>
  <si>
    <t>CONF</t>
  </si>
  <si>
    <t>MP2/aug-cc-pVDZ</t>
  </si>
  <si>
    <t>ZPE Solvent</t>
  </si>
  <si>
    <t xml:space="preserve">MST Solvent Energy </t>
  </si>
  <si>
    <t>Gas Energy</t>
  </si>
  <si>
    <t>dG Solvation MST</t>
  </si>
  <si>
    <t>Total Energy (+1,89 kcal/mol) MST</t>
  </si>
  <si>
    <t>RELATIVE</t>
  </si>
  <si>
    <t>BOLTZMANN</t>
  </si>
  <si>
    <t>% Fase</t>
  </si>
  <si>
    <t>SET_328_BBB2_conf1.geo_225_285_WATER.log</t>
  </si>
  <si>
    <t>SET_328_BBB2_conf1.geo_240_060_WATER.log</t>
  </si>
  <si>
    <t>SET_328_BBB2_conf1.geo_240_195_WATER.log</t>
  </si>
  <si>
    <t>Solvent</t>
  </si>
  <si>
    <t>OCTANOL</t>
  </si>
  <si>
    <t>SET_328_BBB2_conf1.geo_225_285_OCTANOL.log</t>
  </si>
  <si>
    <t>SET_328_BBB2_conf1.geo_240_060_OCTANOL.log</t>
  </si>
  <si>
    <t>SET_328_BBB2_conf1.geo_240_195_OCTANOL.log</t>
  </si>
  <si>
    <t>LOG P NUESTRO MST</t>
  </si>
  <si>
    <t>LOG P EXPERIMENTAL</t>
  </si>
  <si>
    <t>DIFERENCIA MST</t>
  </si>
  <si>
    <t>SET_328_BBB23_conf1.geo_060_060_WATER.log</t>
  </si>
  <si>
    <t>SET_328_BBB23_conf1.geo_060_165_WATER.log</t>
  </si>
  <si>
    <t>SET_328_BBB23_conf1.geo_180_060_WATER.log</t>
  </si>
  <si>
    <t>SET_328_BBB23_conf1.geo_195_165_WATER.log</t>
  </si>
  <si>
    <t>SET_328_BBB23_conf1.geo_195_300_WATER.log</t>
  </si>
  <si>
    <t>SET_328_BBB23_conf1.geo_300_180_WATER.log</t>
  </si>
  <si>
    <t>SET_328_BBB23_conf1.geo_300_300_WATER.log</t>
  </si>
  <si>
    <t>SET_328_BBB65_conf1.geo_060_150_WATER.log</t>
  </si>
  <si>
    <t>SET_328_BBB65_conf1.geo_060_330_WATER.log</t>
  </si>
  <si>
    <t>SET_328_BBB23_conf1.geo_060_060_OCTANOL.log</t>
  </si>
  <si>
    <t>SET_328_BBB23_conf1.geo_060_165_OCTANOL.log</t>
  </si>
  <si>
    <t>SET_328_BBB23_conf1.geo_180_060_OCTANOL.log</t>
  </si>
  <si>
    <t>SET_328_BBB23_conf1.geo_195_165_OCTANOL.log</t>
  </si>
  <si>
    <t>SET_328_BBB23_conf1.geo_195_300_OCTANOL.log</t>
  </si>
  <si>
    <t>SET_328_BBB23_conf1.geo_300_180_OCTANOL.log</t>
  </si>
  <si>
    <t>SET_328_BBB23_conf1.geo_300_300_OCTANOL.log</t>
  </si>
  <si>
    <t>SET_328_BBB65_conf1.geo_060_150_OCTANOL.log</t>
  </si>
  <si>
    <t>SET_328_BBB65_conf1.geo_060_330_OCTANOL.log</t>
  </si>
  <si>
    <t>SET_328_BBB87_conf1.geo_075_075_WATER.log</t>
  </si>
  <si>
    <t>SET_328_BBB87_conf1.geo_075_240_WATER.log</t>
  </si>
  <si>
    <t>SET_328_BBB87_conf1.geo_180_090_WATER.log</t>
  </si>
  <si>
    <t>SET_328_BBB87_conf1.geo_180_270_WATER.log</t>
  </si>
  <si>
    <t>SET_328_BBB87_conf1.geo_285_105_WATER.log</t>
  </si>
  <si>
    <t>SET_328_BBB87_conf1.geo_285_285_WATER.log</t>
  </si>
  <si>
    <t>SET_328_BBB87_conf1.geo_075_075_OCTANOL.log</t>
  </si>
  <si>
    <t>SET_328_BBB87_conf1.geo_075_240_OCTANOL.log</t>
  </si>
  <si>
    <t>SET_328_BBB87_conf1.geo_180_090_OCTANOL.log</t>
  </si>
  <si>
    <t>SET_328_BBB87_conf1.geo_180_270_OCTANOL.log</t>
  </si>
  <si>
    <t>SET_328_BBB87_conf1.geo_285_105_OCTANOL.log</t>
  </si>
  <si>
    <t>SET_328_BBB87_conf1.geo_285_285_OCTANOL.log</t>
  </si>
  <si>
    <t>SET_328_BBB181_conf1.geo_075_180_WATER.log</t>
  </si>
  <si>
    <t>SET_328_BBB181_conf1.geo_180_075_WATER.log</t>
  </si>
  <si>
    <t>SET_328_BBB181_conf1.geo_180_180_WATER.log</t>
  </si>
  <si>
    <t>SET_328_BBB181_conf1.geo_180_285_WATER.log</t>
  </si>
  <si>
    <t>SET_328_BBB181_conf1.geo_285_180_WATER.log</t>
  </si>
  <si>
    <t>SET_328_BBB181_conf1.geo_075_180_OCTANOL.log</t>
  </si>
  <si>
    <t>SET_328_BBB181_conf1.geo_180_075_OCTANOL.log</t>
  </si>
  <si>
    <t>SET_328_BBB181_conf1.geo_180_180_OCTANOL.log</t>
  </si>
  <si>
    <t>SET_328_BBB181_conf1.geo_180_285_OCTANOL.log</t>
  </si>
  <si>
    <t>SET_328_BBB181_conf1.geo_285_180_OCTANOL.log</t>
  </si>
  <si>
    <t>SET_328_BBB277_conf1.geo_210_060_WATER.log</t>
  </si>
  <si>
    <t>SET_328_BBB277_conf1.geo_210_285_WATER.log</t>
  </si>
  <si>
    <t>SET_328_BBB277_conf1.geo_210_060_OCTANOL.log</t>
  </si>
  <si>
    <t>SET_328_BBB277_conf1.geo_210_285_OCTANOL.log</t>
  </si>
  <si>
    <t>SET_328_BBB282_conf1.geo_000_090_WATER.log</t>
  </si>
  <si>
    <t>SET_328_BBB282_conf1.geo_000_270_WATER.log</t>
  </si>
  <si>
    <t>SET_328_BBB282_conf1.geo_000_090_OCTANOL.log</t>
  </si>
  <si>
    <t>SET_328_BBB282_conf1.geo_000_270_OCTANOL.log</t>
  </si>
  <si>
    <t>SET_328_BBB285_conf1.geo_120_075_WATER.log</t>
  </si>
  <si>
    <t>SET_328_BBB285_conf1.geo_120_300_WATER.log</t>
  </si>
  <si>
    <t>SET_328_BBB285_conf1.geo_300_075_WATER.log</t>
  </si>
  <si>
    <t>SET_328_BBB285_conf1.geo_300_300_WATER.log</t>
  </si>
  <si>
    <t>SET_328_BBB285_conf1.geo_120_075_OCTANOL.log</t>
  </si>
  <si>
    <t>SET_328_BBB285_conf1.geo_120_300_OCTANOL.log</t>
  </si>
  <si>
    <t>SET_328_BBB285_conf1.geo_300_075_OCTANOL.log</t>
  </si>
  <si>
    <t>SET_328_BBB285_conf1.geo_300_300_OCTANOL.log</t>
  </si>
  <si>
    <t>SET_328_BBB286_conf1.geo_000_090_WATER.log</t>
  </si>
  <si>
    <t>SET_328_BBB286_conf1.geo_000_150_WATER.log</t>
  </si>
  <si>
    <t>SET_328_BBB286_conf1.geo_000_090_OCTANOL.log</t>
  </si>
  <si>
    <t>SET_328_BBB286_conf1.geo_000_150_OCTANOL.log</t>
  </si>
  <si>
    <t>SET_328_BBB304_conf1.geo_210_060_OCTANOL.log</t>
  </si>
  <si>
    <t>SET_328_BBB304_conf1.geo_210_285_OCTANOL.log</t>
  </si>
  <si>
    <t>SET_328_BBB304_conf1.geo_210_060_WATER.log</t>
  </si>
  <si>
    <t>SET_328_BBB304_conf1.geo_210_285_WATER.log</t>
  </si>
  <si>
    <t>SET_328_BBB315_conf1.geo_060_075_WATER.log</t>
  </si>
  <si>
    <t>SET_328_BBB315_conf1.geo_180_090_WATER.log</t>
  </si>
  <si>
    <t>SET_328_BBB315_conf1.geo_180_270_WATER.log</t>
  </si>
  <si>
    <t>SET_328_BBB315_conf1.geo_285_285_WATER.log</t>
  </si>
  <si>
    <t>SET_328_BBB315_conf1.geo_300_105_WATER.log</t>
  </si>
  <si>
    <t>SET_328_BBB315_conf1.geo_060_075_OCTANOL.log</t>
  </si>
  <si>
    <t>SET_328_BBB315_conf1.geo_180_090_OCTANOL.log</t>
  </si>
  <si>
    <t>SET_328_BBB315_conf1.geo_180_270_OCTANOL.log</t>
  </si>
  <si>
    <t>SET_328_BBB315_conf1.geo_285_285_OCTANOL.log</t>
  </si>
  <si>
    <t>SET_328_BBB315_conf1.geo_300_105_OCTANOL.log</t>
  </si>
  <si>
    <t>SET_328_BBB212_conf1.geo_060_045_WATER.log</t>
  </si>
  <si>
    <t>SET_328_BBB212_conf1.geo_060_225_WATER.log</t>
  </si>
  <si>
    <t>SET_328_BBB212_conf1.geo_135_120_WATER.log</t>
  </si>
  <si>
    <t>SET_328_BBB212_conf1.geo_135_300_WATER.log</t>
  </si>
  <si>
    <t>SET_328_BBB212_conf1.geo_225_060_WATER.log</t>
  </si>
  <si>
    <t>SET_328_BBB212_conf1.geo_225_225_WATER.log</t>
  </si>
  <si>
    <t>SET_328_BBB212_conf1.geo_300_135_WATER.log</t>
  </si>
  <si>
    <t>SET_328_BBB212_conf1.geo_315_300_WATER.log</t>
  </si>
  <si>
    <t>SET_328_BBB212_conf1.geo_060_045_OCTANOL.log</t>
  </si>
  <si>
    <t>SET_328_BBB212_conf1.geo_060_225_OCTANOL.log</t>
  </si>
  <si>
    <t>SET_328_BBB212_conf1.geo_135_120_OCTANOL.log</t>
  </si>
  <si>
    <t>SET_328_BBB212_conf1.geo_135_300_OCTANOL.log</t>
  </si>
  <si>
    <t>SET_328_BBB212_conf1.geo_225_060_OCTANOL.log</t>
  </si>
  <si>
    <t>SET_328_BBB212_conf1.geo_225_225_OCTANOL.log</t>
  </si>
  <si>
    <t>SET_328_BBB212_conf1.geo_300_135_OCTANOL.log</t>
  </si>
  <si>
    <t>SET_328_BBB212_conf1.geo_315_300_OCTANOL.log</t>
  </si>
  <si>
    <t>NO</t>
  </si>
  <si>
    <t>SI</t>
  </si>
  <si>
    <t>FALLA</t>
  </si>
  <si>
    <t>Sertraline</t>
  </si>
  <si>
    <t>3-methylpentane</t>
  </si>
  <si>
    <t>Phenylcyclidine</t>
  </si>
  <si>
    <t>Y-G16; 24959 (2-(thiazol-2-yl)ethan-1-amine)</t>
  </si>
  <si>
    <t>Diethylether</t>
  </si>
  <si>
    <t>Bisphenol A</t>
  </si>
  <si>
    <t>Alovudine</t>
  </si>
  <si>
    <t>Nalidixicacid</t>
  </si>
  <si>
    <t>Ribavirin</t>
  </si>
  <si>
    <t>Granisetron</t>
  </si>
  <si>
    <t>Zalcitabine</t>
  </si>
  <si>
    <t>Gen-47; Y-G20, 2-(3,8a-dihydroimidazo[1,2-a]pyridin-2-yl)ethan-1-amine</t>
  </si>
  <si>
    <t>LOG P EXP</t>
  </si>
  <si>
    <t>idem 1</t>
  </si>
  <si>
    <t>idem 2</t>
  </si>
  <si>
    <t>LOG P MP2 TONI</t>
  </si>
  <si>
    <t>LOG P B3LYP WILL</t>
  </si>
  <si>
    <t>DIFFERENCE TONI</t>
  </si>
  <si>
    <t>DIFFERENCE 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</si>
</sst>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0" borderId="0" xfId="0" applyNumberFormat="1" applyFont="1" applyFill="1" applyAlignment="1">
      <alignment horizontal="center"/>
    </xf>
    <xf numFmtId="164" fontId="2" fillId="11" borderId="0" xfId="0" applyNumberFormat="1" applyFont="1" applyFill="1" applyAlignment="1">
      <alignment horizontal="center"/>
    </xf>
    <xf numFmtId="164" fontId="4" fillId="10" borderId="0" xfId="0" applyNumberFormat="1" applyFont="1" applyFill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2" fontId="4" fillId="10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7" fontId="2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ED8-8432-5E4D-B0AD-CC7DDA65C636}">
  <dimension ref="A1:G13"/>
  <sheetViews>
    <sheetView workbookViewId="0">
      <selection activeCell="E13" sqref="E13"/>
    </sheetView>
  </sheetViews>
  <sheetFormatPr baseColWidth="10" defaultRowHeight="16" x14ac:dyDescent="0.2"/>
  <cols>
    <col min="2" max="2" width="68.6640625" bestFit="1" customWidth="1"/>
    <col min="3" max="3" width="11.6640625" bestFit="1" customWidth="1"/>
    <col min="4" max="4" width="17.6640625" bestFit="1" customWidth="1"/>
    <col min="5" max="5" width="19.5" bestFit="1" customWidth="1"/>
    <col min="6" max="7" width="19.33203125" bestFit="1" customWidth="1"/>
  </cols>
  <sheetData>
    <row r="1" spans="1:7" ht="17" thickBot="1" x14ac:dyDescent="0.25">
      <c r="C1" s="37" t="s">
        <v>129</v>
      </c>
      <c r="D1" s="37" t="s">
        <v>132</v>
      </c>
      <c r="E1" s="37" t="s">
        <v>133</v>
      </c>
      <c r="F1" s="37" t="s">
        <v>134</v>
      </c>
      <c r="G1" s="37" t="s">
        <v>135</v>
      </c>
    </row>
    <row r="2" spans="1:7" x14ac:dyDescent="0.2">
      <c r="A2" s="29">
        <v>2</v>
      </c>
      <c r="B2" s="38" t="s">
        <v>117</v>
      </c>
      <c r="C2" s="39">
        <f>+'BBB 2 Sertraline LogP'!C13</f>
        <v>5.51</v>
      </c>
      <c r="D2" s="39">
        <f>+'BBB 2 Sertraline LogP'!C12</f>
        <v>6.2133555697365557</v>
      </c>
      <c r="E2" s="39"/>
      <c r="F2" s="42">
        <f>C2-D2</f>
        <v>-0.70335556973655589</v>
      </c>
      <c r="G2" s="39">
        <f>C2-E2</f>
        <v>5.51</v>
      </c>
    </row>
    <row r="3" spans="1:7" x14ac:dyDescent="0.2">
      <c r="A3" s="30">
        <v>23</v>
      </c>
      <c r="B3" s="38" t="s">
        <v>118</v>
      </c>
      <c r="C3" s="39">
        <f>+'BBB 23 3-methylpentane LogP'!C21</f>
        <v>3.6</v>
      </c>
      <c r="D3" s="39">
        <f>+'BBB 23 3-methylpentane LogP'!C20</f>
        <v>1.4541589153418997</v>
      </c>
      <c r="E3" s="39">
        <v>2.35</v>
      </c>
      <c r="F3" s="39">
        <f t="shared" ref="F3:F13" si="0">C3-D3</f>
        <v>2.1458410846581004</v>
      </c>
      <c r="G3" s="39">
        <f t="shared" ref="G3:G13" si="1">C3-E3</f>
        <v>1.25</v>
      </c>
    </row>
    <row r="4" spans="1:7" x14ac:dyDescent="0.2">
      <c r="A4" s="31">
        <v>65</v>
      </c>
      <c r="B4" s="40" t="s">
        <v>119</v>
      </c>
      <c r="C4" s="39">
        <f>+'BBB 65 Phenylcyclidine LogP'!C11</f>
        <v>4.6900000000000004</v>
      </c>
      <c r="D4" s="39">
        <f>+'BBB 65 Phenylcyclidine LogP'!C10</f>
        <v>5.7450929113211666</v>
      </c>
      <c r="E4" s="39"/>
      <c r="F4" s="42">
        <f t="shared" si="0"/>
        <v>-1.0550929113211662</v>
      </c>
      <c r="G4" s="39">
        <f t="shared" si="1"/>
        <v>4.6900000000000004</v>
      </c>
    </row>
    <row r="5" spans="1:7" x14ac:dyDescent="0.2">
      <c r="A5" s="32">
        <v>87</v>
      </c>
      <c r="B5" s="38" t="s">
        <v>120</v>
      </c>
      <c r="C5" s="39">
        <f>+'BBB 87 Y-G16 LogP'!C19</f>
        <v>0.16</v>
      </c>
      <c r="D5" s="39">
        <f>+'BBB 87 Y-G16 LogP'!C18</f>
        <v>0.22303448475040766</v>
      </c>
      <c r="E5" s="39">
        <v>0.39</v>
      </c>
      <c r="F5" s="42">
        <f t="shared" si="0"/>
        <v>-6.3034484750407654E-2</v>
      </c>
      <c r="G5" s="42">
        <f t="shared" si="1"/>
        <v>-0.23</v>
      </c>
    </row>
    <row r="6" spans="1:7" x14ac:dyDescent="0.2">
      <c r="A6" s="32">
        <v>181</v>
      </c>
      <c r="B6" s="41" t="s">
        <v>121</v>
      </c>
      <c r="C6" s="39">
        <f>+'BBB 181 Diethylether LogP'!C17</f>
        <v>0.89</v>
      </c>
      <c r="D6" s="39">
        <f>+'BBB 181 Diethylether LogP'!C16</f>
        <v>1.2405885917765094</v>
      </c>
      <c r="E6" s="39">
        <v>1.31</v>
      </c>
      <c r="F6" s="42">
        <f t="shared" si="0"/>
        <v>-0.35058859177650936</v>
      </c>
      <c r="G6" s="42">
        <f t="shared" si="1"/>
        <v>-0.42000000000000004</v>
      </c>
    </row>
    <row r="7" spans="1:7" x14ac:dyDescent="0.2">
      <c r="A7" s="33">
        <v>212</v>
      </c>
      <c r="B7" s="38" t="s">
        <v>122</v>
      </c>
      <c r="C7" s="39">
        <f>+'BBB 212 Bisphenol A LogP'!C23</f>
        <v>3.32</v>
      </c>
      <c r="D7" s="39">
        <f>+'BBB 212 Bisphenol A LogP'!C22</f>
        <v>1.8986678344493282</v>
      </c>
      <c r="E7" s="39"/>
      <c r="F7" s="39">
        <f t="shared" si="0"/>
        <v>1.4213321655506717</v>
      </c>
      <c r="G7" s="39">
        <f t="shared" si="1"/>
        <v>3.32</v>
      </c>
    </row>
    <row r="8" spans="1:7" x14ac:dyDescent="0.2">
      <c r="A8" s="34">
        <v>277</v>
      </c>
      <c r="B8" s="38" t="s">
        <v>123</v>
      </c>
      <c r="C8" s="39">
        <f>+'BBB 277 Alovudine LogP'!C11</f>
        <v>-0.28000000000000003</v>
      </c>
      <c r="D8" s="39">
        <f>+'BBB 277 Alovudine LogP'!C10</f>
        <v>-1.8745610231268524</v>
      </c>
      <c r="E8" s="39"/>
      <c r="F8" s="39">
        <f t="shared" si="0"/>
        <v>1.5945610231268523</v>
      </c>
      <c r="G8" s="39">
        <f t="shared" si="1"/>
        <v>-0.28000000000000003</v>
      </c>
    </row>
    <row r="9" spans="1:7" x14ac:dyDescent="0.2">
      <c r="A9" s="34">
        <v>282</v>
      </c>
      <c r="B9" s="38" t="s">
        <v>124</v>
      </c>
      <c r="C9" s="39">
        <f>+'BBB 282 Nalidixic Acid LogP'!C11</f>
        <v>1.59</v>
      </c>
      <c r="D9" s="39">
        <f>+'BBB 282 Nalidixic Acid LogP'!C10</f>
        <v>0.31068183011783246</v>
      </c>
      <c r="E9" s="39">
        <v>0.5</v>
      </c>
      <c r="F9" s="39">
        <f t="shared" si="0"/>
        <v>1.2793181698821676</v>
      </c>
      <c r="G9" s="42">
        <f t="shared" si="1"/>
        <v>1.0900000000000001</v>
      </c>
    </row>
    <row r="10" spans="1:7" x14ac:dyDescent="0.2">
      <c r="A10" s="34">
        <v>285</v>
      </c>
      <c r="B10" s="38" t="s">
        <v>125</v>
      </c>
      <c r="C10" s="39">
        <f>+'BBB 285 Ribavirin LogP'!C15</f>
        <v>-1.85</v>
      </c>
      <c r="D10" s="39">
        <f>+'BBB 285 Ribavirin LogP'!C14</f>
        <v>-3.4299558127149394</v>
      </c>
      <c r="E10" s="39"/>
      <c r="F10" s="39">
        <f t="shared" si="0"/>
        <v>1.5799558127149393</v>
      </c>
      <c r="G10" s="39">
        <f t="shared" si="1"/>
        <v>-1.85</v>
      </c>
    </row>
    <row r="11" spans="1:7" x14ac:dyDescent="0.2">
      <c r="A11" s="34">
        <v>286</v>
      </c>
      <c r="B11" s="38" t="s">
        <v>126</v>
      </c>
      <c r="C11" s="39">
        <f>+'BBB 286 Granisetron LogP'!C11</f>
        <v>2.6</v>
      </c>
      <c r="D11" s="39">
        <f>+'BBB 286 Granisetron LogP'!C10</f>
        <v>3.3791482187705588</v>
      </c>
      <c r="E11" s="39">
        <v>4.67</v>
      </c>
      <c r="F11" s="42">
        <f t="shared" si="0"/>
        <v>-0.77914821877055873</v>
      </c>
      <c r="G11" s="39">
        <f t="shared" si="1"/>
        <v>-2.0699999999999998</v>
      </c>
    </row>
    <row r="12" spans="1:7" x14ac:dyDescent="0.2">
      <c r="A12" s="35">
        <v>304</v>
      </c>
      <c r="B12" s="38" t="s">
        <v>127</v>
      </c>
      <c r="C12" s="39">
        <f>+'BBB 304 Zalcitabine LogP'!C11</f>
        <v>-1.3</v>
      </c>
      <c r="D12" s="39">
        <f>+'BBB 304 Zalcitabine LogP'!C10</f>
        <v>-2.6253149041695258</v>
      </c>
      <c r="E12" s="39"/>
      <c r="F12" s="39">
        <f t="shared" si="0"/>
        <v>1.3253149041695258</v>
      </c>
      <c r="G12" s="39">
        <f t="shared" si="1"/>
        <v>-1.3</v>
      </c>
    </row>
    <row r="13" spans="1:7" ht="17" thickBot="1" x14ac:dyDescent="0.25">
      <c r="A13" s="36">
        <v>315</v>
      </c>
      <c r="B13" s="38" t="s">
        <v>128</v>
      </c>
      <c r="C13" s="39">
        <f>+'BBB 315 Y-G20 LogP'!C17</f>
        <v>0.59</v>
      </c>
      <c r="D13" s="39">
        <f>+'BBB 315 Y-G20 LogP'!C16</f>
        <v>0.15772029793189063</v>
      </c>
      <c r="E13" s="39">
        <v>0.35</v>
      </c>
      <c r="F13" s="42">
        <f t="shared" si="0"/>
        <v>0.43227970206810934</v>
      </c>
      <c r="G13" s="42">
        <f t="shared" si="1"/>
        <v>0.24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1712-20C8-7A4C-8638-C0730F90593B}">
  <dimension ref="A1:M12"/>
  <sheetViews>
    <sheetView topLeftCell="B1" workbookViewId="0">
      <selection activeCell="E3" sqref="E3:J3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7.6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"/>
      <c r="C3" s="5" t="s">
        <v>68</v>
      </c>
      <c r="D3" s="5" t="s">
        <v>0</v>
      </c>
      <c r="E3" s="6">
        <v>-797.59969420000004</v>
      </c>
      <c r="F3" s="6">
        <v>0.228632</v>
      </c>
      <c r="G3" s="6">
        <v>-799.74207716800004</v>
      </c>
      <c r="H3" s="6">
        <v>-799.72078883899997</v>
      </c>
      <c r="I3" s="6">
        <f t="shared" ref="I3:I6" si="0">(G3-H3)</f>
        <v>-2.1288329000071826E-2</v>
      </c>
      <c r="J3" s="7">
        <f t="shared" ref="J3:J6" si="1">(E3+F3+I3)*627.507 + (1.89)</f>
        <v>-500367.39170340123</v>
      </c>
      <c r="K3" s="7">
        <f>(J3-MIN(J$3:J$4))</f>
        <v>0</v>
      </c>
      <c r="L3" s="7">
        <f t="shared" ref="L3:L6" si="2">EXP(-K3*1000/(1.987*298))</f>
        <v>1</v>
      </c>
      <c r="M3" s="8">
        <f>(L3/(SUM(L$3:L$4))*100)</f>
        <v>51.745524023037468</v>
      </c>
    </row>
    <row r="4" spans="1:13" x14ac:dyDescent="0.2">
      <c r="A4" s="25" t="s">
        <v>114</v>
      </c>
      <c r="B4" s="2"/>
      <c r="C4" s="5" t="s">
        <v>69</v>
      </c>
      <c r="D4" s="5" t="s">
        <v>0</v>
      </c>
      <c r="E4" s="6">
        <v>-797.59969899999999</v>
      </c>
      <c r="F4" s="6">
        <v>0.22870199999999999</v>
      </c>
      <c r="G4" s="6">
        <v>-799.742066798</v>
      </c>
      <c r="H4" s="6">
        <v>-799.72077918000002</v>
      </c>
      <c r="I4" s="6">
        <f t="shared" si="0"/>
        <v>-2.1287617999973918E-2</v>
      </c>
      <c r="J4" s="7">
        <f t="shared" si="1"/>
        <v>-500367.35034378723</v>
      </c>
      <c r="K4" s="7">
        <f>(J4-MIN(J$3:J$4))</f>
        <v>4.1359613998793066E-2</v>
      </c>
      <c r="L4" s="7">
        <f t="shared" si="2"/>
        <v>0.93253429911115227</v>
      </c>
      <c r="M4" s="8">
        <f>(L4/(SUM(L$3:L$4))*100)</f>
        <v>48.254475976962539</v>
      </c>
    </row>
    <row r="5" spans="1:13" x14ac:dyDescent="0.2">
      <c r="A5" s="25" t="s">
        <v>114</v>
      </c>
      <c r="B5" s="2"/>
      <c r="C5" s="10" t="s">
        <v>70</v>
      </c>
      <c r="D5" s="10" t="s">
        <v>17</v>
      </c>
      <c r="E5" s="23">
        <v>-797.59987620000004</v>
      </c>
      <c r="F5" s="23">
        <v>0.228857</v>
      </c>
      <c r="G5" s="23">
        <v>-799.74316428500003</v>
      </c>
      <c r="H5" s="23">
        <v>-799.72110588099997</v>
      </c>
      <c r="I5" s="23">
        <f t="shared" si="0"/>
        <v>-2.2058404000063092E-2</v>
      </c>
      <c r="J5" s="13">
        <f t="shared" si="1"/>
        <v>-500367.84794805327</v>
      </c>
      <c r="K5" s="13">
        <f>(J5-MIN(J$5:J$6))</f>
        <v>0</v>
      </c>
      <c r="L5" s="13">
        <f t="shared" si="2"/>
        <v>1</v>
      </c>
      <c r="M5" s="14">
        <f>(L5/(SUM(L$5:L$6))*100)</f>
        <v>54.490911946002875</v>
      </c>
    </row>
    <row r="6" spans="1:13" x14ac:dyDescent="0.2">
      <c r="A6" s="25" t="s">
        <v>114</v>
      </c>
      <c r="B6" s="2"/>
      <c r="C6" s="10" t="s">
        <v>71</v>
      </c>
      <c r="D6" s="10" t="s">
        <v>17</v>
      </c>
      <c r="E6" s="23">
        <v>-797.59984080000004</v>
      </c>
      <c r="F6" s="23">
        <v>0.22899600000000001</v>
      </c>
      <c r="G6" s="23">
        <v>-799.74318931799996</v>
      </c>
      <c r="H6" s="23">
        <v>-799.72112647999995</v>
      </c>
      <c r="I6" s="23">
        <f t="shared" si="0"/>
        <v>-2.2062838000010743E-2</v>
      </c>
      <c r="J6" s="13">
        <f t="shared" si="1"/>
        <v>-500367.74129319843</v>
      </c>
      <c r="K6" s="13">
        <f>(J6-MIN(J$5:J$6))</f>
        <v>0.106654854840599</v>
      </c>
      <c r="L6" s="13">
        <f t="shared" si="2"/>
        <v>0.83516840568008499</v>
      </c>
      <c r="M6" s="14">
        <f>(L6/(SUM(L$5:L$6))*100)</f>
        <v>45.509088053997118</v>
      </c>
    </row>
    <row r="8" spans="1:13" x14ac:dyDescent="0.2">
      <c r="B8" s="1" t="s">
        <v>0</v>
      </c>
      <c r="C8" s="17">
        <f>(MIN(J3:J4))-(1.987*298*LN(SUM(L3:L4)))/1000</f>
        <v>-500367.78181510605</v>
      </c>
    </row>
    <row r="9" spans="1:13" x14ac:dyDescent="0.2">
      <c r="B9" s="16" t="s">
        <v>17</v>
      </c>
      <c r="C9" s="18">
        <f>(MIN(J5:J6))-(1.987*298*LN(SUM(L5:L6)))/1000</f>
        <v>-500368.20744921331</v>
      </c>
    </row>
    <row r="10" spans="1:13" x14ac:dyDescent="0.2">
      <c r="B10" s="15" t="s">
        <v>21</v>
      </c>
      <c r="C10" s="19">
        <f>(C8-C9)/1.37</f>
        <v>0.31068183011783246</v>
      </c>
    </row>
    <row r="11" spans="1:13" x14ac:dyDescent="0.2">
      <c r="B11" s="20" t="s">
        <v>22</v>
      </c>
      <c r="C11" s="9">
        <v>1.59</v>
      </c>
    </row>
    <row r="12" spans="1:13" x14ac:dyDescent="0.2">
      <c r="B12" s="21" t="s">
        <v>23</v>
      </c>
      <c r="C12" s="22">
        <f>C10-C11</f>
        <v>-1.2793181698821676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DCD-118B-384C-A970-1BDE9EC07E5C}">
  <dimension ref="A1:M16"/>
  <sheetViews>
    <sheetView topLeftCell="B1" workbookViewId="0">
      <selection activeCell="E6" sqref="E6:J6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3.332031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"/>
      <c r="C3" s="5" t="s">
        <v>72</v>
      </c>
      <c r="D3" s="5" t="s">
        <v>0</v>
      </c>
      <c r="E3" s="6">
        <v>-904.93062010000006</v>
      </c>
      <c r="F3" s="6">
        <v>0.22589500000000001</v>
      </c>
      <c r="G3" s="6">
        <v>-907.175278768</v>
      </c>
      <c r="H3" s="6">
        <v>-907.13920889500002</v>
      </c>
      <c r="I3" s="6">
        <f>(G3-H3)</f>
        <v>-3.6069872999973995E-2</v>
      </c>
      <c r="J3" s="7">
        <f t="shared" ref="J3:J4" si="0">(E3+F3+I3)*627.507 + (1.89)</f>
        <v>-567729.29203112226</v>
      </c>
      <c r="K3" s="7">
        <f>(J3-MIN(J$3:J$6))</f>
        <v>1.2877177823102102</v>
      </c>
      <c r="L3" s="7">
        <f t="shared" ref="L3:L4" si="1">EXP(-K3*1000/(1.987*298))</f>
        <v>0.11363813990097793</v>
      </c>
      <c r="M3" s="8">
        <f>(L3/(SUM(L$3:L$6))*100)</f>
        <v>6.0739002578750583</v>
      </c>
    </row>
    <row r="4" spans="1:13" x14ac:dyDescent="0.2">
      <c r="A4" s="25" t="s">
        <v>114</v>
      </c>
      <c r="B4" s="2"/>
      <c r="C4" s="5" t="s">
        <v>73</v>
      </c>
      <c r="D4" s="5" t="s">
        <v>0</v>
      </c>
      <c r="E4" s="6">
        <v>-904.92884030000005</v>
      </c>
      <c r="F4" s="6">
        <v>0.22583300000000001</v>
      </c>
      <c r="G4" s="6">
        <v>-907.17683521799995</v>
      </c>
      <c r="H4" s="6">
        <v>-907.13858736099996</v>
      </c>
      <c r="I4" s="6">
        <f t="shared" ref="I4:I10" si="2">(G4-H4)</f>
        <v>-3.8247856999987562E-2</v>
      </c>
      <c r="J4" s="7">
        <f t="shared" si="0"/>
        <v>-567729.5807998036</v>
      </c>
      <c r="K4" s="7">
        <f>(J4-MIN(J$3:J$6))</f>
        <v>0.9989491009619087</v>
      </c>
      <c r="L4" s="7">
        <f t="shared" si="1"/>
        <v>0.18506374368963033</v>
      </c>
      <c r="M4" s="8">
        <f>(L4/(SUM(L$3:L$6))*100)</f>
        <v>9.8915621242942926</v>
      </c>
    </row>
    <row r="5" spans="1:13" x14ac:dyDescent="0.2">
      <c r="A5" s="25" t="s">
        <v>114</v>
      </c>
      <c r="B5" s="2"/>
      <c r="C5" s="5" t="s">
        <v>74</v>
      </c>
      <c r="D5" s="5" t="s">
        <v>0</v>
      </c>
      <c r="E5" s="6">
        <v>-904.92451779999999</v>
      </c>
      <c r="F5" s="6">
        <v>0.225299</v>
      </c>
      <c r="G5" s="6">
        <v>-907.17491359600001</v>
      </c>
      <c r="H5" s="6">
        <v>-907.13181205700005</v>
      </c>
      <c r="I5" s="6">
        <f t="shared" si="2"/>
        <v>-4.3101538999962941E-2</v>
      </c>
      <c r="J5" s="7">
        <f>(E5+F5+I5)*627.507 + (1.89)</f>
        <v>-567730.24920896476</v>
      </c>
      <c r="K5" s="7">
        <f>(J5-MIN(J$3:J$6))</f>
        <v>0.33053993980865926</v>
      </c>
      <c r="L5" s="7">
        <f>EXP(-K5*1000/(1.987*298))</f>
        <v>0.57222347040481625</v>
      </c>
      <c r="M5" s="8">
        <f>(L5/(SUM(L$3:L$6))*100)</f>
        <v>30.585050824332122</v>
      </c>
    </row>
    <row r="6" spans="1:13" x14ac:dyDescent="0.2">
      <c r="A6" s="25" t="s">
        <v>114</v>
      </c>
      <c r="B6" s="2"/>
      <c r="C6" s="5" t="s">
        <v>75</v>
      </c>
      <c r="D6" s="5" t="s">
        <v>0</v>
      </c>
      <c r="E6" s="6">
        <v>-904.93324050000001</v>
      </c>
      <c r="F6" s="6">
        <v>0.22644600000000001</v>
      </c>
      <c r="G6" s="6">
        <v>-907.17778598300004</v>
      </c>
      <c r="H6" s="6">
        <v>-907.14173339299998</v>
      </c>
      <c r="I6" s="6">
        <f t="shared" si="2"/>
        <v>-3.6052590000053897E-2</v>
      </c>
      <c r="J6" s="7">
        <f t="shared" ref="J6:J10" si="3">(E6+F6+I6)*627.507 + (1.89)</f>
        <v>-567730.57974890457</v>
      </c>
      <c r="K6" s="7">
        <f>(J6-MIN(J$3:J$6))</f>
        <v>0</v>
      </c>
      <c r="L6" s="7">
        <f t="shared" ref="L6:L10" si="4">EXP(-K6*1000/(1.987*298))</f>
        <v>1</v>
      </c>
      <c r="M6" s="8">
        <f>(L6/(SUM(L$3:L$6))*100)</f>
        <v>53.449486793498522</v>
      </c>
    </row>
    <row r="7" spans="1:13" x14ac:dyDescent="0.2">
      <c r="A7" s="27" t="s">
        <v>114</v>
      </c>
      <c r="B7" s="2"/>
      <c r="C7" s="10" t="s">
        <v>76</v>
      </c>
      <c r="D7" s="10" t="s">
        <v>17</v>
      </c>
      <c r="E7" s="23">
        <v>-904.93188669999995</v>
      </c>
      <c r="F7" s="23">
        <v>0.226217</v>
      </c>
      <c r="G7" s="23">
        <v>-907.16872473399997</v>
      </c>
      <c r="H7" s="23">
        <v>-907.14020384299999</v>
      </c>
      <c r="I7" s="23">
        <f t="shared" si="2"/>
        <v>-2.8520890999971016E-2</v>
      </c>
      <c r="J7" s="13">
        <f t="shared" si="3"/>
        <v>-567725.1477351865</v>
      </c>
      <c r="K7" s="13">
        <f>(J7-MIN(J$7:J$10))</f>
        <v>0.96116439462639391</v>
      </c>
      <c r="L7" s="13">
        <f t="shared" si="4"/>
        <v>0.19725794979946012</v>
      </c>
      <c r="M7" s="14">
        <f>(L7/(SUM(L$7:L$10))*100)</f>
        <v>15.500438506173566</v>
      </c>
    </row>
    <row r="8" spans="1:13" x14ac:dyDescent="0.2">
      <c r="A8" s="27" t="s">
        <v>114</v>
      </c>
      <c r="B8" s="2"/>
      <c r="C8" s="10" t="s">
        <v>77</v>
      </c>
      <c r="D8" s="10" t="s">
        <v>17</v>
      </c>
      <c r="E8" s="23">
        <v>-904.92970800000001</v>
      </c>
      <c r="F8" s="23">
        <v>0.226744</v>
      </c>
      <c r="G8" s="23">
        <v>-907.16973428899996</v>
      </c>
      <c r="H8" s="23">
        <v>-907.13960812599998</v>
      </c>
      <c r="I8" s="23">
        <f t="shared" si="2"/>
        <v>-3.0126162999977169E-2</v>
      </c>
      <c r="J8" s="13">
        <f t="shared" si="3"/>
        <v>-567724.45720891352</v>
      </c>
      <c r="K8" s="13">
        <f>(J8-MIN(J$7:J$10))</f>
        <v>1.6516906676115468</v>
      </c>
      <c r="L8" s="13">
        <f t="shared" si="4"/>
        <v>6.1456582778122083E-2</v>
      </c>
      <c r="M8" s="14">
        <f>(L8/(SUM(L$7:L$10))*100)</f>
        <v>4.8292298643491929</v>
      </c>
    </row>
    <row r="9" spans="1:13" x14ac:dyDescent="0.2">
      <c r="A9" s="27" t="s">
        <v>114</v>
      </c>
      <c r="B9" s="2"/>
      <c r="C9" s="10" t="s">
        <v>78</v>
      </c>
      <c r="D9" s="10" t="s">
        <v>17</v>
      </c>
      <c r="E9" s="23">
        <v>-904.92492619999996</v>
      </c>
      <c r="F9" s="23">
        <v>0.22614000000000001</v>
      </c>
      <c r="G9" s="23">
        <v>-907.16529459599997</v>
      </c>
      <c r="H9" s="23">
        <v>-907.13239452799996</v>
      </c>
      <c r="I9" s="23">
        <f t="shared" si="2"/>
        <v>-3.2900068000003557E-2</v>
      </c>
      <c r="J9" s="13">
        <f t="shared" si="3"/>
        <v>-567723.57625497377</v>
      </c>
      <c r="K9" s="13">
        <f>(J9-MIN(J$7:J$10))</f>
        <v>2.5326446073595434</v>
      </c>
      <c r="L9" s="13">
        <f t="shared" si="4"/>
        <v>1.3881398956197262E-2</v>
      </c>
      <c r="M9" s="14">
        <f>(L9/(SUM(L$7:L$10))*100)</f>
        <v>1.0907939128382165</v>
      </c>
    </row>
    <row r="10" spans="1:13" x14ac:dyDescent="0.2">
      <c r="A10" s="27" t="s">
        <v>114</v>
      </c>
      <c r="B10" s="2"/>
      <c r="C10" s="10" t="s">
        <v>79</v>
      </c>
      <c r="D10" s="10" t="s">
        <v>17</v>
      </c>
      <c r="E10" s="23">
        <v>-904.93463280000003</v>
      </c>
      <c r="F10" s="23">
        <v>0.22693199999999999</v>
      </c>
      <c r="G10" s="23">
        <v>-907.171214308</v>
      </c>
      <c r="H10" s="23">
        <v>-907.14319279799997</v>
      </c>
      <c r="I10" s="23">
        <f t="shared" si="2"/>
        <v>-2.8021510000030503E-2</v>
      </c>
      <c r="J10" s="13">
        <f t="shared" si="3"/>
        <v>-567726.10889958113</v>
      </c>
      <c r="K10" s="13">
        <f>(J10-MIN(J$7:J$10))</f>
        <v>0</v>
      </c>
      <c r="L10" s="13">
        <f t="shared" si="4"/>
        <v>1</v>
      </c>
      <c r="M10" s="14">
        <f>(L10/(SUM(L$7:L$10))*100)</f>
        <v>78.579537716639038</v>
      </c>
    </row>
    <row r="12" spans="1:13" x14ac:dyDescent="0.2">
      <c r="B12" s="1" t="s">
        <v>0</v>
      </c>
      <c r="C12" s="17">
        <f>(MIN(J3:J6))-(1.987*298*LN(SUM(L3:L6)))/1000</f>
        <v>-567730.95067626005</v>
      </c>
    </row>
    <row r="13" spans="1:13" x14ac:dyDescent="0.2">
      <c r="B13" s="16" t="s">
        <v>17</v>
      </c>
      <c r="C13" s="18">
        <f>(MIN(J7:J10))-(1.987*298*LN(SUM(L7:L10)))/1000</f>
        <v>-567726.25163679663</v>
      </c>
    </row>
    <row r="14" spans="1:13" x14ac:dyDescent="0.2">
      <c r="B14" s="15" t="s">
        <v>21</v>
      </c>
      <c r="C14" s="19">
        <f>(C12-C13)/1.37</f>
        <v>-3.4299558127149394</v>
      </c>
    </row>
    <row r="15" spans="1:13" x14ac:dyDescent="0.2">
      <c r="B15" s="20" t="s">
        <v>22</v>
      </c>
      <c r="C15" s="9">
        <v>-1.85</v>
      </c>
    </row>
    <row r="16" spans="1:13" x14ac:dyDescent="0.2">
      <c r="B16" s="21" t="s">
        <v>23</v>
      </c>
      <c r="C16" s="22">
        <f>C14-C15</f>
        <v>-1.5799558127149393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715F-1C14-464D-86DE-A96FB16AED1B}">
  <dimension ref="A1:M12"/>
  <sheetViews>
    <sheetView topLeftCell="C1" workbookViewId="0">
      <selection activeCell="E3" sqref="E3:J3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7.6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6" t="s">
        <v>115</v>
      </c>
      <c r="B3" s="2"/>
      <c r="C3" s="5" t="s">
        <v>80</v>
      </c>
      <c r="D3" s="5" t="s">
        <v>0</v>
      </c>
      <c r="E3" s="6">
        <v>-991.80381720000003</v>
      </c>
      <c r="F3" s="6">
        <v>0.40742600000000001</v>
      </c>
      <c r="G3" s="6">
        <v>-994.61769403400001</v>
      </c>
      <c r="H3" s="6">
        <v>-994.60432104100005</v>
      </c>
      <c r="I3" s="44">
        <f t="shared" ref="I3:I6" si="0">(G3-H3)</f>
        <v>-1.3372992999961753E-2</v>
      </c>
      <c r="J3" s="7">
        <f t="shared" ref="J3:J6" si="1">(E3+F3+I3)*627.507 + (1.89)</f>
        <v>-622114.67689945677</v>
      </c>
      <c r="K3" s="7">
        <f>(J3-MIN(J$3:J$4))</f>
        <v>0</v>
      </c>
      <c r="L3" s="7">
        <f t="shared" ref="L3:L6" si="2">EXP(-K3*1000/(1.987*298))</f>
        <v>1</v>
      </c>
      <c r="M3" s="8">
        <f>(L3/(SUM(L$3:L$4))*100)</f>
        <v>58.887214525547471</v>
      </c>
    </row>
    <row r="4" spans="1:13" x14ac:dyDescent="0.2">
      <c r="A4" s="25" t="s">
        <v>114</v>
      </c>
      <c r="B4" s="2"/>
      <c r="C4" s="5" t="s">
        <v>81</v>
      </c>
      <c r="D4" s="5" t="s">
        <v>0</v>
      </c>
      <c r="E4" s="6">
        <v>-991.80388189999996</v>
      </c>
      <c r="F4" s="6">
        <v>0.40782200000000002</v>
      </c>
      <c r="G4" s="6">
        <v>-994.61767583799997</v>
      </c>
      <c r="H4" s="6">
        <v>-994.60431059099994</v>
      </c>
      <c r="I4" s="44">
        <f t="shared" si="0"/>
        <v>-1.3365247000024283E-2</v>
      </c>
      <c r="J4" s="7">
        <f t="shared" si="1"/>
        <v>-622114.46414571849</v>
      </c>
      <c r="K4" s="7">
        <f>(J4-MIN(J$3:J$4))</f>
        <v>0.21275373827666044</v>
      </c>
      <c r="L4" s="7">
        <f t="shared" si="2"/>
        <v>0.69816149066817002</v>
      </c>
      <c r="M4" s="8">
        <f>(L4/(SUM(L$3:L$4))*100)</f>
        <v>41.112785474452537</v>
      </c>
    </row>
    <row r="5" spans="1:13" x14ac:dyDescent="0.2">
      <c r="A5" s="25" t="s">
        <v>114</v>
      </c>
      <c r="B5" s="2"/>
      <c r="C5" s="10" t="s">
        <v>82</v>
      </c>
      <c r="D5" s="10" t="s">
        <v>17</v>
      </c>
      <c r="E5" s="23">
        <v>-991.80382329999998</v>
      </c>
      <c r="F5" s="23">
        <v>0.40776200000000001</v>
      </c>
      <c r="G5" s="23">
        <v>-994.62547337700005</v>
      </c>
      <c r="H5" s="23">
        <v>-994.60447413899999</v>
      </c>
      <c r="I5" s="23">
        <f t="shared" si="0"/>
        <v>-2.099923800005854E-2</v>
      </c>
      <c r="J5" s="13">
        <f t="shared" si="1"/>
        <v>-622119.2554070187</v>
      </c>
      <c r="K5" s="13">
        <f>(J5-MIN(J$5:J$6))</f>
        <v>0</v>
      </c>
      <c r="L5" s="13">
        <f t="shared" si="2"/>
        <v>1</v>
      </c>
      <c r="M5" s="14">
        <f>(L5/(SUM(L$5:L$6))*100)</f>
        <v>54.034325433710173</v>
      </c>
    </row>
    <row r="6" spans="1:13" x14ac:dyDescent="0.2">
      <c r="A6" s="28" t="s">
        <v>114</v>
      </c>
      <c r="B6" s="2"/>
      <c r="C6" s="10" t="s">
        <v>83</v>
      </c>
      <c r="D6" s="10" t="s">
        <v>17</v>
      </c>
      <c r="E6" s="23">
        <v>-991.80385939999996</v>
      </c>
      <c r="F6" s="23">
        <v>0.40790100000000001</v>
      </c>
      <c r="G6" s="23">
        <v>-994.62533118399995</v>
      </c>
      <c r="H6" s="23">
        <v>-994.60438165200003</v>
      </c>
      <c r="I6" s="23">
        <f t="shared" si="0"/>
        <v>-2.0949531999917781E-2</v>
      </c>
      <c r="J6" s="13">
        <f t="shared" si="1"/>
        <v>-622119.15964568534</v>
      </c>
      <c r="K6" s="13">
        <f>(J6-MIN(J$5:J$6))</f>
        <v>9.5761333359405398E-2</v>
      </c>
      <c r="L6" s="13">
        <f t="shared" si="2"/>
        <v>0.85067545855978088</v>
      </c>
      <c r="M6" s="14">
        <f>(L6/(SUM(L$5:L$6))*100)</f>
        <v>45.965674566289835</v>
      </c>
    </row>
    <row r="8" spans="1:13" x14ac:dyDescent="0.2">
      <c r="B8" s="1" t="s">
        <v>0</v>
      </c>
      <c r="C8" s="17">
        <f>(MIN(J3:J4))-(1.987*298*LN(SUM(L3:L4)))/1000</f>
        <v>-622114.99045752396</v>
      </c>
    </row>
    <row r="9" spans="1:13" x14ac:dyDescent="0.2">
      <c r="B9" s="16" t="s">
        <v>17</v>
      </c>
      <c r="C9" s="18">
        <f>(MIN(J5:J6))-(1.987*298*LN(SUM(L5:L6)))/1000</f>
        <v>-622119.61989058368</v>
      </c>
    </row>
    <row r="10" spans="1:13" x14ac:dyDescent="0.2">
      <c r="B10" s="15" t="s">
        <v>21</v>
      </c>
      <c r="C10" s="19">
        <f>(C8-C9)/1.37</f>
        <v>3.3791482187705588</v>
      </c>
    </row>
    <row r="11" spans="1:13" x14ac:dyDescent="0.2">
      <c r="B11" s="20" t="s">
        <v>22</v>
      </c>
      <c r="C11" s="9">
        <v>2.6</v>
      </c>
    </row>
    <row r="12" spans="1:13" x14ac:dyDescent="0.2">
      <c r="B12" s="21" t="s">
        <v>23</v>
      </c>
      <c r="C12" s="22">
        <f>C10-C11</f>
        <v>0.77914821877055873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8BE6-B203-904E-A142-063420D89225}">
  <dimension ref="A1:M12"/>
  <sheetViews>
    <sheetView topLeftCell="B1" workbookViewId="0">
      <selection activeCell="E4" sqref="E4:J4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7.6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"/>
      <c r="C3" s="5" t="s">
        <v>86</v>
      </c>
      <c r="D3" s="5" t="s">
        <v>0</v>
      </c>
      <c r="E3" s="6">
        <v>-738.78847810000002</v>
      </c>
      <c r="F3" s="6">
        <v>0.22991200000000001</v>
      </c>
      <c r="G3" s="6">
        <v>-740.74414883500003</v>
      </c>
      <c r="H3" s="6">
        <v>-740.71121743100002</v>
      </c>
      <c r="I3" s="6">
        <f t="shared" ref="I3:I6" si="0">(G3-H3)</f>
        <v>-3.2931404000009934E-2</v>
      </c>
      <c r="J3" s="7">
        <f t="shared" ref="J3:J6" si="1">(E3+F3+I3)*627.507 + (1.89)</f>
        <v>-463469.4448242425</v>
      </c>
      <c r="K3" s="7">
        <f>(J3-MIN(J$3:J$4))</f>
        <v>7.5357943016570061E-2</v>
      </c>
      <c r="L3" s="7">
        <f t="shared" ref="L3:L6" si="2">EXP(-K3*1000/(1.987*298))</f>
        <v>0.88049878100103707</v>
      </c>
      <c r="M3" s="8">
        <f>(L3/(SUM(L$3:L$4))*100)</f>
        <v>46.822619078345021</v>
      </c>
    </row>
    <row r="4" spans="1:13" x14ac:dyDescent="0.2">
      <c r="A4" s="25" t="s">
        <v>114</v>
      </c>
      <c r="B4" s="2"/>
      <c r="C4" s="5" t="s">
        <v>87</v>
      </c>
      <c r="D4" s="5" t="s">
        <v>0</v>
      </c>
      <c r="E4" s="6">
        <v>-738.78796609999995</v>
      </c>
      <c r="F4" s="6">
        <v>0.22949</v>
      </c>
      <c r="G4" s="6">
        <v>-740.74351986600004</v>
      </c>
      <c r="H4" s="6">
        <v>-740.71037837100005</v>
      </c>
      <c r="I4" s="6">
        <f t="shared" si="0"/>
        <v>-3.3141494999995302E-2</v>
      </c>
      <c r="J4" s="7">
        <f t="shared" si="1"/>
        <v>-463469.52018218552</v>
      </c>
      <c r="K4" s="7">
        <f>(J4-MIN(J$3:J$4))</f>
        <v>0</v>
      </c>
      <c r="L4" s="7">
        <f t="shared" si="2"/>
        <v>1</v>
      </c>
      <c r="M4" s="8">
        <f>(L4/(SUM(L$3:L$4))*100)</f>
        <v>53.177380921654979</v>
      </c>
    </row>
    <row r="5" spans="1:13" x14ac:dyDescent="0.2">
      <c r="A5" s="25" t="s">
        <v>114</v>
      </c>
      <c r="B5" s="2"/>
      <c r="C5" s="10" t="s">
        <v>84</v>
      </c>
      <c r="D5" s="10" t="s">
        <v>17</v>
      </c>
      <c r="E5" s="23">
        <v>-738.78933089999998</v>
      </c>
      <c r="F5" s="23">
        <v>0.23017299999999999</v>
      </c>
      <c r="G5" s="23">
        <v>-740.73923784999999</v>
      </c>
      <c r="H5" s="23">
        <v>-740.71246086899998</v>
      </c>
      <c r="I5" s="23">
        <f t="shared" si="0"/>
        <v>-2.6776981000011801E-2</v>
      </c>
      <c r="J5" s="13">
        <f t="shared" si="1"/>
        <v>-463465.95423937158</v>
      </c>
      <c r="K5" s="13">
        <f>(J5-MIN(J$5:J$6))</f>
        <v>0</v>
      </c>
      <c r="L5" s="13">
        <f t="shared" si="2"/>
        <v>1</v>
      </c>
      <c r="M5" s="14">
        <f>(L5/(SUM(L$5:L$6))*100)</f>
        <v>56.010849067256906</v>
      </c>
    </row>
    <row r="6" spans="1:13" x14ac:dyDescent="0.2">
      <c r="A6" s="25" t="s">
        <v>114</v>
      </c>
      <c r="B6" s="2"/>
      <c r="C6" s="10" t="s">
        <v>85</v>
      </c>
      <c r="D6" s="10" t="s">
        <v>17</v>
      </c>
      <c r="E6" s="23">
        <v>-738.78848489999996</v>
      </c>
      <c r="F6" s="23">
        <v>0.22969500000000001</v>
      </c>
      <c r="G6" s="23">
        <v>-740.73842346499998</v>
      </c>
      <c r="H6" s="23">
        <v>-740.71150646399997</v>
      </c>
      <c r="I6" s="23">
        <f t="shared" si="0"/>
        <v>-2.6917001000015262E-2</v>
      </c>
      <c r="J6" s="13">
        <f t="shared" si="1"/>
        <v>-463465.81118032575</v>
      </c>
      <c r="K6" s="13">
        <f>(J6-MIN(J$5:J$6))</f>
        <v>0.14305904583306983</v>
      </c>
      <c r="L6" s="13">
        <f t="shared" si="2"/>
        <v>0.78536840032404531</v>
      </c>
      <c r="M6" s="14">
        <f>(L6/(SUM(L$5:L$6))*100)</f>
        <v>43.989150932743101</v>
      </c>
    </row>
    <row r="8" spans="1:13" x14ac:dyDescent="0.2">
      <c r="B8" s="1" t="s">
        <v>0</v>
      </c>
      <c r="C8" s="17">
        <f>(MIN(J3:J4))-(1.987*298*LN(SUM(L3:L4)))/1000</f>
        <v>-463469.89413169317</v>
      </c>
    </row>
    <row r="9" spans="1:13" x14ac:dyDescent="0.2">
      <c r="B9" s="16" t="s">
        <v>17</v>
      </c>
      <c r="C9" s="18">
        <f>(MIN(J5:J6))-(1.987*298*LN(SUM(L5:L6)))/1000</f>
        <v>-463466.29745027446</v>
      </c>
    </row>
    <row r="10" spans="1:13" x14ac:dyDescent="0.2">
      <c r="B10" s="15" t="s">
        <v>21</v>
      </c>
      <c r="C10" s="19">
        <f>(C8-C9)/1.37</f>
        <v>-2.6253149041695258</v>
      </c>
    </row>
    <row r="11" spans="1:13" x14ac:dyDescent="0.2">
      <c r="B11" s="20" t="s">
        <v>22</v>
      </c>
      <c r="C11" s="9">
        <v>-1.3</v>
      </c>
    </row>
    <row r="12" spans="1:13" x14ac:dyDescent="0.2">
      <c r="B12" s="21" t="s">
        <v>23</v>
      </c>
      <c r="C12" s="22">
        <f>C10-C11</f>
        <v>-1.3253149041695258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2BDF-E1BA-1043-AACA-E09950661FCE}">
  <dimension ref="A1:M18"/>
  <sheetViews>
    <sheetView tabSelected="1" topLeftCell="B1" workbookViewId="0">
      <selection activeCell="E4" sqref="E4:J4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3.332031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"/>
      <c r="C3" s="5" t="s">
        <v>88</v>
      </c>
      <c r="D3" s="5" t="s">
        <v>0</v>
      </c>
      <c r="E3" s="6">
        <v>-512.37837560000003</v>
      </c>
      <c r="F3" s="6">
        <v>0.19305800000000001</v>
      </c>
      <c r="G3" s="6">
        <v>-513.84193350999999</v>
      </c>
      <c r="H3" s="6">
        <v>-513.82614549200002</v>
      </c>
      <c r="I3" s="44">
        <f>(G3-H3)</f>
        <v>-1.5788017999966542E-2</v>
      </c>
      <c r="J3" s="7">
        <f t="shared" ref="J3:J4" si="0">(E3+F3+I3)*627.507 + (1.89)</f>
        <v>-321407.88918303431</v>
      </c>
      <c r="K3" s="7">
        <f>(J3-MIN(J$3:J$7))</f>
        <v>6.2465811846777797E-2</v>
      </c>
      <c r="L3" s="7">
        <f t="shared" ref="L3:L4" si="1">EXP(-K3*1000/(1.987*298))</f>
        <v>0.89987976329194053</v>
      </c>
      <c r="M3" s="8">
        <f>(L3/(SUM(L$3:L$7))*100)</f>
        <v>31.50912758010757</v>
      </c>
    </row>
    <row r="4" spans="1:13" x14ac:dyDescent="0.2">
      <c r="A4" s="25" t="s">
        <v>114</v>
      </c>
      <c r="B4" s="2"/>
      <c r="C4" s="5" t="s">
        <v>89</v>
      </c>
      <c r="D4" s="5" t="s">
        <v>0</v>
      </c>
      <c r="E4" s="6">
        <v>-512.37701530000004</v>
      </c>
      <c r="F4" s="6">
        <v>0.19292699999999999</v>
      </c>
      <c r="G4" s="6">
        <v>-513.841982712</v>
      </c>
      <c r="H4" s="6">
        <v>-513.82580070100005</v>
      </c>
      <c r="I4" s="44">
        <f t="shared" ref="I4:I12" si="2">(G4-H4)</f>
        <v>-1.618201099995531E-2</v>
      </c>
      <c r="J4" s="7">
        <f t="shared" si="0"/>
        <v>-321407.36502204457</v>
      </c>
      <c r="K4" s="7">
        <f>(J4-MIN(J$3:J$7))</f>
        <v>0.58662680158158764</v>
      </c>
      <c r="L4" s="7">
        <f t="shared" si="1"/>
        <v>0.37131192918696865</v>
      </c>
      <c r="M4" s="8">
        <f>(L4/(SUM(L$3:L$7))*100)</f>
        <v>13.001420218594717</v>
      </c>
    </row>
    <row r="5" spans="1:13" x14ac:dyDescent="0.2">
      <c r="A5" s="25" t="s">
        <v>114</v>
      </c>
      <c r="B5" s="2"/>
      <c r="C5" s="5" t="s">
        <v>90</v>
      </c>
      <c r="D5" s="5" t="s">
        <v>0</v>
      </c>
      <c r="E5" s="6">
        <v>-512.37703439999996</v>
      </c>
      <c r="F5" s="6">
        <v>0.192882</v>
      </c>
      <c r="G5" s="6">
        <v>-513.84197525000002</v>
      </c>
      <c r="H5" s="6">
        <v>-513.82580338100001</v>
      </c>
      <c r="I5" s="44">
        <f t="shared" si="2"/>
        <v>-1.6171869000004335E-2</v>
      </c>
      <c r="J5" s="7">
        <f>(E5+F5+I5)*627.507 + (1.89)</f>
        <v>-321407.39888106729</v>
      </c>
      <c r="K5" s="7">
        <f>(J5-MIN(J$3:J$7))</f>
        <v>0.55276777886319906</v>
      </c>
      <c r="L5" s="7">
        <f>EXP(-K5*1000/(1.987*298))</f>
        <v>0.39316312946551635</v>
      </c>
      <c r="M5" s="8">
        <f>(L5/(SUM(L$3:L$7))*100)</f>
        <v>13.766536054555429</v>
      </c>
    </row>
    <row r="6" spans="1:13" x14ac:dyDescent="0.2">
      <c r="A6" s="25" t="s">
        <v>114</v>
      </c>
      <c r="B6" s="2"/>
      <c r="C6" s="5" t="s">
        <v>91</v>
      </c>
      <c r="D6" s="5" t="s">
        <v>0</v>
      </c>
      <c r="E6" s="6">
        <v>-512.37927349999995</v>
      </c>
      <c r="F6" s="6">
        <v>0.19281000000000001</v>
      </c>
      <c r="G6" s="6">
        <v>-513.84074946500004</v>
      </c>
      <c r="H6" s="6">
        <v>-513.82600780099995</v>
      </c>
      <c r="I6" s="44">
        <f t="shared" si="2"/>
        <v>-1.4741664000098353E-2</v>
      </c>
      <c r="J6" s="7">
        <f t="shared" ref="J6:J12" si="3">(E6+F6+I6)*627.507 + (1.89)</f>
        <v>-321407.95164884615</v>
      </c>
      <c r="K6" s="7">
        <f>(J6-MIN(J$3:J$7))</f>
        <v>0</v>
      </c>
      <c r="L6" s="7">
        <f t="shared" ref="L6:L12" si="4">EXP(-K6*1000/(1.987*298))</f>
        <v>1</v>
      </c>
      <c r="M6" s="8">
        <f>(L6/(SUM(L$3:L$7))*100)</f>
        <v>35.014819607500527</v>
      </c>
    </row>
    <row r="7" spans="1:13" x14ac:dyDescent="0.2">
      <c r="A7" s="25" t="s">
        <v>114</v>
      </c>
      <c r="B7" s="2"/>
      <c r="C7" s="5" t="s">
        <v>92</v>
      </c>
      <c r="D7" s="5" t="s">
        <v>0</v>
      </c>
      <c r="E7" s="6">
        <f>-512.3783588</f>
        <v>-512.3783588</v>
      </c>
      <c r="F7" s="6">
        <v>0.19301299999999999</v>
      </c>
      <c r="G7" s="6">
        <v>-513.84030484000004</v>
      </c>
      <c r="H7" s="6">
        <v>-513.82600476100004</v>
      </c>
      <c r="I7" s="44">
        <f t="shared" si="2"/>
        <v>-1.4300079000008736E-2</v>
      </c>
      <c r="J7" s="7">
        <f t="shared" si="3"/>
        <v>-321406.97318659368</v>
      </c>
      <c r="K7" s="7">
        <f>(J7-MIN(J$3:J$7))</f>
        <v>0.97846225247485563</v>
      </c>
      <c r="L7" s="7">
        <f t="shared" si="4"/>
        <v>0.19157878333906411</v>
      </c>
      <c r="M7" s="8">
        <f>(L7/(SUM(L$3:L$7))*100)</f>
        <v>6.7080965392417564</v>
      </c>
    </row>
    <row r="8" spans="1:13" x14ac:dyDescent="0.2">
      <c r="A8" s="25" t="s">
        <v>114</v>
      </c>
      <c r="B8" s="2"/>
      <c r="C8" s="10" t="s">
        <v>93</v>
      </c>
      <c r="D8" s="10" t="s">
        <v>17</v>
      </c>
      <c r="E8" s="23">
        <f>-512.3783854</f>
        <v>-512.37838539999996</v>
      </c>
      <c r="F8" s="23">
        <v>0.193129</v>
      </c>
      <c r="G8" s="23">
        <v>-513.84238292700002</v>
      </c>
      <c r="H8" s="23">
        <v>-513.82625142500001</v>
      </c>
      <c r="I8" s="23">
        <f t="shared" si="2"/>
        <v>-1.6131502000007458E-2</v>
      </c>
      <c r="J8" s="13">
        <f t="shared" si="3"/>
        <v>-321408.06631822023</v>
      </c>
      <c r="K8" s="13">
        <f>(J8-MIN(J$8:J$12))</f>
        <v>0.12547127966536209</v>
      </c>
      <c r="L8" s="13">
        <f t="shared" si="4"/>
        <v>0.80904589831355478</v>
      </c>
      <c r="M8" s="14">
        <f>(L8/(SUM(L$8:L$12))*100)</f>
        <v>29.503576653344961</v>
      </c>
    </row>
    <row r="9" spans="1:13" x14ac:dyDescent="0.2">
      <c r="A9" s="25" t="s">
        <v>114</v>
      </c>
      <c r="B9" s="2"/>
      <c r="C9" s="10" t="s">
        <v>94</v>
      </c>
      <c r="D9" s="10" t="s">
        <v>17</v>
      </c>
      <c r="E9" s="23">
        <v>-512.37703480000005</v>
      </c>
      <c r="F9" s="23">
        <v>0.19297700000000001</v>
      </c>
      <c r="G9" s="23">
        <v>-513.84227867699997</v>
      </c>
      <c r="H9" s="23">
        <v>-513.82594826000002</v>
      </c>
      <c r="I9" s="23">
        <f t="shared" si="2"/>
        <v>-1.6330416999949193E-2</v>
      </c>
      <c r="J9" s="13">
        <f t="shared" si="3"/>
        <v>-321407.43900888495</v>
      </c>
      <c r="K9" s="13">
        <f>(J9-MIN(J$8:J$12))</f>
        <v>0.75278061494464055</v>
      </c>
      <c r="L9" s="13">
        <f t="shared" si="4"/>
        <v>0.28046164763005049</v>
      </c>
      <c r="M9" s="14">
        <f>(L9/(SUM(L$8:L$12))*100)</f>
        <v>10.227629528095941</v>
      </c>
    </row>
    <row r="10" spans="1:13" x14ac:dyDescent="0.2">
      <c r="A10" s="25" t="s">
        <v>114</v>
      </c>
      <c r="B10" s="2"/>
      <c r="C10" s="10" t="s">
        <v>95</v>
      </c>
      <c r="D10" s="10" t="s">
        <v>17</v>
      </c>
      <c r="E10" s="23">
        <f>-512.3770385</f>
        <v>-512.37703850000003</v>
      </c>
      <c r="F10" s="23">
        <v>0.192972</v>
      </c>
      <c r="G10" s="23">
        <v>-513.84226071099999</v>
      </c>
      <c r="H10" s="23">
        <v>-513.82594596399997</v>
      </c>
      <c r="I10" s="23">
        <f t="shared" si="2"/>
        <v>-1.6314747000023999E-2</v>
      </c>
      <c r="J10" s="13">
        <f t="shared" si="3"/>
        <v>-321407.43463516119</v>
      </c>
      <c r="K10" s="13">
        <f>(J10-MIN(J$8:J$12))</f>
        <v>0.75715433870209381</v>
      </c>
      <c r="L10" s="13">
        <f t="shared" si="4"/>
        <v>0.27839765693877444</v>
      </c>
      <c r="M10" s="14">
        <f>(L10/(SUM(L$8:L$12))*100)</f>
        <v>10.15236172475031</v>
      </c>
    </row>
    <row r="11" spans="1:13" x14ac:dyDescent="0.2">
      <c r="A11" s="25" t="s">
        <v>114</v>
      </c>
      <c r="B11" s="2"/>
      <c r="C11" s="10" t="s">
        <v>96</v>
      </c>
      <c r="D11" s="10" t="s">
        <v>17</v>
      </c>
      <c r="E11" s="23">
        <f>-512.3793663</f>
        <v>-512.37936630000002</v>
      </c>
      <c r="F11" s="23">
        <v>0.19311700000000001</v>
      </c>
      <c r="G11" s="23">
        <v>-513.84146376499996</v>
      </c>
      <c r="H11" s="23">
        <v>-513.82612521099998</v>
      </c>
      <c r="I11" s="23">
        <f t="shared" si="2"/>
        <v>-1.5338553999981741E-2</v>
      </c>
      <c r="J11" s="13">
        <f t="shared" si="3"/>
        <v>-321408.19178949989</v>
      </c>
      <c r="K11" s="13">
        <f>(J11-MIN(J$8:J$12))</f>
        <v>0</v>
      </c>
      <c r="L11" s="13">
        <f t="shared" si="4"/>
        <v>1</v>
      </c>
      <c r="M11" s="14">
        <f>(L11/(SUM(L$8:L$12))*100)</f>
        <v>36.467123453495986</v>
      </c>
    </row>
    <row r="12" spans="1:13" x14ac:dyDescent="0.2">
      <c r="A12" s="25" t="s">
        <v>114</v>
      </c>
      <c r="B12" s="2"/>
      <c r="C12" s="10" t="s">
        <v>97</v>
      </c>
      <c r="D12" s="10" t="s">
        <v>17</v>
      </c>
      <c r="E12" s="23">
        <v>-512.37899289999996</v>
      </c>
      <c r="F12" s="23">
        <v>0.19346099999999999</v>
      </c>
      <c r="G12" s="23">
        <v>-513.84214707700005</v>
      </c>
      <c r="H12" s="23">
        <v>-513.827018436</v>
      </c>
      <c r="I12" s="23">
        <f t="shared" si="2"/>
        <v>-1.5128641000046628E-2</v>
      </c>
      <c r="J12" s="13">
        <f t="shared" si="3"/>
        <v>-321407.60989410128</v>
      </c>
      <c r="K12" s="13">
        <f>(J12-MIN(J$8:J$12))</f>
        <v>0.58189539861632511</v>
      </c>
      <c r="L12" s="13">
        <f t="shared" si="4"/>
        <v>0.37429079531646736</v>
      </c>
      <c r="M12" s="14">
        <f>(L12/(SUM(L$8:L$12))*100)</f>
        <v>13.649308640312812</v>
      </c>
    </row>
    <row r="14" spans="1:13" x14ac:dyDescent="0.2">
      <c r="B14" s="1" t="s">
        <v>0</v>
      </c>
      <c r="C14" s="17">
        <f>(MIN(J3:J7))-(1.987*298*LN(SUM(L3:L7)))/1000</f>
        <v>-321408.57302515808</v>
      </c>
    </row>
    <row r="15" spans="1:13" x14ac:dyDescent="0.2">
      <c r="B15" s="16" t="s">
        <v>17</v>
      </c>
      <c r="C15" s="18">
        <f>(MIN(J8:J12))-(1.987*298*LN(SUM(L8:L12)))/1000</f>
        <v>-321408.78910196625</v>
      </c>
    </row>
    <row r="16" spans="1:13" x14ac:dyDescent="0.2">
      <c r="B16" s="15" t="s">
        <v>21</v>
      </c>
      <c r="C16" s="19">
        <f>(C14-C15)/1.37</f>
        <v>0.15772029793189063</v>
      </c>
    </row>
    <row r="17" spans="2:3" x14ac:dyDescent="0.2">
      <c r="B17" s="20" t="s">
        <v>22</v>
      </c>
      <c r="C17" s="9">
        <v>0.59</v>
      </c>
    </row>
    <row r="18" spans="2:3" x14ac:dyDescent="0.2">
      <c r="B18" s="21" t="s">
        <v>23</v>
      </c>
      <c r="C18" s="22">
        <f>C16-C17</f>
        <v>-0.43227970206810934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092B-CF5B-6A49-AE32-61027CDFC592}">
  <dimension ref="A1:M14"/>
  <sheetViews>
    <sheetView workbookViewId="0">
      <selection activeCell="E3" sqref="E3:J3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0.832031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"/>
      <c r="C3" s="5" t="s">
        <v>13</v>
      </c>
      <c r="D3" s="5" t="s">
        <v>0</v>
      </c>
      <c r="E3" s="6">
        <v>-1630.0264503000001</v>
      </c>
      <c r="F3" s="6">
        <v>0.30193999999999999</v>
      </c>
      <c r="G3" s="6">
        <v>-1633.19604484</v>
      </c>
      <c r="H3" s="6">
        <v>-1633.1887421900001</v>
      </c>
      <c r="I3" s="6">
        <f t="shared" ref="I3:I8" si="0">(G3-H3)</f>
        <v>-7.3026499999286898E-3</v>
      </c>
      <c r="J3" s="7">
        <f t="shared" ref="J3:J4" si="1">(E3+F3+I3)*627.507 + (1.89)</f>
        <v>-1022666.2307488155</v>
      </c>
      <c r="K3" s="7">
        <f>(J3-MIN(J$3:J$5))</f>
        <v>0</v>
      </c>
      <c r="L3" s="7">
        <f t="shared" ref="L3:L8" si="2">EXP(-K3*1000/(1.987*298))</f>
        <v>1</v>
      </c>
      <c r="M3" s="8">
        <f>(L3/(SUM(L$3:L$5))*100)</f>
        <v>85.143755433010199</v>
      </c>
    </row>
    <row r="4" spans="1:13" x14ac:dyDescent="0.2">
      <c r="A4" s="25" t="s">
        <v>114</v>
      </c>
      <c r="B4" s="2"/>
      <c r="C4" s="5" t="s">
        <v>14</v>
      </c>
      <c r="D4" s="5" t="s">
        <v>0</v>
      </c>
      <c r="E4" s="6">
        <v>-1630.0244927000001</v>
      </c>
      <c r="F4" s="6">
        <v>0.30200700000000003</v>
      </c>
      <c r="G4" s="6">
        <v>-1633.19699924</v>
      </c>
      <c r="H4" s="6">
        <v>-1633.1899485399999</v>
      </c>
      <c r="I4" s="6">
        <f t="shared" si="0"/>
        <v>-7.0507000000361586E-3</v>
      </c>
      <c r="J4" s="7">
        <f t="shared" si="1"/>
        <v>-1022664.8021977548</v>
      </c>
      <c r="K4" s="7">
        <f>(J4-MIN(J$3:J$5))</f>
        <v>1.4285510606132448</v>
      </c>
      <c r="L4" s="7">
        <f t="shared" si="2"/>
        <v>8.9583912816133621E-2</v>
      </c>
      <c r="M4" s="8">
        <f>(L4/(SUM(L$3:L$5))*100)</f>
        <v>7.6275107635489894</v>
      </c>
    </row>
    <row r="5" spans="1:13" x14ac:dyDescent="0.2">
      <c r="A5" s="25" t="s">
        <v>114</v>
      </c>
      <c r="B5" s="2"/>
      <c r="C5" s="5" t="s">
        <v>15</v>
      </c>
      <c r="D5" s="5" t="s">
        <v>0</v>
      </c>
      <c r="E5" s="6">
        <v>-1630.0243415</v>
      </c>
      <c r="F5" s="6">
        <v>0.30177199999999998</v>
      </c>
      <c r="G5" s="6">
        <v>-1633.1985033799999</v>
      </c>
      <c r="H5" s="6">
        <v>-1633.19158715</v>
      </c>
      <c r="I5" s="6">
        <f t="shared" si="0"/>
        <v>-6.9162299998879462E-3</v>
      </c>
      <c r="J5" s="7">
        <f>(E5+F5+I5)*627.507 + (1.89)</f>
        <v>-1022664.7704019749</v>
      </c>
      <c r="K5" s="7">
        <f>(J5-MIN(J$3:J$5))</f>
        <v>1.4603468405548483</v>
      </c>
      <c r="L5" s="5">
        <f>EXP(-K5*1000/(1.987*298))</f>
        <v>8.4900340214946982E-2</v>
      </c>
      <c r="M5" s="8">
        <f>(L5/(SUM(L$3:L$5))*100)</f>
        <v>7.2287338034408064</v>
      </c>
    </row>
    <row r="6" spans="1:13" x14ac:dyDescent="0.2">
      <c r="A6" s="25" t="s">
        <v>114</v>
      </c>
      <c r="B6" s="2"/>
      <c r="C6" s="10" t="s">
        <v>18</v>
      </c>
      <c r="D6" s="10" t="s">
        <v>17</v>
      </c>
      <c r="E6" s="10">
        <v>-1630.026419</v>
      </c>
      <c r="F6" s="11">
        <v>0.30191699999999999</v>
      </c>
      <c r="G6" s="10">
        <v>-1633.2096035300001</v>
      </c>
      <c r="H6" s="10">
        <v>-1633.1887009100001</v>
      </c>
      <c r="I6" s="10">
        <f t="shared" si="0"/>
        <v>-2.0902620000015304E-2</v>
      </c>
      <c r="J6" s="10">
        <f t="shared" ref="J6:J8" si="3">(E6+F6+I6)*627.507 + (1.89)</f>
        <v>-1022674.7596168823</v>
      </c>
      <c r="K6" s="10">
        <f>(J6-MIN(J$6:J$8))</f>
        <v>0</v>
      </c>
      <c r="L6" s="10">
        <f t="shared" si="2"/>
        <v>1</v>
      </c>
      <c r="M6" s="14">
        <f>(L6/(SUM(L$6:L$8))*100)</f>
        <v>87.560200144772224</v>
      </c>
    </row>
    <row r="7" spans="1:13" x14ac:dyDescent="0.2">
      <c r="A7" s="25" t="s">
        <v>114</v>
      </c>
      <c r="B7" s="2"/>
      <c r="C7" s="10" t="s">
        <v>19</v>
      </c>
      <c r="D7" s="10" t="s">
        <v>17</v>
      </c>
      <c r="E7" s="10">
        <v>-1630.0244511000001</v>
      </c>
      <c r="F7" s="11">
        <v>0.30236099999999999</v>
      </c>
      <c r="G7" s="10">
        <v>-1633.21080218</v>
      </c>
      <c r="H7" s="10">
        <v>-1633.19001394</v>
      </c>
      <c r="I7" s="10">
        <f t="shared" si="0"/>
        <v>-2.0788240000001679E-2</v>
      </c>
      <c r="J7" s="10">
        <f t="shared" si="3"/>
        <v>-1022673.1743584983</v>
      </c>
      <c r="K7" s="10">
        <f>(J7-MIN(J$6:J$8))</f>
        <v>1.5852583840023726</v>
      </c>
      <c r="L7" s="10">
        <f t="shared" si="2"/>
        <v>6.875323368229537E-2</v>
      </c>
      <c r="M7" s="14">
        <f>(L7/(SUM(L$6:L$8))*100)</f>
        <v>6.0200469018220781</v>
      </c>
    </row>
    <row r="8" spans="1:13" x14ac:dyDescent="0.2">
      <c r="A8" s="25" t="s">
        <v>114</v>
      </c>
      <c r="B8" s="2"/>
      <c r="C8" s="10" t="s">
        <v>20</v>
      </c>
      <c r="D8" s="10" t="s">
        <v>17</v>
      </c>
      <c r="E8" s="10">
        <v>-1630.0242476000001</v>
      </c>
      <c r="F8" s="11">
        <v>0.30201099999999997</v>
      </c>
      <c r="G8" s="10">
        <v>-1633.2123648700001</v>
      </c>
      <c r="H8" s="10">
        <v>-1633.19166247</v>
      </c>
      <c r="I8" s="10">
        <f t="shared" si="0"/>
        <v>-2.0702400000118359E-2</v>
      </c>
      <c r="J8" s="10">
        <f t="shared" si="3"/>
        <v>-1022673.212423073</v>
      </c>
      <c r="K8" s="10">
        <f>(J8-MIN(J$6:J$8))</f>
        <v>1.5471938092960045</v>
      </c>
      <c r="L8" s="10">
        <f t="shared" si="2"/>
        <v>7.3318162164902265E-2</v>
      </c>
      <c r="M8" s="14">
        <f>(L8/(SUM(L$6:L$8))*100)</f>
        <v>6.4197529534057081</v>
      </c>
    </row>
    <row r="10" spans="1:13" x14ac:dyDescent="0.2">
      <c r="B10" s="1" t="s">
        <v>0</v>
      </c>
      <c r="C10" s="17">
        <f>(MIN(J3:J5))-(1.987*298*LN(SUM(L3:L5)))/1000</f>
        <v>-1022666.3259799175</v>
      </c>
    </row>
    <row r="11" spans="1:13" x14ac:dyDescent="0.2">
      <c r="B11" s="16" t="s">
        <v>17</v>
      </c>
      <c r="C11" s="18">
        <f>(MIN(J6:J8))-(1.987*298*LN(SUM(L6:L8)))/1000</f>
        <v>-1022674.8382770481</v>
      </c>
    </row>
    <row r="12" spans="1:13" x14ac:dyDescent="0.2">
      <c r="B12" s="15" t="s">
        <v>21</v>
      </c>
      <c r="C12" s="19">
        <f>(C10-C11)/1.37</f>
        <v>6.2133555697365557</v>
      </c>
    </row>
    <row r="13" spans="1:13" x14ac:dyDescent="0.2">
      <c r="B13" s="20" t="s">
        <v>22</v>
      </c>
      <c r="C13" s="9">
        <v>5.51</v>
      </c>
    </row>
    <row r="14" spans="1:13" x14ac:dyDescent="0.2">
      <c r="B14" s="21" t="s">
        <v>23</v>
      </c>
      <c r="C14" s="22">
        <f>C12-C13</f>
        <v>0.70335556973655589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BD7F-2481-4E4B-8216-EA95980C43F3}">
  <dimension ref="A1:M22"/>
  <sheetViews>
    <sheetView topLeftCell="C1" workbookViewId="0">
      <selection activeCell="E6" sqref="E6:J6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2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5" t="s">
        <v>114</v>
      </c>
      <c r="C3" s="5" t="s">
        <v>24</v>
      </c>
      <c r="D3" s="5" t="s">
        <v>0</v>
      </c>
      <c r="E3" s="6">
        <v>-236.30278620000001</v>
      </c>
      <c r="F3" s="6">
        <v>0.18983</v>
      </c>
      <c r="G3" s="6">
        <v>-237.08169415699999</v>
      </c>
      <c r="H3" s="6">
        <v>-237.08072537499999</v>
      </c>
      <c r="I3" s="43">
        <f t="shared" ref="I3:I5" si="0">(G3-H3)</f>
        <v>-9.6878200000105608E-4</v>
      </c>
      <c r="J3" s="7">
        <f t="shared" ref="J3:J4" si="1">(E3+F3+I3)*627.507 + (1.89)</f>
        <v>-148161.25072367987</v>
      </c>
      <c r="K3" s="7">
        <f>(J3-MIN(J$3:J$9))</f>
        <v>0.51669302879599854</v>
      </c>
      <c r="L3" s="7">
        <f t="shared" ref="L3:L4" si="2">EXP(-K3*1000/(1.987*298))</f>
        <v>0.4178609510959031</v>
      </c>
      <c r="M3" s="8">
        <f>(L3/(SUM(L$3:L$9))*100)</f>
        <v>10.381508732868959</v>
      </c>
    </row>
    <row r="4" spans="1:13" x14ac:dyDescent="0.2">
      <c r="A4" s="25" t="s">
        <v>114</v>
      </c>
      <c r="B4" s="25" t="s">
        <v>114</v>
      </c>
      <c r="C4" s="5" t="s">
        <v>25</v>
      </c>
      <c r="D4" s="5" t="s">
        <v>0</v>
      </c>
      <c r="E4" s="6">
        <v>-236.30233989999999</v>
      </c>
      <c r="F4" s="6">
        <v>0.189662</v>
      </c>
      <c r="G4" s="6">
        <v>-237.08155152200001</v>
      </c>
      <c r="H4" s="6">
        <v>-237.080566844</v>
      </c>
      <c r="I4" s="43">
        <f t="shared" si="0"/>
        <v>-9.8467800000889838E-4</v>
      </c>
      <c r="J4" s="7">
        <f t="shared" si="1"/>
        <v>-148161.08606333303</v>
      </c>
      <c r="K4" s="7">
        <f t="shared" ref="K4:K5" si="3">(J4-MIN(J$3:J$9))</f>
        <v>0.68135337563580833</v>
      </c>
      <c r="L4" s="7">
        <f t="shared" si="2"/>
        <v>0.31641841415707195</v>
      </c>
      <c r="M4" s="8">
        <f t="shared" ref="M4:M5" si="4">(L4/(SUM(L$3:L$9))*100)</f>
        <v>7.8612287680795365</v>
      </c>
    </row>
    <row r="5" spans="1:13" x14ac:dyDescent="0.2">
      <c r="A5" s="25" t="s">
        <v>114</v>
      </c>
      <c r="B5" s="25" t="s">
        <v>114</v>
      </c>
      <c r="C5" s="5" t="s">
        <v>26</v>
      </c>
      <c r="D5" s="5" t="s">
        <v>0</v>
      </c>
      <c r="E5" s="6">
        <v>-236.30324999999999</v>
      </c>
      <c r="F5" s="6">
        <v>0.189635</v>
      </c>
      <c r="G5" s="6">
        <v>-237.08284845700001</v>
      </c>
      <c r="H5" s="6">
        <v>-237.08188033100001</v>
      </c>
      <c r="I5" s="43">
        <f t="shared" si="0"/>
        <v>-9.6812600000362181E-4</v>
      </c>
      <c r="J5" s="7">
        <f>(E5+F5+I5)*627.507 + (1.89)</f>
        <v>-148161.66371364685</v>
      </c>
      <c r="K5" s="7">
        <f t="shared" si="3"/>
        <v>0.10370306181721389</v>
      </c>
      <c r="L5" s="7">
        <f>EXP(-K5*1000/(1.987*298))</f>
        <v>0.83934217817351708</v>
      </c>
      <c r="M5" s="8">
        <f t="shared" si="4"/>
        <v>20.852961086028252</v>
      </c>
    </row>
    <row r="6" spans="1:13" x14ac:dyDescent="0.2">
      <c r="A6" s="25" t="s">
        <v>114</v>
      </c>
      <c r="B6" s="25" t="s">
        <v>114</v>
      </c>
      <c r="C6" s="5" t="s">
        <v>27</v>
      </c>
      <c r="D6" s="5" t="s">
        <v>0</v>
      </c>
      <c r="E6" s="6">
        <v>-236.30347269999999</v>
      </c>
      <c r="F6" s="6">
        <v>0.18970100000000001</v>
      </c>
      <c r="G6" s="6">
        <v>-237.08307688799999</v>
      </c>
      <c r="H6" s="6">
        <v>-237.08210020000001</v>
      </c>
      <c r="I6" s="43">
        <f t="shared" ref="I6:I12" si="5">(G6-H6)</f>
        <v>-9.7668799998018585E-4</v>
      </c>
      <c r="J6" s="7">
        <f t="shared" ref="J6:J12" si="6">(E6+F6+I6)*627.507 + (1.89)</f>
        <v>-148161.76741670867</v>
      </c>
      <c r="K6" s="7">
        <f>(J6-MIN(J$3:J$9))</f>
        <v>0</v>
      </c>
      <c r="L6" s="7">
        <f t="shared" ref="L6:L16" si="7">EXP(-K6*1000/(1.987*298))</f>
        <v>1</v>
      </c>
      <c r="M6" s="8">
        <f>(L6/(SUM(L$3:L$9))*100)</f>
        <v>24.844409858451463</v>
      </c>
    </row>
    <row r="7" spans="1:13" x14ac:dyDescent="0.2">
      <c r="A7" s="25" t="s">
        <v>114</v>
      </c>
      <c r="B7" s="25" t="s">
        <v>114</v>
      </c>
      <c r="C7" s="5" t="s">
        <v>28</v>
      </c>
      <c r="D7" s="5" t="s">
        <v>0</v>
      </c>
      <c r="E7" s="6">
        <v>-236.30225899999999</v>
      </c>
      <c r="F7" s="6">
        <v>0.189883</v>
      </c>
      <c r="G7" s="6">
        <v>-237.08143158999999</v>
      </c>
      <c r="H7" s="6">
        <v>-237.080458583</v>
      </c>
      <c r="I7" s="43">
        <f t="shared" si="5"/>
        <v>-9.7300699999891549E-4</v>
      </c>
      <c r="J7" s="7">
        <f t="shared" si="6"/>
        <v>-148160.88929533551</v>
      </c>
      <c r="K7" s="7">
        <f>(J7-MIN(J$3:J$9))</f>
        <v>0.87812137315631844</v>
      </c>
      <c r="L7" s="7">
        <f t="shared" si="7"/>
        <v>0.2269563677906645</v>
      </c>
      <c r="M7" s="8">
        <f>(L7/(SUM(L$3:L$9))*100)</f>
        <v>5.6385970213767216</v>
      </c>
    </row>
    <row r="8" spans="1:13" x14ac:dyDescent="0.2">
      <c r="A8" s="25" t="s">
        <v>114</v>
      </c>
      <c r="B8" s="25" t="s">
        <v>114</v>
      </c>
      <c r="C8" s="5" t="s">
        <v>29</v>
      </c>
      <c r="D8" s="5" t="s">
        <v>0</v>
      </c>
      <c r="E8" s="6">
        <f>-236.3031909</f>
        <v>-236.3031909</v>
      </c>
      <c r="F8" s="6">
        <v>0.18956799999999999</v>
      </c>
      <c r="G8" s="6">
        <v>-237.08281450300001</v>
      </c>
      <c r="H8" s="6">
        <v>-237.08184745899999</v>
      </c>
      <c r="I8" s="43">
        <f t="shared" si="5"/>
        <v>-9.6704400002067814E-4</v>
      </c>
      <c r="J8" s="7">
        <f t="shared" si="6"/>
        <v>-148161.66799198958</v>
      </c>
      <c r="K8" s="7">
        <f>(J8-MIN(J$3:J$9))</f>
        <v>9.9424719082890078E-2</v>
      </c>
      <c r="L8" s="7">
        <f t="shared" si="7"/>
        <v>0.84542871715380741</v>
      </c>
      <c r="M8" s="8">
        <f>(L8/(SUM(L$3:L$9))*100)</f>
        <v>21.004177555074026</v>
      </c>
    </row>
    <row r="9" spans="1:13" x14ac:dyDescent="0.2">
      <c r="A9" s="25" t="s">
        <v>114</v>
      </c>
      <c r="B9" s="25" t="s">
        <v>114</v>
      </c>
      <c r="C9" s="5" t="s">
        <v>30</v>
      </c>
      <c r="D9" s="5" t="s">
        <v>0</v>
      </c>
      <c r="E9" s="6">
        <v>-236.30268100000001</v>
      </c>
      <c r="F9" s="6">
        <v>0.189807</v>
      </c>
      <c r="G9" s="6">
        <v>-237.081525519</v>
      </c>
      <c r="H9" s="6">
        <v>-237.08056653700001</v>
      </c>
      <c r="I9" s="43">
        <f t="shared" si="5"/>
        <v>-9.589819999860083E-4</v>
      </c>
      <c r="J9" s="7">
        <f t="shared" si="6"/>
        <v>-148161.19299303583</v>
      </c>
      <c r="K9" s="7">
        <f>(J9-MIN(J$3:J$9))</f>
        <v>0.57442367283510976</v>
      </c>
      <c r="L9" s="7">
        <f t="shared" si="7"/>
        <v>0.37904369762751922</v>
      </c>
      <c r="M9" s="8">
        <f>(L9/(SUM(L$3:L$9))*100)</f>
        <v>9.4171169781210331</v>
      </c>
    </row>
    <row r="10" spans="1:13" x14ac:dyDescent="0.2">
      <c r="A10" s="25" t="s">
        <v>114</v>
      </c>
      <c r="B10" s="25" t="s">
        <v>114</v>
      </c>
      <c r="C10" s="10" t="s">
        <v>33</v>
      </c>
      <c r="D10" s="10" t="s">
        <v>17</v>
      </c>
      <c r="E10" s="23">
        <v>-236.30267480000001</v>
      </c>
      <c r="F10" s="23">
        <v>0.19021399999999999</v>
      </c>
      <c r="G10" s="23">
        <v>-237.08619294299999</v>
      </c>
      <c r="H10" s="23">
        <v>-237.08159139899999</v>
      </c>
      <c r="I10" s="23">
        <f t="shared" si="5"/>
        <v>-4.6015439999962382E-3</v>
      </c>
      <c r="J10" s="12">
        <f t="shared" si="6"/>
        <v>-148163.21944029638</v>
      </c>
      <c r="K10" s="13">
        <f>(J10-MIN(J$10:J$16))</f>
        <v>0.55625358014367521</v>
      </c>
      <c r="L10" s="13">
        <f t="shared" si="7"/>
        <v>0.39085540701646865</v>
      </c>
      <c r="M10" s="14">
        <f>(L10/(SUM(L$10:L$16))*100)</f>
        <v>9.9778799841149599</v>
      </c>
    </row>
    <row r="11" spans="1:13" x14ac:dyDescent="0.2">
      <c r="A11" s="25" t="s">
        <v>114</v>
      </c>
      <c r="B11" s="25" t="s">
        <v>114</v>
      </c>
      <c r="C11" s="10" t="s">
        <v>34</v>
      </c>
      <c r="D11" s="10" t="s">
        <v>17</v>
      </c>
      <c r="E11" s="23">
        <v>-236.302223</v>
      </c>
      <c r="F11" s="23">
        <v>0.190056</v>
      </c>
      <c r="G11" s="23">
        <v>-237.086019077</v>
      </c>
      <c r="H11" s="23">
        <v>-237.08142438900001</v>
      </c>
      <c r="I11" s="23">
        <f t="shared" si="5"/>
        <v>-4.5946879999974044E-3</v>
      </c>
      <c r="J11" s="12">
        <f t="shared" si="6"/>
        <v>-148163.03077655178</v>
      </c>
      <c r="K11" s="13">
        <f t="shared" ref="K11:K12" si="8">(J11-MIN(J$10:J$16))</f>
        <v>0.74491732474416494</v>
      </c>
      <c r="L11" s="13">
        <f t="shared" si="7"/>
        <v>0.28421095035822336</v>
      </c>
      <c r="M11" s="14">
        <f t="shared" ref="M11:M12" si="9">(L11/(SUM(L$10:L$16))*100)</f>
        <v>7.2554266921683404</v>
      </c>
    </row>
    <row r="12" spans="1:13" x14ac:dyDescent="0.2">
      <c r="A12" s="25" t="s">
        <v>114</v>
      </c>
      <c r="B12" s="25" t="s">
        <v>114</v>
      </c>
      <c r="C12" s="10" t="s">
        <v>35</v>
      </c>
      <c r="D12" s="10" t="s">
        <v>17</v>
      </c>
      <c r="E12" s="23">
        <v>-236.30319449999999</v>
      </c>
      <c r="F12" s="23">
        <v>0.18997900000000001</v>
      </c>
      <c r="G12" s="23">
        <v>-237.087409009</v>
      </c>
      <c r="H12" s="23">
        <v>-237.08280708500001</v>
      </c>
      <c r="I12" s="23">
        <f t="shared" si="5"/>
        <v>-4.601923999985047E-3</v>
      </c>
      <c r="J12" s="12">
        <f t="shared" si="6"/>
        <v>-148163.69325828194</v>
      </c>
      <c r="K12" s="13">
        <f t="shared" si="8"/>
        <v>8.2435594580601901E-2</v>
      </c>
      <c r="L12" s="13">
        <f t="shared" si="7"/>
        <v>0.87003687432210119</v>
      </c>
      <c r="M12" s="14">
        <f t="shared" si="9"/>
        <v>22.210575465762094</v>
      </c>
    </row>
    <row r="13" spans="1:13" x14ac:dyDescent="0.2">
      <c r="A13" s="25" t="s">
        <v>114</v>
      </c>
      <c r="B13" s="25" t="s">
        <v>114</v>
      </c>
      <c r="C13" s="10" t="s">
        <v>36</v>
      </c>
      <c r="D13" s="10" t="s">
        <v>17</v>
      </c>
      <c r="E13" s="23">
        <v>-236.30341530000001</v>
      </c>
      <c r="F13" s="23">
        <v>0.19007299999999999</v>
      </c>
      <c r="G13" s="23">
        <v>-237.08763651300001</v>
      </c>
      <c r="H13" s="23">
        <v>-237.08303001900001</v>
      </c>
      <c r="I13" s="23">
        <f t="shared" ref="I13:I16" si="10">(G13-H13)</f>
        <v>-4.6064940000007937E-3</v>
      </c>
      <c r="J13" s="12">
        <f t="shared" ref="J13:J16" si="11">(E13+F13+I13)*627.507 + (1.89)</f>
        <v>-148163.77569387652</v>
      </c>
      <c r="K13" s="13">
        <f>(J13-MIN(J$10:J$16))</f>
        <v>0</v>
      </c>
      <c r="L13" s="13">
        <f t="shared" si="7"/>
        <v>1</v>
      </c>
      <c r="M13" s="14">
        <f>(L13/(SUM(L$10:L$16))*100)</f>
        <v>25.528315087872233</v>
      </c>
    </row>
    <row r="14" spans="1:13" x14ac:dyDescent="0.2">
      <c r="A14" s="25" t="s">
        <v>114</v>
      </c>
      <c r="B14" s="25" t="s">
        <v>114</v>
      </c>
      <c r="C14" s="10" t="s">
        <v>37</v>
      </c>
      <c r="D14" s="10" t="s">
        <v>17</v>
      </c>
      <c r="E14" s="23">
        <v>-236.30210959999999</v>
      </c>
      <c r="F14" s="23">
        <v>0.190329</v>
      </c>
      <c r="G14" s="23">
        <v>-237.08585298899999</v>
      </c>
      <c r="H14" s="23">
        <v>-237.08126220599999</v>
      </c>
      <c r="I14" s="23">
        <f t="shared" si="10"/>
        <v>-4.5907829999976002E-3</v>
      </c>
      <c r="J14" s="12">
        <f t="shared" si="11"/>
        <v>-148162.78585743214</v>
      </c>
      <c r="K14" s="13">
        <f>(J14-MIN(J$10:J$16))</f>
        <v>0.98983644437976182</v>
      </c>
      <c r="L14" s="13">
        <f t="shared" si="7"/>
        <v>0.18793385234409446</v>
      </c>
      <c r="M14" s="14">
        <f>(L14/(SUM(L$10:L$16))*100)</f>
        <v>4.7976345983176998</v>
      </c>
    </row>
    <row r="15" spans="1:13" x14ac:dyDescent="0.2">
      <c r="A15" s="25" t="s">
        <v>114</v>
      </c>
      <c r="B15" s="25" t="s">
        <v>114</v>
      </c>
      <c r="C15" s="10" t="s">
        <v>38</v>
      </c>
      <c r="D15" s="10" t="s">
        <v>17</v>
      </c>
      <c r="E15" s="23">
        <v>-236.30312040000001</v>
      </c>
      <c r="F15" s="23">
        <v>0.189913</v>
      </c>
      <c r="G15" s="23">
        <v>-237.087355178</v>
      </c>
      <c r="H15" s="23">
        <v>-237.08276205199999</v>
      </c>
      <c r="I15" s="23">
        <f t="shared" si="10"/>
        <v>-4.5931260000031671E-3</v>
      </c>
      <c r="J15" s="12">
        <f t="shared" si="11"/>
        <v>-148163.68265466866</v>
      </c>
      <c r="K15" s="13">
        <f>(J15-MIN(J$10:J$16))</f>
        <v>9.3039207858964801E-2</v>
      </c>
      <c r="L15" s="13">
        <f t="shared" si="7"/>
        <v>0.85459519232299408</v>
      </c>
      <c r="M15" s="14">
        <f>(L15/(SUM(L$10:L$16))*100)</f>
        <v>21.816375342202164</v>
      </c>
    </row>
    <row r="16" spans="1:13" x14ac:dyDescent="0.2">
      <c r="A16" s="25" t="s">
        <v>114</v>
      </c>
      <c r="B16" s="25" t="s">
        <v>114</v>
      </c>
      <c r="C16" s="10" t="s">
        <v>39</v>
      </c>
      <c r="D16" s="10" t="s">
        <v>17</v>
      </c>
      <c r="E16" s="23">
        <v>-236.30252160000001</v>
      </c>
      <c r="F16" s="23">
        <v>0.19020999999999999</v>
      </c>
      <c r="G16" s="23">
        <v>-237.08596629199999</v>
      </c>
      <c r="H16" s="23">
        <v>-237.081376433</v>
      </c>
      <c r="I16" s="23">
        <f t="shared" si="10"/>
        <v>-4.5898589999922024E-3</v>
      </c>
      <c r="J16" s="12">
        <f t="shared" si="11"/>
        <v>-148163.11848383269</v>
      </c>
      <c r="K16" s="13">
        <f>(J16-MIN(J$10:J$16))</f>
        <v>0.65721004383522086</v>
      </c>
      <c r="L16" s="13">
        <f t="shared" si="7"/>
        <v>0.32958668837332072</v>
      </c>
      <c r="M16" s="14">
        <f>(L16/(SUM(L$10:L$16))*100)</f>
        <v>8.4137928295624889</v>
      </c>
    </row>
    <row r="18" spans="2:3" x14ac:dyDescent="0.2">
      <c r="B18" s="1" t="s">
        <v>0</v>
      </c>
      <c r="C18" s="17">
        <f>(MIN(J3:J9))-(1.987*298*LN(SUM(L3:L9)))/1000</f>
        <v>-148162.59197431756</v>
      </c>
    </row>
    <row r="19" spans="2:3" x14ac:dyDescent="0.2">
      <c r="B19" s="16" t="s">
        <v>17</v>
      </c>
      <c r="C19" s="18">
        <f>(MIN(J10:J16))-(1.987*298*LN(SUM(L10:L16)))/1000</f>
        <v>-148164.58417203158</v>
      </c>
    </row>
    <row r="20" spans="2:3" x14ac:dyDescent="0.2">
      <c r="B20" s="15" t="s">
        <v>21</v>
      </c>
      <c r="C20" s="19">
        <f>(C18-C19)/1.37</f>
        <v>1.4541589153418997</v>
      </c>
    </row>
    <row r="21" spans="2:3" x14ac:dyDescent="0.2">
      <c r="B21" s="20" t="s">
        <v>22</v>
      </c>
      <c r="C21" s="9">
        <v>3.6</v>
      </c>
    </row>
    <row r="22" spans="2:3" x14ac:dyDescent="0.2">
      <c r="B22" s="21" t="s">
        <v>23</v>
      </c>
      <c r="C22" s="22">
        <f>C20-C21</f>
        <v>-2.1458410846581004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E95A-C9A2-894B-B517-BD89F1CEEE6A}">
  <dimension ref="A1:M12"/>
  <sheetViews>
    <sheetView topLeftCell="C1" workbookViewId="0">
      <selection activeCell="E4" sqref="E4:J4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7.6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6" t="s">
        <v>115</v>
      </c>
      <c r="B3" s="2"/>
      <c r="C3" s="5" t="s">
        <v>31</v>
      </c>
      <c r="D3" s="5" t="s">
        <v>0</v>
      </c>
      <c r="E3" s="6">
        <v>-715.46342549999997</v>
      </c>
      <c r="F3" s="6">
        <v>0.39221600000000001</v>
      </c>
      <c r="G3" s="6">
        <v>-717.61831653700006</v>
      </c>
      <c r="H3" s="6">
        <v>-717.61665958200001</v>
      </c>
      <c r="I3" s="44">
        <f t="shared" ref="I3:I6" si="0">(G3-H3)</f>
        <v>-1.6569550000440358E-3</v>
      </c>
      <c r="J3" s="7">
        <f t="shared" ref="J3:J4" si="1">(E3+F3+I3)*627.507 + (1.89)</f>
        <v>-448711.33921057766</v>
      </c>
      <c r="K3" s="7">
        <f>(J3-MIN(J$3:J$4))</f>
        <v>0.12059994274750352</v>
      </c>
      <c r="L3" s="7">
        <f t="shared" ref="L3:L6" si="2">EXP(-K3*1000/(1.987*298))</f>
        <v>0.81572925841264066</v>
      </c>
      <c r="M3" s="8">
        <f>(L3/(SUM(L$3:L$4))*100)</f>
        <v>44.92570985642282</v>
      </c>
    </row>
    <row r="4" spans="1:13" x14ac:dyDescent="0.2">
      <c r="A4" s="26" t="s">
        <v>115</v>
      </c>
      <c r="B4" s="2"/>
      <c r="C4" s="5" t="s">
        <v>32</v>
      </c>
      <c r="D4" s="5" t="s">
        <v>0</v>
      </c>
      <c r="E4" s="6">
        <v>-715.46346840000001</v>
      </c>
      <c r="F4" s="6">
        <v>0.392073</v>
      </c>
      <c r="G4" s="6">
        <v>-717.61829608699998</v>
      </c>
      <c r="H4" s="6">
        <v>-717.61663284300005</v>
      </c>
      <c r="I4" s="44">
        <f t="shared" si="0"/>
        <v>-1.6632439999284543E-3</v>
      </c>
      <c r="J4" s="7">
        <f t="shared" si="1"/>
        <v>-448711.45981052041</v>
      </c>
      <c r="K4" s="7">
        <f>(J4-MIN(J$3:J$4))</f>
        <v>0</v>
      </c>
      <c r="L4" s="7">
        <f t="shared" si="2"/>
        <v>1</v>
      </c>
      <c r="M4" s="8">
        <f>(L4/(SUM(L$3:L$4))*100)</f>
        <v>55.074290143577173</v>
      </c>
    </row>
    <row r="5" spans="1:13" x14ac:dyDescent="0.2">
      <c r="A5" s="25" t="s">
        <v>114</v>
      </c>
      <c r="B5" s="2"/>
      <c r="C5" s="10" t="s">
        <v>40</v>
      </c>
      <c r="D5" s="10" t="s">
        <v>17</v>
      </c>
      <c r="E5" s="23">
        <v>-715.46355349999999</v>
      </c>
      <c r="F5" s="23">
        <v>0.39301999999999998</v>
      </c>
      <c r="G5" s="23">
        <v>-717.63086199400004</v>
      </c>
      <c r="H5" s="23">
        <v>-717.61590581899998</v>
      </c>
      <c r="I5" s="45">
        <f t="shared" si="0"/>
        <v>-1.4956175000065741E-2</v>
      </c>
      <c r="J5" s="13">
        <f t="shared" ref="J5:J6" si="3">(E5+F5+I5)*627.507 + (1.89)</f>
        <v>-448719.26036949025</v>
      </c>
      <c r="K5" s="13">
        <f>(J5-MIN(J$5:J$6))</f>
        <v>2.5688253983389586E-2</v>
      </c>
      <c r="L5" s="13">
        <f t="shared" si="2"/>
        <v>0.95754449660653473</v>
      </c>
      <c r="M5" s="14">
        <f>(L5/(SUM(L$5:L$6))*100)</f>
        <v>48.915592890300495</v>
      </c>
    </row>
    <row r="6" spans="1:13" x14ac:dyDescent="0.2">
      <c r="A6" s="25" t="s">
        <v>114</v>
      </c>
      <c r="B6" s="2"/>
      <c r="C6" s="10" t="s">
        <v>41</v>
      </c>
      <c r="D6" s="10" t="s">
        <v>17</v>
      </c>
      <c r="E6" s="23">
        <v>-715.4635912</v>
      </c>
      <c r="F6" s="23">
        <v>0.393013</v>
      </c>
      <c r="G6" s="23">
        <v>-717.63086595599998</v>
      </c>
      <c r="H6" s="23">
        <v>-717.61591354400002</v>
      </c>
      <c r="I6" s="45">
        <f t="shared" si="0"/>
        <v>-1.4952411999956894E-2</v>
      </c>
      <c r="J6" s="13">
        <f t="shared" si="3"/>
        <v>-448719.28605774423</v>
      </c>
      <c r="K6" s="13">
        <f>(J6-MIN(J$5:J$6))</f>
        <v>0</v>
      </c>
      <c r="L6" s="13">
        <f t="shared" si="2"/>
        <v>1</v>
      </c>
      <c r="M6" s="14">
        <f>(L6/(SUM(L$5:L$6))*100)</f>
        <v>51.084407109699505</v>
      </c>
    </row>
    <row r="8" spans="1:13" x14ac:dyDescent="0.2">
      <c r="B8" s="1" t="s">
        <v>0</v>
      </c>
      <c r="C8" s="17">
        <f>(MIN(J3:J4))-(1.987*298*LN(SUM(L3:L4)))/1000</f>
        <v>-448711.81300608971</v>
      </c>
    </row>
    <row r="9" spans="1:13" x14ac:dyDescent="0.2">
      <c r="B9" s="16" t="s">
        <v>17</v>
      </c>
      <c r="C9" s="18">
        <f>(MIN(J5:J6))-(1.987*298*LN(SUM(L5:L6)))/1000</f>
        <v>-448719.68378337822</v>
      </c>
    </row>
    <row r="10" spans="1:13" x14ac:dyDescent="0.2">
      <c r="B10" s="15" t="s">
        <v>21</v>
      </c>
      <c r="C10" s="19">
        <f>(C8-C9)/1.37</f>
        <v>5.7450929113211666</v>
      </c>
    </row>
    <row r="11" spans="1:13" x14ac:dyDescent="0.2">
      <c r="B11" s="20" t="s">
        <v>22</v>
      </c>
      <c r="C11" s="9">
        <v>4.6900000000000004</v>
      </c>
    </row>
    <row r="12" spans="1:13" x14ac:dyDescent="0.2">
      <c r="B12" s="21" t="s">
        <v>23</v>
      </c>
      <c r="C12" s="22">
        <f>C10-C11</f>
        <v>1.0550929113211662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5D7F-21B6-F94C-AC0F-C9CE27E1D733}">
  <dimension ref="A1:M20"/>
  <sheetViews>
    <sheetView topLeftCell="C1" workbookViewId="0">
      <selection activeCell="E7" sqref="E7:J7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7.6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"/>
      <c r="C3" s="5" t="s">
        <v>42</v>
      </c>
      <c r="D3" s="5" t="s">
        <v>0</v>
      </c>
      <c r="E3" s="6">
        <v>-701.64937010000006</v>
      </c>
      <c r="F3" s="6">
        <v>0.13003300000000001</v>
      </c>
      <c r="G3" s="6">
        <v>-703.03470073200003</v>
      </c>
      <c r="H3" s="6">
        <v>-703.02325337900004</v>
      </c>
      <c r="I3" s="43">
        <f t="shared" ref="I3:I14" si="0">(G3-H3)</f>
        <v>-1.1447352999994109E-2</v>
      </c>
      <c r="J3" s="7">
        <f t="shared" ref="J3:J4" si="1">(E3+F3+I3)*627.507 + (1.89)</f>
        <v>-440213.58795974863</v>
      </c>
      <c r="K3" s="7">
        <f t="shared" ref="K3:K8" si="2">(J3-MIN(J$3:J$8))</f>
        <v>0</v>
      </c>
      <c r="L3" s="7">
        <f t="shared" ref="L3:L4" si="3">EXP(-K3*1000/(1.987*298))</f>
        <v>1</v>
      </c>
      <c r="M3" s="8">
        <f t="shared" ref="M3:M8" si="4">(L3/(SUM(L$3:L$8))*100)</f>
        <v>23.677364119981529</v>
      </c>
    </row>
    <row r="4" spans="1:13" x14ac:dyDescent="0.2">
      <c r="A4" s="25" t="s">
        <v>114</v>
      </c>
      <c r="B4" s="2"/>
      <c r="C4" s="5" t="s">
        <v>43</v>
      </c>
      <c r="D4" s="5" t="s">
        <v>0</v>
      </c>
      <c r="E4" s="6">
        <v>-701.64802020000002</v>
      </c>
      <c r="F4" s="6">
        <v>0.13014200000000001</v>
      </c>
      <c r="G4" s="6">
        <v>-703.03468119299998</v>
      </c>
      <c r="H4" s="6">
        <v>-703.02221718600003</v>
      </c>
      <c r="I4" s="43">
        <f t="shared" si="0"/>
        <v>-1.2464006999948651E-2</v>
      </c>
      <c r="J4" s="7">
        <f t="shared" si="1"/>
        <v>-440213.31044728792</v>
      </c>
      <c r="K4" s="7">
        <f t="shared" si="2"/>
        <v>0.2775124607142061</v>
      </c>
      <c r="L4" s="7">
        <f t="shared" si="3"/>
        <v>0.62583326229740566</v>
      </c>
      <c r="M4" s="8">
        <f t="shared" si="4"/>
        <v>14.818082029811583</v>
      </c>
    </row>
    <row r="5" spans="1:13" x14ac:dyDescent="0.2">
      <c r="A5" s="25" t="s">
        <v>114</v>
      </c>
      <c r="B5" s="2"/>
      <c r="C5" s="5" t="s">
        <v>44</v>
      </c>
      <c r="D5" s="5" t="s">
        <v>0</v>
      </c>
      <c r="E5" s="6">
        <v>-701.64752329999999</v>
      </c>
      <c r="F5" s="6">
        <v>0.129802</v>
      </c>
      <c r="G5" s="6">
        <v>-703.03474987200002</v>
      </c>
      <c r="H5" s="6">
        <v>-703.02238903399996</v>
      </c>
      <c r="I5" s="43">
        <f t="shared" si="0"/>
        <v>-1.2360838000063268E-2</v>
      </c>
      <c r="J5" s="7">
        <f>(E5+F5+I5)*627.507 + (1.89)</f>
        <v>-440213.1472521699</v>
      </c>
      <c r="K5" s="7">
        <f t="shared" si="2"/>
        <v>0.44070757873123512</v>
      </c>
      <c r="L5" s="7">
        <f>EXP(-K5*1000/(1.987*298))</f>
        <v>0.47507620006391016</v>
      </c>
      <c r="M5" s="8">
        <f t="shared" si="4"/>
        <v>11.248552173650394</v>
      </c>
    </row>
    <row r="6" spans="1:13" x14ac:dyDescent="0.2">
      <c r="A6" s="25" t="s">
        <v>114</v>
      </c>
      <c r="B6" s="2"/>
      <c r="C6" s="5" t="s">
        <v>45</v>
      </c>
      <c r="D6" s="5" t="s">
        <v>0</v>
      </c>
      <c r="E6" s="6">
        <v>-701.64802329999998</v>
      </c>
      <c r="F6" s="6">
        <v>0.12990099999999999</v>
      </c>
      <c r="G6" s="6">
        <v>-703.03480114900003</v>
      </c>
      <c r="H6" s="6">
        <v>-703.022857337</v>
      </c>
      <c r="I6" s="43">
        <f t="shared" si="0"/>
        <v>-1.194381200002681E-2</v>
      </c>
      <c r="J6" s="7">
        <f t="shared" ref="J6:J14" si="5">(E6+F6+I6)*627.507 + (1.89)</f>
        <v>-440213.13719574275</v>
      </c>
      <c r="K6" s="7">
        <f t="shared" si="2"/>
        <v>0.45076400588732213</v>
      </c>
      <c r="L6" s="7">
        <f t="shared" ref="L6:L14" si="6">EXP(-K6*1000/(1.987*298))</f>
        <v>0.4670758289314233</v>
      </c>
      <c r="M6" s="8">
        <f t="shared" si="4"/>
        <v>11.059124473251511</v>
      </c>
    </row>
    <row r="7" spans="1:13" x14ac:dyDescent="0.2">
      <c r="A7" s="25" t="s">
        <v>114</v>
      </c>
      <c r="B7" s="2"/>
      <c r="C7" s="5" t="s">
        <v>46</v>
      </c>
      <c r="D7" s="5" t="s">
        <v>0</v>
      </c>
      <c r="E7" s="6">
        <v>-701.64677810000001</v>
      </c>
      <c r="F7" s="6">
        <v>0.12987699999999999</v>
      </c>
      <c r="G7" s="6">
        <v>-703.03468848199998</v>
      </c>
      <c r="H7" s="6">
        <v>-703.02099569400002</v>
      </c>
      <c r="I7" s="43">
        <f t="shared" si="0"/>
        <v>-1.3692787999957545E-2</v>
      </c>
      <c r="J7" s="7">
        <f t="shared" si="5"/>
        <v>-440213.46837887715</v>
      </c>
      <c r="K7" s="7">
        <f t="shared" si="2"/>
        <v>0.11958087148377672</v>
      </c>
      <c r="L7" s="7">
        <f t="shared" si="6"/>
        <v>0.81713436812633577</v>
      </c>
      <c r="M7" s="8">
        <f t="shared" si="4"/>
        <v>19.34758796907828</v>
      </c>
    </row>
    <row r="8" spans="1:13" x14ac:dyDescent="0.2">
      <c r="A8" s="25" t="s">
        <v>114</v>
      </c>
      <c r="B8" s="2"/>
      <c r="C8" s="5" t="s">
        <v>47</v>
      </c>
      <c r="D8" s="5" t="s">
        <v>0</v>
      </c>
      <c r="E8" s="6">
        <v>-701.64937989999999</v>
      </c>
      <c r="F8" s="6">
        <v>0.13020999999999999</v>
      </c>
      <c r="G8" s="6">
        <v>-703.03469651399996</v>
      </c>
      <c r="H8" s="6">
        <v>-703.02324836900004</v>
      </c>
      <c r="I8" s="43">
        <f t="shared" si="0"/>
        <v>-1.1448144999917531E-2</v>
      </c>
      <c r="J8" s="7">
        <f t="shared" si="5"/>
        <v>-440213.4835375637</v>
      </c>
      <c r="K8" s="7">
        <f t="shared" si="2"/>
        <v>0.10442218492971733</v>
      </c>
      <c r="L8" s="7">
        <f t="shared" si="6"/>
        <v>0.83832343556670275</v>
      </c>
      <c r="M8" s="8">
        <f t="shared" si="4"/>
        <v>19.849289234226696</v>
      </c>
    </row>
    <row r="9" spans="1:13" x14ac:dyDescent="0.2">
      <c r="A9" s="25" t="s">
        <v>114</v>
      </c>
      <c r="B9" s="2"/>
      <c r="C9" s="10" t="s">
        <v>48</v>
      </c>
      <c r="D9" s="10" t="s">
        <v>17</v>
      </c>
      <c r="E9" s="23">
        <v>-701.64932820000001</v>
      </c>
      <c r="F9" s="23">
        <v>0.13021099999999999</v>
      </c>
      <c r="G9" s="23">
        <v>-703.03578121700002</v>
      </c>
      <c r="H9" s="23">
        <v>-703.023374601</v>
      </c>
      <c r="I9" s="23">
        <f t="shared" si="0"/>
        <v>-1.2406616000021131E-2</v>
      </c>
      <c r="J9" s="12">
        <f t="shared" si="5"/>
        <v>-440214.05191520666</v>
      </c>
      <c r="K9" s="13">
        <f t="shared" ref="K9:K14" si="7">(J9-MIN(J$9:J$14))</f>
        <v>0</v>
      </c>
      <c r="L9" s="13">
        <f t="shared" si="6"/>
        <v>1</v>
      </c>
      <c r="M9" s="14">
        <f t="shared" ref="M9:M14" si="8">(L9/(SUM(L$9:L$14))*100)</f>
        <v>30.939296462157561</v>
      </c>
    </row>
    <row r="10" spans="1:13" x14ac:dyDescent="0.2">
      <c r="A10" s="25" t="s">
        <v>114</v>
      </c>
      <c r="B10" s="2"/>
      <c r="C10" s="10" t="s">
        <v>49</v>
      </c>
      <c r="D10" s="10" t="s">
        <v>17</v>
      </c>
      <c r="E10" s="23">
        <v>-701.64918790000002</v>
      </c>
      <c r="F10" s="23">
        <v>0.130802</v>
      </c>
      <c r="G10" s="23">
        <v>-703.03630201500005</v>
      </c>
      <c r="H10" s="23">
        <v>-703.02467539400004</v>
      </c>
      <c r="I10" s="23">
        <f t="shared" si="0"/>
        <v>-1.1626621000004889E-2</v>
      </c>
      <c r="J10" s="12">
        <f t="shared" si="5"/>
        <v>-440213.10356701509</v>
      </c>
      <c r="K10" s="13">
        <f t="shared" si="7"/>
        <v>0.94834819156676531</v>
      </c>
      <c r="L10" s="13">
        <f t="shared" si="6"/>
        <v>0.20157401761035829</v>
      </c>
      <c r="M10" s="14">
        <f t="shared" si="8"/>
        <v>6.2365582899150445</v>
      </c>
    </row>
    <row r="11" spans="1:13" x14ac:dyDescent="0.2">
      <c r="A11" s="25" t="s">
        <v>114</v>
      </c>
      <c r="B11" s="2"/>
      <c r="C11" s="10" t="s">
        <v>50</v>
      </c>
      <c r="D11" s="10" t="s">
        <v>17</v>
      </c>
      <c r="E11" s="23">
        <v>-701.64753829999995</v>
      </c>
      <c r="F11" s="23">
        <v>0.12989400000000001</v>
      </c>
      <c r="G11" s="23">
        <v>-703.03554900300003</v>
      </c>
      <c r="H11" s="23">
        <v>-703.02255534300002</v>
      </c>
      <c r="I11" s="23">
        <f t="shared" si="0"/>
        <v>-1.2993660000006457E-2</v>
      </c>
      <c r="J11" s="12">
        <f t="shared" si="5"/>
        <v>-440213.49603436561</v>
      </c>
      <c r="K11" s="13">
        <f t="shared" si="7"/>
        <v>0.55588084104238078</v>
      </c>
      <c r="L11" s="13">
        <f t="shared" si="6"/>
        <v>0.39110152516913299</v>
      </c>
      <c r="M11" s="14">
        <f t="shared" si="8"/>
        <v>12.100406034009783</v>
      </c>
    </row>
    <row r="12" spans="1:13" x14ac:dyDescent="0.2">
      <c r="A12" s="25" t="s">
        <v>114</v>
      </c>
      <c r="B12" s="2"/>
      <c r="C12" s="10" t="s">
        <v>51</v>
      </c>
      <c r="D12" s="10" t="s">
        <v>17</v>
      </c>
      <c r="E12" s="23">
        <v>-701.64791360000004</v>
      </c>
      <c r="F12" s="23">
        <v>0.13009100000000001</v>
      </c>
      <c r="G12" s="23">
        <v>-703.03571124300004</v>
      </c>
      <c r="H12" s="23">
        <v>-703.02292247299999</v>
      </c>
      <c r="I12" s="23">
        <f t="shared" si="0"/>
        <v>-1.2788770000042859E-2</v>
      </c>
      <c r="J12" s="12">
        <f t="shared" si="5"/>
        <v>-440213.47934895457</v>
      </c>
      <c r="K12" s="13">
        <f t="shared" si="7"/>
        <v>0.57256625208538026</v>
      </c>
      <c r="L12" s="13">
        <f t="shared" si="6"/>
        <v>0.38023457428268037</v>
      </c>
      <c r="M12" s="14">
        <f t="shared" si="8"/>
        <v>11.76419021889412</v>
      </c>
    </row>
    <row r="13" spans="1:13" x14ac:dyDescent="0.2">
      <c r="A13" s="25" t="s">
        <v>114</v>
      </c>
      <c r="B13" s="2"/>
      <c r="C13" s="10" t="s">
        <v>52</v>
      </c>
      <c r="D13" s="10" t="s">
        <v>17</v>
      </c>
      <c r="E13" s="23">
        <v>-701.64668859999995</v>
      </c>
      <c r="F13" s="23">
        <v>0.129883</v>
      </c>
      <c r="G13" s="23">
        <v>-703.03488046899997</v>
      </c>
      <c r="H13" s="23">
        <v>-703.021088803</v>
      </c>
      <c r="I13" s="23">
        <f t="shared" si="0"/>
        <v>-1.3791665999974612E-2</v>
      </c>
      <c r="J13" s="12">
        <f t="shared" si="5"/>
        <v>-440213.47049859579</v>
      </c>
      <c r="K13" s="13">
        <f t="shared" si="7"/>
        <v>0.58141661086119711</v>
      </c>
      <c r="L13" s="13">
        <f t="shared" si="6"/>
        <v>0.37459356587764076</v>
      </c>
      <c r="M13" s="14">
        <f t="shared" si="8"/>
        <v>11.589661387505076</v>
      </c>
    </row>
    <row r="14" spans="1:13" x14ac:dyDescent="0.2">
      <c r="A14" s="25" t="s">
        <v>114</v>
      </c>
      <c r="B14" s="2"/>
      <c r="C14" s="10" t="s">
        <v>53</v>
      </c>
      <c r="D14" s="10" t="s">
        <v>17</v>
      </c>
      <c r="E14" s="23">
        <v>-701.64933159999998</v>
      </c>
      <c r="F14" s="23">
        <v>0.130328</v>
      </c>
      <c r="G14" s="23">
        <v>-703.03577503400004</v>
      </c>
      <c r="H14" s="23">
        <v>-703.02337049000005</v>
      </c>
      <c r="I14" s="23">
        <f t="shared" si="0"/>
        <v>-1.2404543999991802E-2</v>
      </c>
      <c r="J14" s="12">
        <f t="shared" si="5"/>
        <v>-440213.97933021694</v>
      </c>
      <c r="K14" s="13">
        <f t="shared" si="7"/>
        <v>7.258498971350491E-2</v>
      </c>
      <c r="L14" s="13">
        <f t="shared" si="6"/>
        <v>0.88463186746974132</v>
      </c>
      <c r="M14" s="14">
        <f t="shared" si="8"/>
        <v>27.369887607518407</v>
      </c>
    </row>
    <row r="16" spans="1:13" x14ac:dyDescent="0.2">
      <c r="B16" s="1" t="s">
        <v>0</v>
      </c>
      <c r="C16" s="17">
        <f>(MIN(J3:J8))-(1.987*298*LN(SUM(L3:L8)))/1000</f>
        <v>-440214.44100648188</v>
      </c>
    </row>
    <row r="17" spans="2:3" x14ac:dyDescent="0.2">
      <c r="B17" s="16" t="s">
        <v>17</v>
      </c>
      <c r="C17" s="18">
        <f>(MIN(J9:J14))-(1.987*298*LN(SUM(L9:L14)))/1000</f>
        <v>-440214.74656372599</v>
      </c>
    </row>
    <row r="18" spans="2:3" x14ac:dyDescent="0.2">
      <c r="B18" s="15" t="s">
        <v>21</v>
      </c>
      <c r="C18" s="19">
        <f>(C16-C17)/1.37</f>
        <v>0.22303448475040766</v>
      </c>
    </row>
    <row r="19" spans="2:3" x14ac:dyDescent="0.2">
      <c r="B19" s="20" t="s">
        <v>22</v>
      </c>
      <c r="C19" s="9">
        <v>0.16</v>
      </c>
    </row>
    <row r="20" spans="2:3" x14ac:dyDescent="0.2">
      <c r="B20" s="21" t="s">
        <v>23</v>
      </c>
      <c r="C20" s="22">
        <f>C18-C19</f>
        <v>6.3034484750407654E-2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271E-704C-4949-B1D6-3F97F9C0DFA7}">
  <dimension ref="A1:M18"/>
  <sheetViews>
    <sheetView workbookViewId="0">
      <selection activeCell="E7" sqref="E7:J7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3.332031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"/>
      <c r="C3" s="5" t="s">
        <v>54</v>
      </c>
      <c r="D3" s="5" t="s">
        <v>0</v>
      </c>
      <c r="E3" s="6">
        <v>-232.97366600000001</v>
      </c>
      <c r="F3" s="6">
        <v>0.137706</v>
      </c>
      <c r="G3" s="6">
        <v>-233.663616061</v>
      </c>
      <c r="H3" s="6">
        <v>-233.66108660899999</v>
      </c>
      <c r="I3" s="44">
        <f>(G3-H3)</f>
        <v>-2.5294520000045395E-3</v>
      </c>
      <c r="J3" s="7">
        <f t="shared" ref="J3:J4" si="0">(E3+F3+I3)*627.507 + (1.89)</f>
        <v>-146105.89200055614</v>
      </c>
      <c r="K3" s="7">
        <f>(J3-MIN(J$3:J$7))</f>
        <v>1.3519763816439081</v>
      </c>
      <c r="L3" s="7">
        <f t="shared" ref="L3:L4" si="1">EXP(-K3*1000/(1.987*298))</f>
        <v>0.10195151475677393</v>
      </c>
      <c r="M3" s="8">
        <f>(L3/(SUM(L$3:L$7))*100)</f>
        <v>7.2375521242822396</v>
      </c>
    </row>
    <row r="4" spans="1:13" x14ac:dyDescent="0.2">
      <c r="A4" s="25" t="s">
        <v>114</v>
      </c>
      <c r="B4" s="2"/>
      <c r="C4" s="5" t="s">
        <v>55</v>
      </c>
      <c r="D4" s="5" t="s">
        <v>0</v>
      </c>
      <c r="E4" s="6">
        <v>-232.97368130000001</v>
      </c>
      <c r="F4" s="6">
        <v>0.137651</v>
      </c>
      <c r="G4" s="6">
        <v>-233.663568322</v>
      </c>
      <c r="H4" s="6">
        <v>-233.66105243600001</v>
      </c>
      <c r="I4" s="44">
        <f t="shared" ref="I4:I12" si="2">(G4-H4)</f>
        <v>-2.5158859999976357E-3</v>
      </c>
      <c r="J4" s="7">
        <f t="shared" si="0"/>
        <v>-146105.92760153828</v>
      </c>
      <c r="K4" s="7">
        <f>(J4-MIN(J$3:J$7))</f>
        <v>1.3163753995031584</v>
      </c>
      <c r="L4" s="7">
        <f t="shared" si="1"/>
        <v>0.10826926863019526</v>
      </c>
      <c r="M4" s="8">
        <f>(L4/(SUM(L$3:L$7))*100)</f>
        <v>7.6860503449939124</v>
      </c>
    </row>
    <row r="5" spans="1:13" x14ac:dyDescent="0.2">
      <c r="A5" s="25" t="s">
        <v>114</v>
      </c>
      <c r="B5" s="2"/>
      <c r="C5" s="5" t="s">
        <v>56</v>
      </c>
      <c r="D5" s="5" t="s">
        <v>0</v>
      </c>
      <c r="E5" s="6">
        <v>-232.9757031</v>
      </c>
      <c r="F5" s="6">
        <v>0.13731499999999999</v>
      </c>
      <c r="G5" s="6">
        <v>-233.66559215500001</v>
      </c>
      <c r="H5" s="6">
        <v>-233.66333628300001</v>
      </c>
      <c r="I5" s="44">
        <f t="shared" si="2"/>
        <v>-2.2558720000063204E-3</v>
      </c>
      <c r="J5" s="7">
        <f>(E5+F5+I5)*627.507 + (1.89)</f>
        <v>-146107.24397693778</v>
      </c>
      <c r="K5" s="7">
        <f>(J5-MIN(J$3:J$7))</f>
        <v>0</v>
      </c>
      <c r="L5" s="7">
        <f>EXP(-K5*1000/(1.987*298))</f>
        <v>1</v>
      </c>
      <c r="M5" s="8">
        <f>(L5/(SUM(L$3:L$7))*100)</f>
        <v>70.990138219612447</v>
      </c>
    </row>
    <row r="6" spans="1:13" x14ac:dyDescent="0.2">
      <c r="A6" s="25" t="s">
        <v>114</v>
      </c>
      <c r="B6" s="2"/>
      <c r="C6" s="5" t="s">
        <v>57</v>
      </c>
      <c r="D6" s="5" t="s">
        <v>0</v>
      </c>
      <c r="E6" s="6">
        <v>-232.97365679999999</v>
      </c>
      <c r="F6" s="6">
        <v>0.137687</v>
      </c>
      <c r="G6" s="6">
        <v>-233.66354525</v>
      </c>
      <c r="H6" s="6">
        <v>-233.661022901</v>
      </c>
      <c r="I6" s="44">
        <f t="shared" si="2"/>
        <v>-2.5223490000030324E-3</v>
      </c>
      <c r="J6" s="7">
        <f t="shared" ref="J6:J12" si="3">(E6+F6+I6)*627.507 + (1.89)</f>
        <v>-146105.89369294251</v>
      </c>
      <c r="K6" s="7">
        <f>(J6-MIN(J$3:J$7))</f>
        <v>1.3502839952707291</v>
      </c>
      <c r="L6" s="7">
        <f t="shared" ref="L6:L12" si="4">EXP(-K6*1000/(1.987*298))</f>
        <v>0.10224332454747721</v>
      </c>
      <c r="M6" s="8">
        <f>(L6/(SUM(L$3:L$7))*100)</f>
        <v>7.258267741658103</v>
      </c>
    </row>
    <row r="7" spans="1:13" x14ac:dyDescent="0.2">
      <c r="A7" s="25" t="s">
        <v>114</v>
      </c>
      <c r="B7" s="2"/>
      <c r="C7" s="5" t="s">
        <v>58</v>
      </c>
      <c r="D7" s="5" t="s">
        <v>0</v>
      </c>
      <c r="E7" s="6">
        <v>-232.97370119999999</v>
      </c>
      <c r="F7" s="6">
        <v>0.13780200000000001</v>
      </c>
      <c r="G7" s="6">
        <v>-233.66360033800001</v>
      </c>
      <c r="H7" s="6">
        <v>-233.66106505400001</v>
      </c>
      <c r="I7" s="44">
        <f t="shared" si="2"/>
        <v>-2.5352840000039123E-3</v>
      </c>
      <c r="J7" s="7">
        <f t="shared" si="3"/>
        <v>-146105.85750775135</v>
      </c>
      <c r="K7" s="7">
        <f>(J7-MIN(J$3:J$7))</f>
        <v>1.3864691864291672</v>
      </c>
      <c r="L7" s="7">
        <f t="shared" si="4"/>
        <v>9.6182254897581324E-2</v>
      </c>
      <c r="M7" s="8">
        <f>(L7/(SUM(L$3:L$7))*100)</f>
        <v>6.827991569453296</v>
      </c>
    </row>
    <row r="8" spans="1:13" x14ac:dyDescent="0.2">
      <c r="A8" s="25" t="s">
        <v>114</v>
      </c>
      <c r="B8" s="2"/>
      <c r="C8" s="10" t="s">
        <v>59</v>
      </c>
      <c r="D8" s="10" t="s">
        <v>17</v>
      </c>
      <c r="E8" s="23">
        <v>-232.97359969999999</v>
      </c>
      <c r="F8" s="23">
        <v>0.13789899999999999</v>
      </c>
      <c r="G8" s="23">
        <v>-233.66648801700001</v>
      </c>
      <c r="H8" s="23">
        <v>-233.66110887100001</v>
      </c>
      <c r="I8" s="23">
        <f t="shared" si="2"/>
        <v>-5.3791459999956714E-3</v>
      </c>
      <c r="J8" s="13">
        <f t="shared" si="3"/>
        <v>-146107.5174909239</v>
      </c>
      <c r="K8" s="13">
        <f>(J8-MIN(J$8:J$12))</f>
        <v>1.4527571433864068</v>
      </c>
      <c r="L8" s="13">
        <f t="shared" si="4"/>
        <v>8.5995572026647857E-2</v>
      </c>
      <c r="M8" s="14">
        <f>(L8/(SUM(L$8:L$12))*100)</f>
        <v>6.3860360195403656</v>
      </c>
    </row>
    <row r="9" spans="1:13" x14ac:dyDescent="0.2">
      <c r="A9" s="25" t="s">
        <v>114</v>
      </c>
      <c r="B9" s="2"/>
      <c r="C9" s="10" t="s">
        <v>60</v>
      </c>
      <c r="D9" s="10" t="s">
        <v>17</v>
      </c>
      <c r="E9" s="23">
        <v>-232.9735901</v>
      </c>
      <c r="F9" s="23">
        <v>0.13780000000000001</v>
      </c>
      <c r="G9" s="23">
        <v>-233.66641172800001</v>
      </c>
      <c r="H9" s="23">
        <v>-233.66104735900001</v>
      </c>
      <c r="I9" s="23">
        <f t="shared" si="2"/>
        <v>-5.3643690000058086E-3</v>
      </c>
      <c r="J9" s="13">
        <f t="shared" si="3"/>
        <v>-146107.56431737877</v>
      </c>
      <c r="K9" s="13">
        <f>(J9-MIN(J$8:J$12))</f>
        <v>1.405930688517401</v>
      </c>
      <c r="L9" s="13">
        <f t="shared" si="4"/>
        <v>9.3072402947479413E-2</v>
      </c>
      <c r="M9" s="14">
        <f>(L9/(SUM(L$8:L$12))*100)</f>
        <v>6.9115618820885345</v>
      </c>
    </row>
    <row r="10" spans="1:13" x14ac:dyDescent="0.2">
      <c r="A10" s="25" t="s">
        <v>114</v>
      </c>
      <c r="B10" s="2"/>
      <c r="C10" s="10" t="s">
        <v>61</v>
      </c>
      <c r="D10" s="10" t="s">
        <v>17</v>
      </c>
      <c r="E10" s="23">
        <v>-232.97562780000001</v>
      </c>
      <c r="F10" s="23">
        <v>0.137464</v>
      </c>
      <c r="G10" s="23">
        <v>-233.66860301700001</v>
      </c>
      <c r="H10" s="23">
        <v>-233.66337184599999</v>
      </c>
      <c r="I10" s="23">
        <f t="shared" si="2"/>
        <v>-5.2311710000196854E-3</v>
      </c>
      <c r="J10" s="13">
        <f t="shared" si="3"/>
        <v>-146108.97024806729</v>
      </c>
      <c r="K10" s="13">
        <f>(J10-MIN(J$8:J$12))</f>
        <v>0</v>
      </c>
      <c r="L10" s="13">
        <f t="shared" si="4"/>
        <v>1</v>
      </c>
      <c r="M10" s="14">
        <f>(L10/(SUM(L$8:L$12))*100)</f>
        <v>74.260056291752946</v>
      </c>
    </row>
    <row r="11" spans="1:13" x14ac:dyDescent="0.2">
      <c r="A11" s="25" t="s">
        <v>114</v>
      </c>
      <c r="B11" s="2"/>
      <c r="C11" s="10" t="s">
        <v>62</v>
      </c>
      <c r="D11" s="10" t="s">
        <v>17</v>
      </c>
      <c r="E11" s="23">
        <v>-232.9735599</v>
      </c>
      <c r="F11" s="23">
        <v>0.137847</v>
      </c>
      <c r="G11" s="23">
        <v>-233.66637023000001</v>
      </c>
      <c r="H11" s="23">
        <v>-233.661006708</v>
      </c>
      <c r="I11" s="23">
        <f t="shared" si="2"/>
        <v>-5.3635220000103345E-3</v>
      </c>
      <c r="J11" s="13">
        <f t="shared" si="3"/>
        <v>-146107.51534233993</v>
      </c>
      <c r="K11" s="13">
        <f>(J11-MIN(J$8:J$12))</f>
        <v>1.454905727354344</v>
      </c>
      <c r="L11" s="13">
        <f t="shared" si="4"/>
        <v>8.5684094592294438E-2</v>
      </c>
      <c r="M11" s="14">
        <f>(L11/(SUM(L$8:L$12))*100)</f>
        <v>6.3629056877316694</v>
      </c>
    </row>
    <row r="12" spans="1:13" x14ac:dyDescent="0.2">
      <c r="A12" s="25" t="s">
        <v>114</v>
      </c>
      <c r="B12" s="2"/>
      <c r="C12" s="10" t="s">
        <v>63</v>
      </c>
      <c r="D12" s="10" t="s">
        <v>17</v>
      </c>
      <c r="E12" s="23">
        <v>-232.97363669999999</v>
      </c>
      <c r="F12" s="23">
        <v>0.13798199999999999</v>
      </c>
      <c r="G12" s="23">
        <v>-233.66646046700001</v>
      </c>
      <c r="H12" s="23">
        <v>-233.66108174799999</v>
      </c>
      <c r="I12" s="23">
        <f t="shared" si="2"/>
        <v>-5.3787190000207374E-3</v>
      </c>
      <c r="J12" s="13">
        <f t="shared" si="3"/>
        <v>-146107.4883576564</v>
      </c>
      <c r="K12" s="13">
        <f>(J12-MIN(J$8:J$12))</f>
        <v>1.4818904108833522</v>
      </c>
      <c r="L12" s="13">
        <f t="shared" si="4"/>
        <v>8.1866893488493464E-2</v>
      </c>
      <c r="M12" s="14">
        <f>(L12/(SUM(L$8:L$12))*100)</f>
        <v>6.0794401188864677</v>
      </c>
    </row>
    <row r="14" spans="1:13" x14ac:dyDescent="0.2">
      <c r="B14" s="1" t="s">
        <v>0</v>
      </c>
      <c r="C14" s="17">
        <f>(MIN(J3:J7))-(1.987*298*LN(SUM(L3:L7)))/1000</f>
        <v>-146107.44685660547</v>
      </c>
    </row>
    <row r="15" spans="1:13" x14ac:dyDescent="0.2">
      <c r="B15" s="16" t="s">
        <v>17</v>
      </c>
      <c r="C15" s="18">
        <f>(MIN(J8:J12))-(1.987*298*LN(SUM(L8:L12)))/1000</f>
        <v>-146109.1464629762</v>
      </c>
    </row>
    <row r="16" spans="1:13" x14ac:dyDescent="0.2">
      <c r="B16" s="15" t="s">
        <v>21</v>
      </c>
      <c r="C16" s="19">
        <f>(C14-C15)/1.37</f>
        <v>1.2405885917765094</v>
      </c>
    </row>
    <row r="17" spans="2:3" x14ac:dyDescent="0.2">
      <c r="B17" s="20" t="s">
        <v>22</v>
      </c>
      <c r="C17" s="9">
        <v>0.89</v>
      </c>
    </row>
    <row r="18" spans="2:3" x14ac:dyDescent="0.2">
      <c r="B18" s="21" t="s">
        <v>23</v>
      </c>
      <c r="C18" s="22">
        <f>C16-C17</f>
        <v>0.35058859177650936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2E6F-22D5-FF47-B109-D8A8072257EF}">
  <dimension ref="A1:M24"/>
  <sheetViews>
    <sheetView workbookViewId="0">
      <selection activeCell="E10" sqref="E10:J10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3.332031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" t="s">
        <v>130</v>
      </c>
      <c r="C3" s="5" t="s">
        <v>98</v>
      </c>
      <c r="D3" s="5" t="s">
        <v>0</v>
      </c>
      <c r="E3" s="6">
        <v>-729.63038319999998</v>
      </c>
      <c r="F3" s="6">
        <v>0.27512199999999998</v>
      </c>
      <c r="G3" s="6">
        <v>-731.68732919800004</v>
      </c>
      <c r="H3" s="6">
        <v>-731.667069427</v>
      </c>
      <c r="I3" s="43">
        <f t="shared" ref="I3:I17" si="0">(G3-H3)</f>
        <v>-2.0259771000041837E-2</v>
      </c>
      <c r="J3" s="7">
        <f t="shared" ref="J3:J4" si="1">(E3+F3+I3)*627.507 + (1.89)</f>
        <v>-457686.35503794928</v>
      </c>
      <c r="K3" s="7">
        <f>(J3-MIN(J$3:J$10))</f>
        <v>0.35051348758861423</v>
      </c>
      <c r="L3" s="7">
        <f t="shared" ref="L3:L4" si="2">EXP(-K3*1000/(1.987*298))</f>
        <v>0.55324319347770901</v>
      </c>
      <c r="M3" s="8">
        <f>(L3/(SUM(L$3:L$10))*100)</f>
        <v>11.994999891295453</v>
      </c>
    </row>
    <row r="4" spans="1:13" x14ac:dyDescent="0.2">
      <c r="A4" s="26" t="s">
        <v>115</v>
      </c>
      <c r="B4" s="2" t="s">
        <v>130</v>
      </c>
      <c r="C4" s="5" t="s">
        <v>99</v>
      </c>
      <c r="D4" s="5" t="s">
        <v>0</v>
      </c>
      <c r="E4" s="6">
        <v>-729.63046770000005</v>
      </c>
      <c r="F4" s="6">
        <v>0.27460600000000002</v>
      </c>
      <c r="G4" s="6">
        <v>-731.68744287300001</v>
      </c>
      <c r="H4" s="6">
        <v>-731.66722502100004</v>
      </c>
      <c r="I4" s="43">
        <f t="shared" si="0"/>
        <v>-2.0217851999973391E-2</v>
      </c>
      <c r="J4" s="7">
        <f t="shared" si="1"/>
        <v>-457686.70555143687</v>
      </c>
      <c r="K4" s="7">
        <f t="shared" ref="K4:K5" si="3">(J4-MIN(J$3:J$10))</f>
        <v>0</v>
      </c>
      <c r="L4" s="7">
        <f t="shared" si="2"/>
        <v>1</v>
      </c>
      <c r="M4" s="8">
        <f t="shared" ref="M4:M5" si="4">(L4/(SUM(L$3:L$10))*100)</f>
        <v>21.681242594046932</v>
      </c>
    </row>
    <row r="5" spans="1:13" x14ac:dyDescent="0.2">
      <c r="A5" s="26" t="s">
        <v>115</v>
      </c>
      <c r="B5" s="2" t="s">
        <v>131</v>
      </c>
      <c r="C5" s="5" t="s">
        <v>100</v>
      </c>
      <c r="D5" s="5" t="s">
        <v>0</v>
      </c>
      <c r="E5" s="6">
        <v>-729.63042010000004</v>
      </c>
      <c r="F5" s="6">
        <v>0.27481100000000003</v>
      </c>
      <c r="G5" s="6">
        <v>-731.68734137800004</v>
      </c>
      <c r="H5" s="6">
        <v>-731.667110396</v>
      </c>
      <c r="I5" s="43">
        <f t="shared" si="0"/>
        <v>-2.0230982000043696E-2</v>
      </c>
      <c r="J5" s="7">
        <f>(E5+F5+I5)*627.507 + (1.89)</f>
        <v>-457686.55528233555</v>
      </c>
      <c r="K5" s="7">
        <f t="shared" si="3"/>
        <v>0.15026910131564364</v>
      </c>
      <c r="L5" s="7">
        <f>EXP(-K5*1000/(1.987*298))</f>
        <v>0.77586330501004575</v>
      </c>
      <c r="M5" s="8">
        <f t="shared" si="4"/>
        <v>16.82168053574183</v>
      </c>
    </row>
    <row r="6" spans="1:13" x14ac:dyDescent="0.2">
      <c r="A6" s="25" t="s">
        <v>114</v>
      </c>
      <c r="B6" s="2" t="s">
        <v>131</v>
      </c>
      <c r="C6" s="5" t="s">
        <v>101</v>
      </c>
      <c r="D6" s="5" t="s">
        <v>0</v>
      </c>
      <c r="E6" s="6">
        <v>-729.62973829999999</v>
      </c>
      <c r="F6" s="6">
        <v>0.27559400000000001</v>
      </c>
      <c r="G6" s="6">
        <v>-731.68684760799999</v>
      </c>
      <c r="H6" s="6">
        <v>-731.66636156599998</v>
      </c>
      <c r="I6" s="43">
        <f t="shared" si="0"/>
        <v>-2.0486042000015914E-2</v>
      </c>
      <c r="J6" s="7">
        <f t="shared" ref="J6:J17" si="5">(E6+F6+I6)*627.507 + (1.89)</f>
        <v>-457685.79616201739</v>
      </c>
      <c r="K6" s="7">
        <f>(J6-MIN(J$3:J$10))</f>
        <v>0.90938941948115826</v>
      </c>
      <c r="L6" s="7">
        <f t="shared" ref="L6:L18" si="6">EXP(-K6*1000/(1.987*298))</f>
        <v>0.21528255616250916</v>
      </c>
      <c r="M6" s="8">
        <f>(L6/(SUM(L$3:L$10))*100)</f>
        <v>4.6675933264258944</v>
      </c>
    </row>
    <row r="7" spans="1:13" x14ac:dyDescent="0.2">
      <c r="A7" s="26" t="s">
        <v>115</v>
      </c>
      <c r="B7" s="2" t="s">
        <v>130</v>
      </c>
      <c r="C7" s="5" t="s">
        <v>102</v>
      </c>
      <c r="D7" s="5" t="s">
        <v>0</v>
      </c>
      <c r="E7" s="6">
        <v>-729.63038359999996</v>
      </c>
      <c r="F7" s="6">
        <v>0.27484900000000001</v>
      </c>
      <c r="G7" s="6">
        <v>-731.68732806100002</v>
      </c>
      <c r="H7" s="6">
        <v>-731.66707130700001</v>
      </c>
      <c r="I7" s="43">
        <f t="shared" si="0"/>
        <v>-2.025675400000182E-2</v>
      </c>
      <c r="J7" s="7">
        <f t="shared" si="5"/>
        <v>-457686.52470517438</v>
      </c>
      <c r="K7" s="7">
        <f>(J7-MIN(J$3:J$10))</f>
        <v>0.18084626249037683</v>
      </c>
      <c r="L7" s="7">
        <f t="shared" si="6"/>
        <v>0.73681491825864531</v>
      </c>
      <c r="M7" s="8">
        <f>(L7/(SUM(L$3:L$10))*100)</f>
        <v>15.975062989678552</v>
      </c>
    </row>
    <row r="8" spans="1:13" x14ac:dyDescent="0.2">
      <c r="A8" s="26" t="s">
        <v>115</v>
      </c>
      <c r="B8" s="2" t="s">
        <v>130</v>
      </c>
      <c r="C8" s="5" t="s">
        <v>103</v>
      </c>
      <c r="D8" s="5" t="s">
        <v>0</v>
      </c>
      <c r="E8" s="6">
        <v>-729.63031130000002</v>
      </c>
      <c r="F8" s="6">
        <v>0.27501300000000001</v>
      </c>
      <c r="G8" s="6">
        <v>-731.68727091200003</v>
      </c>
      <c r="H8" s="6">
        <v>-731.66696535999995</v>
      </c>
      <c r="I8" s="43">
        <f t="shared" si="0"/>
        <v>-2.0305552000081661E-2</v>
      </c>
      <c r="J8" s="7">
        <f t="shared" si="5"/>
        <v>-457686.407046357</v>
      </c>
      <c r="K8" s="7">
        <f>(J8-MIN(J$3:J$10))</f>
        <v>0.29850507987430319</v>
      </c>
      <c r="L8" s="7">
        <f t="shared" si="6"/>
        <v>0.60403432262434287</v>
      </c>
      <c r="M8" s="8">
        <f>(L8/(SUM(L$3:L$10))*100)</f>
        <v>13.096214683949189</v>
      </c>
    </row>
    <row r="9" spans="1:13" x14ac:dyDescent="0.2">
      <c r="A9" s="25" t="s">
        <v>114</v>
      </c>
      <c r="B9" s="2" t="s">
        <v>131</v>
      </c>
      <c r="C9" s="5" t="s">
        <v>104</v>
      </c>
      <c r="D9" s="5" t="s">
        <v>0</v>
      </c>
      <c r="E9" s="6">
        <v>-729.63031960000001</v>
      </c>
      <c r="F9" s="6">
        <v>0.27511099999999999</v>
      </c>
      <c r="G9" s="6">
        <v>-731.68731300000002</v>
      </c>
      <c r="H9" s="6">
        <v>-731.66699748200006</v>
      </c>
      <c r="I9" s="43">
        <f t="shared" ref="I9" si="7">(G9-H9)</f>
        <v>-2.031551799996123E-2</v>
      </c>
      <c r="J9" s="7">
        <f t="shared" ref="J9" si="8">(E9+F9+I9)*627.507 + (1.89)</f>
        <v>-457686.35701271374</v>
      </c>
      <c r="K9" s="7">
        <f>(J9-MIN(J$3:J$10))</f>
        <v>0.34853872313397005</v>
      </c>
      <c r="L9" s="7">
        <f t="shared" si="6"/>
        <v>0.5550913623269137</v>
      </c>
      <c r="M9" s="8">
        <f>(L9/(SUM(L$3:L$10))*100)</f>
        <v>12.03507048846982</v>
      </c>
    </row>
    <row r="10" spans="1:13" x14ac:dyDescent="0.2">
      <c r="A10" s="25" t="s">
        <v>114</v>
      </c>
      <c r="B10" s="2" t="s">
        <v>131</v>
      </c>
      <c r="C10" s="5" t="s">
        <v>105</v>
      </c>
      <c r="D10" s="5" t="s">
        <v>0</v>
      </c>
      <c r="E10" s="6">
        <v>-729.62964190000002</v>
      </c>
      <c r="F10" s="6">
        <v>0.27580900000000003</v>
      </c>
      <c r="G10" s="6">
        <v>-731.686860916</v>
      </c>
      <c r="H10" s="6">
        <v>-731.66627553800004</v>
      </c>
      <c r="I10" s="43">
        <f t="shared" si="0"/>
        <v>-2.0585377999964294E-2</v>
      </c>
      <c r="J10" s="7">
        <f t="shared" si="5"/>
        <v>-457685.66309037292</v>
      </c>
      <c r="K10" s="7">
        <f>(J10-MIN(J$3:J$10))</f>
        <v>1.042461063945666</v>
      </c>
      <c r="L10" s="7">
        <f t="shared" si="6"/>
        <v>0.17195211364020135</v>
      </c>
      <c r="M10" s="8">
        <f>(L10/(SUM(L$3:L$10))*100)</f>
        <v>3.7281354903923321</v>
      </c>
    </row>
    <row r="11" spans="1:13" x14ac:dyDescent="0.2">
      <c r="A11" s="25" t="s">
        <v>114</v>
      </c>
      <c r="B11" s="2" t="s">
        <v>130</v>
      </c>
      <c r="C11" s="10" t="s">
        <v>106</v>
      </c>
      <c r="D11" s="10" t="s">
        <v>17</v>
      </c>
      <c r="E11" s="23">
        <v>-729.6304844</v>
      </c>
      <c r="F11" s="23">
        <v>0.27535199999999999</v>
      </c>
      <c r="G11" s="23">
        <v>-731.69189354800005</v>
      </c>
      <c r="H11" s="23">
        <v>-731.66724951499998</v>
      </c>
      <c r="I11" s="23">
        <f t="shared" si="0"/>
        <v>-2.4644033000072341E-2</v>
      </c>
      <c r="J11" s="12">
        <f t="shared" si="5"/>
        <v>-457689.02537014254</v>
      </c>
      <c r="K11" s="13">
        <f>(J11-MIN(J$11:J$18))</f>
        <v>0.16927064070478082</v>
      </c>
      <c r="L11" s="13">
        <f t="shared" si="6"/>
        <v>0.75136081800532328</v>
      </c>
      <c r="M11" s="14">
        <f>(L11/(SUM(L$11:L$18))*100)</f>
        <v>12.464642881767297</v>
      </c>
    </row>
    <row r="12" spans="1:13" x14ac:dyDescent="0.2">
      <c r="A12" s="25" t="s">
        <v>114</v>
      </c>
      <c r="B12" s="2" t="s">
        <v>130</v>
      </c>
      <c r="C12" s="10" t="s">
        <v>107</v>
      </c>
      <c r="D12" s="10" t="s">
        <v>17</v>
      </c>
      <c r="E12" s="23">
        <v>-729.6305241</v>
      </c>
      <c r="F12" s="23">
        <v>0.27515299999999998</v>
      </c>
      <c r="G12" s="23">
        <f>-731.692028382</f>
        <v>-731.69202838199999</v>
      </c>
      <c r="H12" s="23">
        <v>-731.66737313399994</v>
      </c>
      <c r="I12" s="23">
        <f t="shared" si="0"/>
        <v>-2.4655248000044594E-2</v>
      </c>
      <c r="J12" s="12">
        <f t="shared" si="5"/>
        <v>-457689.18219355441</v>
      </c>
      <c r="K12" s="13">
        <f>(J12-MIN(J$11:J$18))</f>
        <v>1.2447228829842061E-2</v>
      </c>
      <c r="L12" s="13">
        <f t="shared" si="6"/>
        <v>0.97919815613562233</v>
      </c>
      <c r="M12" s="14">
        <f>(L12/(SUM(L$11:L$18))*100)</f>
        <v>16.244332994522846</v>
      </c>
    </row>
    <row r="13" spans="1:13" x14ac:dyDescent="0.2">
      <c r="A13" s="26" t="s">
        <v>115</v>
      </c>
      <c r="B13" s="2" t="s">
        <v>131</v>
      </c>
      <c r="C13" s="10" t="s">
        <v>108</v>
      </c>
      <c r="D13" s="10" t="s">
        <v>17</v>
      </c>
      <c r="E13" s="23">
        <v>-729.63045780000004</v>
      </c>
      <c r="F13" s="23">
        <v>0.27508100000000002</v>
      </c>
      <c r="G13" s="23">
        <v>-731.69186320799997</v>
      </c>
      <c r="H13" s="23">
        <v>-731.66720963900002</v>
      </c>
      <c r="I13" s="23">
        <f t="shared" si="0"/>
        <v>-2.4653568999951858E-2</v>
      </c>
      <c r="J13" s="12">
        <f t="shared" si="5"/>
        <v>-457689.18471676001</v>
      </c>
      <c r="K13" s="13">
        <f t="shared" ref="K13:K15" si="9">(J13-MIN(J$11:J$18))</f>
        <v>9.9240232375450432E-3</v>
      </c>
      <c r="L13" s="13">
        <f t="shared" si="6"/>
        <v>0.98337968158978495</v>
      </c>
      <c r="M13" s="14">
        <f t="shared" ref="M13:M15" si="10">(L13/(SUM(L$11:L$18))*100)</f>
        <v>16.313702091550724</v>
      </c>
    </row>
    <row r="14" spans="1:13" x14ac:dyDescent="0.2">
      <c r="A14" s="26" t="s">
        <v>115</v>
      </c>
      <c r="B14" s="2" t="s">
        <v>131</v>
      </c>
      <c r="C14" s="10" t="s">
        <v>109</v>
      </c>
      <c r="D14" s="10" t="s">
        <v>17</v>
      </c>
      <c r="E14" s="23">
        <v>-729.6302498</v>
      </c>
      <c r="F14" s="23">
        <v>0.27555600000000002</v>
      </c>
      <c r="G14" s="23">
        <v>-731.69146189499997</v>
      </c>
      <c r="H14" s="23">
        <v>-731.66683256199997</v>
      </c>
      <c r="I14" s="23">
        <f t="shared" si="0"/>
        <v>-2.4629333000007136E-2</v>
      </c>
      <c r="J14" s="12">
        <f t="shared" si="5"/>
        <v>-457688.74092121935</v>
      </c>
      <c r="K14" s="13">
        <f t="shared" si="9"/>
        <v>0.45371956389863044</v>
      </c>
      <c r="L14" s="13">
        <f t="shared" si="6"/>
        <v>0.46475025942206394</v>
      </c>
      <c r="M14" s="14">
        <f t="shared" si="10"/>
        <v>7.7099389189385334</v>
      </c>
    </row>
    <row r="15" spans="1:13" x14ac:dyDescent="0.2">
      <c r="A15" s="26" t="s">
        <v>115</v>
      </c>
      <c r="B15" s="2" t="s">
        <v>130</v>
      </c>
      <c r="C15" s="10" t="s">
        <v>110</v>
      </c>
      <c r="D15" s="10" t="s">
        <v>17</v>
      </c>
      <c r="E15" s="23">
        <v>-729.63048609999998</v>
      </c>
      <c r="F15" s="23">
        <v>0.27508100000000002</v>
      </c>
      <c r="G15" s="23">
        <v>-731.69188907</v>
      </c>
      <c r="H15" s="23">
        <v>-731.66724798600001</v>
      </c>
      <c r="I15" s="23">
        <f t="shared" si="0"/>
        <v>-2.4641083999995317E-2</v>
      </c>
      <c r="J15" s="12">
        <f t="shared" si="5"/>
        <v>-457689.19464078324</v>
      </c>
      <c r="K15" s="13">
        <f t="shared" si="9"/>
        <v>0</v>
      </c>
      <c r="L15" s="13">
        <f t="shared" si="6"/>
        <v>1</v>
      </c>
      <c r="M15" s="14">
        <f t="shared" si="10"/>
        <v>16.589423593923666</v>
      </c>
    </row>
    <row r="16" spans="1:13" x14ac:dyDescent="0.2">
      <c r="A16" s="25" t="s">
        <v>114</v>
      </c>
      <c r="B16" s="2" t="s">
        <v>130</v>
      </c>
      <c r="C16" s="10" t="s">
        <v>111</v>
      </c>
      <c r="D16" s="10" t="s">
        <v>17</v>
      </c>
      <c r="E16" s="23">
        <v>-729.6302604</v>
      </c>
      <c r="F16" s="23">
        <v>0.27549200000000001</v>
      </c>
      <c r="G16" s="23">
        <v>-731.69158631200003</v>
      </c>
      <c r="H16" s="23">
        <v>-731.66691991599998</v>
      </c>
      <c r="I16" s="23">
        <f t="shared" si="0"/>
        <v>-2.4666396000043278E-2</v>
      </c>
      <c r="J16" s="12">
        <f t="shared" si="5"/>
        <v>-457688.81099053356</v>
      </c>
      <c r="K16" s="13">
        <f>(J16-MIN(J$11:J$18))</f>
        <v>0.38365024968516082</v>
      </c>
      <c r="L16" s="13">
        <f t="shared" si="6"/>
        <v>0.52313278699446208</v>
      </c>
      <c r="M16" s="14">
        <f>(L16/(SUM(L$11:L$18))*100)</f>
        <v>8.6784713993209728</v>
      </c>
    </row>
    <row r="17" spans="1:13" x14ac:dyDescent="0.2">
      <c r="A17" s="25" t="s">
        <v>114</v>
      </c>
      <c r="B17" s="2" t="s">
        <v>131</v>
      </c>
      <c r="C17" s="10" t="s">
        <v>112</v>
      </c>
      <c r="D17" s="10" t="s">
        <v>17</v>
      </c>
      <c r="E17" s="23">
        <v>-729.63039739999999</v>
      </c>
      <c r="F17" s="23">
        <v>0.27513599999999999</v>
      </c>
      <c r="G17" s="23">
        <v>-731.69177447200002</v>
      </c>
      <c r="H17" s="23">
        <v>-731.66711932199996</v>
      </c>
      <c r="I17" s="23">
        <f t="shared" si="0"/>
        <v>-2.4655150000057802E-2</v>
      </c>
      <c r="J17" s="12">
        <f t="shared" si="5"/>
        <v>-457689.11329454085</v>
      </c>
      <c r="K17" s="13">
        <f>(J17-MIN(J$11:J$18))</f>
        <v>8.1346242397557944E-2</v>
      </c>
      <c r="L17" s="13">
        <f t="shared" si="6"/>
        <v>0.87163898084997926</v>
      </c>
      <c r="M17" s="14">
        <f>(L17/(SUM(L$11:L$18))*100)</f>
        <v>14.459988274296226</v>
      </c>
    </row>
    <row r="18" spans="1:13" x14ac:dyDescent="0.2">
      <c r="A18" s="25" t="s">
        <v>114</v>
      </c>
      <c r="B18" s="2" t="s">
        <v>131</v>
      </c>
      <c r="C18" s="10" t="s">
        <v>113</v>
      </c>
      <c r="D18" s="10" t="s">
        <v>17</v>
      </c>
      <c r="E18" s="23">
        <v>-729.63022100000001</v>
      </c>
      <c r="F18" s="23">
        <v>0.27561999999999998</v>
      </c>
      <c r="G18" s="23">
        <v>-731.69157744699999</v>
      </c>
      <c r="H18" s="23">
        <v>-731.66687640800001</v>
      </c>
      <c r="I18" s="23">
        <f t="shared" ref="I18" si="11">(G18-H18)</f>
        <v>-2.4701038999978664E-2</v>
      </c>
      <c r="J18" s="12">
        <f t="shared" ref="J18" si="12">(E18+F18+I18)*627.507 + (1.89)</f>
        <v>-457688.72768458672</v>
      </c>
      <c r="K18" s="13">
        <f>(J18-MIN(J$11:J$18))</f>
        <v>0.46695619652746245</v>
      </c>
      <c r="L18" s="13">
        <f t="shared" si="6"/>
        <v>0.45447629949248586</v>
      </c>
      <c r="M18" s="14">
        <f>(L18/(SUM(L$11:L$18))*100)</f>
        <v>7.5394998456797628</v>
      </c>
    </row>
    <row r="20" spans="1:13" x14ac:dyDescent="0.2">
      <c r="B20" s="1" t="s">
        <v>0</v>
      </c>
      <c r="C20" s="17">
        <f>(MIN(J3:J10))-(1.987*298*LN(SUM(L3:L10)))/1000</f>
        <v>-457687.61074789189</v>
      </c>
    </row>
    <row r="21" spans="1:13" x14ac:dyDescent="0.2">
      <c r="B21" s="16" t="s">
        <v>17</v>
      </c>
      <c r="C21" s="18">
        <f>(MIN(J11:J17))-(1.987*298*LN(SUM(L11:L17)))/1000</f>
        <v>-457690.21192282508</v>
      </c>
    </row>
    <row r="22" spans="1:13" x14ac:dyDescent="0.2">
      <c r="B22" s="15" t="s">
        <v>21</v>
      </c>
      <c r="C22" s="19">
        <f>(C20-C21)/1.37</f>
        <v>1.8986678344493282</v>
      </c>
    </row>
    <row r="23" spans="1:13" x14ac:dyDescent="0.2">
      <c r="B23" s="20" t="s">
        <v>22</v>
      </c>
      <c r="C23" s="9">
        <v>3.32</v>
      </c>
    </row>
    <row r="24" spans="1:13" x14ac:dyDescent="0.2">
      <c r="B24" s="21" t="s">
        <v>23</v>
      </c>
      <c r="C24" s="22">
        <f>C22-C23</f>
        <v>-1.4213321655506717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8E81-355A-1940-AC8F-E441DDE35274}">
  <dimension ref="A1:M12"/>
  <sheetViews>
    <sheetView workbookViewId="0">
      <selection activeCell="C12" sqref="C12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3.332031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5" t="s">
        <v>114</v>
      </c>
      <c r="B3" s="2" t="s">
        <v>130</v>
      </c>
      <c r="C3" s="5" t="s">
        <v>98</v>
      </c>
      <c r="D3" s="5" t="s">
        <v>0</v>
      </c>
      <c r="E3" s="6">
        <v>-729.63038319999998</v>
      </c>
      <c r="F3" s="6">
        <v>0.27512199999999998</v>
      </c>
      <c r="G3" s="6">
        <v>-731.68732919800004</v>
      </c>
      <c r="H3" s="6">
        <v>-731.667069427</v>
      </c>
      <c r="I3" s="6">
        <f t="shared" ref="I3:I6" si="0">(G3-H3)</f>
        <v>-2.0259771000041837E-2</v>
      </c>
      <c r="J3" s="7">
        <f t="shared" ref="J3" si="1">(E3+F3+I3)*627.507 + (1.89)</f>
        <v>-457686.35503794928</v>
      </c>
      <c r="K3" s="7">
        <f>(J3-MIN(J$3:J$4))</f>
        <v>0</v>
      </c>
      <c r="L3" s="7">
        <f t="shared" ref="L3" si="2">EXP(-K3*1000/(1.987*298))</f>
        <v>1</v>
      </c>
      <c r="M3" s="8">
        <f>(L3/(SUM(L$3:L$4))*100)</f>
        <v>76.288854608894553</v>
      </c>
    </row>
    <row r="4" spans="1:13" x14ac:dyDescent="0.2">
      <c r="A4" s="25" t="s">
        <v>114</v>
      </c>
      <c r="B4" s="2" t="s">
        <v>131</v>
      </c>
      <c r="C4" s="5" t="s">
        <v>105</v>
      </c>
      <c r="D4" s="5" t="s">
        <v>0</v>
      </c>
      <c r="E4" s="6">
        <v>-729.62964190000002</v>
      </c>
      <c r="F4" s="6">
        <v>0.27580900000000003</v>
      </c>
      <c r="G4" s="6">
        <v>-731.686860916</v>
      </c>
      <c r="H4" s="6">
        <v>-731.66627553800004</v>
      </c>
      <c r="I4" s="6">
        <f t="shared" si="0"/>
        <v>-2.0585377999964294E-2</v>
      </c>
      <c r="J4" s="7">
        <f t="shared" ref="J4:J6" si="3">(E4+F4+I4)*627.507 + (1.89)</f>
        <v>-457685.66309037292</v>
      </c>
      <c r="K4" s="7">
        <f>(J4-MIN(J$3:J$4))</f>
        <v>0.69194757635705173</v>
      </c>
      <c r="L4" s="7">
        <f t="shared" ref="L4:L6" si="4">EXP(-K4*1000/(1.987*298))</f>
        <v>0.31080746345798393</v>
      </c>
      <c r="M4" s="8">
        <f>(L4/(SUM(L$3:L$4))*100)</f>
        <v>23.711145391105443</v>
      </c>
    </row>
    <row r="5" spans="1:13" x14ac:dyDescent="0.2">
      <c r="A5" s="25" t="s">
        <v>114</v>
      </c>
      <c r="B5" s="2" t="s">
        <v>130</v>
      </c>
      <c r="C5" s="10" t="s">
        <v>106</v>
      </c>
      <c r="D5" s="10" t="s">
        <v>17</v>
      </c>
      <c r="E5" s="23">
        <v>-729.6304844</v>
      </c>
      <c r="F5" s="23">
        <v>0.27535199999999999</v>
      </c>
      <c r="G5" s="23">
        <v>-731.69189354800005</v>
      </c>
      <c r="H5" s="23">
        <v>-731.66724951499998</v>
      </c>
      <c r="I5" s="23">
        <f t="shared" si="0"/>
        <v>-2.4644033000072341E-2</v>
      </c>
      <c r="J5" s="12">
        <f t="shared" si="3"/>
        <v>-457689.02537014254</v>
      </c>
      <c r="K5" s="13">
        <f>(J5-MIN(J$5:J$6))</f>
        <v>0</v>
      </c>
      <c r="L5" s="13">
        <f t="shared" si="4"/>
        <v>1</v>
      </c>
      <c r="M5" s="14">
        <f>(L5/(SUM(L$5:L$6))*100)</f>
        <v>62.310307677743914</v>
      </c>
    </row>
    <row r="6" spans="1:13" x14ac:dyDescent="0.2">
      <c r="A6" s="25" t="s">
        <v>114</v>
      </c>
      <c r="B6" s="2" t="s">
        <v>131</v>
      </c>
      <c r="C6" s="10" t="s">
        <v>113</v>
      </c>
      <c r="D6" s="10" t="s">
        <v>17</v>
      </c>
      <c r="E6" s="23">
        <v>-729.63022100000001</v>
      </c>
      <c r="F6" s="23">
        <v>0.27561999999999998</v>
      </c>
      <c r="G6" s="23">
        <v>-731.69157744699999</v>
      </c>
      <c r="H6" s="23">
        <v>-731.66687640800001</v>
      </c>
      <c r="I6" s="23">
        <f t="shared" si="0"/>
        <v>-2.4701038999978664E-2</v>
      </c>
      <c r="J6" s="12">
        <f t="shared" si="3"/>
        <v>-457688.72768458672</v>
      </c>
      <c r="K6" s="13">
        <f>(J6-MIN(J$5:J$6))</f>
        <v>0.29768555582268164</v>
      </c>
      <c r="L6" s="13">
        <f t="shared" si="4"/>
        <v>0.60487090702840718</v>
      </c>
      <c r="M6" s="14">
        <f>(L6/(SUM(L$5:L$6))*100)</f>
        <v>37.689692322256086</v>
      </c>
    </row>
    <row r="8" spans="1:13" x14ac:dyDescent="0.2">
      <c r="B8" s="1" t="s">
        <v>0</v>
      </c>
      <c r="C8" s="17">
        <f>(MIN(J3:J4))-(1.987*298*LN(SUM(L3:L4)))/1000</f>
        <v>-457686.51529290265</v>
      </c>
    </row>
    <row r="9" spans="1:13" x14ac:dyDescent="0.2">
      <c r="B9" s="16" t="s">
        <v>17</v>
      </c>
      <c r="C9" s="18">
        <f>(MIN(J5:J5))-(1.987*298*LN(SUM(L5:L5)))/1000</f>
        <v>-457689.02537014254</v>
      </c>
    </row>
    <row r="10" spans="1:13" x14ac:dyDescent="0.2">
      <c r="B10" s="15" t="s">
        <v>21</v>
      </c>
      <c r="C10" s="19">
        <f>(C8-C9)/1.37</f>
        <v>1.8321731678009656</v>
      </c>
    </row>
    <row r="11" spans="1:13" x14ac:dyDescent="0.2">
      <c r="B11" s="20" t="s">
        <v>22</v>
      </c>
      <c r="C11" s="9">
        <v>3.32</v>
      </c>
    </row>
    <row r="12" spans="1:13" x14ac:dyDescent="0.2">
      <c r="B12" s="21" t="s">
        <v>23</v>
      </c>
      <c r="C12" s="22">
        <f>C10-C11</f>
        <v>-1.4878268321990342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CA02-DFFA-5B42-AA89-4BDC73CD1B28}">
  <dimension ref="A1:M12"/>
  <sheetViews>
    <sheetView topLeftCell="B1" workbookViewId="0">
      <selection activeCell="E4" sqref="E4:J4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7.6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16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6" t="s">
        <v>115</v>
      </c>
      <c r="B3" s="2"/>
      <c r="C3" s="5" t="s">
        <v>64</v>
      </c>
      <c r="D3" s="5" t="s">
        <v>0</v>
      </c>
      <c r="E3" s="6">
        <v>-896.90448479999998</v>
      </c>
      <c r="F3" s="6">
        <v>0.23749200000000001</v>
      </c>
      <c r="G3" s="6">
        <v>-899.16692075799995</v>
      </c>
      <c r="H3" s="6">
        <v>-899.14138735999995</v>
      </c>
      <c r="I3" s="6">
        <f t="shared" ref="I3:I6" si="0">(G3-H3)</f>
        <v>-2.5533397999993213E-2</v>
      </c>
      <c r="J3" s="7">
        <f t="shared" ref="J3:J6" si="1">(E3+F3+I3)*627.507 + (1.89)</f>
        <v>-562678.94703692838</v>
      </c>
      <c r="K3" s="7">
        <f>(J3-MIN(J$3:J$4))</f>
        <v>0</v>
      </c>
      <c r="L3" s="7">
        <f t="shared" ref="L3:L6" si="2">EXP(-K3*1000/(1.987*298))</f>
        <v>1</v>
      </c>
      <c r="M3" s="8">
        <f>(L3/(SUM(L$3:L$4))*100)</f>
        <v>55.268037353509904</v>
      </c>
    </row>
    <row r="4" spans="1:13" x14ac:dyDescent="0.2">
      <c r="A4" s="26" t="s">
        <v>115</v>
      </c>
      <c r="B4" s="2"/>
      <c r="C4" s="5" t="s">
        <v>65</v>
      </c>
      <c r="D4" s="5" t="s">
        <v>0</v>
      </c>
      <c r="E4" s="6">
        <v>-896.90188939999996</v>
      </c>
      <c r="F4" s="6">
        <v>0.23777899999999999</v>
      </c>
      <c r="G4" s="6">
        <v>-899.16729355799998</v>
      </c>
      <c r="H4" s="6">
        <v>-899.13907734099996</v>
      </c>
      <c r="I4" s="6">
        <f t="shared" si="0"/>
        <v>-2.821621700002197E-2</v>
      </c>
      <c r="J4" s="7">
        <f t="shared" si="1"/>
        <v>-562678.82179845369</v>
      </c>
      <c r="K4" s="7">
        <f>(J4-MIN(J$3:J$4))</f>
        <v>0.12523847469128668</v>
      </c>
      <c r="L4" s="7">
        <f t="shared" si="2"/>
        <v>0.80936405178226067</v>
      </c>
      <c r="M4" s="8">
        <f>(L4/(SUM(L$3:L$4))*100)</f>
        <v>44.731962646490103</v>
      </c>
    </row>
    <row r="5" spans="1:13" x14ac:dyDescent="0.2">
      <c r="A5" s="26" t="s">
        <v>116</v>
      </c>
      <c r="B5" s="2"/>
      <c r="C5" s="10" t="s">
        <v>66</v>
      </c>
      <c r="D5" s="10" t="s">
        <v>17</v>
      </c>
      <c r="E5" s="24"/>
      <c r="F5" s="24"/>
      <c r="G5" s="24"/>
      <c r="H5" s="24"/>
      <c r="I5" s="23">
        <f t="shared" si="0"/>
        <v>0</v>
      </c>
      <c r="J5" s="13">
        <f t="shared" si="1"/>
        <v>1.89</v>
      </c>
      <c r="K5" s="13">
        <f>(J5-MIN(J$5:J$6))</f>
        <v>562678.62000449677</v>
      </c>
      <c r="L5" s="13">
        <f t="shared" si="2"/>
        <v>0</v>
      </c>
      <c r="M5" s="14">
        <f>(L5/(SUM(L$5:L$6))*100)</f>
        <v>0</v>
      </c>
    </row>
    <row r="6" spans="1:13" x14ac:dyDescent="0.2">
      <c r="A6" s="25" t="s">
        <v>114</v>
      </c>
      <c r="B6" s="2"/>
      <c r="C6" s="10" t="s">
        <v>67</v>
      </c>
      <c r="D6" s="10" t="s">
        <v>17</v>
      </c>
      <c r="E6" s="23">
        <v>-896.90193469999997</v>
      </c>
      <c r="F6" s="23">
        <v>0.23797599999999999</v>
      </c>
      <c r="G6" s="23">
        <v>-899.16478268000003</v>
      </c>
      <c r="H6" s="23">
        <v>-899.13974826200001</v>
      </c>
      <c r="I6" s="23">
        <f t="shared" si="0"/>
        <v>-2.5034418000018377E-2</v>
      </c>
      <c r="J6" s="13">
        <f t="shared" si="1"/>
        <v>-562676.73000449676</v>
      </c>
      <c r="K6" s="13">
        <f>(J6-MIN(J$5:J$6))</f>
        <v>0</v>
      </c>
      <c r="L6" s="13">
        <f t="shared" si="2"/>
        <v>1</v>
      </c>
      <c r="M6" s="14">
        <f>(L6/(SUM(L$5:L$6))*100)</f>
        <v>100</v>
      </c>
    </row>
    <row r="8" spans="1:13" x14ac:dyDescent="0.2">
      <c r="B8" s="1" t="s">
        <v>0</v>
      </c>
      <c r="C8" s="17">
        <f>(MIN(J3:J4))-(1.987*298*LN(SUM(L3:L4)))/1000</f>
        <v>-562679.29815309844</v>
      </c>
    </row>
    <row r="9" spans="1:13" x14ac:dyDescent="0.2">
      <c r="B9" s="16" t="s">
        <v>17</v>
      </c>
      <c r="C9" s="18">
        <f>(MIN(J5:J6))-(1.987*298*LN(SUM(L5:L6)))/1000</f>
        <v>-562676.73000449676</v>
      </c>
    </row>
    <row r="10" spans="1:13" x14ac:dyDescent="0.2">
      <c r="B10" s="15" t="s">
        <v>21</v>
      </c>
      <c r="C10" s="19">
        <f>(C8-C9)/1.37</f>
        <v>-1.8745610231268524</v>
      </c>
    </row>
    <row r="11" spans="1:13" x14ac:dyDescent="0.2">
      <c r="B11" s="20" t="s">
        <v>22</v>
      </c>
      <c r="C11" s="9">
        <v>-0.28000000000000003</v>
      </c>
    </row>
    <row r="12" spans="1:13" x14ac:dyDescent="0.2">
      <c r="B12" s="21" t="s">
        <v>23</v>
      </c>
      <c r="C12" s="22">
        <f>C10-C11</f>
        <v>-1.5945610231268523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Summary 2 Torsions</vt:lpstr>
      <vt:lpstr>BBB 2 Sertraline LogP</vt:lpstr>
      <vt:lpstr>BBB 23 3-methylpentane LogP</vt:lpstr>
      <vt:lpstr>BBB 65 Phenylcyclidine LogP</vt:lpstr>
      <vt:lpstr>BBB 87 Y-G16 LogP</vt:lpstr>
      <vt:lpstr>BBB 181 Diethylether LogP</vt:lpstr>
      <vt:lpstr>BBB 212 Bisphenol A LogP</vt:lpstr>
      <vt:lpstr>BBB 212 Bisphenol A LogP FR</vt:lpstr>
      <vt:lpstr>BBB 277 Alovudine LogP</vt:lpstr>
      <vt:lpstr>BBB 282 Nalidixic Acid LogP</vt:lpstr>
      <vt:lpstr>BBB 285 Ribavirin LogP</vt:lpstr>
      <vt:lpstr>BBB 286 Granisetron LogP</vt:lpstr>
      <vt:lpstr>BBB 304 Zalcitabine LogP</vt:lpstr>
      <vt:lpstr>BBB 315 Y-G20 LogP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2020-11-09T19:31:03Z</dcterms:created>
  <dcterms:modified xsi:type="dcterms:W3CDTF">2021-10-28T15:24:04Z</dcterms:modified>
</cp:coreProperties>
</file>