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Source\Repos\AzureFoundation\ARM\DatabaseStorage\Utilities\"/>
    </mc:Choice>
  </mc:AlternateContent>
  <xr:revisionPtr revIDLastSave="0" documentId="13_ncr:1_{8E09309D-60E8-4FD9-B897-642F9BA827F5}" xr6:coauthVersionLast="33" xr6:coauthVersionMax="34" xr10:uidLastSave="{00000000-0000-0000-0000-000000000000}"/>
  <bookViews>
    <workbookView xWindow="0" yWindow="0" windowWidth="22500" windowHeight="8813" xr2:uid="{00000000-000D-0000-FFFF-FFFF00000000}"/>
  </bookViews>
  <sheets>
    <sheet name="StorageSchedule" sheetId="2" r:id="rId1"/>
    <sheet name="Sheet1" sheetId="3" r:id="rId2"/>
  </sheets>
  <definedNames>
    <definedName name="ActualNumberOfPayments">IFERROR(IF(LoanIsGood,IF(PaymentsPerYear=1,1,MATCH(0.01,End_Bal,-1)+1)),"")</definedName>
    <definedName name="ArchiveBlobTBIncreaseYear">StorageSchedule!$G$6</definedName>
    <definedName name="ArchiveTBMoCost">StorageSchedule!$G$4</definedName>
    <definedName name="ColumnTitle1">PaymentSchedule[[#Headers],[Period]]</definedName>
    <definedName name="CoolBlobCostTBMo">StorageSchedule!#REF!</definedName>
    <definedName name="CoolBlobTBIncreasePerYear">StorageSchedule!$F$6</definedName>
    <definedName name="CoolBlobTBMonth">StorageSchedule!$F$4</definedName>
    <definedName name="End_Bal">#REF!</definedName>
    <definedName name="ExtraPayments">StorageSchedule!$E$11</definedName>
    <definedName name="HotBlobCostMonth">StorageSchedule!#REF!</definedName>
    <definedName name="HotBlobCostTBMonth">StorageSchedule!#REF!</definedName>
    <definedName name="HotBlobTBIncreaseYear">StorageSchedule!$E$6</definedName>
    <definedName name="InitialStorage">StorageSchedule!$E$3</definedName>
    <definedName name="InterestRate">StorageSchedule!$E$5</definedName>
    <definedName name="LastCol">MATCH(REPT("z",255),StorageSchedule!$13:$13)</definedName>
    <definedName name="LastRow">MATCH(9.99E+307,StorageSchedule!$B:$B)</definedName>
    <definedName name="LenderName">StorageSchedule!#REF!</definedName>
    <definedName name="LoanAmount">StorageSchedule!#REF!</definedName>
    <definedName name="LoanIsGood">(StorageSchedule!#REF!*StorageSchedule!$E$5*StorageSchedule!$E$7*StorageSchedule!$E$9)&gt;0</definedName>
    <definedName name="LoanPeriod">StorageSchedule!$E$7</definedName>
    <definedName name="LoanStartDate">StorageSchedule!$E$9</definedName>
    <definedName name="PaymentsPerYear">StorageSchedule!$E$8</definedName>
    <definedName name="Periods__Months">StorageSchedule!$I$1</definedName>
    <definedName name="_xlnm.Print_Titles" localSheetId="0">StorageSchedule!$13:$13</definedName>
    <definedName name="PrintArea_SET">OFFSET(StorageSchedule!$B$1,,,LastRow,LastCol)</definedName>
    <definedName name="RowTitleRegion1..E9">StorageSchedule!#REF!</definedName>
    <definedName name="RowTitleRegion2..I7">StorageSchedule!#REF!</definedName>
    <definedName name="RowTitleRegion3..E9">StorageSchedule!$C$11</definedName>
    <definedName name="RowTitleRegion4..H9">StorageSchedule!#REF!</definedName>
    <definedName name="ScheduledNumberOfPayments">StorageSchedule!#REF!</definedName>
    <definedName name="ScheduledPayment">StorageSchedule!#REF!</definedName>
    <definedName name="StorageCosts">StorageSchedule!$E$4</definedName>
    <definedName name="TotalEarlyPayments">SUM(#REF!)</definedName>
    <definedName name="TotalInterest">SUM(PaymentSchedule[StorageVolumeIncrease])</definedName>
  </definedNames>
  <calcPr calcId="179016"/>
</workbook>
</file>

<file path=xl/calcChain.xml><?xml version="1.0" encoding="utf-8"?>
<calcChain xmlns="http://schemas.openxmlformats.org/spreadsheetml/2006/main">
  <c r="X14" i="2" l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U14" i="2"/>
  <c r="V14" i="2" s="1"/>
  <c r="T14" i="2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R14" i="2"/>
  <c r="R35" i="2" s="1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P14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N15" i="2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Q14" i="2"/>
  <c r="O14" i="2"/>
  <c r="N14" i="2"/>
  <c r="L17" i="2"/>
  <c r="K34" i="2"/>
  <c r="L34" i="2" s="1"/>
  <c r="K14" i="2"/>
  <c r="L14" i="2" s="1"/>
  <c r="K15" i="2"/>
  <c r="L15" i="2" s="1"/>
  <c r="K16" i="2"/>
  <c r="L16" i="2" s="1"/>
  <c r="K17" i="2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I14" i="2"/>
  <c r="J14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X35" i="2" l="1"/>
  <c r="U15" i="2"/>
  <c r="V15" i="2" s="1"/>
  <c r="O15" i="2"/>
  <c r="P15" i="2" s="1"/>
  <c r="I15" i="2"/>
  <c r="J15" i="2" s="1"/>
  <c r="C14" i="2"/>
  <c r="U16" i="2" l="1"/>
  <c r="V16" i="2" s="1"/>
  <c r="O16" i="2"/>
  <c r="P16" i="2" s="1"/>
  <c r="E14" i="2"/>
  <c r="C15" i="2" s="1"/>
  <c r="I16" i="2"/>
  <c r="J16" i="2" s="1"/>
  <c r="D14" i="2"/>
  <c r="F14" i="2" s="1"/>
  <c r="U17" i="2" l="1"/>
  <c r="V17" i="2" s="1"/>
  <c r="O17" i="2"/>
  <c r="P17" i="2" s="1"/>
  <c r="D15" i="2"/>
  <c r="F15" i="2" s="1"/>
  <c r="E15" i="2"/>
  <c r="C16" i="2" s="1"/>
  <c r="E16" i="2" s="1"/>
  <c r="C17" i="2" s="1"/>
  <c r="I17" i="2"/>
  <c r="J17" i="2" s="1"/>
  <c r="U18" i="2" l="1"/>
  <c r="V18" i="2" s="1"/>
  <c r="O18" i="2"/>
  <c r="P18" i="2" s="1"/>
  <c r="D16" i="2"/>
  <c r="F16" i="2" s="1"/>
  <c r="I18" i="2"/>
  <c r="J18" i="2" s="1"/>
  <c r="D17" i="2"/>
  <c r="E17" i="2"/>
  <c r="C18" i="2" s="1"/>
  <c r="U19" i="2" l="1"/>
  <c r="V19" i="2" s="1"/>
  <c r="O19" i="2"/>
  <c r="P19" i="2" s="1"/>
  <c r="I19" i="2"/>
  <c r="J19" i="2" s="1"/>
  <c r="D18" i="2"/>
  <c r="F18" i="2" s="1"/>
  <c r="E18" i="2"/>
  <c r="C19" i="2" s="1"/>
  <c r="F17" i="2"/>
  <c r="U20" i="2" l="1"/>
  <c r="V20" i="2" s="1"/>
  <c r="O20" i="2"/>
  <c r="P20" i="2" s="1"/>
  <c r="I20" i="2"/>
  <c r="J20" i="2" s="1"/>
  <c r="D19" i="2"/>
  <c r="E19" i="2"/>
  <c r="C20" i="2" s="1"/>
  <c r="U21" i="2" l="1"/>
  <c r="V21" i="2" s="1"/>
  <c r="O21" i="2"/>
  <c r="P21" i="2" s="1"/>
  <c r="I21" i="2"/>
  <c r="J21" i="2" s="1"/>
  <c r="D20" i="2"/>
  <c r="F20" i="2" s="1"/>
  <c r="E20" i="2"/>
  <c r="C21" i="2" s="1"/>
  <c r="F19" i="2"/>
  <c r="U22" i="2" l="1"/>
  <c r="V22" i="2" s="1"/>
  <c r="O22" i="2"/>
  <c r="P22" i="2" s="1"/>
  <c r="I22" i="2"/>
  <c r="J22" i="2" s="1"/>
  <c r="E21" i="2"/>
  <c r="C22" i="2" s="1"/>
  <c r="D21" i="2"/>
  <c r="U23" i="2" l="1"/>
  <c r="V23" i="2" s="1"/>
  <c r="O23" i="2"/>
  <c r="P23" i="2" s="1"/>
  <c r="I23" i="2"/>
  <c r="J23" i="2" s="1"/>
  <c r="D22" i="2"/>
  <c r="F22" i="2" s="1"/>
  <c r="E22" i="2"/>
  <c r="C23" i="2" s="1"/>
  <c r="F21" i="2"/>
  <c r="U24" i="2" l="1"/>
  <c r="V24" i="2" s="1"/>
  <c r="O24" i="2"/>
  <c r="P24" i="2" s="1"/>
  <c r="I24" i="2"/>
  <c r="J24" i="2" s="1"/>
  <c r="D23" i="2"/>
  <c r="E23" i="2"/>
  <c r="C24" i="2" s="1"/>
  <c r="U25" i="2" l="1"/>
  <c r="V25" i="2" s="1"/>
  <c r="O25" i="2"/>
  <c r="P25" i="2" s="1"/>
  <c r="I25" i="2"/>
  <c r="J25" i="2" s="1"/>
  <c r="E24" i="2"/>
  <c r="C25" i="2" s="1"/>
  <c r="D24" i="2"/>
  <c r="F24" i="2" s="1"/>
  <c r="F23" i="2"/>
  <c r="U26" i="2" l="1"/>
  <c r="V26" i="2" s="1"/>
  <c r="O26" i="2"/>
  <c r="P26" i="2" s="1"/>
  <c r="I26" i="2"/>
  <c r="J26" i="2" s="1"/>
  <c r="E25" i="2"/>
  <c r="D25" i="2"/>
  <c r="U27" i="2" l="1"/>
  <c r="V27" i="2" s="1"/>
  <c r="O27" i="2"/>
  <c r="P27" i="2" s="1"/>
  <c r="I27" i="2"/>
  <c r="J27" i="2" s="1"/>
  <c r="F25" i="2"/>
  <c r="F26" i="2" s="1"/>
  <c r="D26" i="2"/>
  <c r="U28" i="2" l="1"/>
  <c r="V28" i="2" s="1"/>
  <c r="O28" i="2"/>
  <c r="P28" i="2" s="1"/>
  <c r="I28" i="2"/>
  <c r="J28" i="2" s="1"/>
  <c r="U29" i="2" l="1"/>
  <c r="V29" i="2" s="1"/>
  <c r="O29" i="2"/>
  <c r="P29" i="2" s="1"/>
  <c r="I29" i="2"/>
  <c r="J29" i="2" s="1"/>
  <c r="U30" i="2" l="1"/>
  <c r="V30" i="2" s="1"/>
  <c r="O30" i="2"/>
  <c r="P30" i="2" s="1"/>
  <c r="I30" i="2"/>
  <c r="J30" i="2" s="1"/>
  <c r="U31" i="2" l="1"/>
  <c r="V31" i="2" s="1"/>
  <c r="O31" i="2"/>
  <c r="P31" i="2" s="1"/>
  <c r="I31" i="2"/>
  <c r="J31" i="2" s="1"/>
  <c r="U32" i="2" l="1"/>
  <c r="V32" i="2" s="1"/>
  <c r="O32" i="2"/>
  <c r="P32" i="2" s="1"/>
  <c r="I32" i="2"/>
  <c r="J32" i="2" s="1"/>
  <c r="U33" i="2" l="1"/>
  <c r="V33" i="2" s="1"/>
  <c r="O33" i="2"/>
  <c r="P33" i="2" s="1"/>
  <c r="I33" i="2"/>
  <c r="U34" i="2" l="1"/>
  <c r="O34" i="2"/>
  <c r="I34" i="2"/>
  <c r="J34" i="2" s="1"/>
  <c r="J33" i="2"/>
  <c r="J35" i="2"/>
  <c r="P35" i="2" l="1"/>
  <c r="P34" i="2"/>
  <c r="V35" i="2"/>
  <c r="V34" i="2"/>
  <c r="L35" i="2"/>
</calcChain>
</file>

<file path=xl/sharedStrings.xml><?xml version="1.0" encoding="utf-8"?>
<sst xmlns="http://schemas.openxmlformats.org/spreadsheetml/2006/main" count="39" uniqueCount="20">
  <si>
    <t>Storage AMORTIZATION SCHEDULE</t>
  </si>
  <si>
    <t>ENTER VALUES</t>
  </si>
  <si>
    <t>Model Period in years</t>
  </si>
  <si>
    <t>Start date</t>
  </si>
  <si>
    <t>Period</t>
  </si>
  <si>
    <t>StorageVolume</t>
  </si>
  <si>
    <t>Storage Costs</t>
  </si>
  <si>
    <t>StorageVolumeIncrease</t>
  </si>
  <si>
    <t>StorageCostsIncrease</t>
  </si>
  <si>
    <t>Total</t>
  </si>
  <si>
    <t>Present Storage Amount (TB)</t>
  </si>
  <si>
    <t>Storage Cost (per Month/TB)</t>
  </si>
  <si>
    <t>Hot</t>
  </si>
  <si>
    <t>Cool</t>
  </si>
  <si>
    <t>Archive</t>
  </si>
  <si>
    <t>Annual Rate of Increase (TB)</t>
  </si>
  <si>
    <t>Annual Rate of Increase (%)</t>
  </si>
  <si>
    <t>Number of Increases a Year</t>
  </si>
  <si>
    <t>Hot Storage</t>
  </si>
  <si>
    <t>Cool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</si>
</sst>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8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</borders>
  <cellStyleXfs count="15">
    <xf numFmtId="0" fontId="0" fillId="0" borderId="0"/>
    <xf numFmtId="0" fontId="1" fillId="0" borderId="1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3" applyNumberFormat="0" applyFill="0" applyProtection="0">
      <alignment vertical="center"/>
    </xf>
    <xf numFmtId="0" fontId="3" fillId="2" borderId="4" applyNumberFormat="0" applyProtection="0">
      <alignment horizontal="right"/>
    </xf>
    <xf numFmtId="0" fontId="5" fillId="0" borderId="4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3" borderId="0" applyNumberFormat="0" applyFont="0" applyAlignment="0">
      <alignment horizontal="center" vertical="center" wrapText="1"/>
    </xf>
    <xf numFmtId="0" fontId="7" fillId="4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>
      <alignment vertical="center"/>
    </xf>
    <xf numFmtId="0" fontId="4" fillId="0" borderId="2" xfId="2">
      <alignment vertical="center"/>
    </xf>
    <xf numFmtId="164" fontId="3" fillId="2" borderId="4" xfId="7" applyBorder="1"/>
    <xf numFmtId="1" fontId="3" fillId="2" borderId="0" xfId="10" applyFill="1"/>
    <xf numFmtId="1" fontId="3" fillId="2" borderId="4" xfId="10" applyFill="1" applyBorder="1"/>
    <xf numFmtId="0" fontId="7" fillId="4" borderId="0" xfId="9">
      <alignment vertical="center" wrapText="1"/>
    </xf>
    <xf numFmtId="164" fontId="0" fillId="0" borderId="0" xfId="12" applyFont="1" applyFill="1">
      <alignment horizontal="right" indent="2"/>
    </xf>
    <xf numFmtId="0" fontId="7" fillId="4" borderId="0" xfId="13">
      <alignment horizontal="right" vertical="center" wrapText="1" indent="2"/>
    </xf>
    <xf numFmtId="10" fontId="3" fillId="2" borderId="4" xfId="6" applyFont="1" applyFill="1" applyBorder="1" applyAlignment="1">
      <alignment horizontal="right"/>
    </xf>
    <xf numFmtId="8" fontId="4" fillId="0" borderId="2" xfId="2" applyNumberFormat="1">
      <alignment vertical="center"/>
    </xf>
    <xf numFmtId="43" fontId="0" fillId="0" borderId="0" xfId="14" applyFont="1" applyAlignment="1">
      <alignment horizontal="left"/>
    </xf>
    <xf numFmtId="165" fontId="0" fillId="0" borderId="0" xfId="14" applyNumberFormat="1" applyFont="1" applyAlignment="1">
      <alignment horizontal="left"/>
    </xf>
    <xf numFmtId="43" fontId="0" fillId="0" borderId="0" xfId="14" applyFont="1" applyAlignment="1">
      <alignment horizontal="right" indent="2"/>
    </xf>
    <xf numFmtId="164" fontId="0" fillId="0" borderId="0" xfId="0" applyNumberFormat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Alignment="1">
      <alignment horizontal="left"/>
    </xf>
    <xf numFmtId="0" fontId="5" fillId="0" borderId="5" xfId="5" applyBorder="1" applyAlignment="1">
      <alignment vertical="center"/>
    </xf>
    <xf numFmtId="0" fontId="5" fillId="0" borderId="4" xfId="5" applyAlignment="1">
      <alignment vertical="center"/>
    </xf>
    <xf numFmtId="14" fontId="0" fillId="0" borderId="0" xfId="10" applyNumberFormat="1" applyFont="1" applyFill="1" applyAlignment="1">
      <alignment horizontal="left"/>
    </xf>
    <xf numFmtId="0" fontId="3" fillId="2" borderId="4" xfId="4">
      <alignment horizontal="right"/>
    </xf>
    <xf numFmtId="14" fontId="3" fillId="2" borderId="4" xfId="4" applyNumberFormat="1">
      <alignment horizontal="right"/>
    </xf>
    <xf numFmtId="165" fontId="3" fillId="2" borderId="4" xfId="14" applyNumberFormat="1" applyFont="1" applyFill="1" applyBorder="1" applyAlignment="1">
      <alignment horizontal="right"/>
    </xf>
    <xf numFmtId="165" fontId="0" fillId="0" borderId="0" xfId="14" applyNumberFormat="1" applyFont="1" applyAlignment="1">
      <alignment horizontal="right" indent="2"/>
    </xf>
  </cellXfs>
  <cellStyles count="15">
    <cellStyle name="Amount" xfId="7" xr:uid="{00000000-0005-0000-0000-000000000000}"/>
    <cellStyle name="Comma" xfId="14" builtinId="3"/>
    <cellStyle name="Date" xfId="11" xr:uid="{00000000-0005-0000-0000-000002000000}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8000000}"/>
    <cellStyle name="Input" xfId="4" builtinId="20" customBuiltin="1"/>
    <cellStyle name="Loan Summary" xfId="8" xr:uid="{00000000-0005-0000-0000-00000A000000}"/>
    <cellStyle name="Normal" xfId="0" builtinId="0" customBuiltin="1"/>
    <cellStyle name="Number" xfId="10" xr:uid="{00000000-0005-0000-0000-00000C000000}"/>
    <cellStyle name="Percent" xfId="6" builtinId="5" customBuiltin="1"/>
    <cellStyle name="Table Amount" xfId="12" xr:uid="{00000000-0005-0000-0000-00000E000000}"/>
  </cellStyles>
  <dxfs count="43">
    <dxf>
      <numFmt numFmtId="164" formatCode="&quot;$&quot;#,##0.0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.00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4" formatCode="&quot;$&quot;#,##0.0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.00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4" formatCode="&quot;$&quot;#,##0.0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numFmt numFmtId="164" formatCode="&quot;$&quot;#,##0.00"/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.00"/>
    </dxf>
    <dxf>
      <numFmt numFmtId="35" formatCode="_(* #,##0.00_);_(* \(#,##0.00\);_(* &quot;-&quot;??_);_(@_)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3:F26" totalsRowCount="1" headerRowCellStyle="Amount">
  <tableColumns count="5">
    <tableColumn id="1" xr3:uid="{00000000-0010-0000-0000-000001000000}" name="Period" totalsRowLabel="Total" dataCellStyle="Number">
      <calculatedColumnFormula>IF(LoanIsGood,IF(ROW()-ROW(PaymentSchedule[[#Headers],[Period]])&gt;ScheduledNumberOfPayments,"",ROW()-ROW(PaymentSchedule[[#Headers],[Period]])),"")</calculatedColumnFormula>
    </tableColumn>
    <tableColumn id="11" xr3:uid="{00000000-0010-0000-0000-00000B000000}" name="StorageVolume" dataDxfId="35" totalsRowDxfId="31" dataCellStyle="Date"/>
    <tableColumn id="3" xr3:uid="{00000000-0010-0000-0000-000003000000}" name="Storage Costs" totalsRowFunction="sum" dataDxfId="34" totalsRowDxfId="30" dataCellStyle="Table Amount">
      <calculatedColumnFormula>PaymentSchedule[[#This Row],[StorageVolume]]*StorageCosts*(12/PaymentsPerYear)</calculatedColumnFormula>
    </tableColumn>
    <tableColumn id="8" xr3:uid="{00000000-0010-0000-0000-000008000000}" name="StorageVolumeIncrease" dataDxfId="33" totalsRowDxfId="29" dataCellStyle="Table Amount">
      <calculatedColumnFormula>PaymentSchedule[[#This Row],[StorageVolume]]*(InterestRate/PaymentsPerYear)</calculatedColumnFormula>
    </tableColumn>
    <tableColumn id="10" xr3:uid="{00000000-0010-0000-0000-00000A000000}" name="StorageCostsIncrease" totalsRowFunction="sum" dataDxfId="32" totalsRowDxfId="28" dataCellStyle="Table Amount">
      <calculatedColumnFormula>PaymentSchedule[[#This Row],[Storage Costs]]*(InterestRate/PaymentsPerYear)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18958-AD35-48DD-AA90-3E7F26E5CBE1}" name="VolumeIncrease" displayName="VolumeIncrease" ref="H13:L35" totalsRowCount="1" headerRowCellStyle="Amount">
  <tableColumns count="5">
    <tableColumn id="1" xr3:uid="{56677C08-EC18-4876-AEFC-24CC972A8934}" name="Period" totalsRowLabel="Total" dataCellStyle="Number">
      <calculatedColumnFormula>IF(LoanIsGood,IF(ROW()-ROW(VolumeIncrease[[#Headers],[Period]])&gt;ScheduledNumberOfPayments,"",ROW()-ROW(VolumeIncrease[[#Headers],[Period]])),"")</calculatedColumnFormula>
    </tableColumn>
    <tableColumn id="11" xr3:uid="{67BDCBB9-57D2-4199-B006-BF883FA1D656}" name="StorageVolume" dataDxfId="27" totalsRowDxfId="24" dataCellStyle="Date"/>
    <tableColumn id="3" xr3:uid="{FE8985F9-9CFF-416C-A8DF-55A799B15150}" name="Storage Costs" totalsRowFunction="sum" dataDxfId="26" totalsRowDxfId="23" dataCellStyle="Table Amount">
      <calculatedColumnFormula>VolumeIncrease[[#This Row],[StorageVolume]]*StorageCosts*(12/PaymentsPerYear)</calculatedColumnFormula>
    </tableColumn>
    <tableColumn id="8" xr3:uid="{D58D5710-A3C6-4C5F-8DE7-F1105ED7C471}" name="StorageVolumeIncrease" dataDxfId="25" totalsRowDxfId="22" dataCellStyle="Table Amount">
      <calculatedColumnFormula>HotBlobTBIncreaseYear/PaymentsPerYear</calculatedColumnFormula>
    </tableColumn>
    <tableColumn id="10" xr3:uid="{8C9A4BC7-90CD-4FB2-B296-C7EC03153771}" name="StorageCostsIncrease" totalsRowFunction="average" dataDxfId="20" totalsRowDxfId="21" dataCellStyle="Table Amount">
      <calculatedColumnFormula>VolumeIncrease[[#This Row],[StorageVolumeIncrease]]*StorageCosts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7958B7-E246-4824-B7B9-A482B30BC584}" name="VolumeIncrease6" displayName="VolumeIncrease6" ref="N13:R35" totalsRowCount="1" headerRowCellStyle="Amount">
  <tableColumns count="5">
    <tableColumn id="1" xr3:uid="{EB3B5897-BAC8-445A-AF20-A3FFDD36876F}" name="Period" totalsRowLabel="Total" dataCellStyle="Number">
      <calculatedColumnFormula>IF(LoanIsGood,IF(ROW()-ROW(VolumeIncrease6[[#Headers],[Period]])&gt;ScheduledNumberOfPayments,"",ROW()-ROW(VolumeIncrease6[[#Headers],[Period]])),"")</calculatedColumnFormula>
    </tableColumn>
    <tableColumn id="11" xr3:uid="{0169E05D-8358-41AE-90FF-01A3A0A8094F}" name="StorageVolume" dataDxfId="16" totalsRowDxfId="13" dataCellStyle="Date"/>
    <tableColumn id="3" xr3:uid="{07196EAB-339E-4EBC-86D6-6B1D5F1737F6}" name="Storage Costs" totalsRowFunction="sum" dataDxfId="14" totalsRowDxfId="12" dataCellStyle="Table Amount">
      <calculatedColumnFormula>VolumeIncrease6[[#This Row],[StorageVolume]]*CoolBlobTBMonth*(12/PaymentsPerYear)</calculatedColumnFormula>
    </tableColumn>
    <tableColumn id="8" xr3:uid="{6F698057-4068-4BB0-9F22-AD48E710B9C3}" name="StorageVolumeIncrease" dataDxfId="15" totalsRowDxfId="11" dataCellStyle="Table Amount">
      <calculatedColumnFormula>HotBlobTBIncreaseYear/PaymentsPerYear</calculatedColumnFormula>
    </tableColumn>
    <tableColumn id="10" xr3:uid="{E48471E9-77F5-47D3-9912-50516797BD6B}" name="StorageCostsIncrease" totalsRowFunction="average" dataDxfId="9" totalsRowDxfId="10" dataCellStyle="Table Amount">
      <calculatedColumnFormula>VolumeIncrease6[[#This Row],[StorageVolumeIncrease]]*CoolBlobTBMonth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C1B0E3-7495-42E5-8D29-8E376D1D6A8A}" name="VolumeIncrease67" displayName="VolumeIncrease67" ref="T13:X35" totalsRowCount="1" headerRowCellStyle="Amount">
  <tableColumns count="5">
    <tableColumn id="1" xr3:uid="{DE83C9D8-3174-4DFA-B9B2-95AB875ACB9A}" name="Period" totalsRowLabel="Total" dataCellStyle="Number">
      <calculatedColumnFormula>IF(LoanIsGood,IF(ROW()-ROW(VolumeIncrease67[[#Headers],[Period]])&gt;ScheduledNumberOfPayments,"",ROW()-ROW(VolumeIncrease67[[#Headers],[Period]])),"")</calculatedColumnFormula>
    </tableColumn>
    <tableColumn id="11" xr3:uid="{0DF130EB-0D35-47C6-9F49-01E7EEA8D323}" name="StorageVolume" dataDxfId="7" totalsRowDxfId="4" dataCellStyle="Date"/>
    <tableColumn id="3" xr3:uid="{2A4836AF-47BB-4269-BA8C-D12197B35ABD}" name="Storage Costs" totalsRowFunction="sum" dataDxfId="5" totalsRowDxfId="3" dataCellStyle="Table Amount">
      <calculatedColumnFormula>VolumeIncrease67[[#This Row],[StorageVolume]]*ArchiveTBMoCost*(12/PaymentsPerYear)</calculatedColumnFormula>
    </tableColumn>
    <tableColumn id="8" xr3:uid="{57F85D72-4531-4E64-86AB-4044EB620439}" name="StorageVolumeIncrease" dataDxfId="6" totalsRowDxfId="2" dataCellStyle="Table Amount">
      <calculatedColumnFormula>HotBlobTBIncreaseYear/PaymentsPerYear</calculatedColumnFormula>
    </tableColumn>
    <tableColumn id="10" xr3:uid="{D1E984A0-6CE2-42BE-9AA5-02D3FC5F8918}" name="StorageCostsIncrease" totalsRowFunction="average" dataDxfId="0" totalsRowDxfId="1" dataCellStyle="Table Amount">
      <calculatedColumnFormula>VolumeIncrease67[[#This Row],[StorageVolumeIncrease]]*ArchiveTBMoCost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X35"/>
  <sheetViews>
    <sheetView showGridLines="0" tabSelected="1" zoomScaleNormal="100" workbookViewId="0">
      <pane ySplit="13" topLeftCell="A14" activePane="bottomLeft" state="frozen"/>
      <selection pane="bottomLeft" activeCell="B37" sqref="B37"/>
    </sheetView>
  </sheetViews>
  <sheetFormatPr defaultRowHeight="13.5" x14ac:dyDescent="0.35"/>
  <cols>
    <col min="1" max="1" width="2.625" customWidth="1"/>
    <col min="2" max="2" width="11" customWidth="1"/>
    <col min="3" max="3" width="15" customWidth="1"/>
    <col min="4" max="4" width="16.75" customWidth="1"/>
    <col min="5" max="5" width="16.4375" customWidth="1"/>
    <col min="6" max="6" width="15.875" customWidth="1"/>
    <col min="7" max="7" width="17" customWidth="1"/>
    <col min="8" max="8" width="12.125" customWidth="1"/>
    <col min="9" max="9" width="15.375" customWidth="1"/>
    <col min="10" max="10" width="18.125" customWidth="1"/>
    <col min="11" max="11" width="9.875" customWidth="1"/>
    <col min="12" max="12" width="24.25" customWidth="1"/>
    <col min="16" max="16" width="17.625" customWidth="1"/>
    <col min="18" max="18" width="13.8125" customWidth="1"/>
    <col min="22" max="22" width="15.1875" customWidth="1"/>
    <col min="24" max="24" width="12.75" customWidth="1"/>
  </cols>
  <sheetData>
    <row r="1" spans="2:24" ht="30" customHeight="1" thickBot="1" x14ac:dyDescent="0.4">
      <c r="B1" s="1" t="s">
        <v>0</v>
      </c>
      <c r="C1" s="1"/>
      <c r="D1" s="1"/>
      <c r="E1" s="1"/>
      <c r="F1" s="1"/>
      <c r="G1" s="1"/>
      <c r="I1" s="20"/>
    </row>
    <row r="2" spans="2:24" ht="20.100000000000001" customHeight="1" thickTop="1" thickBot="1" x14ac:dyDescent="0.4">
      <c r="C2" s="2" t="s">
        <v>1</v>
      </c>
      <c r="D2" s="2"/>
      <c r="E2" s="2" t="s">
        <v>12</v>
      </c>
      <c r="F2" s="2" t="s">
        <v>13</v>
      </c>
      <c r="G2" s="2" t="s">
        <v>14</v>
      </c>
    </row>
    <row r="3" spans="2:24" ht="20.100000000000001" customHeight="1" thickBot="1" x14ac:dyDescent="0.4">
      <c r="C3" s="17" t="s">
        <v>10</v>
      </c>
      <c r="D3" s="17"/>
      <c r="E3" s="2">
        <v>110</v>
      </c>
      <c r="F3" s="2">
        <v>110</v>
      </c>
      <c r="G3" s="2">
        <v>110</v>
      </c>
    </row>
    <row r="4" spans="2:24" ht="20.100000000000001" customHeight="1" thickBot="1" x14ac:dyDescent="0.4">
      <c r="C4" s="17" t="s">
        <v>11</v>
      </c>
      <c r="D4" s="17"/>
      <c r="E4" s="10">
        <v>20.8</v>
      </c>
      <c r="F4" s="10">
        <v>15.2</v>
      </c>
      <c r="G4" s="10">
        <v>2</v>
      </c>
    </row>
    <row r="5" spans="2:24" ht="13.9" x14ac:dyDescent="0.35">
      <c r="C5" s="18" t="s">
        <v>16</v>
      </c>
      <c r="D5" s="18"/>
      <c r="E5" s="9">
        <v>1</v>
      </c>
      <c r="F5" s="9">
        <v>1</v>
      </c>
      <c r="G5" s="9">
        <v>1</v>
      </c>
    </row>
    <row r="6" spans="2:24" ht="13.9" x14ac:dyDescent="0.35">
      <c r="C6" s="18" t="s">
        <v>15</v>
      </c>
      <c r="D6" s="18"/>
      <c r="E6" s="22">
        <v>900</v>
      </c>
      <c r="F6" s="22">
        <v>500</v>
      </c>
      <c r="G6" s="22">
        <v>1000</v>
      </c>
    </row>
    <row r="7" spans="2:24" ht="13.9" x14ac:dyDescent="0.35">
      <c r="C7" s="18" t="s">
        <v>2</v>
      </c>
      <c r="D7" s="18"/>
      <c r="E7" s="4">
        <v>5</v>
      </c>
      <c r="F7" s="4"/>
      <c r="G7" s="4"/>
    </row>
    <row r="8" spans="2:24" ht="13.9" x14ac:dyDescent="0.35">
      <c r="C8" s="18" t="s">
        <v>17</v>
      </c>
      <c r="D8" s="18"/>
      <c r="E8" s="5">
        <v>4</v>
      </c>
      <c r="F8" s="5"/>
      <c r="G8" s="5"/>
    </row>
    <row r="9" spans="2:24" ht="13.9" x14ac:dyDescent="0.35">
      <c r="C9" s="18" t="s">
        <v>3</v>
      </c>
      <c r="D9" s="18"/>
      <c r="E9" s="21">
        <v>43282</v>
      </c>
      <c r="F9" s="21"/>
      <c r="G9" s="21"/>
    </row>
    <row r="11" spans="2:24" ht="13.9" x14ac:dyDescent="0.35">
      <c r="C11" s="18"/>
      <c r="D11" s="18"/>
      <c r="E11" s="3"/>
      <c r="F11" s="3"/>
      <c r="G11" s="3"/>
    </row>
    <row r="12" spans="2:24" x14ac:dyDescent="0.35">
      <c r="H12" t="s">
        <v>18</v>
      </c>
      <c r="N12" t="s">
        <v>19</v>
      </c>
      <c r="T12" t="s">
        <v>18</v>
      </c>
    </row>
    <row r="13" spans="2:24" ht="35.1" customHeight="1" x14ac:dyDescent="0.35">
      <c r="B13" s="6" t="s">
        <v>4</v>
      </c>
      <c r="C13" s="6" t="s">
        <v>5</v>
      </c>
      <c r="D13" s="8" t="s">
        <v>6</v>
      </c>
      <c r="E13" s="8" t="s">
        <v>7</v>
      </c>
      <c r="F13" s="8" t="s">
        <v>8</v>
      </c>
      <c r="H13" s="6" t="s">
        <v>4</v>
      </c>
      <c r="I13" s="6" t="s">
        <v>5</v>
      </c>
      <c r="J13" s="8" t="s">
        <v>6</v>
      </c>
      <c r="K13" s="8" t="s">
        <v>7</v>
      </c>
      <c r="L13" s="8" t="s">
        <v>8</v>
      </c>
      <c r="N13" s="6" t="s">
        <v>4</v>
      </c>
      <c r="O13" s="6" t="s">
        <v>5</v>
      </c>
      <c r="P13" s="8" t="s">
        <v>6</v>
      </c>
      <c r="Q13" s="8" t="s">
        <v>7</v>
      </c>
      <c r="R13" s="8" t="s">
        <v>8</v>
      </c>
      <c r="T13" s="6" t="s">
        <v>4</v>
      </c>
      <c r="U13" s="6" t="s">
        <v>5</v>
      </c>
      <c r="V13" s="8" t="s">
        <v>6</v>
      </c>
      <c r="W13" s="8" t="s">
        <v>7</v>
      </c>
      <c r="X13" s="8" t="s">
        <v>8</v>
      </c>
    </row>
    <row r="14" spans="2:24" x14ac:dyDescent="0.35">
      <c r="B14" s="19">
        <f>LoanStartDate</f>
        <v>43282</v>
      </c>
      <c r="C14" s="12">
        <f>InitialStorage</f>
        <v>110</v>
      </c>
      <c r="D14" s="7">
        <f>PaymentSchedule[[#This Row],[StorageVolume]]*StorageCosts*(12/PaymentsPerYear)</f>
        <v>6864</v>
      </c>
      <c r="E14" s="13">
        <f>PaymentSchedule[[#This Row],[StorageVolume]]*(InterestRate/PaymentsPerYear)</f>
        <v>27.5</v>
      </c>
      <c r="F14" s="7">
        <f>PaymentSchedule[[#This Row],[Storage Costs]]*(InterestRate/PaymentsPerYear)</f>
        <v>1716</v>
      </c>
      <c r="H14" s="19">
        <f>LoanStartDate</f>
        <v>43282</v>
      </c>
      <c r="I14" s="12">
        <f>InitialStorage</f>
        <v>110</v>
      </c>
      <c r="J14" s="7">
        <f>VolumeIncrease[[#This Row],[StorageVolume]]*StorageCosts*(12/PaymentsPerYear)</f>
        <v>6864</v>
      </c>
      <c r="K14" s="23">
        <f>HotBlobTBIncreaseYear/PaymentsPerYear</f>
        <v>225</v>
      </c>
      <c r="L14" s="7">
        <f>VolumeIncrease[[#This Row],[StorageVolumeIncrease]]*StorageCosts</f>
        <v>4680</v>
      </c>
      <c r="N14" s="19">
        <f>LoanStartDate</f>
        <v>43282</v>
      </c>
      <c r="O14" s="12">
        <f>InitialStorage</f>
        <v>110</v>
      </c>
      <c r="P14" s="7">
        <f>VolumeIncrease6[[#This Row],[StorageVolume]]*CoolBlobTBMonth*(12/PaymentsPerYear)</f>
        <v>5016</v>
      </c>
      <c r="Q14" s="23">
        <f>HotBlobTBIncreaseYear/PaymentsPerYear</f>
        <v>225</v>
      </c>
      <c r="R14" s="7">
        <f>VolumeIncrease6[[#This Row],[StorageVolumeIncrease]]*CoolBlobTBMonth</f>
        <v>3420</v>
      </c>
      <c r="T14" s="19">
        <f>LoanStartDate</f>
        <v>43282</v>
      </c>
      <c r="U14" s="12">
        <f>InitialStorage</f>
        <v>110</v>
      </c>
      <c r="V14" s="7">
        <f>VolumeIncrease67[[#This Row],[StorageVolume]]*ArchiveTBMoCost*(12/PaymentsPerYear)</f>
        <v>660</v>
      </c>
      <c r="W14" s="23">
        <f>HotBlobTBIncreaseYear/PaymentsPerYear</f>
        <v>225</v>
      </c>
      <c r="X14" s="7">
        <f>VolumeIncrease67[[#This Row],[StorageVolumeIncrease]]*ArchiveTBMoCost</f>
        <v>450</v>
      </c>
    </row>
    <row r="15" spans="2:24" x14ac:dyDescent="0.35">
      <c r="B15" s="19">
        <f>EDATE(B14, (12/PaymentsPerYear))</f>
        <v>43374</v>
      </c>
      <c r="C15" s="11">
        <f>C14+E14</f>
        <v>137.5</v>
      </c>
      <c r="D15" s="7">
        <f>PaymentSchedule[[#This Row],[StorageVolume]]*StorageCosts*(12/PaymentsPerYear)</f>
        <v>8580</v>
      </c>
      <c r="E15" s="13">
        <f>PaymentSchedule[[#This Row],[StorageVolume]]*(InterestRate/PaymentsPerYear)</f>
        <v>34.375</v>
      </c>
      <c r="F15" s="7">
        <f>PaymentSchedule[[#This Row],[Storage Costs]]*(InterestRate/PaymentsPerYear)</f>
        <v>2145</v>
      </c>
      <c r="H15" s="19">
        <f>EDATE(H14, (12/PaymentsPerYear))</f>
        <v>43374</v>
      </c>
      <c r="I15" s="11">
        <f>I14+K14</f>
        <v>335</v>
      </c>
      <c r="J15" s="7">
        <f>VolumeIncrease[[#This Row],[StorageVolume]]*StorageCosts*(12/PaymentsPerYear)</f>
        <v>20904</v>
      </c>
      <c r="K15" s="23">
        <f>HotBlobTBIncreaseYear/PaymentsPerYear</f>
        <v>225</v>
      </c>
      <c r="L15" s="7">
        <f>VolumeIncrease[[#This Row],[StorageVolumeIncrease]]*StorageCosts</f>
        <v>4680</v>
      </c>
      <c r="N15" s="19">
        <f>EDATE(N14, (12/PaymentsPerYear))</f>
        <v>43374</v>
      </c>
      <c r="O15" s="11">
        <f>O14+Q14</f>
        <v>335</v>
      </c>
      <c r="P15" s="7">
        <f>VolumeIncrease6[[#This Row],[StorageVolume]]*CoolBlobTBMonth*(12/PaymentsPerYear)</f>
        <v>15276</v>
      </c>
      <c r="Q15" s="23">
        <f>HotBlobTBIncreaseYear/PaymentsPerYear</f>
        <v>225</v>
      </c>
      <c r="R15" s="7">
        <f>VolumeIncrease6[[#This Row],[StorageVolumeIncrease]]*CoolBlobTBMonth</f>
        <v>3420</v>
      </c>
      <c r="T15" s="19">
        <f>EDATE(T14, (12/PaymentsPerYear))</f>
        <v>43374</v>
      </c>
      <c r="U15" s="11">
        <f>U14+W14</f>
        <v>335</v>
      </c>
      <c r="V15" s="7">
        <f>VolumeIncrease67[[#This Row],[StorageVolume]]*ArchiveTBMoCost*(12/PaymentsPerYear)</f>
        <v>2010</v>
      </c>
      <c r="W15" s="23">
        <f>HotBlobTBIncreaseYear/PaymentsPerYear</f>
        <v>225</v>
      </c>
      <c r="X15" s="7">
        <f>VolumeIncrease67[[#This Row],[StorageVolumeIncrease]]*ArchiveTBMoCost</f>
        <v>450</v>
      </c>
    </row>
    <row r="16" spans="2:24" x14ac:dyDescent="0.35">
      <c r="B16" s="19">
        <f>EDATE(B15, (12/LoanPeriod))</f>
        <v>43435</v>
      </c>
      <c r="C16" s="11">
        <f t="shared" ref="C16:C25" si="0">C15+E15</f>
        <v>171.875</v>
      </c>
      <c r="D16" s="7">
        <f>PaymentSchedule[[#This Row],[StorageVolume]]*StorageCosts*(12/PaymentsPerYear)</f>
        <v>10725</v>
      </c>
      <c r="E16" s="13">
        <f>PaymentSchedule[[#This Row],[StorageVolume]]*(InterestRate/PaymentsPerYear)</f>
        <v>42.96875</v>
      </c>
      <c r="F16" s="7">
        <f>PaymentSchedule[[#This Row],[Storage Costs]]*(InterestRate/PaymentsPerYear)</f>
        <v>2681.25</v>
      </c>
      <c r="H16" s="19">
        <f>EDATE(H15, (12/PaymentsPerYear))</f>
        <v>43466</v>
      </c>
      <c r="I16" s="11">
        <f t="shared" ref="I16:I25" si="1">I15+K15</f>
        <v>560</v>
      </c>
      <c r="J16" s="7">
        <f>VolumeIncrease[[#This Row],[StorageVolume]]*StorageCosts*(12/PaymentsPerYear)</f>
        <v>34944</v>
      </c>
      <c r="K16" s="23">
        <f>HotBlobTBIncreaseYear/PaymentsPerYear</f>
        <v>225</v>
      </c>
      <c r="L16" s="7">
        <f>VolumeIncrease[[#This Row],[StorageVolumeIncrease]]*StorageCosts</f>
        <v>4680</v>
      </c>
      <c r="N16" s="19">
        <f>EDATE(N15, (12/PaymentsPerYear))</f>
        <v>43466</v>
      </c>
      <c r="O16" s="11">
        <f t="shared" ref="O16:O34" si="2">O15+Q15</f>
        <v>560</v>
      </c>
      <c r="P16" s="7">
        <f>VolumeIncrease6[[#This Row],[StorageVolume]]*CoolBlobTBMonth*(12/PaymentsPerYear)</f>
        <v>25536</v>
      </c>
      <c r="Q16" s="23">
        <f>HotBlobTBIncreaseYear/PaymentsPerYear</f>
        <v>225</v>
      </c>
      <c r="R16" s="7">
        <f>VolumeIncrease6[[#This Row],[StorageVolumeIncrease]]*CoolBlobTBMonth</f>
        <v>3420</v>
      </c>
      <c r="T16" s="19">
        <f>EDATE(T15, (12/PaymentsPerYear))</f>
        <v>43466</v>
      </c>
      <c r="U16" s="11">
        <f t="shared" ref="U16:U34" si="3">U15+W15</f>
        <v>560</v>
      </c>
      <c r="V16" s="7">
        <f>VolumeIncrease67[[#This Row],[StorageVolume]]*ArchiveTBMoCost*(12/PaymentsPerYear)</f>
        <v>3360</v>
      </c>
      <c r="W16" s="23">
        <f>HotBlobTBIncreaseYear/PaymentsPerYear</f>
        <v>225</v>
      </c>
      <c r="X16" s="7">
        <f>VolumeIncrease67[[#This Row],[StorageVolumeIncrease]]*ArchiveTBMoCost</f>
        <v>450</v>
      </c>
    </row>
    <row r="17" spans="2:24" x14ac:dyDescent="0.35">
      <c r="B17" s="19">
        <f>EDATE(B16, (12/LoanPeriod))</f>
        <v>43497</v>
      </c>
      <c r="C17" s="11">
        <f t="shared" si="0"/>
        <v>214.84375</v>
      </c>
      <c r="D17" s="7">
        <f>PaymentSchedule[[#This Row],[StorageVolume]]*StorageCosts*(12/PaymentsPerYear)</f>
        <v>13406.25</v>
      </c>
      <c r="E17" s="13">
        <f>PaymentSchedule[[#This Row],[StorageVolume]]*(InterestRate/PaymentsPerYear)</f>
        <v>53.7109375</v>
      </c>
      <c r="F17" s="7">
        <f>PaymentSchedule[[#This Row],[Storage Costs]]*(InterestRate/PaymentsPerYear)</f>
        <v>3351.5625</v>
      </c>
      <c r="H17" s="19">
        <f>EDATE(H16, (12/PaymentsPerYear))</f>
        <v>43556</v>
      </c>
      <c r="I17" s="11">
        <f t="shared" si="1"/>
        <v>785</v>
      </c>
      <c r="J17" s="7">
        <f>VolumeIncrease[[#This Row],[StorageVolume]]*StorageCosts*(12/PaymentsPerYear)</f>
        <v>48984</v>
      </c>
      <c r="K17" s="23">
        <f>HotBlobTBIncreaseYear/PaymentsPerYear</f>
        <v>225</v>
      </c>
      <c r="L17" s="7">
        <f>VolumeIncrease[[#This Row],[StorageVolumeIncrease]]*StorageCosts</f>
        <v>4680</v>
      </c>
      <c r="N17" s="19">
        <f>EDATE(N16, (12/PaymentsPerYear))</f>
        <v>43556</v>
      </c>
      <c r="O17" s="11">
        <f t="shared" si="2"/>
        <v>785</v>
      </c>
      <c r="P17" s="7">
        <f>VolumeIncrease6[[#This Row],[StorageVolume]]*CoolBlobTBMonth*(12/PaymentsPerYear)</f>
        <v>35796</v>
      </c>
      <c r="Q17" s="23">
        <f>HotBlobTBIncreaseYear/PaymentsPerYear</f>
        <v>225</v>
      </c>
      <c r="R17" s="7">
        <f>VolumeIncrease6[[#This Row],[StorageVolumeIncrease]]*CoolBlobTBMonth</f>
        <v>3420</v>
      </c>
      <c r="T17" s="19">
        <f>EDATE(T16, (12/PaymentsPerYear))</f>
        <v>43556</v>
      </c>
      <c r="U17" s="11">
        <f t="shared" si="3"/>
        <v>785</v>
      </c>
      <c r="V17" s="7">
        <f>VolumeIncrease67[[#This Row],[StorageVolume]]*ArchiveTBMoCost*(12/PaymentsPerYear)</f>
        <v>4710</v>
      </c>
      <c r="W17" s="23">
        <f>HotBlobTBIncreaseYear/PaymentsPerYear</f>
        <v>225</v>
      </c>
      <c r="X17" s="7">
        <f>VolumeIncrease67[[#This Row],[StorageVolumeIncrease]]*ArchiveTBMoCost</f>
        <v>450</v>
      </c>
    </row>
    <row r="18" spans="2:24" x14ac:dyDescent="0.35">
      <c r="B18" s="19">
        <f>EDATE(B17, (12/LoanPeriod))</f>
        <v>43556</v>
      </c>
      <c r="C18" s="11">
        <f t="shared" si="0"/>
        <v>268.5546875</v>
      </c>
      <c r="D18" s="7">
        <f>PaymentSchedule[[#This Row],[StorageVolume]]*StorageCosts*(12/PaymentsPerYear)</f>
        <v>16757.8125</v>
      </c>
      <c r="E18" s="13">
        <f>PaymentSchedule[[#This Row],[StorageVolume]]*(InterestRate/PaymentsPerYear)</f>
        <v>67.138671875</v>
      </c>
      <c r="F18" s="7">
        <f>PaymentSchedule[[#This Row],[Storage Costs]]*(InterestRate/PaymentsPerYear)</f>
        <v>4189.453125</v>
      </c>
      <c r="H18" s="19">
        <f>EDATE(H17, (12/PaymentsPerYear))</f>
        <v>43647</v>
      </c>
      <c r="I18" s="11">
        <f t="shared" si="1"/>
        <v>1010</v>
      </c>
      <c r="J18" s="7">
        <f>VolumeIncrease[[#This Row],[StorageVolume]]*StorageCosts*(12/PaymentsPerYear)</f>
        <v>63024</v>
      </c>
      <c r="K18" s="23">
        <f>HotBlobTBIncreaseYear/PaymentsPerYear</f>
        <v>225</v>
      </c>
      <c r="L18" s="7">
        <f>VolumeIncrease[[#This Row],[StorageVolumeIncrease]]*StorageCosts</f>
        <v>4680</v>
      </c>
      <c r="N18" s="19">
        <f>EDATE(N17, (12/PaymentsPerYear))</f>
        <v>43647</v>
      </c>
      <c r="O18" s="11">
        <f t="shared" si="2"/>
        <v>1010</v>
      </c>
      <c r="P18" s="7">
        <f>VolumeIncrease6[[#This Row],[StorageVolume]]*CoolBlobTBMonth*(12/PaymentsPerYear)</f>
        <v>46056</v>
      </c>
      <c r="Q18" s="23">
        <f>HotBlobTBIncreaseYear/PaymentsPerYear</f>
        <v>225</v>
      </c>
      <c r="R18" s="7">
        <f>VolumeIncrease6[[#This Row],[StorageVolumeIncrease]]*CoolBlobTBMonth</f>
        <v>3420</v>
      </c>
      <c r="T18" s="19">
        <f>EDATE(T17, (12/PaymentsPerYear))</f>
        <v>43647</v>
      </c>
      <c r="U18" s="11">
        <f t="shared" si="3"/>
        <v>1010</v>
      </c>
      <c r="V18" s="7">
        <f>VolumeIncrease67[[#This Row],[StorageVolume]]*ArchiveTBMoCost*(12/PaymentsPerYear)</f>
        <v>6060</v>
      </c>
      <c r="W18" s="23">
        <f>HotBlobTBIncreaseYear/PaymentsPerYear</f>
        <v>225</v>
      </c>
      <c r="X18" s="7">
        <f>VolumeIncrease67[[#This Row],[StorageVolumeIncrease]]*ArchiveTBMoCost</f>
        <v>450</v>
      </c>
    </row>
    <row r="19" spans="2:24" x14ac:dyDescent="0.35">
      <c r="B19" s="19">
        <f>EDATE(B18, (12/LoanPeriod))</f>
        <v>43617</v>
      </c>
      <c r="C19" s="11">
        <f t="shared" si="0"/>
        <v>335.693359375</v>
      </c>
      <c r="D19" s="7">
        <f>PaymentSchedule[[#This Row],[StorageVolume]]*StorageCosts*(12/PaymentsPerYear)</f>
        <v>20947.265625</v>
      </c>
      <c r="E19" s="13">
        <f>PaymentSchedule[[#This Row],[StorageVolume]]*(InterestRate/PaymentsPerYear)</f>
        <v>83.92333984375</v>
      </c>
      <c r="F19" s="7">
        <f>PaymentSchedule[[#This Row],[Storage Costs]]*(InterestRate/PaymentsPerYear)</f>
        <v>5236.81640625</v>
      </c>
      <c r="H19" s="19">
        <f>EDATE(H18, (12/PaymentsPerYear))</f>
        <v>43739</v>
      </c>
      <c r="I19" s="11">
        <f t="shared" si="1"/>
        <v>1235</v>
      </c>
      <c r="J19" s="7">
        <f>VolumeIncrease[[#This Row],[StorageVolume]]*StorageCosts*(12/PaymentsPerYear)</f>
        <v>77064</v>
      </c>
      <c r="K19" s="23">
        <f>HotBlobTBIncreaseYear/PaymentsPerYear</f>
        <v>225</v>
      </c>
      <c r="L19" s="7">
        <f>VolumeIncrease[[#This Row],[StorageVolumeIncrease]]*StorageCosts</f>
        <v>4680</v>
      </c>
      <c r="N19" s="19">
        <f>EDATE(N18, (12/PaymentsPerYear))</f>
        <v>43739</v>
      </c>
      <c r="O19" s="11">
        <f t="shared" si="2"/>
        <v>1235</v>
      </c>
      <c r="P19" s="7">
        <f>VolumeIncrease6[[#This Row],[StorageVolume]]*CoolBlobTBMonth*(12/PaymentsPerYear)</f>
        <v>56316</v>
      </c>
      <c r="Q19" s="23">
        <f>HotBlobTBIncreaseYear/PaymentsPerYear</f>
        <v>225</v>
      </c>
      <c r="R19" s="7">
        <f>VolumeIncrease6[[#This Row],[StorageVolumeIncrease]]*CoolBlobTBMonth</f>
        <v>3420</v>
      </c>
      <c r="T19" s="19">
        <f>EDATE(T18, (12/PaymentsPerYear))</f>
        <v>43739</v>
      </c>
      <c r="U19" s="11">
        <f t="shared" si="3"/>
        <v>1235</v>
      </c>
      <c r="V19" s="7">
        <f>VolumeIncrease67[[#This Row],[StorageVolume]]*ArchiveTBMoCost*(12/PaymentsPerYear)</f>
        <v>7410</v>
      </c>
      <c r="W19" s="23">
        <f>HotBlobTBIncreaseYear/PaymentsPerYear</f>
        <v>225</v>
      </c>
      <c r="X19" s="7">
        <f>VolumeIncrease67[[#This Row],[StorageVolumeIncrease]]*ArchiveTBMoCost</f>
        <v>450</v>
      </c>
    </row>
    <row r="20" spans="2:24" x14ac:dyDescent="0.35">
      <c r="B20" s="19">
        <f>EDATE(B19, (12/LoanPeriod))</f>
        <v>43678</v>
      </c>
      <c r="C20" s="11">
        <f t="shared" si="0"/>
        <v>419.61669921875</v>
      </c>
      <c r="D20" s="7">
        <f>PaymentSchedule[[#This Row],[StorageVolume]]*StorageCosts*(12/PaymentsPerYear)</f>
        <v>26184.08203125</v>
      </c>
      <c r="E20" s="13">
        <f>PaymentSchedule[[#This Row],[StorageVolume]]*(InterestRate/PaymentsPerYear)</f>
        <v>104.9041748046875</v>
      </c>
      <c r="F20" s="7">
        <f>PaymentSchedule[[#This Row],[Storage Costs]]*(InterestRate/PaymentsPerYear)</f>
        <v>6546.0205078125</v>
      </c>
      <c r="H20" s="19">
        <f>EDATE(H19, (12/PaymentsPerYear))</f>
        <v>43831</v>
      </c>
      <c r="I20" s="11">
        <f t="shared" si="1"/>
        <v>1460</v>
      </c>
      <c r="J20" s="7">
        <f>VolumeIncrease[[#This Row],[StorageVolume]]*StorageCosts*(12/PaymentsPerYear)</f>
        <v>91104</v>
      </c>
      <c r="K20" s="23">
        <f>HotBlobTBIncreaseYear/PaymentsPerYear</f>
        <v>225</v>
      </c>
      <c r="L20" s="7">
        <f>VolumeIncrease[[#This Row],[StorageVolumeIncrease]]*StorageCosts</f>
        <v>4680</v>
      </c>
      <c r="N20" s="19">
        <f>EDATE(N19, (12/PaymentsPerYear))</f>
        <v>43831</v>
      </c>
      <c r="O20" s="11">
        <f t="shared" si="2"/>
        <v>1460</v>
      </c>
      <c r="P20" s="7">
        <f>VolumeIncrease6[[#This Row],[StorageVolume]]*CoolBlobTBMonth*(12/PaymentsPerYear)</f>
        <v>66576</v>
      </c>
      <c r="Q20" s="23">
        <f>HotBlobTBIncreaseYear/PaymentsPerYear</f>
        <v>225</v>
      </c>
      <c r="R20" s="7">
        <f>VolumeIncrease6[[#This Row],[StorageVolumeIncrease]]*CoolBlobTBMonth</f>
        <v>3420</v>
      </c>
      <c r="T20" s="19">
        <f>EDATE(T19, (12/PaymentsPerYear))</f>
        <v>43831</v>
      </c>
      <c r="U20" s="11">
        <f t="shared" si="3"/>
        <v>1460</v>
      </c>
      <c r="V20" s="7">
        <f>VolumeIncrease67[[#This Row],[StorageVolume]]*ArchiveTBMoCost*(12/PaymentsPerYear)</f>
        <v>8760</v>
      </c>
      <c r="W20" s="23">
        <f>HotBlobTBIncreaseYear/PaymentsPerYear</f>
        <v>225</v>
      </c>
      <c r="X20" s="7">
        <f>VolumeIncrease67[[#This Row],[StorageVolumeIncrease]]*ArchiveTBMoCost</f>
        <v>450</v>
      </c>
    </row>
    <row r="21" spans="2:24" x14ac:dyDescent="0.35">
      <c r="B21" s="19">
        <f>EDATE(B20, (12/LoanPeriod))</f>
        <v>43739</v>
      </c>
      <c r="C21" s="11">
        <f t="shared" si="0"/>
        <v>524.5208740234375</v>
      </c>
      <c r="D21" s="7">
        <f>PaymentSchedule[[#This Row],[StorageVolume]]*StorageCosts*(12/PaymentsPerYear)</f>
        <v>32730.1025390625</v>
      </c>
      <c r="E21" s="13">
        <f>PaymentSchedule[[#This Row],[StorageVolume]]*(InterestRate/PaymentsPerYear)</f>
        <v>131.13021850585938</v>
      </c>
      <c r="F21" s="7">
        <f>PaymentSchedule[[#This Row],[Storage Costs]]*(InterestRate/PaymentsPerYear)</f>
        <v>8182.525634765625</v>
      </c>
      <c r="H21" s="19">
        <f>EDATE(H20, (12/PaymentsPerYear))</f>
        <v>43922</v>
      </c>
      <c r="I21" s="11">
        <f t="shared" si="1"/>
        <v>1685</v>
      </c>
      <c r="J21" s="7">
        <f>VolumeIncrease[[#This Row],[StorageVolume]]*StorageCosts*(12/PaymentsPerYear)</f>
        <v>105144</v>
      </c>
      <c r="K21" s="23">
        <f>HotBlobTBIncreaseYear/PaymentsPerYear</f>
        <v>225</v>
      </c>
      <c r="L21" s="7">
        <f>VolumeIncrease[[#This Row],[StorageVolumeIncrease]]*StorageCosts</f>
        <v>4680</v>
      </c>
      <c r="N21" s="19">
        <f>EDATE(N20, (12/PaymentsPerYear))</f>
        <v>43922</v>
      </c>
      <c r="O21" s="11">
        <f t="shared" si="2"/>
        <v>1685</v>
      </c>
      <c r="P21" s="7">
        <f>VolumeIncrease6[[#This Row],[StorageVolume]]*CoolBlobTBMonth*(12/PaymentsPerYear)</f>
        <v>76836</v>
      </c>
      <c r="Q21" s="23">
        <f>HotBlobTBIncreaseYear/PaymentsPerYear</f>
        <v>225</v>
      </c>
      <c r="R21" s="7">
        <f>VolumeIncrease6[[#This Row],[StorageVolumeIncrease]]*CoolBlobTBMonth</f>
        <v>3420</v>
      </c>
      <c r="T21" s="19">
        <f>EDATE(T20, (12/PaymentsPerYear))</f>
        <v>43922</v>
      </c>
      <c r="U21" s="11">
        <f t="shared" si="3"/>
        <v>1685</v>
      </c>
      <c r="V21" s="7">
        <f>VolumeIncrease67[[#This Row],[StorageVolume]]*ArchiveTBMoCost*(12/PaymentsPerYear)</f>
        <v>10110</v>
      </c>
      <c r="W21" s="23">
        <f>HotBlobTBIncreaseYear/PaymentsPerYear</f>
        <v>225</v>
      </c>
      <c r="X21" s="7">
        <f>VolumeIncrease67[[#This Row],[StorageVolumeIncrease]]*ArchiveTBMoCost</f>
        <v>450</v>
      </c>
    </row>
    <row r="22" spans="2:24" x14ac:dyDescent="0.35">
      <c r="B22" s="19">
        <f>EDATE(B21, (12/LoanPeriod))</f>
        <v>43800</v>
      </c>
      <c r="C22" s="11">
        <f t="shared" si="0"/>
        <v>655.65109252929688</v>
      </c>
      <c r="D22" s="7">
        <f>PaymentSchedule[[#This Row],[StorageVolume]]*StorageCosts*(12/PaymentsPerYear)</f>
        <v>40912.628173828125</v>
      </c>
      <c r="E22" s="13">
        <f>PaymentSchedule[[#This Row],[StorageVolume]]*(InterestRate/PaymentsPerYear)</f>
        <v>163.91277313232422</v>
      </c>
      <c r="F22" s="7">
        <f>PaymentSchedule[[#This Row],[Storage Costs]]*(InterestRate/PaymentsPerYear)</f>
        <v>10228.157043457031</v>
      </c>
      <c r="H22" s="19">
        <f>EDATE(H21, (12/PaymentsPerYear))</f>
        <v>44013</v>
      </c>
      <c r="I22" s="11">
        <f t="shared" si="1"/>
        <v>1910</v>
      </c>
      <c r="J22" s="7">
        <f>VolumeIncrease[[#This Row],[StorageVolume]]*StorageCosts*(12/PaymentsPerYear)</f>
        <v>119184</v>
      </c>
      <c r="K22" s="23">
        <f>HotBlobTBIncreaseYear/PaymentsPerYear</f>
        <v>225</v>
      </c>
      <c r="L22" s="7">
        <f>VolumeIncrease[[#This Row],[StorageVolumeIncrease]]*StorageCosts</f>
        <v>4680</v>
      </c>
      <c r="N22" s="19">
        <f>EDATE(N21, (12/PaymentsPerYear))</f>
        <v>44013</v>
      </c>
      <c r="O22" s="11">
        <f t="shared" si="2"/>
        <v>1910</v>
      </c>
      <c r="P22" s="7">
        <f>VolumeIncrease6[[#This Row],[StorageVolume]]*CoolBlobTBMonth*(12/PaymentsPerYear)</f>
        <v>87096</v>
      </c>
      <c r="Q22" s="23">
        <f>HotBlobTBIncreaseYear/PaymentsPerYear</f>
        <v>225</v>
      </c>
      <c r="R22" s="7">
        <f>VolumeIncrease6[[#This Row],[StorageVolumeIncrease]]*CoolBlobTBMonth</f>
        <v>3420</v>
      </c>
      <c r="T22" s="19">
        <f>EDATE(T21, (12/PaymentsPerYear))</f>
        <v>44013</v>
      </c>
      <c r="U22" s="11">
        <f t="shared" si="3"/>
        <v>1910</v>
      </c>
      <c r="V22" s="7">
        <f>VolumeIncrease67[[#This Row],[StorageVolume]]*ArchiveTBMoCost*(12/PaymentsPerYear)</f>
        <v>11460</v>
      </c>
      <c r="W22" s="23">
        <f>HotBlobTBIncreaseYear/PaymentsPerYear</f>
        <v>225</v>
      </c>
      <c r="X22" s="7">
        <f>VolumeIncrease67[[#This Row],[StorageVolumeIncrease]]*ArchiveTBMoCost</f>
        <v>450</v>
      </c>
    </row>
    <row r="23" spans="2:24" x14ac:dyDescent="0.35">
      <c r="B23" s="19">
        <f>EDATE(B22, (12/LoanPeriod))</f>
        <v>43862</v>
      </c>
      <c r="C23" s="11">
        <f t="shared" si="0"/>
        <v>819.56386566162109</v>
      </c>
      <c r="D23" s="7">
        <f>PaymentSchedule[[#This Row],[StorageVolume]]*StorageCosts*(12/PaymentsPerYear)</f>
        <v>51140.785217285156</v>
      </c>
      <c r="E23" s="13">
        <f>PaymentSchedule[[#This Row],[StorageVolume]]*(InterestRate/PaymentsPerYear)</f>
        <v>204.89096641540527</v>
      </c>
      <c r="F23" s="7">
        <f>PaymentSchedule[[#This Row],[Storage Costs]]*(InterestRate/PaymentsPerYear)</f>
        <v>12785.196304321289</v>
      </c>
      <c r="H23" s="19">
        <f>EDATE(H22, (12/PaymentsPerYear))</f>
        <v>44105</v>
      </c>
      <c r="I23" s="11">
        <f t="shared" si="1"/>
        <v>2135</v>
      </c>
      <c r="J23" s="7">
        <f>VolumeIncrease[[#This Row],[StorageVolume]]*StorageCosts*(12/PaymentsPerYear)</f>
        <v>133224</v>
      </c>
      <c r="K23" s="23">
        <f>HotBlobTBIncreaseYear/PaymentsPerYear</f>
        <v>225</v>
      </c>
      <c r="L23" s="7">
        <f>VolumeIncrease[[#This Row],[StorageVolumeIncrease]]*StorageCosts</f>
        <v>4680</v>
      </c>
      <c r="N23" s="19">
        <f>EDATE(N22, (12/PaymentsPerYear))</f>
        <v>44105</v>
      </c>
      <c r="O23" s="11">
        <f t="shared" si="2"/>
        <v>2135</v>
      </c>
      <c r="P23" s="7">
        <f>VolumeIncrease6[[#This Row],[StorageVolume]]*CoolBlobTBMonth*(12/PaymentsPerYear)</f>
        <v>97356</v>
      </c>
      <c r="Q23" s="23">
        <f>HotBlobTBIncreaseYear/PaymentsPerYear</f>
        <v>225</v>
      </c>
      <c r="R23" s="7">
        <f>VolumeIncrease6[[#This Row],[StorageVolumeIncrease]]*CoolBlobTBMonth</f>
        <v>3420</v>
      </c>
      <c r="T23" s="19">
        <f>EDATE(T22, (12/PaymentsPerYear))</f>
        <v>44105</v>
      </c>
      <c r="U23" s="11">
        <f t="shared" si="3"/>
        <v>2135</v>
      </c>
      <c r="V23" s="7">
        <f>VolumeIncrease67[[#This Row],[StorageVolume]]*ArchiveTBMoCost*(12/PaymentsPerYear)</f>
        <v>12810</v>
      </c>
      <c r="W23" s="23">
        <f>HotBlobTBIncreaseYear/PaymentsPerYear</f>
        <v>225</v>
      </c>
      <c r="X23" s="7">
        <f>VolumeIncrease67[[#This Row],[StorageVolumeIncrease]]*ArchiveTBMoCost</f>
        <v>450</v>
      </c>
    </row>
    <row r="24" spans="2:24" x14ac:dyDescent="0.35">
      <c r="B24" s="19">
        <f>EDATE(B23, (12/LoanPeriod))</f>
        <v>43922</v>
      </c>
      <c r="C24" s="11">
        <f t="shared" si="0"/>
        <v>1024.4548320770264</v>
      </c>
      <c r="D24" s="7">
        <f>PaymentSchedule[[#This Row],[StorageVolume]]*StorageCosts*(12/PaymentsPerYear)</f>
        <v>63925.981521606445</v>
      </c>
      <c r="E24" s="13">
        <f>PaymentSchedule[[#This Row],[StorageVolume]]*(InterestRate/PaymentsPerYear)</f>
        <v>256.11370801925659</v>
      </c>
      <c r="F24" s="7">
        <f>PaymentSchedule[[#This Row],[Storage Costs]]*(InterestRate/PaymentsPerYear)</f>
        <v>15981.495380401611</v>
      </c>
      <c r="H24" s="19">
        <f>EDATE(H23, (12/PaymentsPerYear))</f>
        <v>44197</v>
      </c>
      <c r="I24" s="11">
        <f t="shared" si="1"/>
        <v>2360</v>
      </c>
      <c r="J24" s="7">
        <f>VolumeIncrease[[#This Row],[StorageVolume]]*StorageCosts*(12/PaymentsPerYear)</f>
        <v>147264</v>
      </c>
      <c r="K24" s="23">
        <f>HotBlobTBIncreaseYear/PaymentsPerYear</f>
        <v>225</v>
      </c>
      <c r="L24" s="7">
        <f>VolumeIncrease[[#This Row],[StorageVolumeIncrease]]*StorageCosts</f>
        <v>4680</v>
      </c>
      <c r="N24" s="19">
        <f>EDATE(N23, (12/PaymentsPerYear))</f>
        <v>44197</v>
      </c>
      <c r="O24" s="11">
        <f t="shared" si="2"/>
        <v>2360</v>
      </c>
      <c r="P24" s="7">
        <f>VolumeIncrease6[[#This Row],[StorageVolume]]*CoolBlobTBMonth*(12/PaymentsPerYear)</f>
        <v>107616</v>
      </c>
      <c r="Q24" s="23">
        <f>HotBlobTBIncreaseYear/PaymentsPerYear</f>
        <v>225</v>
      </c>
      <c r="R24" s="7">
        <f>VolumeIncrease6[[#This Row],[StorageVolumeIncrease]]*CoolBlobTBMonth</f>
        <v>3420</v>
      </c>
      <c r="T24" s="19">
        <f>EDATE(T23, (12/PaymentsPerYear))</f>
        <v>44197</v>
      </c>
      <c r="U24" s="11">
        <f t="shared" si="3"/>
        <v>2360</v>
      </c>
      <c r="V24" s="7">
        <f>VolumeIncrease67[[#This Row],[StorageVolume]]*ArchiveTBMoCost*(12/PaymentsPerYear)</f>
        <v>14160</v>
      </c>
      <c r="W24" s="23">
        <f>HotBlobTBIncreaseYear/PaymentsPerYear</f>
        <v>225</v>
      </c>
      <c r="X24" s="7">
        <f>VolumeIncrease67[[#This Row],[StorageVolumeIncrease]]*ArchiveTBMoCost</f>
        <v>450</v>
      </c>
    </row>
    <row r="25" spans="2:24" x14ac:dyDescent="0.35">
      <c r="B25" s="19">
        <f>EDATE(B24, (12/LoanPeriod))</f>
        <v>43983</v>
      </c>
      <c r="C25" s="11">
        <f t="shared" si="0"/>
        <v>1280.568540096283</v>
      </c>
      <c r="D25" s="7">
        <f>PaymentSchedule[[#This Row],[StorageVolume]]*StorageCosts*(12/PaymentsPerYear)</f>
        <v>79907.476902008057</v>
      </c>
      <c r="E25" s="13">
        <f>PaymentSchedule[[#This Row],[StorageVolume]]*(InterestRate/PaymentsPerYear)</f>
        <v>320.14213502407074</v>
      </c>
      <c r="F25" s="7">
        <f>PaymentSchedule[[#This Row],[Storage Costs]]*(InterestRate/PaymentsPerYear)</f>
        <v>19976.869225502014</v>
      </c>
      <c r="H25" s="19">
        <f>EDATE(H24, (12/PaymentsPerYear))</f>
        <v>44287</v>
      </c>
      <c r="I25" s="11">
        <f t="shared" si="1"/>
        <v>2585</v>
      </c>
      <c r="J25" s="7">
        <f>VolumeIncrease[[#This Row],[StorageVolume]]*StorageCosts*(12/PaymentsPerYear)</f>
        <v>161304</v>
      </c>
      <c r="K25" s="23">
        <f>HotBlobTBIncreaseYear/PaymentsPerYear</f>
        <v>225</v>
      </c>
      <c r="L25" s="7">
        <f>VolumeIncrease[[#This Row],[StorageVolumeIncrease]]*StorageCosts</f>
        <v>4680</v>
      </c>
      <c r="N25" s="19">
        <f>EDATE(N24, (12/PaymentsPerYear))</f>
        <v>44287</v>
      </c>
      <c r="O25" s="11">
        <f t="shared" si="2"/>
        <v>2585</v>
      </c>
      <c r="P25" s="7">
        <f>VolumeIncrease6[[#This Row],[StorageVolume]]*CoolBlobTBMonth*(12/PaymentsPerYear)</f>
        <v>117876</v>
      </c>
      <c r="Q25" s="23">
        <f>HotBlobTBIncreaseYear/PaymentsPerYear</f>
        <v>225</v>
      </c>
      <c r="R25" s="7">
        <f>VolumeIncrease6[[#This Row],[StorageVolumeIncrease]]*CoolBlobTBMonth</f>
        <v>3420</v>
      </c>
      <c r="T25" s="19">
        <f>EDATE(T24, (12/PaymentsPerYear))</f>
        <v>44287</v>
      </c>
      <c r="U25" s="11">
        <f t="shared" si="3"/>
        <v>2585</v>
      </c>
      <c r="V25" s="7">
        <f>VolumeIncrease67[[#This Row],[StorageVolume]]*ArchiveTBMoCost*(12/PaymentsPerYear)</f>
        <v>15510</v>
      </c>
      <c r="W25" s="23">
        <f>HotBlobTBIncreaseYear/PaymentsPerYear</f>
        <v>225</v>
      </c>
      <c r="X25" s="7">
        <f>VolumeIncrease67[[#This Row],[StorageVolumeIncrease]]*ArchiveTBMoCost</f>
        <v>450</v>
      </c>
    </row>
    <row r="26" spans="2:24" x14ac:dyDescent="0.35">
      <c r="B26" t="s">
        <v>9</v>
      </c>
      <c r="C26" s="16"/>
      <c r="D26" s="14">
        <f>SUBTOTAL(109,PaymentSchedule[Storage Costs])</f>
        <v>372081.38451004028</v>
      </c>
      <c r="E26" s="15"/>
      <c r="F26" s="14">
        <f>SUBTOTAL(109,PaymentSchedule[StorageCostsIncrease])</f>
        <v>93020.346127510071</v>
      </c>
      <c r="H26" s="19">
        <f>EDATE(H25, (12/PaymentsPerYear))</f>
        <v>44378</v>
      </c>
      <c r="I26" s="11">
        <f t="shared" ref="I26:I33" si="4">I25+K25</f>
        <v>2810</v>
      </c>
      <c r="J26" s="7">
        <f>VolumeIncrease[[#This Row],[StorageVolume]]*StorageCosts*(12/PaymentsPerYear)</f>
        <v>175344</v>
      </c>
      <c r="K26" s="23">
        <f>HotBlobTBIncreaseYear/PaymentsPerYear</f>
        <v>225</v>
      </c>
      <c r="L26" s="7">
        <f>VolumeIncrease[[#This Row],[StorageVolumeIncrease]]*StorageCosts</f>
        <v>4680</v>
      </c>
      <c r="N26" s="19">
        <f>EDATE(N25, (12/PaymentsPerYear))</f>
        <v>44378</v>
      </c>
      <c r="O26" s="11">
        <f t="shared" si="2"/>
        <v>2810</v>
      </c>
      <c r="P26" s="7">
        <f>VolumeIncrease6[[#This Row],[StorageVolume]]*CoolBlobTBMonth*(12/PaymentsPerYear)</f>
        <v>128136</v>
      </c>
      <c r="Q26" s="23">
        <f>HotBlobTBIncreaseYear/PaymentsPerYear</f>
        <v>225</v>
      </c>
      <c r="R26" s="7">
        <f>VolumeIncrease6[[#This Row],[StorageVolumeIncrease]]*CoolBlobTBMonth</f>
        <v>3420</v>
      </c>
      <c r="T26" s="19">
        <f>EDATE(T25, (12/PaymentsPerYear))</f>
        <v>44378</v>
      </c>
      <c r="U26" s="11">
        <f t="shared" si="3"/>
        <v>2810</v>
      </c>
      <c r="V26" s="7">
        <f>VolumeIncrease67[[#This Row],[StorageVolume]]*ArchiveTBMoCost*(12/PaymentsPerYear)</f>
        <v>16860</v>
      </c>
      <c r="W26" s="23">
        <f>HotBlobTBIncreaseYear/PaymentsPerYear</f>
        <v>225</v>
      </c>
      <c r="X26" s="7">
        <f>VolumeIncrease67[[#This Row],[StorageVolumeIncrease]]*ArchiveTBMoCost</f>
        <v>450</v>
      </c>
    </row>
    <row r="27" spans="2:24" x14ac:dyDescent="0.35">
      <c r="H27" s="19">
        <f>EDATE(H26, (12/PaymentsPerYear))</f>
        <v>44470</v>
      </c>
      <c r="I27" s="11">
        <f t="shared" si="4"/>
        <v>3035</v>
      </c>
      <c r="J27" s="7">
        <f>VolumeIncrease[[#This Row],[StorageVolume]]*StorageCosts*(12/PaymentsPerYear)</f>
        <v>189384</v>
      </c>
      <c r="K27" s="23">
        <f>HotBlobTBIncreaseYear/PaymentsPerYear</f>
        <v>225</v>
      </c>
      <c r="L27" s="7">
        <f>VolumeIncrease[[#This Row],[StorageVolumeIncrease]]*StorageCosts</f>
        <v>4680</v>
      </c>
      <c r="N27" s="19">
        <f>EDATE(N26, (12/PaymentsPerYear))</f>
        <v>44470</v>
      </c>
      <c r="O27" s="11">
        <f t="shared" si="2"/>
        <v>3035</v>
      </c>
      <c r="P27" s="7">
        <f>VolumeIncrease6[[#This Row],[StorageVolume]]*CoolBlobTBMonth*(12/PaymentsPerYear)</f>
        <v>138396</v>
      </c>
      <c r="Q27" s="23">
        <f>HotBlobTBIncreaseYear/PaymentsPerYear</f>
        <v>225</v>
      </c>
      <c r="R27" s="7">
        <f>VolumeIncrease6[[#This Row],[StorageVolumeIncrease]]*CoolBlobTBMonth</f>
        <v>3420</v>
      </c>
      <c r="T27" s="19">
        <f>EDATE(T26, (12/PaymentsPerYear))</f>
        <v>44470</v>
      </c>
      <c r="U27" s="11">
        <f t="shared" si="3"/>
        <v>3035</v>
      </c>
      <c r="V27" s="7">
        <f>VolumeIncrease67[[#This Row],[StorageVolume]]*ArchiveTBMoCost*(12/PaymentsPerYear)</f>
        <v>18210</v>
      </c>
      <c r="W27" s="23">
        <f>HotBlobTBIncreaseYear/PaymentsPerYear</f>
        <v>225</v>
      </c>
      <c r="X27" s="7">
        <f>VolumeIncrease67[[#This Row],[StorageVolumeIncrease]]*ArchiveTBMoCost</f>
        <v>450</v>
      </c>
    </row>
    <row r="28" spans="2:24" x14ac:dyDescent="0.35">
      <c r="H28" s="19">
        <f>EDATE(H27, (12/PaymentsPerYear))</f>
        <v>44562</v>
      </c>
      <c r="I28" s="11">
        <f t="shared" si="4"/>
        <v>3260</v>
      </c>
      <c r="J28" s="7">
        <f>VolumeIncrease[[#This Row],[StorageVolume]]*StorageCosts*(12/PaymentsPerYear)</f>
        <v>203424</v>
      </c>
      <c r="K28" s="23">
        <f>HotBlobTBIncreaseYear/PaymentsPerYear</f>
        <v>225</v>
      </c>
      <c r="L28" s="7">
        <f>VolumeIncrease[[#This Row],[StorageVolumeIncrease]]*StorageCosts</f>
        <v>4680</v>
      </c>
      <c r="N28" s="19">
        <f>EDATE(N27, (12/PaymentsPerYear))</f>
        <v>44562</v>
      </c>
      <c r="O28" s="11">
        <f t="shared" si="2"/>
        <v>3260</v>
      </c>
      <c r="P28" s="7">
        <f>VolumeIncrease6[[#This Row],[StorageVolume]]*CoolBlobTBMonth*(12/PaymentsPerYear)</f>
        <v>148656</v>
      </c>
      <c r="Q28" s="23">
        <f>HotBlobTBIncreaseYear/PaymentsPerYear</f>
        <v>225</v>
      </c>
      <c r="R28" s="7">
        <f>VolumeIncrease6[[#This Row],[StorageVolumeIncrease]]*CoolBlobTBMonth</f>
        <v>3420</v>
      </c>
      <c r="T28" s="19">
        <f>EDATE(T27, (12/PaymentsPerYear))</f>
        <v>44562</v>
      </c>
      <c r="U28" s="11">
        <f t="shared" si="3"/>
        <v>3260</v>
      </c>
      <c r="V28" s="7">
        <f>VolumeIncrease67[[#This Row],[StorageVolume]]*ArchiveTBMoCost*(12/PaymentsPerYear)</f>
        <v>19560</v>
      </c>
      <c r="W28" s="23">
        <f>HotBlobTBIncreaseYear/PaymentsPerYear</f>
        <v>225</v>
      </c>
      <c r="X28" s="7">
        <f>VolumeIncrease67[[#This Row],[StorageVolumeIncrease]]*ArchiveTBMoCost</f>
        <v>450</v>
      </c>
    </row>
    <row r="29" spans="2:24" x14ac:dyDescent="0.35">
      <c r="H29" s="19">
        <f>EDATE(H28, (12/PaymentsPerYear))</f>
        <v>44652</v>
      </c>
      <c r="I29" s="11">
        <f t="shared" si="4"/>
        <v>3485</v>
      </c>
      <c r="J29" s="7">
        <f>VolumeIncrease[[#This Row],[StorageVolume]]*StorageCosts*(12/PaymentsPerYear)</f>
        <v>217464</v>
      </c>
      <c r="K29" s="23">
        <f>HotBlobTBIncreaseYear/PaymentsPerYear</f>
        <v>225</v>
      </c>
      <c r="L29" s="7">
        <f>VolumeIncrease[[#This Row],[StorageVolumeIncrease]]*StorageCosts</f>
        <v>4680</v>
      </c>
      <c r="N29" s="19">
        <f>EDATE(N28, (12/PaymentsPerYear))</f>
        <v>44652</v>
      </c>
      <c r="O29" s="11">
        <f t="shared" si="2"/>
        <v>3485</v>
      </c>
      <c r="P29" s="7">
        <f>VolumeIncrease6[[#This Row],[StorageVolume]]*CoolBlobTBMonth*(12/PaymentsPerYear)</f>
        <v>158916</v>
      </c>
      <c r="Q29" s="23">
        <f>HotBlobTBIncreaseYear/PaymentsPerYear</f>
        <v>225</v>
      </c>
      <c r="R29" s="7">
        <f>VolumeIncrease6[[#This Row],[StorageVolumeIncrease]]*CoolBlobTBMonth</f>
        <v>3420</v>
      </c>
      <c r="T29" s="19">
        <f>EDATE(T28, (12/PaymentsPerYear))</f>
        <v>44652</v>
      </c>
      <c r="U29" s="11">
        <f t="shared" si="3"/>
        <v>3485</v>
      </c>
      <c r="V29" s="7">
        <f>VolumeIncrease67[[#This Row],[StorageVolume]]*ArchiveTBMoCost*(12/PaymentsPerYear)</f>
        <v>20910</v>
      </c>
      <c r="W29" s="23">
        <f>HotBlobTBIncreaseYear/PaymentsPerYear</f>
        <v>225</v>
      </c>
      <c r="X29" s="7">
        <f>VolumeIncrease67[[#This Row],[StorageVolumeIncrease]]*ArchiveTBMoCost</f>
        <v>450</v>
      </c>
    </row>
    <row r="30" spans="2:24" x14ac:dyDescent="0.35">
      <c r="H30" s="19">
        <f>EDATE(H29, (12/PaymentsPerYear))</f>
        <v>44743</v>
      </c>
      <c r="I30" s="11">
        <f t="shared" si="4"/>
        <v>3710</v>
      </c>
      <c r="J30" s="7">
        <f>VolumeIncrease[[#This Row],[StorageVolume]]*StorageCosts*(12/PaymentsPerYear)</f>
        <v>231504</v>
      </c>
      <c r="K30" s="23">
        <f>HotBlobTBIncreaseYear/PaymentsPerYear</f>
        <v>225</v>
      </c>
      <c r="L30" s="7">
        <f>VolumeIncrease[[#This Row],[StorageVolumeIncrease]]*StorageCosts</f>
        <v>4680</v>
      </c>
      <c r="N30" s="19">
        <f>EDATE(N29, (12/PaymentsPerYear))</f>
        <v>44743</v>
      </c>
      <c r="O30" s="11">
        <f t="shared" si="2"/>
        <v>3710</v>
      </c>
      <c r="P30" s="7">
        <f>VolumeIncrease6[[#This Row],[StorageVolume]]*CoolBlobTBMonth*(12/PaymentsPerYear)</f>
        <v>169176</v>
      </c>
      <c r="Q30" s="23">
        <f>HotBlobTBIncreaseYear/PaymentsPerYear</f>
        <v>225</v>
      </c>
      <c r="R30" s="7">
        <f>VolumeIncrease6[[#This Row],[StorageVolumeIncrease]]*CoolBlobTBMonth</f>
        <v>3420</v>
      </c>
      <c r="T30" s="19">
        <f>EDATE(T29, (12/PaymentsPerYear))</f>
        <v>44743</v>
      </c>
      <c r="U30" s="11">
        <f t="shared" si="3"/>
        <v>3710</v>
      </c>
      <c r="V30" s="7">
        <f>VolumeIncrease67[[#This Row],[StorageVolume]]*ArchiveTBMoCost*(12/PaymentsPerYear)</f>
        <v>22260</v>
      </c>
      <c r="W30" s="23">
        <f>HotBlobTBIncreaseYear/PaymentsPerYear</f>
        <v>225</v>
      </c>
      <c r="X30" s="7">
        <f>VolumeIncrease67[[#This Row],[StorageVolumeIncrease]]*ArchiveTBMoCost</f>
        <v>450</v>
      </c>
    </row>
    <row r="31" spans="2:24" x14ac:dyDescent="0.35">
      <c r="H31" s="19">
        <f>EDATE(H30, (12/PaymentsPerYear))</f>
        <v>44835</v>
      </c>
      <c r="I31" s="11">
        <f t="shared" si="4"/>
        <v>3935</v>
      </c>
      <c r="J31" s="7">
        <f>VolumeIncrease[[#This Row],[StorageVolume]]*StorageCosts*(12/PaymentsPerYear)</f>
        <v>245544</v>
      </c>
      <c r="K31" s="23">
        <f>HotBlobTBIncreaseYear/PaymentsPerYear</f>
        <v>225</v>
      </c>
      <c r="L31" s="7">
        <f>VolumeIncrease[[#This Row],[StorageVolumeIncrease]]*StorageCosts</f>
        <v>4680</v>
      </c>
      <c r="N31" s="19">
        <f>EDATE(N30, (12/PaymentsPerYear))</f>
        <v>44835</v>
      </c>
      <c r="O31" s="11">
        <f t="shared" si="2"/>
        <v>3935</v>
      </c>
      <c r="P31" s="7">
        <f>VolumeIncrease6[[#This Row],[StorageVolume]]*CoolBlobTBMonth*(12/PaymentsPerYear)</f>
        <v>179436</v>
      </c>
      <c r="Q31" s="23">
        <f>HotBlobTBIncreaseYear/PaymentsPerYear</f>
        <v>225</v>
      </c>
      <c r="R31" s="7">
        <f>VolumeIncrease6[[#This Row],[StorageVolumeIncrease]]*CoolBlobTBMonth</f>
        <v>3420</v>
      </c>
      <c r="T31" s="19">
        <f>EDATE(T30, (12/PaymentsPerYear))</f>
        <v>44835</v>
      </c>
      <c r="U31" s="11">
        <f t="shared" si="3"/>
        <v>3935</v>
      </c>
      <c r="V31" s="7">
        <f>VolumeIncrease67[[#This Row],[StorageVolume]]*ArchiveTBMoCost*(12/PaymentsPerYear)</f>
        <v>23610</v>
      </c>
      <c r="W31" s="23">
        <f>HotBlobTBIncreaseYear/PaymentsPerYear</f>
        <v>225</v>
      </c>
      <c r="X31" s="7">
        <f>VolumeIncrease67[[#This Row],[StorageVolumeIncrease]]*ArchiveTBMoCost</f>
        <v>450</v>
      </c>
    </row>
    <row r="32" spans="2:24" x14ac:dyDescent="0.35">
      <c r="H32" s="19">
        <f>EDATE(H31, (12/PaymentsPerYear))</f>
        <v>44927</v>
      </c>
      <c r="I32" s="11">
        <f t="shared" si="4"/>
        <v>4160</v>
      </c>
      <c r="J32" s="7">
        <f>VolumeIncrease[[#This Row],[StorageVolume]]*StorageCosts*(12/PaymentsPerYear)</f>
        <v>259584</v>
      </c>
      <c r="K32" s="23">
        <f>HotBlobTBIncreaseYear/PaymentsPerYear</f>
        <v>225</v>
      </c>
      <c r="L32" s="7">
        <f>VolumeIncrease[[#This Row],[StorageVolumeIncrease]]*StorageCosts</f>
        <v>4680</v>
      </c>
      <c r="N32" s="19">
        <f>EDATE(N31, (12/PaymentsPerYear))</f>
        <v>44927</v>
      </c>
      <c r="O32" s="11">
        <f t="shared" si="2"/>
        <v>4160</v>
      </c>
      <c r="P32" s="7">
        <f>VolumeIncrease6[[#This Row],[StorageVolume]]*CoolBlobTBMonth*(12/PaymentsPerYear)</f>
        <v>189696</v>
      </c>
      <c r="Q32" s="23">
        <f>HotBlobTBIncreaseYear/PaymentsPerYear</f>
        <v>225</v>
      </c>
      <c r="R32" s="7">
        <f>VolumeIncrease6[[#This Row],[StorageVolumeIncrease]]*CoolBlobTBMonth</f>
        <v>3420</v>
      </c>
      <c r="T32" s="19">
        <f>EDATE(T31, (12/PaymentsPerYear))</f>
        <v>44927</v>
      </c>
      <c r="U32" s="11">
        <f t="shared" si="3"/>
        <v>4160</v>
      </c>
      <c r="V32" s="7">
        <f>VolumeIncrease67[[#This Row],[StorageVolume]]*ArchiveTBMoCost*(12/PaymentsPerYear)</f>
        <v>24960</v>
      </c>
      <c r="W32" s="23">
        <f>HotBlobTBIncreaseYear/PaymentsPerYear</f>
        <v>225</v>
      </c>
      <c r="X32" s="7">
        <f>VolumeIncrease67[[#This Row],[StorageVolumeIncrease]]*ArchiveTBMoCost</f>
        <v>450</v>
      </c>
    </row>
    <row r="33" spans="8:24" x14ac:dyDescent="0.35">
      <c r="H33" s="19">
        <f>EDATE(H32, (12/PaymentsPerYear))</f>
        <v>45017</v>
      </c>
      <c r="I33" s="11">
        <f t="shared" si="4"/>
        <v>4385</v>
      </c>
      <c r="J33" s="7">
        <f>VolumeIncrease[[#This Row],[StorageVolume]]*StorageCosts*(12/PaymentsPerYear)</f>
        <v>273624</v>
      </c>
      <c r="K33" s="23">
        <f>HotBlobTBIncreaseYear/PaymentsPerYear</f>
        <v>225</v>
      </c>
      <c r="L33" s="7">
        <f>VolumeIncrease[[#This Row],[StorageVolumeIncrease]]*StorageCosts</f>
        <v>4680</v>
      </c>
      <c r="N33" s="19">
        <f>EDATE(N32, (12/PaymentsPerYear))</f>
        <v>45017</v>
      </c>
      <c r="O33" s="11">
        <f t="shared" si="2"/>
        <v>4385</v>
      </c>
      <c r="P33" s="7">
        <f>VolumeIncrease6[[#This Row],[StorageVolume]]*CoolBlobTBMonth*(12/PaymentsPerYear)</f>
        <v>199956</v>
      </c>
      <c r="Q33" s="23">
        <f>HotBlobTBIncreaseYear/PaymentsPerYear</f>
        <v>225</v>
      </c>
      <c r="R33" s="7">
        <f>VolumeIncrease6[[#This Row],[StorageVolumeIncrease]]*CoolBlobTBMonth</f>
        <v>3420</v>
      </c>
      <c r="T33" s="19">
        <f>EDATE(T32, (12/PaymentsPerYear))</f>
        <v>45017</v>
      </c>
      <c r="U33" s="11">
        <f t="shared" si="3"/>
        <v>4385</v>
      </c>
      <c r="V33" s="7">
        <f>VolumeIncrease67[[#This Row],[StorageVolume]]*ArchiveTBMoCost*(12/PaymentsPerYear)</f>
        <v>26310</v>
      </c>
      <c r="W33" s="23">
        <f>HotBlobTBIncreaseYear/PaymentsPerYear</f>
        <v>225</v>
      </c>
      <c r="X33" s="7">
        <f>VolumeIncrease67[[#This Row],[StorageVolumeIncrease]]*ArchiveTBMoCost</f>
        <v>450</v>
      </c>
    </row>
    <row r="34" spans="8:24" x14ac:dyDescent="0.35">
      <c r="H34" s="19">
        <f>EDATE(H33, (12/PaymentsPerYear))</f>
        <v>45108</v>
      </c>
      <c r="I34" s="11">
        <f t="shared" ref="I34" si="5">I33+K33</f>
        <v>4610</v>
      </c>
      <c r="J34" s="7">
        <f>VolumeIncrease[[#This Row],[StorageVolume]]*StorageCosts*(12/PaymentsPerYear)</f>
        <v>287664</v>
      </c>
      <c r="K34" s="23">
        <f>HotBlobTBIncreaseYear/PaymentsPerYear</f>
        <v>225</v>
      </c>
      <c r="L34" s="7">
        <f>VolumeIncrease[[#This Row],[StorageVolumeIncrease]]*StorageCosts</f>
        <v>4680</v>
      </c>
      <c r="N34" s="19">
        <f>EDATE(N33, (12/PaymentsPerYear))</f>
        <v>45108</v>
      </c>
      <c r="O34" s="11">
        <f t="shared" si="2"/>
        <v>4610</v>
      </c>
      <c r="P34" s="7">
        <f>VolumeIncrease6[[#This Row],[StorageVolume]]*CoolBlobTBMonth*(12/PaymentsPerYear)</f>
        <v>210216</v>
      </c>
      <c r="Q34" s="23">
        <f>HotBlobTBIncreaseYear/PaymentsPerYear</f>
        <v>225</v>
      </c>
      <c r="R34" s="7">
        <f>VolumeIncrease6[[#This Row],[StorageVolumeIncrease]]*CoolBlobTBMonth</f>
        <v>3420</v>
      </c>
      <c r="T34" s="19">
        <f>EDATE(T33, (12/PaymentsPerYear))</f>
        <v>45108</v>
      </c>
      <c r="U34" s="11">
        <f t="shared" si="3"/>
        <v>4610</v>
      </c>
      <c r="V34" s="7">
        <f>VolumeIncrease67[[#This Row],[StorageVolume]]*ArchiveTBMoCost*(12/PaymentsPerYear)</f>
        <v>27660</v>
      </c>
      <c r="W34" s="23">
        <f>HotBlobTBIncreaseYear/PaymentsPerYear</f>
        <v>225</v>
      </c>
      <c r="X34" s="7">
        <f>VolumeIncrease67[[#This Row],[StorageVolumeIncrease]]*ArchiveTBMoCost</f>
        <v>450</v>
      </c>
    </row>
    <row r="35" spans="8:24" x14ac:dyDescent="0.35">
      <c r="H35" t="s">
        <v>9</v>
      </c>
      <c r="I35" s="16"/>
      <c r="J35" s="14">
        <f>SUBTOTAL(109,VolumeIncrease[Storage Costs])</f>
        <v>3092544</v>
      </c>
      <c r="K35" s="15"/>
      <c r="L35" s="14">
        <f>SUBTOTAL(101,VolumeIncrease[StorageCostsIncrease])</f>
        <v>4680</v>
      </c>
      <c r="N35" t="s">
        <v>9</v>
      </c>
      <c r="O35" s="16"/>
      <c r="P35" s="14">
        <f>SUBTOTAL(109,VolumeIncrease6[Storage Costs])</f>
        <v>2259936</v>
      </c>
      <c r="Q35" s="15"/>
      <c r="R35" s="14">
        <f>SUBTOTAL(101,VolumeIncrease6[StorageCostsIncrease])</f>
        <v>3420</v>
      </c>
      <c r="T35" t="s">
        <v>9</v>
      </c>
      <c r="U35" s="16"/>
      <c r="V35" s="14">
        <f>SUBTOTAL(109,VolumeIncrease67[Storage Costs])</f>
        <v>297360</v>
      </c>
      <c r="W35" s="15"/>
      <c r="X35" s="14">
        <f>SUBTOTAL(101,VolumeIncrease67[StorageCostsIncrease])</f>
        <v>450</v>
      </c>
    </row>
  </sheetData>
  <mergeCells count="8">
    <mergeCell ref="C3:D3"/>
    <mergeCell ref="C4:D4"/>
    <mergeCell ref="C11:D11"/>
    <mergeCell ref="C5:D5"/>
    <mergeCell ref="C7:D7"/>
    <mergeCell ref="C8:D8"/>
    <mergeCell ref="C9:D9"/>
    <mergeCell ref="C6:D6"/>
  </mergeCells>
  <conditionalFormatting sqref="B14:F25">
    <cfRule type="expression" dxfId="19" priority="8">
      <formula>($B14="")+(($D14=0)*(#REF!=0))</formula>
    </cfRule>
  </conditionalFormatting>
  <conditionalFormatting sqref="H14:L35">
    <cfRule type="expression" dxfId="18" priority="4">
      <formula>($B14="")+(($D14=0)*(#REF!=0))</formula>
    </cfRule>
  </conditionalFormatting>
  <conditionalFormatting sqref="N14:R35">
    <cfRule type="expression" dxfId="17" priority="2">
      <formula>($B14="")+(($D14=0)*(#REF!=0))</formula>
    </cfRule>
  </conditionalFormatting>
  <conditionalFormatting sqref="T14:X35">
    <cfRule type="expression" dxfId="8" priority="1">
      <formula>($B14="")+(($D14=0)*(#REF!=0))</formula>
    </cfRule>
  </conditionalFormatting>
  <dataValidations count="13">
    <dataValidation allowBlank="1" showInputMessage="1" showErrorMessage="1" prompt="Enter interest rate to be paid annually in this cell" sqref="E5:G6" xr:uid="{00000000-0002-0000-0000-000001000000}"/>
    <dataValidation allowBlank="1" showInputMessage="1" showErrorMessage="1" prompt="Enter loan period in years in this cell" sqref="E7:G7" xr:uid="{00000000-0002-0000-0000-000002000000}"/>
    <dataValidation allowBlank="1" showInputMessage="1" showErrorMessage="1" prompt="Enter the number of payments to be made in a year in this cell" sqref="E8:G8" xr:uid="{00000000-0002-0000-0000-000003000000}"/>
    <dataValidation allowBlank="1" showInputMessage="1" showErrorMessage="1" prompt="Enter the start date of loan in this cell" sqref="E9:G9" xr:uid="{00000000-0002-0000-0000-000004000000}"/>
    <dataValidation allowBlank="1" showInputMessage="1" showErrorMessage="1" prompt="Enter the amount of extra payment in this cell" sqref="E11:G11" xr:uid="{00000000-0002-0000-0000-000005000000}"/>
    <dataValidation allowBlank="1" showInputMessage="1" showErrorMessage="1" prompt="This workbook produces a loan amortization schedule that calculates total interest and total payments &amp; includes the option for extra payments" sqref="A1" xr:uid="{00000000-0002-0000-0000-000006000000}"/>
    <dataValidation allowBlank="1" showInputMessage="1" showErrorMessage="1" prompt="Enter loan values in cells E3 to E7 and E9. Description of each loan value is in column C. Payment Schedule table starting in cell B11 will automatically update" sqref="C2:C4" xr:uid="{00000000-0002-0000-0000-000007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1" xr:uid="{00000000-0002-0000-0000-000008000000}"/>
    <dataValidation allowBlank="1" showInputMessage="1" showErrorMessage="1" prompt="Payment number is automatically updated in this column" sqref="B13 H13 N13 T13" xr:uid="{00000000-0002-0000-0000-000009000000}"/>
    <dataValidation allowBlank="1" showInputMessage="1" showErrorMessage="1" prompt="Beginning balance is automatically updated in this column" sqref="D13 J13 P13 V13" xr:uid="{00000000-0002-0000-0000-00000A000000}"/>
    <dataValidation allowBlank="1" showInputMessage="1" showErrorMessage="1" prompt="Interest is automatically updated in this column" sqref="E13 K13 Q13 W13" xr:uid="{00000000-0002-0000-0000-00000B000000}"/>
    <dataValidation allowBlank="1" showInputMessage="1" showErrorMessage="1" prompt="Cumulative interest is automatically updated in this column" sqref="F13 L13 R13 X13" xr:uid="{00000000-0002-0000-0000-00000C000000}"/>
    <dataValidation allowBlank="1" showInputMessage="1" showErrorMessage="1" prompt="Payment date is automatically updated in this column" sqref="C13 I13 O13 U13" xr:uid="{00000000-0002-0000-0000-00000D000000}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2C6C2F73657C40813C9A6046838069" ma:contentTypeVersion="9" ma:contentTypeDescription="Create a new document." ma:contentTypeScope="" ma:versionID="90ab39fd5a19b3e3c79659d7cac50efc">
  <xsd:schema xmlns:xsd="http://www.w3.org/2001/XMLSchema" xmlns:xs="http://www.w3.org/2001/XMLSchema" xmlns:p="http://schemas.microsoft.com/office/2006/metadata/properties" xmlns:ns1="http://schemas.microsoft.com/sharepoint/v3" xmlns:ns2="7bbd9216-7d17-4190-875a-f5f0f6ca589f" xmlns:ns3="c0a86418-2b64-471f-9481-49bf08eb0dd7" xmlns:ns4="1f65bb1f-ea05-496a-8d40-636bcb76c6ea" xmlns:ns5="b4a4fe95-396d-4fed-9cf2-1421b1d47fdb" targetNamespace="http://schemas.microsoft.com/office/2006/metadata/properties" ma:root="true" ma:fieldsID="4e88a1b500e4c5768841b0cf020fe156" ns1:_="" ns2:_="" ns3:_="" ns4:_="" ns5:_="">
    <xsd:import namespace="http://schemas.microsoft.com/sharepoint/v3"/>
    <xsd:import namespace="7bbd9216-7d17-4190-875a-f5f0f6ca589f"/>
    <xsd:import namespace="c0a86418-2b64-471f-9481-49bf08eb0dd7"/>
    <xsd:import namespace="1f65bb1f-ea05-496a-8d40-636bcb76c6ea"/>
    <xsd:import namespace="b4a4fe95-396d-4fed-9cf2-1421b1d47f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9216-7d17-4190-875a-f5f0f6ca58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86418-2b64-471f-9481-49bf08eb0dd7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5bb1f-ea05-496a-8d40-636bcb76c6ea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4fe95-396d-4fed-9cf2-1421b1d47f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A4C7BA-8B4B-4167-AC6C-39ABFB64FF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71D26-7FC0-4F4E-813B-450F9E7365C4}">
  <ds:schemaRefs>
    <ds:schemaRef ds:uri="http://schemas.microsoft.com/sharepoint/v3"/>
    <ds:schemaRef ds:uri="http://purl.org/dc/terms/"/>
    <ds:schemaRef ds:uri="http://schemas.openxmlformats.org/package/2006/metadata/core-properties"/>
    <ds:schemaRef ds:uri="1f65bb1f-ea05-496a-8d40-636bcb76c6ea"/>
    <ds:schemaRef ds:uri="http://schemas.microsoft.com/office/2006/documentManagement/types"/>
    <ds:schemaRef ds:uri="http://schemas.microsoft.com/office/infopath/2007/PartnerControls"/>
    <ds:schemaRef ds:uri="7bbd9216-7d17-4190-875a-f5f0f6ca589f"/>
    <ds:schemaRef ds:uri="b4a4fe95-396d-4fed-9cf2-1421b1d47fdb"/>
    <ds:schemaRef ds:uri="http://purl.org/dc/elements/1.1/"/>
    <ds:schemaRef ds:uri="http://schemas.microsoft.com/office/2006/metadata/properties"/>
    <ds:schemaRef ds:uri="c0a86418-2b64-471f-9481-49bf08eb0dd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A893A-B59D-464A-B560-87D7FA25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bbd9216-7d17-4190-875a-f5f0f6ca589f"/>
    <ds:schemaRef ds:uri="c0a86418-2b64-471f-9481-49bf08eb0dd7"/>
    <ds:schemaRef ds:uri="1f65bb1f-ea05-496a-8d40-636bcb76c6ea"/>
    <ds:schemaRef ds:uri="b4a4fe95-396d-4fed-9cf2-1421b1d47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StorageSchedule</vt:lpstr>
      <vt:lpstr>Sheet1</vt:lpstr>
      <vt:lpstr>ArchiveBlobTBIncreaseYear</vt:lpstr>
      <vt:lpstr>ArchiveTBMoCost</vt:lpstr>
      <vt:lpstr>ColumnTitle1</vt:lpstr>
      <vt:lpstr>CoolBlobTBIncreasePerYear</vt:lpstr>
      <vt:lpstr>CoolBlobTBMonth</vt:lpstr>
      <vt:lpstr>ExtraPayments</vt:lpstr>
      <vt:lpstr>HotBlobTBIncreaseYear</vt:lpstr>
      <vt:lpstr>InitialStorage</vt:lpstr>
      <vt:lpstr>InterestRate</vt:lpstr>
      <vt:lpstr>LoanPeriod</vt:lpstr>
      <vt:lpstr>LoanStartDate</vt:lpstr>
      <vt:lpstr>PaymentsPerYear</vt:lpstr>
      <vt:lpstr>Periods__Months</vt:lpstr>
      <vt:lpstr>StorageSchedule!Print_Titles</vt:lpstr>
      <vt:lpstr>RowTitleRegion3..E9</vt:lpstr>
      <vt:lpstr>StorageCosts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ST GERMAIN</dc:creator>
  <cp:keywords/>
  <dc:description/>
  <cp:lastModifiedBy>willst</cp:lastModifiedBy>
  <cp:revision/>
  <dcterms:created xsi:type="dcterms:W3CDTF">2016-12-02T10:43:28Z</dcterms:created>
  <dcterms:modified xsi:type="dcterms:W3CDTF">2018-06-27T12:53:03Z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willst@microsoft.com</vt:lpwstr>
  </property>
  <property fmtid="{D5CDD505-2E9C-101B-9397-08002B2CF9AE}" pid="6" name="MSIP_Label_f42aa342-8706-4288-bd11-ebb85995028c_SetDate">
    <vt:lpwstr>2017-10-13T15:50:32.5441187-06:00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0x0101007D2C6C2F73657C40813C9A6046838069</vt:lpwstr>
  </property>
</Properties>
</file>