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reau\Stage\BCG\PwC\"/>
    </mc:Choice>
  </mc:AlternateContent>
  <bookViews>
    <workbookView xWindow="0" yWindow="0" windowWidth="22824" windowHeight="9168" firstSheet="1" activeTab="4"/>
  </bookViews>
  <sheets>
    <sheet name="Launch vehicle" sheetId="1" r:id="rId1"/>
    <sheet name="20202014" sheetId="2" r:id="rId2"/>
    <sheet name="2020" sheetId="15" r:id="rId3"/>
    <sheet name="2019" sheetId="14" r:id="rId4"/>
    <sheet name="2019_geography" sheetId="22" r:id="rId5"/>
    <sheet name="2019_market" sheetId="21" r:id="rId6"/>
    <sheet name="2018" sheetId="16" r:id="rId7"/>
    <sheet name="2017" sheetId="17" r:id="rId8"/>
    <sheet name="2016" sheetId="18" r:id="rId9"/>
    <sheet name="2015" sheetId="19" r:id="rId10"/>
    <sheet name="2014" sheetId="20" r:id="rId11"/>
    <sheet name="Total mass per seg" sheetId="4" r:id="rId12"/>
    <sheet name="Total mass per seg, 2014-2020" sheetId="26" r:id="rId13"/>
    <sheet name="Total mass per seg 2 2014-2020" sheetId="11" r:id="rId14"/>
    <sheet name="Total mass per seg 2" sheetId="27" r:id="rId15"/>
    <sheet name="% mass total" sheetId="6" r:id="rId16"/>
    <sheet name="% mass total 2014-2020" sheetId="28" r:id="rId17"/>
    <sheet name="Market 10%" sheetId="7" r:id="rId18"/>
    <sheet name="Market 15_10" sheetId="8" r:id="rId19"/>
    <sheet name="Market 10_5" sheetId="9" r:id="rId20"/>
    <sheet name="Market_new_10_calc" sheetId="23" r:id="rId21"/>
    <sheet name="Market_new_10" sheetId="24" r:id="rId22"/>
    <sheet name="Market_new_15" sheetId="25" r:id="rId23"/>
    <sheet name="Market_new_15_calc" sheetId="12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22" l="1"/>
  <c r="H31" i="22"/>
  <c r="H32" i="22"/>
  <c r="H33" i="22"/>
  <c r="H34" i="22"/>
  <c r="H35" i="22"/>
  <c r="H29" i="22"/>
  <c r="H24" i="22"/>
  <c r="H25" i="22"/>
  <c r="H26" i="22"/>
  <c r="H27" i="22"/>
  <c r="H23" i="22"/>
  <c r="H14" i="22"/>
  <c r="H15" i="22"/>
  <c r="H16" i="22"/>
  <c r="H17" i="22"/>
  <c r="H18" i="22"/>
  <c r="H19" i="22"/>
  <c r="H20" i="22"/>
  <c r="H21" i="22"/>
  <c r="H13" i="22"/>
  <c r="H3" i="22"/>
  <c r="H4" i="22"/>
  <c r="H5" i="22"/>
  <c r="H6" i="22"/>
  <c r="H7" i="22"/>
  <c r="H8" i="22"/>
  <c r="H9" i="22"/>
  <c r="H10" i="22"/>
  <c r="H2" i="22"/>
  <c r="G1" i="25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2" i="8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B3" i="21"/>
  <c r="B2" i="21"/>
  <c r="B3" i="6"/>
  <c r="B2" i="6"/>
  <c r="B3" i="28"/>
  <c r="B2" i="28"/>
  <c r="E3" i="27"/>
  <c r="E2" i="27"/>
  <c r="D3" i="27"/>
  <c r="D2" i="27"/>
  <c r="C3" i="27"/>
  <c r="C2" i="27"/>
  <c r="B3" i="27"/>
  <c r="B2" i="27"/>
  <c r="B5" i="4"/>
  <c r="B4" i="4"/>
  <c r="B3" i="4"/>
  <c r="B2" i="4"/>
  <c r="B2" i="26"/>
  <c r="B3" i="26"/>
  <c r="B4" i="26"/>
  <c r="B5" i="26"/>
  <c r="F8" i="12" l="1"/>
  <c r="D8" i="12"/>
  <c r="E8" i="12" s="1"/>
  <c r="E9" i="12" s="1"/>
  <c r="D7" i="12"/>
  <c r="E7" i="12" s="1"/>
  <c r="D6" i="12"/>
  <c r="F6" i="12" s="1"/>
  <c r="E5" i="12"/>
  <c r="D5" i="12"/>
  <c r="F5" i="12" s="1"/>
  <c r="D4" i="12"/>
  <c r="F4" i="12" s="1"/>
  <c r="D3" i="12"/>
  <c r="E3" i="12" s="1"/>
  <c r="D2" i="12"/>
  <c r="F2" i="12" s="1"/>
  <c r="D2" i="23"/>
  <c r="F2" i="23" s="1"/>
  <c r="E2" i="23"/>
  <c r="D3" i="23"/>
  <c r="F3" i="23" s="1"/>
  <c r="E3" i="23"/>
  <c r="D4" i="23"/>
  <c r="E4" i="23" s="1"/>
  <c r="D5" i="23"/>
  <c r="E5" i="23"/>
  <c r="F5" i="23"/>
  <c r="D6" i="23"/>
  <c r="E6" i="23" s="1"/>
  <c r="D7" i="23"/>
  <c r="F7" i="23" s="1"/>
  <c r="E7" i="23"/>
  <c r="D8" i="23"/>
  <c r="E8" i="23" s="1"/>
  <c r="E9" i="23" s="1"/>
  <c r="E2" i="2"/>
  <c r="J35" i="22"/>
  <c r="I35" i="22"/>
  <c r="H12" i="22"/>
  <c r="J12" i="22" s="1"/>
  <c r="I12" i="22"/>
  <c r="I13" i="22"/>
  <c r="J13" i="22" s="1"/>
  <c r="I14" i="22"/>
  <c r="J14" i="22"/>
  <c r="J15" i="22"/>
  <c r="I15" i="22"/>
  <c r="J16" i="22"/>
  <c r="I16" i="22"/>
  <c r="I17" i="22"/>
  <c r="J17" i="22" s="1"/>
  <c r="I18" i="22"/>
  <c r="J18" i="22"/>
  <c r="J19" i="22"/>
  <c r="I19" i="22"/>
  <c r="J20" i="22"/>
  <c r="I20" i="22"/>
  <c r="I21" i="22"/>
  <c r="J21" i="22" s="1"/>
  <c r="I22" i="22"/>
  <c r="J23" i="22"/>
  <c r="I23" i="22"/>
  <c r="J24" i="22"/>
  <c r="I24" i="22"/>
  <c r="I25" i="22"/>
  <c r="J25" i="22" s="1"/>
  <c r="I26" i="22"/>
  <c r="J26" i="22"/>
  <c r="J27" i="22"/>
  <c r="I27" i="22"/>
  <c r="J29" i="22"/>
  <c r="I29" i="22"/>
  <c r="I30" i="22"/>
  <c r="J30" i="22"/>
  <c r="I31" i="22"/>
  <c r="J31" i="22"/>
  <c r="J32" i="22"/>
  <c r="I32" i="22"/>
  <c r="J33" i="22"/>
  <c r="I33" i="22"/>
  <c r="I34" i="22"/>
  <c r="J34" i="22"/>
  <c r="I2" i="22"/>
  <c r="J3" i="22"/>
  <c r="I3" i="22"/>
  <c r="J4" i="22"/>
  <c r="I4" i="22"/>
  <c r="I5" i="22"/>
  <c r="J5" i="22"/>
  <c r="I6" i="22"/>
  <c r="J6" i="22"/>
  <c r="J7" i="22"/>
  <c r="I7" i="22"/>
  <c r="J8" i="22"/>
  <c r="I8" i="22"/>
  <c r="I9" i="22"/>
  <c r="J9" i="22"/>
  <c r="I10" i="22"/>
  <c r="J10" i="22"/>
  <c r="J2" i="22"/>
  <c r="E2" i="15"/>
  <c r="E2" i="20"/>
  <c r="E2" i="19"/>
  <c r="E2" i="18"/>
  <c r="E2" i="17"/>
  <c r="E2" i="16"/>
  <c r="E2" i="14"/>
  <c r="E2" i="22"/>
  <c r="E4" i="12" l="1"/>
  <c r="D9" i="12"/>
  <c r="D10" i="12" s="1"/>
  <c r="D11" i="12" s="1"/>
  <c r="D12" i="12" s="1"/>
  <c r="D13" i="12" s="1"/>
  <c r="D14" i="12" s="1"/>
  <c r="D15" i="12" s="1"/>
  <c r="D16" i="12" s="1"/>
  <c r="D17" i="12" s="1"/>
  <c r="D18" i="12" s="1"/>
  <c r="F9" i="23"/>
  <c r="B9" i="23"/>
  <c r="E10" i="23"/>
  <c r="E10" i="12"/>
  <c r="F9" i="12"/>
  <c r="E2" i="12"/>
  <c r="F3" i="12"/>
  <c r="E6" i="12"/>
  <c r="F7" i="12"/>
  <c r="F8" i="23"/>
  <c r="F4" i="23"/>
  <c r="D9" i="23"/>
  <c r="F6" i="23"/>
  <c r="F35" i="22"/>
  <c r="E35" i="22"/>
  <c r="F34" i="22"/>
  <c r="E34" i="22"/>
  <c r="E33" i="22"/>
  <c r="D33" i="22"/>
  <c r="F33" i="22" s="1"/>
  <c r="F32" i="22"/>
  <c r="E32" i="22"/>
  <c r="F31" i="22"/>
  <c r="E31" i="22"/>
  <c r="F30" i="22"/>
  <c r="C30" i="22"/>
  <c r="E30" i="22" s="1"/>
  <c r="E27" i="22"/>
  <c r="D27" i="22"/>
  <c r="F27" i="22" s="1"/>
  <c r="F26" i="22"/>
  <c r="C26" i="22"/>
  <c r="E26" i="22" s="1"/>
  <c r="E25" i="22"/>
  <c r="D25" i="22"/>
  <c r="F25" i="22" s="1"/>
  <c r="E24" i="22"/>
  <c r="D24" i="22"/>
  <c r="F24" i="22" s="1"/>
  <c r="F21" i="22"/>
  <c r="C21" i="22"/>
  <c r="E21" i="22" s="1"/>
  <c r="F20" i="22"/>
  <c r="C20" i="22"/>
  <c r="E20" i="22" s="1"/>
  <c r="D19" i="22"/>
  <c r="F19" i="22" s="1"/>
  <c r="C19" i="22"/>
  <c r="E19" i="22" s="1"/>
  <c r="E18" i="22"/>
  <c r="D18" i="22"/>
  <c r="F18" i="22" s="1"/>
  <c r="C18" i="22"/>
  <c r="F17" i="22"/>
  <c r="E17" i="22"/>
  <c r="D17" i="22"/>
  <c r="C17" i="22"/>
  <c r="F16" i="22"/>
  <c r="E16" i="22"/>
  <c r="C16" i="22"/>
  <c r="F15" i="22"/>
  <c r="C15" i="22"/>
  <c r="E15" i="22" s="1"/>
  <c r="F14" i="22"/>
  <c r="C14" i="22"/>
  <c r="E14" i="22" s="1"/>
  <c r="F13" i="22"/>
  <c r="E13" i="22"/>
  <c r="F12" i="22"/>
  <c r="E12" i="22"/>
  <c r="F9" i="22"/>
  <c r="C9" i="22"/>
  <c r="E9" i="22" s="1"/>
  <c r="F8" i="22"/>
  <c r="E8" i="22"/>
  <c r="D8" i="22"/>
  <c r="C8" i="22"/>
  <c r="F7" i="22"/>
  <c r="E7" i="22"/>
  <c r="C7" i="22"/>
  <c r="F6" i="22"/>
  <c r="C6" i="22"/>
  <c r="E6" i="22" s="1"/>
  <c r="F5" i="22"/>
  <c r="E5" i="22"/>
  <c r="F4" i="22"/>
  <c r="E4" i="22"/>
  <c r="D3" i="22"/>
  <c r="F3" i="22" s="1"/>
  <c r="C3" i="22"/>
  <c r="E3" i="22" s="1"/>
  <c r="D2" i="22"/>
  <c r="F2" i="22" s="1"/>
  <c r="C2" i="22"/>
  <c r="M17" i="14"/>
  <c r="E11" i="23" l="1"/>
  <c r="B10" i="23"/>
  <c r="C9" i="23"/>
  <c r="B9" i="12"/>
  <c r="C9" i="12" s="1"/>
  <c r="E11" i="12"/>
  <c r="F10" i="12"/>
  <c r="B10" i="12"/>
  <c r="F10" i="23"/>
  <c r="D10" i="23"/>
  <c r="F35" i="20"/>
  <c r="E35" i="20"/>
  <c r="F34" i="20"/>
  <c r="E34" i="20"/>
  <c r="F33" i="20"/>
  <c r="E33" i="20"/>
  <c r="D33" i="20"/>
  <c r="F32" i="20"/>
  <c r="E32" i="20"/>
  <c r="F31" i="20"/>
  <c r="E31" i="20"/>
  <c r="F30" i="20"/>
  <c r="C30" i="20"/>
  <c r="E30" i="20" s="1"/>
  <c r="F29" i="20"/>
  <c r="E29" i="20"/>
  <c r="E27" i="20"/>
  <c r="D27" i="20"/>
  <c r="F27" i="20" s="1"/>
  <c r="F26" i="20"/>
  <c r="C26" i="20"/>
  <c r="E26" i="20" s="1"/>
  <c r="F25" i="20"/>
  <c r="E25" i="20"/>
  <c r="D25" i="20"/>
  <c r="F24" i="20"/>
  <c r="E24" i="20"/>
  <c r="D24" i="20"/>
  <c r="F23" i="20"/>
  <c r="E23" i="20"/>
  <c r="F21" i="20"/>
  <c r="C21" i="20"/>
  <c r="E21" i="20" s="1"/>
  <c r="F20" i="20"/>
  <c r="C20" i="20"/>
  <c r="E20" i="20" s="1"/>
  <c r="Y19" i="20"/>
  <c r="F19" i="20"/>
  <c r="D19" i="20"/>
  <c r="C19" i="20"/>
  <c r="E19" i="20" s="1"/>
  <c r="F18" i="20"/>
  <c r="D18" i="20"/>
  <c r="C18" i="20"/>
  <c r="E18" i="20" s="1"/>
  <c r="F17" i="20"/>
  <c r="D17" i="20"/>
  <c r="C17" i="20"/>
  <c r="E17" i="20" s="1"/>
  <c r="F16" i="20"/>
  <c r="C16" i="20"/>
  <c r="E16" i="20" s="1"/>
  <c r="F15" i="20"/>
  <c r="E15" i="20"/>
  <c r="C15" i="20"/>
  <c r="F14" i="20"/>
  <c r="C14" i="20"/>
  <c r="E14" i="20" s="1"/>
  <c r="F13" i="20"/>
  <c r="E13" i="20"/>
  <c r="F12" i="20"/>
  <c r="E12" i="20"/>
  <c r="F10" i="20"/>
  <c r="E10" i="20"/>
  <c r="F9" i="20"/>
  <c r="C9" i="20"/>
  <c r="E9" i="20" s="1"/>
  <c r="F8" i="20"/>
  <c r="D8" i="20"/>
  <c r="C8" i="20"/>
  <c r="E8" i="20" s="1"/>
  <c r="F7" i="20"/>
  <c r="C7" i="20"/>
  <c r="E7" i="20" s="1"/>
  <c r="F6" i="20"/>
  <c r="E6" i="20"/>
  <c r="C6" i="20"/>
  <c r="F5" i="20"/>
  <c r="E5" i="20"/>
  <c r="F4" i="20"/>
  <c r="E4" i="20"/>
  <c r="E3" i="20"/>
  <c r="D3" i="20"/>
  <c r="F3" i="20" s="1"/>
  <c r="C3" i="20"/>
  <c r="F2" i="20"/>
  <c r="I2" i="20" s="1"/>
  <c r="D2" i="20"/>
  <c r="C2" i="20"/>
  <c r="F35" i="19"/>
  <c r="E35" i="19"/>
  <c r="F34" i="19"/>
  <c r="E34" i="19"/>
  <c r="E33" i="19"/>
  <c r="D33" i="19"/>
  <c r="F33" i="19" s="1"/>
  <c r="F32" i="19"/>
  <c r="E32" i="19"/>
  <c r="F31" i="19"/>
  <c r="E31" i="19"/>
  <c r="F30" i="19"/>
  <c r="C30" i="19"/>
  <c r="E30" i="19" s="1"/>
  <c r="H30" i="19" s="1"/>
  <c r="F29" i="19"/>
  <c r="E29" i="19"/>
  <c r="F27" i="19"/>
  <c r="E27" i="19"/>
  <c r="D27" i="19"/>
  <c r="F26" i="19"/>
  <c r="C26" i="19"/>
  <c r="E26" i="19" s="1"/>
  <c r="E25" i="19"/>
  <c r="D25" i="19"/>
  <c r="F25" i="19" s="1"/>
  <c r="F24" i="19"/>
  <c r="E24" i="19"/>
  <c r="D24" i="19"/>
  <c r="F23" i="19"/>
  <c r="E23" i="19"/>
  <c r="F21" i="19"/>
  <c r="E21" i="19"/>
  <c r="C21" i="19"/>
  <c r="F20" i="19"/>
  <c r="C20" i="19"/>
  <c r="E20" i="19" s="1"/>
  <c r="Y19" i="19"/>
  <c r="F19" i="19"/>
  <c r="E19" i="19"/>
  <c r="D19" i="19"/>
  <c r="C19" i="19"/>
  <c r="F18" i="19"/>
  <c r="D18" i="19"/>
  <c r="C18" i="19"/>
  <c r="E18" i="19" s="1"/>
  <c r="F17" i="19"/>
  <c r="D17" i="19"/>
  <c r="C17" i="19"/>
  <c r="E17" i="19" s="1"/>
  <c r="F16" i="19"/>
  <c r="C16" i="19"/>
  <c r="E16" i="19" s="1"/>
  <c r="F15" i="19"/>
  <c r="E15" i="19"/>
  <c r="C15" i="19"/>
  <c r="F14" i="19"/>
  <c r="C14" i="19"/>
  <c r="E14" i="19" s="1"/>
  <c r="F13" i="19"/>
  <c r="E13" i="19"/>
  <c r="F12" i="19"/>
  <c r="E12" i="19"/>
  <c r="F10" i="19"/>
  <c r="E10" i="19"/>
  <c r="F9" i="19"/>
  <c r="C9" i="19"/>
  <c r="E9" i="19" s="1"/>
  <c r="F8" i="19"/>
  <c r="D8" i="19"/>
  <c r="C8" i="19"/>
  <c r="E8" i="19" s="1"/>
  <c r="F7" i="19"/>
  <c r="C7" i="19"/>
  <c r="E7" i="19" s="1"/>
  <c r="F6" i="19"/>
  <c r="E6" i="19"/>
  <c r="C6" i="19"/>
  <c r="F5" i="19"/>
  <c r="E5" i="19"/>
  <c r="F4" i="19"/>
  <c r="E4" i="19"/>
  <c r="E3" i="19"/>
  <c r="D3" i="19"/>
  <c r="F3" i="19" s="1"/>
  <c r="C3" i="19"/>
  <c r="F2" i="19"/>
  <c r="D2" i="19"/>
  <c r="C2" i="19"/>
  <c r="F35" i="18"/>
  <c r="E35" i="18"/>
  <c r="F34" i="18"/>
  <c r="E34" i="18"/>
  <c r="F33" i="18"/>
  <c r="E33" i="18"/>
  <c r="D33" i="18"/>
  <c r="F32" i="18"/>
  <c r="E32" i="18"/>
  <c r="F31" i="18"/>
  <c r="E31" i="18"/>
  <c r="F30" i="18"/>
  <c r="I30" i="18" s="1"/>
  <c r="C30" i="18"/>
  <c r="E30" i="18" s="1"/>
  <c r="F29" i="18"/>
  <c r="E29" i="18"/>
  <c r="E27" i="18"/>
  <c r="D27" i="18"/>
  <c r="F27" i="18" s="1"/>
  <c r="F26" i="18"/>
  <c r="C26" i="18"/>
  <c r="E26" i="18" s="1"/>
  <c r="F25" i="18"/>
  <c r="E25" i="18"/>
  <c r="H24" i="18" s="1"/>
  <c r="D25" i="18"/>
  <c r="F24" i="18"/>
  <c r="E24" i="18"/>
  <c r="D24" i="18"/>
  <c r="F23" i="18"/>
  <c r="E23" i="18"/>
  <c r="F21" i="18"/>
  <c r="C21" i="18"/>
  <c r="E21" i="18" s="1"/>
  <c r="F20" i="18"/>
  <c r="C20" i="18"/>
  <c r="E20" i="18" s="1"/>
  <c r="Y19" i="18"/>
  <c r="F19" i="18"/>
  <c r="D19" i="18"/>
  <c r="C19" i="18"/>
  <c r="E19" i="18" s="1"/>
  <c r="F18" i="18"/>
  <c r="D18" i="18"/>
  <c r="C18" i="18"/>
  <c r="E18" i="18" s="1"/>
  <c r="F17" i="18"/>
  <c r="D17" i="18"/>
  <c r="C17" i="18"/>
  <c r="E17" i="18" s="1"/>
  <c r="F16" i="18"/>
  <c r="C16" i="18"/>
  <c r="E16" i="18" s="1"/>
  <c r="F15" i="18"/>
  <c r="E15" i="18"/>
  <c r="C15" i="18"/>
  <c r="F14" i="18"/>
  <c r="C14" i="18"/>
  <c r="E14" i="18" s="1"/>
  <c r="F13" i="18"/>
  <c r="E13" i="18"/>
  <c r="F12" i="18"/>
  <c r="E12" i="18"/>
  <c r="F10" i="18"/>
  <c r="E10" i="18"/>
  <c r="F9" i="18"/>
  <c r="C9" i="18"/>
  <c r="E9" i="18" s="1"/>
  <c r="F8" i="18"/>
  <c r="D8" i="18"/>
  <c r="C8" i="18"/>
  <c r="E8" i="18" s="1"/>
  <c r="F7" i="18"/>
  <c r="C7" i="18"/>
  <c r="E7" i="18" s="1"/>
  <c r="F6" i="18"/>
  <c r="E6" i="18"/>
  <c r="C6" i="18"/>
  <c r="F5" i="18"/>
  <c r="E5" i="18"/>
  <c r="F4" i="18"/>
  <c r="E4" i="18"/>
  <c r="E3" i="18"/>
  <c r="D3" i="18"/>
  <c r="F3" i="18" s="1"/>
  <c r="C3" i="18"/>
  <c r="F2" i="18"/>
  <c r="D2" i="18"/>
  <c r="C2" i="18"/>
  <c r="F35" i="17"/>
  <c r="E35" i="17"/>
  <c r="F34" i="17"/>
  <c r="E34" i="17"/>
  <c r="F33" i="17"/>
  <c r="E33" i="17"/>
  <c r="D33" i="17"/>
  <c r="F32" i="17"/>
  <c r="E32" i="17"/>
  <c r="F31" i="17"/>
  <c r="E31" i="17"/>
  <c r="F30" i="17"/>
  <c r="C30" i="17"/>
  <c r="E30" i="17" s="1"/>
  <c r="H30" i="17" s="1"/>
  <c r="F29" i="17"/>
  <c r="E29" i="17"/>
  <c r="E27" i="17"/>
  <c r="D27" i="17"/>
  <c r="F27" i="17" s="1"/>
  <c r="F26" i="17"/>
  <c r="C26" i="17"/>
  <c r="E26" i="17" s="1"/>
  <c r="F25" i="17"/>
  <c r="E25" i="17"/>
  <c r="H24" i="17" s="1"/>
  <c r="D25" i="17"/>
  <c r="F24" i="17"/>
  <c r="E24" i="17"/>
  <c r="D24" i="17"/>
  <c r="F23" i="17"/>
  <c r="E23" i="17"/>
  <c r="F21" i="17"/>
  <c r="E21" i="17"/>
  <c r="C21" i="17"/>
  <c r="F20" i="17"/>
  <c r="C20" i="17"/>
  <c r="E20" i="17" s="1"/>
  <c r="Y19" i="17"/>
  <c r="F19" i="17"/>
  <c r="D19" i="17"/>
  <c r="C19" i="17"/>
  <c r="E19" i="17" s="1"/>
  <c r="F18" i="17"/>
  <c r="D18" i="17"/>
  <c r="C18" i="17"/>
  <c r="E18" i="17" s="1"/>
  <c r="F17" i="17"/>
  <c r="D17" i="17"/>
  <c r="C17" i="17"/>
  <c r="E17" i="17" s="1"/>
  <c r="F16" i="17"/>
  <c r="C16" i="17"/>
  <c r="E16" i="17" s="1"/>
  <c r="F15" i="17"/>
  <c r="E15" i="17"/>
  <c r="C15" i="17"/>
  <c r="F14" i="17"/>
  <c r="C14" i="17"/>
  <c r="E14" i="17" s="1"/>
  <c r="F13" i="17"/>
  <c r="E13" i="17"/>
  <c r="F12" i="17"/>
  <c r="E12" i="17"/>
  <c r="F10" i="17"/>
  <c r="E10" i="17"/>
  <c r="F9" i="17"/>
  <c r="E9" i="17"/>
  <c r="C9" i="17"/>
  <c r="F8" i="17"/>
  <c r="D8" i="17"/>
  <c r="C8" i="17"/>
  <c r="E8" i="17" s="1"/>
  <c r="F7" i="17"/>
  <c r="C7" i="17"/>
  <c r="E7" i="17" s="1"/>
  <c r="F6" i="17"/>
  <c r="E6" i="17"/>
  <c r="C6" i="17"/>
  <c r="F5" i="17"/>
  <c r="E5" i="17"/>
  <c r="F4" i="17"/>
  <c r="E4" i="17"/>
  <c r="E3" i="17"/>
  <c r="D3" i="17"/>
  <c r="F3" i="17" s="1"/>
  <c r="C3" i="17"/>
  <c r="F2" i="17"/>
  <c r="I2" i="17" s="1"/>
  <c r="D2" i="17"/>
  <c r="C2" i="17"/>
  <c r="F35" i="16"/>
  <c r="E35" i="16"/>
  <c r="F34" i="16"/>
  <c r="E34" i="16"/>
  <c r="E33" i="16"/>
  <c r="D33" i="16"/>
  <c r="F33" i="16" s="1"/>
  <c r="F32" i="16"/>
  <c r="E32" i="16"/>
  <c r="F31" i="16"/>
  <c r="E31" i="16"/>
  <c r="F30" i="16"/>
  <c r="C30" i="16"/>
  <c r="E30" i="16" s="1"/>
  <c r="H30" i="16" s="1"/>
  <c r="F29" i="16"/>
  <c r="E29" i="16"/>
  <c r="F27" i="16"/>
  <c r="E27" i="16"/>
  <c r="D27" i="16"/>
  <c r="F26" i="16"/>
  <c r="C26" i="16"/>
  <c r="E26" i="16" s="1"/>
  <c r="E25" i="16"/>
  <c r="D25" i="16"/>
  <c r="F25" i="16" s="1"/>
  <c r="E24" i="16"/>
  <c r="H24" i="16" s="1"/>
  <c r="D24" i="16"/>
  <c r="F24" i="16" s="1"/>
  <c r="F23" i="16"/>
  <c r="E23" i="16"/>
  <c r="F21" i="16"/>
  <c r="E21" i="16"/>
  <c r="C21" i="16"/>
  <c r="F20" i="16"/>
  <c r="C20" i="16"/>
  <c r="E20" i="16" s="1"/>
  <c r="Y19" i="16"/>
  <c r="E19" i="16"/>
  <c r="D19" i="16"/>
  <c r="F19" i="16" s="1"/>
  <c r="C19" i="16"/>
  <c r="E18" i="16"/>
  <c r="D18" i="16"/>
  <c r="F18" i="16" s="1"/>
  <c r="C18" i="16"/>
  <c r="E17" i="16"/>
  <c r="D17" i="16"/>
  <c r="F17" i="16" s="1"/>
  <c r="C17" i="16"/>
  <c r="F16" i="16"/>
  <c r="C16" i="16"/>
  <c r="E16" i="16" s="1"/>
  <c r="F15" i="16"/>
  <c r="C15" i="16"/>
  <c r="E15" i="16" s="1"/>
  <c r="F14" i="16"/>
  <c r="C14" i="16"/>
  <c r="E14" i="16" s="1"/>
  <c r="F13" i="16"/>
  <c r="E13" i="16"/>
  <c r="F12" i="16"/>
  <c r="E12" i="16"/>
  <c r="F10" i="16"/>
  <c r="E10" i="16"/>
  <c r="F9" i="16"/>
  <c r="E9" i="16"/>
  <c r="C9" i="16"/>
  <c r="E8" i="16"/>
  <c r="D8" i="16"/>
  <c r="F8" i="16" s="1"/>
  <c r="C8" i="16"/>
  <c r="F7" i="16"/>
  <c r="C7" i="16"/>
  <c r="E7" i="16" s="1"/>
  <c r="F6" i="16"/>
  <c r="C6" i="16"/>
  <c r="E6" i="16" s="1"/>
  <c r="F5" i="16"/>
  <c r="E5" i="16"/>
  <c r="F4" i="16"/>
  <c r="E4" i="16"/>
  <c r="F3" i="16"/>
  <c r="D3" i="16"/>
  <c r="C3" i="16"/>
  <c r="E3" i="16" s="1"/>
  <c r="D2" i="16"/>
  <c r="F2" i="16" s="1"/>
  <c r="C2" i="16"/>
  <c r="F35" i="15"/>
  <c r="E35" i="15"/>
  <c r="F34" i="15"/>
  <c r="E34" i="15"/>
  <c r="F33" i="15"/>
  <c r="E33" i="15"/>
  <c r="D33" i="15"/>
  <c r="F32" i="15"/>
  <c r="E32" i="15"/>
  <c r="F31" i="15"/>
  <c r="E31" i="15"/>
  <c r="F30" i="15"/>
  <c r="C30" i="15"/>
  <c r="E30" i="15" s="1"/>
  <c r="F29" i="15"/>
  <c r="E29" i="15"/>
  <c r="E27" i="15"/>
  <c r="D27" i="15"/>
  <c r="F27" i="15" s="1"/>
  <c r="F26" i="15"/>
  <c r="C26" i="15"/>
  <c r="E26" i="15" s="1"/>
  <c r="F25" i="15"/>
  <c r="E25" i="15"/>
  <c r="D25" i="15"/>
  <c r="E24" i="15"/>
  <c r="D24" i="15"/>
  <c r="F24" i="15" s="1"/>
  <c r="F23" i="15"/>
  <c r="E23" i="15"/>
  <c r="F21" i="15"/>
  <c r="E21" i="15"/>
  <c r="C21" i="15"/>
  <c r="F20" i="15"/>
  <c r="C20" i="15"/>
  <c r="E20" i="15" s="1"/>
  <c r="Y19" i="15"/>
  <c r="D19" i="15"/>
  <c r="F19" i="15" s="1"/>
  <c r="C19" i="15"/>
  <c r="E19" i="15" s="1"/>
  <c r="D18" i="15"/>
  <c r="F18" i="15" s="1"/>
  <c r="C18" i="15"/>
  <c r="E18" i="15" s="1"/>
  <c r="D17" i="15"/>
  <c r="F17" i="15" s="1"/>
  <c r="C17" i="15"/>
  <c r="E17" i="15" s="1"/>
  <c r="F16" i="15"/>
  <c r="C16" i="15"/>
  <c r="E16" i="15" s="1"/>
  <c r="F15" i="15"/>
  <c r="C15" i="15"/>
  <c r="E15" i="15" s="1"/>
  <c r="F14" i="15"/>
  <c r="C14" i="15"/>
  <c r="E14" i="15" s="1"/>
  <c r="F13" i="15"/>
  <c r="E13" i="15"/>
  <c r="F12" i="15"/>
  <c r="E12" i="15"/>
  <c r="F10" i="15"/>
  <c r="E10" i="15"/>
  <c r="F9" i="15"/>
  <c r="E9" i="15"/>
  <c r="C9" i="15"/>
  <c r="D8" i="15"/>
  <c r="F8" i="15" s="1"/>
  <c r="C8" i="15"/>
  <c r="E8" i="15" s="1"/>
  <c r="F7" i="15"/>
  <c r="C7" i="15"/>
  <c r="E7" i="15" s="1"/>
  <c r="F6" i="15"/>
  <c r="C6" i="15"/>
  <c r="E6" i="15" s="1"/>
  <c r="F5" i="15"/>
  <c r="E5" i="15"/>
  <c r="F4" i="15"/>
  <c r="E4" i="15"/>
  <c r="F3" i="15"/>
  <c r="E3" i="15"/>
  <c r="D3" i="15"/>
  <c r="C3" i="15"/>
  <c r="D2" i="15"/>
  <c r="F2" i="15" s="1"/>
  <c r="C2" i="15"/>
  <c r="H2" i="15" s="1"/>
  <c r="E13" i="2"/>
  <c r="E13" i="14"/>
  <c r="H2" i="14"/>
  <c r="F35" i="14"/>
  <c r="E35" i="14"/>
  <c r="F34" i="14"/>
  <c r="E34" i="14"/>
  <c r="E33" i="14"/>
  <c r="D33" i="14"/>
  <c r="F33" i="14" s="1"/>
  <c r="F32" i="14"/>
  <c r="E32" i="14"/>
  <c r="F31" i="14"/>
  <c r="E31" i="14"/>
  <c r="F30" i="14"/>
  <c r="C30" i="14"/>
  <c r="E30" i="14" s="1"/>
  <c r="F29" i="14"/>
  <c r="E29" i="14"/>
  <c r="F27" i="14"/>
  <c r="E27" i="14"/>
  <c r="D27" i="14"/>
  <c r="F26" i="14"/>
  <c r="C26" i="14"/>
  <c r="E26" i="14" s="1"/>
  <c r="E25" i="14"/>
  <c r="D25" i="14"/>
  <c r="F25" i="14" s="1"/>
  <c r="E24" i="14"/>
  <c r="D24" i="14"/>
  <c r="F24" i="14" s="1"/>
  <c r="F23" i="14"/>
  <c r="E23" i="14"/>
  <c r="F21" i="14"/>
  <c r="E21" i="14"/>
  <c r="C21" i="14"/>
  <c r="F20" i="14"/>
  <c r="C20" i="14"/>
  <c r="E20" i="14" s="1"/>
  <c r="Y19" i="14"/>
  <c r="E19" i="14"/>
  <c r="D19" i="14"/>
  <c r="F19" i="14" s="1"/>
  <c r="C19" i="14"/>
  <c r="E18" i="14"/>
  <c r="D18" i="14"/>
  <c r="F18" i="14" s="1"/>
  <c r="C18" i="14"/>
  <c r="E17" i="14"/>
  <c r="D17" i="14"/>
  <c r="F17" i="14" s="1"/>
  <c r="C17" i="14"/>
  <c r="F16" i="14"/>
  <c r="C16" i="14"/>
  <c r="E16" i="14" s="1"/>
  <c r="F15" i="14"/>
  <c r="C15" i="14"/>
  <c r="E15" i="14" s="1"/>
  <c r="F14" i="14"/>
  <c r="C14" i="14"/>
  <c r="E14" i="14" s="1"/>
  <c r="F13" i="14"/>
  <c r="F12" i="14"/>
  <c r="E12" i="14"/>
  <c r="F10" i="14"/>
  <c r="E10" i="14"/>
  <c r="F9" i="14"/>
  <c r="C9" i="14"/>
  <c r="E9" i="14" s="1"/>
  <c r="D8" i="14"/>
  <c r="F8" i="14" s="1"/>
  <c r="C8" i="14"/>
  <c r="E8" i="14" s="1"/>
  <c r="F7" i="14"/>
  <c r="C7" i="14"/>
  <c r="E7" i="14" s="1"/>
  <c r="F6" i="14"/>
  <c r="C6" i="14"/>
  <c r="E6" i="14" s="1"/>
  <c r="F5" i="14"/>
  <c r="E5" i="14"/>
  <c r="F4" i="14"/>
  <c r="E4" i="14"/>
  <c r="F3" i="14"/>
  <c r="D3" i="14"/>
  <c r="C3" i="14"/>
  <c r="E3" i="14" s="1"/>
  <c r="D2" i="14"/>
  <c r="F2" i="14" s="1"/>
  <c r="C2" i="14"/>
  <c r="D11" i="23" l="1"/>
  <c r="B11" i="23" s="1"/>
  <c r="C10" i="23"/>
  <c r="E12" i="23"/>
  <c r="E13" i="23" s="1"/>
  <c r="E14" i="23" s="1"/>
  <c r="E15" i="23" s="1"/>
  <c r="E16" i="23" s="1"/>
  <c r="E17" i="23" s="1"/>
  <c r="E18" i="23" s="1"/>
  <c r="C10" i="12"/>
  <c r="E12" i="12"/>
  <c r="B11" i="12"/>
  <c r="C11" i="12" s="1"/>
  <c r="F11" i="12"/>
  <c r="F11" i="23"/>
  <c r="I30" i="20"/>
  <c r="H30" i="20"/>
  <c r="H24" i="20"/>
  <c r="I14" i="20"/>
  <c r="I24" i="20"/>
  <c r="H2" i="20"/>
  <c r="H14" i="20"/>
  <c r="J30" i="20"/>
  <c r="O30" i="20" s="1"/>
  <c r="H24" i="19"/>
  <c r="I14" i="19"/>
  <c r="I2" i="19"/>
  <c r="H2" i="19"/>
  <c r="H14" i="19"/>
  <c r="I30" i="19"/>
  <c r="I24" i="19"/>
  <c r="I30" i="17"/>
  <c r="I14" i="17"/>
  <c r="H30" i="18"/>
  <c r="H14" i="18"/>
  <c r="I14" i="18"/>
  <c r="H2" i="18"/>
  <c r="J30" i="18"/>
  <c r="O30" i="18" s="1"/>
  <c r="I2" i="18"/>
  <c r="I24" i="18"/>
  <c r="J24" i="18" s="1"/>
  <c r="H2" i="17"/>
  <c r="H14" i="17"/>
  <c r="I24" i="17"/>
  <c r="J30" i="17"/>
  <c r="O30" i="17" s="1"/>
  <c r="I30" i="16"/>
  <c r="H2" i="16"/>
  <c r="H14" i="16"/>
  <c r="J30" i="16"/>
  <c r="O30" i="16" s="1"/>
  <c r="I2" i="16"/>
  <c r="I14" i="16"/>
  <c r="I24" i="16"/>
  <c r="H30" i="15"/>
  <c r="I30" i="15"/>
  <c r="J30" i="15" s="1"/>
  <c r="O30" i="15" s="1"/>
  <c r="H24" i="15"/>
  <c r="H14" i="15"/>
  <c r="I14" i="15"/>
  <c r="I2" i="15"/>
  <c r="J2" i="15" s="1"/>
  <c r="O2" i="15" s="1"/>
  <c r="I24" i="15"/>
  <c r="H30" i="14"/>
  <c r="I30" i="14"/>
  <c r="I24" i="14"/>
  <c r="H14" i="14"/>
  <c r="J14" i="14" s="1"/>
  <c r="O14" i="14" s="1"/>
  <c r="I14" i="14"/>
  <c r="H24" i="14"/>
  <c r="I2" i="14"/>
  <c r="J30" i="14"/>
  <c r="O30" i="14" s="1"/>
  <c r="E4" i="2"/>
  <c r="F4" i="2"/>
  <c r="E5" i="2"/>
  <c r="F5" i="2"/>
  <c r="E31" i="2"/>
  <c r="F31" i="2"/>
  <c r="E32" i="2"/>
  <c r="F32" i="2"/>
  <c r="E33" i="2"/>
  <c r="F33" i="2"/>
  <c r="E34" i="2"/>
  <c r="F34" i="2"/>
  <c r="E35" i="2"/>
  <c r="F35" i="2"/>
  <c r="F13" i="2"/>
  <c r="D12" i="23" l="1"/>
  <c r="D13" i="23" s="1"/>
  <c r="D14" i="23" s="1"/>
  <c r="D15" i="23" s="1"/>
  <c r="D16" i="23" s="1"/>
  <c r="D17" i="23" s="1"/>
  <c r="D18" i="23" s="1"/>
  <c r="C11" i="23"/>
  <c r="F12" i="12"/>
  <c r="E13" i="12"/>
  <c r="B12" i="12"/>
  <c r="C12" i="12" s="1"/>
  <c r="F12" i="23"/>
  <c r="J24" i="20"/>
  <c r="O24" i="20" s="1"/>
  <c r="J2" i="20"/>
  <c r="L2" i="20" s="1"/>
  <c r="M30" i="20"/>
  <c r="Q30" i="20" s="1"/>
  <c r="T30" i="20" s="1"/>
  <c r="L30" i="20"/>
  <c r="P30" i="20" s="1"/>
  <c r="S30" i="20" s="1"/>
  <c r="J14" i="20"/>
  <c r="L14" i="20" s="1"/>
  <c r="J24" i="19"/>
  <c r="O24" i="19" s="1"/>
  <c r="J14" i="19"/>
  <c r="L14" i="19" s="1"/>
  <c r="J30" i="19"/>
  <c r="J2" i="19"/>
  <c r="L2" i="19"/>
  <c r="I30" i="2"/>
  <c r="H30" i="2"/>
  <c r="L30" i="17"/>
  <c r="P30" i="17" s="1"/>
  <c r="S30" i="17" s="1"/>
  <c r="M30" i="18"/>
  <c r="Q30" i="18" s="1"/>
  <c r="T30" i="18" s="1"/>
  <c r="J14" i="18"/>
  <c r="O14" i="18" s="1"/>
  <c r="L14" i="18"/>
  <c r="M14" i="18"/>
  <c r="Q14" i="18" s="1"/>
  <c r="T14" i="18" s="1"/>
  <c r="O24" i="18"/>
  <c r="L24" i="18"/>
  <c r="M24" i="18"/>
  <c r="L30" i="18"/>
  <c r="P30" i="18" s="1"/>
  <c r="S30" i="18" s="1"/>
  <c r="P14" i="18"/>
  <c r="S14" i="18" s="1"/>
  <c r="J2" i="18"/>
  <c r="M30" i="17"/>
  <c r="Q30" i="17" s="1"/>
  <c r="T30" i="17" s="1"/>
  <c r="J2" i="17"/>
  <c r="L2" i="17" s="1"/>
  <c r="J14" i="17"/>
  <c r="J24" i="17"/>
  <c r="J2" i="16"/>
  <c r="O2" i="16" s="1"/>
  <c r="L2" i="16"/>
  <c r="L30" i="16"/>
  <c r="P30" i="16" s="1"/>
  <c r="S30" i="16" s="1"/>
  <c r="M30" i="16"/>
  <c r="Q30" i="16" s="1"/>
  <c r="T30" i="16" s="1"/>
  <c r="J24" i="16"/>
  <c r="M2" i="16"/>
  <c r="J14" i="16"/>
  <c r="O14" i="16" s="1"/>
  <c r="J14" i="15"/>
  <c r="O14" i="15" s="1"/>
  <c r="M14" i="15"/>
  <c r="L2" i="15"/>
  <c r="P2" i="15" s="1"/>
  <c r="S2" i="15" s="1"/>
  <c r="S37" i="15" s="1"/>
  <c r="L30" i="15"/>
  <c r="P30" i="15" s="1"/>
  <c r="S30" i="15" s="1"/>
  <c r="L14" i="15"/>
  <c r="M30" i="15"/>
  <c r="Q30" i="15" s="1"/>
  <c r="T30" i="15" s="1"/>
  <c r="J24" i="15"/>
  <c r="M2" i="15"/>
  <c r="Q2" i="15" s="1"/>
  <c r="T2" i="15" s="1"/>
  <c r="T37" i="15" s="1"/>
  <c r="L30" i="14"/>
  <c r="P30" i="14" s="1"/>
  <c r="S30" i="14" s="1"/>
  <c r="J2" i="14"/>
  <c r="O2" i="14" s="1"/>
  <c r="J24" i="14"/>
  <c r="L14" i="14"/>
  <c r="P14" i="14" s="1"/>
  <c r="S14" i="14" s="1"/>
  <c r="M30" i="14"/>
  <c r="Q30" i="14" s="1"/>
  <c r="T30" i="14" s="1"/>
  <c r="M14" i="14"/>
  <c r="Q14" i="14" s="1"/>
  <c r="T14" i="14" s="1"/>
  <c r="B13" i="23" l="1"/>
  <c r="C13" i="23" s="1"/>
  <c r="B12" i="23"/>
  <c r="C12" i="23" s="1"/>
  <c r="B14" i="23"/>
  <c r="C14" i="23"/>
  <c r="B15" i="23"/>
  <c r="C15" i="23"/>
  <c r="E14" i="12"/>
  <c r="F13" i="12"/>
  <c r="B13" i="12"/>
  <c r="C13" i="12" s="1"/>
  <c r="F13" i="23"/>
  <c r="C25" i="8"/>
  <c r="D25" i="8" s="1"/>
  <c r="C25" i="9"/>
  <c r="D25" i="9" s="1"/>
  <c r="C25" i="7"/>
  <c r="D25" i="7" s="1"/>
  <c r="C8" i="9"/>
  <c r="C8" i="8"/>
  <c r="C8" i="7"/>
  <c r="L24" i="20"/>
  <c r="P24" i="20" s="1"/>
  <c r="S24" i="20" s="1"/>
  <c r="M24" i="20"/>
  <c r="Q24" i="20" s="1"/>
  <c r="T24" i="20" s="1"/>
  <c r="O14" i="20"/>
  <c r="P14" i="20" s="1"/>
  <c r="S14" i="20" s="1"/>
  <c r="M14" i="20"/>
  <c r="O2" i="20"/>
  <c r="M2" i="20"/>
  <c r="L24" i="19"/>
  <c r="M24" i="19"/>
  <c r="O30" i="19"/>
  <c r="Q30" i="19" s="1"/>
  <c r="T30" i="19" s="1"/>
  <c r="L30" i="19"/>
  <c r="M30" i="19"/>
  <c r="O2" i="19"/>
  <c r="M2" i="19"/>
  <c r="Q24" i="19"/>
  <c r="T24" i="19" s="1"/>
  <c r="P24" i="19"/>
  <c r="S24" i="19" s="1"/>
  <c r="O14" i="19"/>
  <c r="P14" i="19" s="1"/>
  <c r="S14" i="19" s="1"/>
  <c r="M14" i="19"/>
  <c r="J30" i="2"/>
  <c r="O30" i="2" s="1"/>
  <c r="L30" i="2"/>
  <c r="P30" i="2" s="1"/>
  <c r="S30" i="2" s="1"/>
  <c r="E3" i="11" s="1"/>
  <c r="Q24" i="18"/>
  <c r="T24" i="18" s="1"/>
  <c r="P24" i="18"/>
  <c r="S24" i="18" s="1"/>
  <c r="O2" i="18"/>
  <c r="L2" i="18"/>
  <c r="M2" i="18"/>
  <c r="O14" i="17"/>
  <c r="M14" i="17"/>
  <c r="Q14" i="17" s="1"/>
  <c r="T14" i="17" s="1"/>
  <c r="L14" i="17"/>
  <c r="O24" i="17"/>
  <c r="L24" i="17"/>
  <c r="P24" i="17" s="1"/>
  <c r="S24" i="17" s="1"/>
  <c r="O2" i="17"/>
  <c r="M2" i="17"/>
  <c r="M24" i="17"/>
  <c r="Q24" i="17" s="1"/>
  <c r="T24" i="17" s="1"/>
  <c r="M14" i="16"/>
  <c r="Q14" i="16" s="1"/>
  <c r="T14" i="16" s="1"/>
  <c r="O24" i="16"/>
  <c r="L24" i="16"/>
  <c r="P24" i="16" s="1"/>
  <c r="S24" i="16" s="1"/>
  <c r="M24" i="16"/>
  <c r="Q24" i="16" s="1"/>
  <c r="T24" i="16" s="1"/>
  <c r="L14" i="16"/>
  <c r="P14" i="16" s="1"/>
  <c r="S14" i="16" s="1"/>
  <c r="Q2" i="16"/>
  <c r="T2" i="16" s="1"/>
  <c r="T37" i="16" s="1"/>
  <c r="P2" i="16"/>
  <c r="S2" i="16" s="1"/>
  <c r="S37" i="16" s="1"/>
  <c r="P14" i="15"/>
  <c r="S14" i="15" s="1"/>
  <c r="Q14" i="15"/>
  <c r="T14" i="15" s="1"/>
  <c r="O24" i="15"/>
  <c r="L24" i="15"/>
  <c r="P24" i="15" s="1"/>
  <c r="S24" i="15" s="1"/>
  <c r="M24" i="15"/>
  <c r="L2" i="14"/>
  <c r="M2" i="14"/>
  <c r="Q2" i="14" s="1"/>
  <c r="T2" i="14" s="1"/>
  <c r="T37" i="14" s="1"/>
  <c r="O24" i="14"/>
  <c r="M24" i="14"/>
  <c r="P2" i="14"/>
  <c r="S2" i="14" s="1"/>
  <c r="L24" i="14"/>
  <c r="B17" i="23" l="1"/>
  <c r="C17" i="23" s="1"/>
  <c r="B16" i="23"/>
  <c r="C16" i="23" s="1"/>
  <c r="E15" i="12"/>
  <c r="F14" i="12"/>
  <c r="B14" i="12"/>
  <c r="C14" i="12" s="1"/>
  <c r="F14" i="23"/>
  <c r="C23" i="9"/>
  <c r="D23" i="9" s="1"/>
  <c r="C23" i="8"/>
  <c r="D23" i="8" s="1"/>
  <c r="C23" i="7"/>
  <c r="D23" i="7" s="1"/>
  <c r="C6" i="7"/>
  <c r="C6" i="9"/>
  <c r="C6" i="8"/>
  <c r="C24" i="9"/>
  <c r="C24" i="8"/>
  <c r="C24" i="7"/>
  <c r="S37" i="14"/>
  <c r="Q14" i="20"/>
  <c r="T14" i="20" s="1"/>
  <c r="P2" i="20"/>
  <c r="S2" i="20" s="1"/>
  <c r="S37" i="20" s="1"/>
  <c r="Q2" i="20"/>
  <c r="T2" i="20" s="1"/>
  <c r="T37" i="20" s="1"/>
  <c r="Q14" i="19"/>
  <c r="T14" i="19" s="1"/>
  <c r="P2" i="19"/>
  <c r="S2" i="19" s="1"/>
  <c r="Q2" i="19"/>
  <c r="T2" i="19" s="1"/>
  <c r="T37" i="19" s="1"/>
  <c r="P30" i="19"/>
  <c r="S30" i="19" s="1"/>
  <c r="M30" i="2"/>
  <c r="Q30" i="2" s="1"/>
  <c r="T30" i="2" s="1"/>
  <c r="E2" i="11" s="1"/>
  <c r="P14" i="17"/>
  <c r="S14" i="17" s="1"/>
  <c r="Q2" i="18"/>
  <c r="T2" i="18" s="1"/>
  <c r="T37" i="18" s="1"/>
  <c r="P2" i="18"/>
  <c r="S2" i="18" s="1"/>
  <c r="S37" i="18" s="1"/>
  <c r="P2" i="17"/>
  <c r="S2" i="17" s="1"/>
  <c r="S37" i="17" s="1"/>
  <c r="Q2" i="17"/>
  <c r="T2" i="17" s="1"/>
  <c r="T37" i="17" s="1"/>
  <c r="Q24" i="15"/>
  <c r="T24" i="15" s="1"/>
  <c r="P24" i="14"/>
  <c r="S24" i="14" s="1"/>
  <c r="Q24" i="14"/>
  <c r="T24" i="14" s="1"/>
  <c r="E4" i="1"/>
  <c r="Y19" i="2"/>
  <c r="D27" i="2"/>
  <c r="F27" i="2" s="1"/>
  <c r="C26" i="2"/>
  <c r="E26" i="2"/>
  <c r="F26" i="2"/>
  <c r="E27" i="2"/>
  <c r="D18" i="2"/>
  <c r="F18" i="2" s="1"/>
  <c r="I9" i="1"/>
  <c r="C16" i="2"/>
  <c r="E16" i="2" s="1"/>
  <c r="H13" i="1"/>
  <c r="C14" i="2"/>
  <c r="E14" i="2" s="1"/>
  <c r="C15" i="2"/>
  <c r="E15" i="2" s="1"/>
  <c r="D33" i="2"/>
  <c r="C30" i="2"/>
  <c r="E30" i="2" s="1"/>
  <c r="D25" i="2"/>
  <c r="F25" i="2" s="1"/>
  <c r="D24" i="2"/>
  <c r="F24" i="2" s="1"/>
  <c r="D19" i="2"/>
  <c r="F19" i="2" s="1"/>
  <c r="D8" i="2"/>
  <c r="F8" i="2" s="1"/>
  <c r="D17" i="2"/>
  <c r="F17" i="2" s="1"/>
  <c r="D3" i="2"/>
  <c r="F3" i="2" s="1"/>
  <c r="C21" i="2"/>
  <c r="E21" i="2" s="1"/>
  <c r="C19" i="2"/>
  <c r="E19" i="2" s="1"/>
  <c r="C8" i="2"/>
  <c r="E8" i="2" s="1"/>
  <c r="C18" i="2"/>
  <c r="E18" i="2" s="1"/>
  <c r="C17" i="2"/>
  <c r="E17" i="2" s="1"/>
  <c r="C3" i="2"/>
  <c r="E3" i="2" s="1"/>
  <c r="D2" i="2"/>
  <c r="F2" i="2" s="1"/>
  <c r="C20" i="2"/>
  <c r="E20" i="2" s="1"/>
  <c r="C9" i="2"/>
  <c r="E9" i="2" s="1"/>
  <c r="C7" i="2"/>
  <c r="E7" i="2" s="1"/>
  <c r="C6" i="2"/>
  <c r="E6" i="2" s="1"/>
  <c r="C2" i="2"/>
  <c r="E29" i="2"/>
  <c r="F29" i="2"/>
  <c r="F30" i="2"/>
  <c r="J27" i="1"/>
  <c r="K27" i="1"/>
  <c r="J28" i="1"/>
  <c r="K28" i="1"/>
  <c r="J29" i="1"/>
  <c r="K29" i="1"/>
  <c r="K26" i="1"/>
  <c r="I26" i="1"/>
  <c r="J26" i="1"/>
  <c r="E26" i="1"/>
  <c r="E24" i="1"/>
  <c r="K24" i="1" s="1"/>
  <c r="E25" i="1"/>
  <c r="J24" i="1"/>
  <c r="J25" i="1"/>
  <c r="K25" i="1"/>
  <c r="E25" i="2"/>
  <c r="E24" i="2"/>
  <c r="F6" i="2"/>
  <c r="F7" i="2"/>
  <c r="F9" i="2"/>
  <c r="F20" i="2"/>
  <c r="E10" i="2"/>
  <c r="F10" i="2"/>
  <c r="E12" i="2"/>
  <c r="F12" i="2"/>
  <c r="F14" i="2"/>
  <c r="F15" i="2"/>
  <c r="F16" i="2"/>
  <c r="F21" i="2"/>
  <c r="E23" i="2"/>
  <c r="F23" i="2"/>
  <c r="B18" i="23" l="1"/>
  <c r="C18" i="23" s="1"/>
  <c r="E16" i="12"/>
  <c r="F15" i="12"/>
  <c r="B15" i="12"/>
  <c r="C15" i="12" s="1"/>
  <c r="F15" i="23"/>
  <c r="C2" i="9"/>
  <c r="C2" i="7"/>
  <c r="C2" i="8"/>
  <c r="C19" i="7"/>
  <c r="D19" i="7" s="1"/>
  <c r="C19" i="9"/>
  <c r="D19" i="9" s="1"/>
  <c r="C19" i="8"/>
  <c r="D19" i="8" s="1"/>
  <c r="C20" i="8"/>
  <c r="D20" i="8" s="1"/>
  <c r="C20" i="7"/>
  <c r="D20" i="7" s="1"/>
  <c r="C20" i="9"/>
  <c r="D20" i="9" s="1"/>
  <c r="C4" i="7"/>
  <c r="C4" i="9"/>
  <c r="C4" i="8"/>
  <c r="C21" i="9"/>
  <c r="D21" i="9" s="1"/>
  <c r="C21" i="8"/>
  <c r="D21" i="8" s="1"/>
  <c r="C21" i="7"/>
  <c r="D21" i="7" s="1"/>
  <c r="C22" i="7"/>
  <c r="D22" i="7" s="1"/>
  <c r="C22" i="9"/>
  <c r="D22" i="9" s="1"/>
  <c r="C22" i="8"/>
  <c r="D22" i="8" s="1"/>
  <c r="C5" i="9"/>
  <c r="C5" i="7"/>
  <c r="C5" i="8"/>
  <c r="C26" i="8"/>
  <c r="D24" i="8"/>
  <c r="C7" i="9"/>
  <c r="C7" i="7"/>
  <c r="C7" i="8"/>
  <c r="D24" i="9"/>
  <c r="C26" i="9"/>
  <c r="D24" i="7"/>
  <c r="C26" i="7"/>
  <c r="S37" i="19"/>
  <c r="H24" i="2"/>
  <c r="I24" i="2"/>
  <c r="J24" i="2" s="1"/>
  <c r="I14" i="2"/>
  <c r="I2" i="2"/>
  <c r="H2" i="2"/>
  <c r="J2" i="2" s="1"/>
  <c r="H14" i="2"/>
  <c r="L6" i="2"/>
  <c r="I23" i="1"/>
  <c r="F21" i="1"/>
  <c r="J21" i="1" s="1"/>
  <c r="H17" i="1"/>
  <c r="G17" i="1"/>
  <c r="F17" i="1"/>
  <c r="K17" i="1"/>
  <c r="J18" i="1"/>
  <c r="K18" i="1"/>
  <c r="J19" i="1"/>
  <c r="K19" i="1"/>
  <c r="K21" i="1"/>
  <c r="J22" i="1"/>
  <c r="J23" i="1"/>
  <c r="K23" i="1"/>
  <c r="I16" i="1"/>
  <c r="K16" i="1" s="1"/>
  <c r="K15" i="1"/>
  <c r="D15" i="1"/>
  <c r="J15" i="1" s="1"/>
  <c r="I14" i="1"/>
  <c r="K4" i="1"/>
  <c r="K5" i="1"/>
  <c r="K6" i="1"/>
  <c r="E14" i="1"/>
  <c r="J13" i="1"/>
  <c r="J11" i="1"/>
  <c r="J3" i="1"/>
  <c r="K3" i="1"/>
  <c r="J4" i="1"/>
  <c r="J5" i="1"/>
  <c r="J6" i="1"/>
  <c r="J7" i="1"/>
  <c r="K7" i="1"/>
  <c r="J8" i="1"/>
  <c r="K8" i="1"/>
  <c r="J9" i="1"/>
  <c r="K9" i="1"/>
  <c r="K10" i="1"/>
  <c r="K11" i="1"/>
  <c r="K12" i="1"/>
  <c r="K13" i="1"/>
  <c r="J14" i="1"/>
  <c r="K14" i="1"/>
  <c r="J16" i="1"/>
  <c r="K2" i="1"/>
  <c r="D11" i="1"/>
  <c r="H7" i="1"/>
  <c r="G6" i="1"/>
  <c r="F6" i="1"/>
  <c r="E6" i="1"/>
  <c r="E5" i="1"/>
  <c r="G4" i="1"/>
  <c r="F4" i="1"/>
  <c r="D3" i="1"/>
  <c r="E17" i="12" l="1"/>
  <c r="B16" i="12"/>
  <c r="C16" i="12" s="1"/>
  <c r="F16" i="12"/>
  <c r="F16" i="23"/>
  <c r="L2" i="2"/>
  <c r="C3" i="8"/>
  <c r="C3" i="7"/>
  <c r="C3" i="9"/>
  <c r="D26" i="7"/>
  <c r="C27" i="7"/>
  <c r="C9" i="8"/>
  <c r="C9" i="7"/>
  <c r="D26" i="8"/>
  <c r="C27" i="8"/>
  <c r="C27" i="9"/>
  <c r="D26" i="9"/>
  <c r="C9" i="9"/>
  <c r="M24" i="2"/>
  <c r="O24" i="2"/>
  <c r="L24" i="2"/>
  <c r="O2" i="2"/>
  <c r="M2" i="2"/>
  <c r="J14" i="2"/>
  <c r="L14" i="2" s="1"/>
  <c r="J17" i="1"/>
  <c r="J12" i="1"/>
  <c r="J2" i="1"/>
  <c r="E18" i="12" l="1"/>
  <c r="F17" i="12"/>
  <c r="B17" i="12"/>
  <c r="C17" i="12" s="1"/>
  <c r="F18" i="23"/>
  <c r="F17" i="23"/>
  <c r="D27" i="7"/>
  <c r="C28" i="7"/>
  <c r="D27" i="9"/>
  <c r="C28" i="9"/>
  <c r="C10" i="7"/>
  <c r="C10" i="9"/>
  <c r="D27" i="8"/>
  <c r="C28" i="8"/>
  <c r="C10" i="8"/>
  <c r="P24" i="2"/>
  <c r="S24" i="2" s="1"/>
  <c r="D3" i="11" s="1"/>
  <c r="M14" i="2"/>
  <c r="O14" i="2"/>
  <c r="P14" i="2" s="1"/>
  <c r="S14" i="2" s="1"/>
  <c r="C3" i="11" s="1"/>
  <c r="P2" i="2"/>
  <c r="S2" i="2" s="1"/>
  <c r="B3" i="11" s="1"/>
  <c r="Q2" i="2"/>
  <c r="T2" i="2" s="1"/>
  <c r="B2" i="11" s="1"/>
  <c r="Q24" i="2"/>
  <c r="T24" i="2" s="1"/>
  <c r="D2" i="11" s="1"/>
  <c r="F18" i="12" l="1"/>
  <c r="B18" i="12"/>
  <c r="C18" i="12" s="1"/>
  <c r="C11" i="8"/>
  <c r="C11" i="9"/>
  <c r="D28" i="8"/>
  <c r="C29" i="8"/>
  <c r="C11" i="7"/>
  <c r="D28" i="7"/>
  <c r="C29" i="7"/>
  <c r="C29" i="9"/>
  <c r="D28" i="9"/>
  <c r="Q14" i="2"/>
  <c r="T14" i="2" s="1"/>
  <c r="C2" i="11" s="1"/>
  <c r="D29" i="8" l="1"/>
  <c r="C30" i="8"/>
  <c r="C12" i="7"/>
  <c r="C12" i="9"/>
  <c r="C30" i="9"/>
  <c r="D29" i="9"/>
  <c r="D29" i="7"/>
  <c r="C30" i="7"/>
  <c r="C12" i="8"/>
  <c r="C13" i="7" l="1"/>
  <c r="C13" i="8"/>
  <c r="C31" i="9"/>
  <c r="D30" i="9"/>
  <c r="D30" i="7"/>
  <c r="C31" i="7"/>
  <c r="C13" i="9"/>
  <c r="D30" i="8"/>
  <c r="C31" i="8"/>
  <c r="C14" i="9" l="1"/>
  <c r="D31" i="8"/>
  <c r="C32" i="8"/>
  <c r="D31" i="7"/>
  <c r="C32" i="7"/>
  <c r="C14" i="8"/>
  <c r="C14" i="7"/>
  <c r="C32" i="9"/>
  <c r="D31" i="9"/>
  <c r="D32" i="8" l="1"/>
  <c r="C33" i="8"/>
  <c r="C33" i="9"/>
  <c r="D32" i="9"/>
  <c r="C15" i="8"/>
  <c r="C15" i="7"/>
  <c r="D32" i="7"/>
  <c r="C33" i="7"/>
  <c r="C15" i="9"/>
  <c r="C16" i="9" l="1"/>
  <c r="C16" i="7"/>
  <c r="C34" i="9"/>
  <c r="D33" i="9"/>
  <c r="D33" i="7"/>
  <c r="C34" i="7"/>
  <c r="D33" i="8"/>
  <c r="C34" i="8"/>
  <c r="C16" i="8"/>
  <c r="C35" i="9" l="1"/>
  <c r="D35" i="9" s="1"/>
  <c r="D34" i="9"/>
  <c r="D34" i="7"/>
  <c r="C35" i="7"/>
  <c r="D35" i="7" s="1"/>
  <c r="C17" i="7"/>
  <c r="C17" i="8"/>
  <c r="D34" i="8"/>
  <c r="C35" i="8"/>
  <c r="D35" i="8" s="1"/>
  <c r="C17" i="9"/>
  <c r="C18" i="9" l="1"/>
  <c r="C18" i="8"/>
  <c r="C18" i="7"/>
</calcChain>
</file>

<file path=xl/sharedStrings.xml><?xml version="1.0" encoding="utf-8"?>
<sst xmlns="http://schemas.openxmlformats.org/spreadsheetml/2006/main" count="822" uniqueCount="111">
  <si>
    <t>Rocket</t>
  </si>
  <si>
    <t>Liquid type</t>
  </si>
  <si>
    <t>Mass liquid stage 1</t>
  </si>
  <si>
    <t>Mass liquid stage 2</t>
  </si>
  <si>
    <t>Mass solid</t>
  </si>
  <si>
    <t>Total mass liquid</t>
  </si>
  <si>
    <t>Total mass solid</t>
  </si>
  <si>
    <t>Mass liquid stage 3</t>
  </si>
  <si>
    <t>CZ - 3</t>
  </si>
  <si>
    <t>N2O4 / UDMH</t>
  </si>
  <si>
    <t>CZ - 5</t>
  </si>
  <si>
    <t>Solid type</t>
  </si>
  <si>
    <t>LH2 / LOX</t>
  </si>
  <si>
    <t>RP-1 / LOX</t>
  </si>
  <si>
    <t>Ariane 5</t>
  </si>
  <si>
    <t>N2O4 / UDMH
LH2 / LOX</t>
  </si>
  <si>
    <t>MMH / N2O4
LH2 / LOX</t>
  </si>
  <si>
    <t>Atlas V</t>
  </si>
  <si>
    <t>HTPB</t>
  </si>
  <si>
    <t>RP-1 / LOX
LH2 / LOX</t>
  </si>
  <si>
    <t>Delta-4 Heavy</t>
  </si>
  <si>
    <t>Falcon Heavy</t>
  </si>
  <si>
    <t>Proton-M</t>
  </si>
  <si>
    <t>GSLV</t>
  </si>
  <si>
    <t>Falcon 9</t>
  </si>
  <si>
    <t>Soyuz-2</t>
  </si>
  <si>
    <t>Booster liquid</t>
  </si>
  <si>
    <t>Booster solid</t>
  </si>
  <si>
    <t>RG-1 / LOX
N2O4 / UDMH</t>
  </si>
  <si>
    <t>CZ  - 2</t>
  </si>
  <si>
    <t>CZ - 4</t>
  </si>
  <si>
    <t>PSLV</t>
  </si>
  <si>
    <t>Soyuz-ST</t>
  </si>
  <si>
    <t>Vega</t>
  </si>
  <si>
    <t>Rokot</t>
  </si>
  <si>
    <t>RP1 / LOX</t>
  </si>
  <si>
    <t>Electron</t>
  </si>
  <si>
    <t>Antares</t>
  </si>
  <si>
    <t>Terrier Orion</t>
  </si>
  <si>
    <t>Black Brant</t>
  </si>
  <si>
    <t>Kuaizhou</t>
  </si>
  <si>
    <t>Liquid</t>
  </si>
  <si>
    <t>Solid</t>
  </si>
  <si>
    <t>Total liquid</t>
  </si>
  <si>
    <t>Total solid</t>
  </si>
  <si>
    <t>Other</t>
  </si>
  <si>
    <t>CZ -2</t>
  </si>
  <si>
    <t>CZ -3</t>
  </si>
  <si>
    <t>CZ -4</t>
  </si>
  <si>
    <t>Delta -4 Medium</t>
  </si>
  <si>
    <t>H-II</t>
  </si>
  <si>
    <t>PLSV</t>
  </si>
  <si>
    <t>CZ - 11</t>
  </si>
  <si>
    <t>Kuaizhou-1A</t>
  </si>
  <si>
    <t>OS-X0</t>
  </si>
  <si>
    <t>Sarge</t>
  </si>
  <si>
    <t>H-IIB</t>
  </si>
  <si>
    <t>% liquid without others</t>
  </si>
  <si>
    <t>% solid without others</t>
  </si>
  <si>
    <t>Total solid without others</t>
  </si>
  <si>
    <t>Total liquid without others</t>
  </si>
  <si>
    <t>Liquid for others</t>
  </si>
  <si>
    <t>Solid for others</t>
  </si>
  <si>
    <t>Mean mass per rocket</t>
  </si>
  <si>
    <t>Liquid in one rocket (t)</t>
  </si>
  <si>
    <t>Solid in one rocket (t)</t>
  </si>
  <si>
    <t>Total liquid (t)</t>
  </si>
  <si>
    <t>Total solid (t)</t>
  </si>
  <si>
    <t>Total mass without others (t)</t>
  </si>
  <si>
    <t>Coût kg liquide</t>
  </si>
  <si>
    <t>Coût kg solide</t>
  </si>
  <si>
    <t>6 H2</t>
  </si>
  <si>
    <t>2 O2</t>
  </si>
  <si>
    <t>https://www.google.fr/search?safe=active&amp;sxsrf=ALeKk021A_tRRj5HaAbs7TmxDjcuEfWP2w%3A1601314619770&amp;source=hp&amp;ei=Ox9yX52ILIaxUMHYjrAM&amp;q=cost+1+kg+hydrogen&amp;oq=cost+1+kg+hydrogen&amp;gs_lcp=CgZwc3ktYWIQAzIECCMQJzIECCMQJzIGCAAQFhAeMgYIABAWEB4yBggAEBYQHjIGCAAQFhAeOgUIABCRAjoICC4QxwEQowI6AggAOgQIABBDOgQILhBDOgIILjoHCAAQFBCHAjoFCAAQywE6CwguEMcBEK8BEMsBOggIABAWEAoQHlDHxwJYmtcCYIrYAmgAcAB4AIABggGIAeELkgEEMTEuNpgBAKABAaoBB2d3cy13aXo&amp;sclient=psy-ab&amp;ved=0ahUKEwjdkdTosYzsAhWGGBQKHUGsA8YQ4dUDCAc&amp;uact=5</t>
  </si>
  <si>
    <t>Purdue</t>
  </si>
  <si>
    <t>Coût RP1</t>
  </si>
  <si>
    <t>H (t)</t>
  </si>
  <si>
    <t>M (t)</t>
  </si>
  <si>
    <t>S (t)</t>
  </si>
  <si>
    <t>Mi (t)</t>
  </si>
  <si>
    <t>% liquid</t>
  </si>
  <si>
    <t>% solid</t>
  </si>
  <si>
    <t>Total market</t>
  </si>
  <si>
    <t>Type</t>
  </si>
  <si>
    <t>H</t>
  </si>
  <si>
    <t>M</t>
  </si>
  <si>
    <t>S</t>
  </si>
  <si>
    <t>Mi</t>
  </si>
  <si>
    <t>Total mass (%)</t>
  </si>
  <si>
    <t>Mass</t>
  </si>
  <si>
    <t>Year</t>
  </si>
  <si>
    <t>Market</t>
  </si>
  <si>
    <t>Number of launches 2016-2020</t>
  </si>
  <si>
    <t>Antares 230</t>
  </si>
  <si>
    <t xml:space="preserve">GLSV </t>
  </si>
  <si>
    <t>Malemute</t>
  </si>
  <si>
    <t>Orion</t>
  </si>
  <si>
    <t xml:space="preserve">Total </t>
  </si>
  <si>
    <t>Total</t>
  </si>
  <si>
    <t>Market size</t>
  </si>
  <si>
    <t>Continent</t>
  </si>
  <si>
    <t>Europe</t>
  </si>
  <si>
    <t>North America</t>
  </si>
  <si>
    <t>Asia Pacific</t>
  </si>
  <si>
    <t>Cost liquid</t>
  </si>
  <si>
    <t>Cost solid</t>
  </si>
  <si>
    <t>Total cost</t>
  </si>
  <si>
    <t>South America</t>
  </si>
  <si>
    <t>Percentage liquid</t>
  </si>
  <si>
    <t>Percentage solid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</si>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</sst>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Market_new_10_calc!$E$1</c:f>
              <c:strCache>
                <c:ptCount val="1"/>
                <c:pt idx="0">
                  <c:v>Percentage liquid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909886264216979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Market_new_10_calc!$A$4:$A$8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xVal>
          <c:yVal>
            <c:numRef>
              <c:f>Market_new_10_calc!$E$4:$E$8</c:f>
              <c:numCache>
                <c:formatCode>General</c:formatCode>
                <c:ptCount val="5"/>
                <c:pt idx="0">
                  <c:v>0.41741235364564017</c:v>
                </c:pt>
                <c:pt idx="1">
                  <c:v>0.46924283948250534</c:v>
                </c:pt>
                <c:pt idx="2">
                  <c:v>0.51361311250999619</c:v>
                </c:pt>
                <c:pt idx="3">
                  <c:v>0.56639456798513066</c:v>
                </c:pt>
                <c:pt idx="4">
                  <c:v>0.54967204060533492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4-427E-9201-CD1F2E3C3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23343"/>
        <c:axId val="405224175"/>
      </c:scatterChart>
      <c:valAx>
        <c:axId val="40522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5224175"/>
        <c:crosses val="autoZero"/>
        <c:crossBetween val="midCat"/>
      </c:valAx>
      <c:valAx>
        <c:axId val="40522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522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61456692913386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Market_new_10_calc!$F$1</c:f>
              <c:strCache>
                <c:ptCount val="1"/>
                <c:pt idx="0">
                  <c:v>Percentage solid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Market_new_10_calc!$A$4:$A$8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xVal>
          <c:yVal>
            <c:numRef>
              <c:f>Market_new_10_calc!$F$4:$F$8</c:f>
              <c:numCache>
                <c:formatCode>General</c:formatCode>
                <c:ptCount val="5"/>
                <c:pt idx="0">
                  <c:v>0.58258764635435989</c:v>
                </c:pt>
                <c:pt idx="1">
                  <c:v>0.53075716051749466</c:v>
                </c:pt>
                <c:pt idx="2">
                  <c:v>0.48638688749000386</c:v>
                </c:pt>
                <c:pt idx="3">
                  <c:v>0.4336054320148694</c:v>
                </c:pt>
                <c:pt idx="4">
                  <c:v>0.45032795939466513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6-4323-8293-69327050F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66783"/>
        <c:axId val="405967199"/>
      </c:scatterChart>
      <c:valAx>
        <c:axId val="40596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5967199"/>
        <c:crosses val="autoZero"/>
        <c:crossBetween val="midCat"/>
      </c:valAx>
      <c:valAx>
        <c:axId val="4059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596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388620</xdr:colOff>
      <xdr:row>5</xdr:row>
      <xdr:rowOff>160020</xdr:rowOff>
    </xdr:from>
    <xdr:to>
      <xdr:col>28</xdr:col>
      <xdr:colOff>480060</xdr:colOff>
      <xdr:row>16</xdr:row>
      <xdr:rowOff>45720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8420" y="1257300"/>
          <a:ext cx="4358640" cy="1897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156210</xdr:rowOff>
    </xdr:from>
    <xdr:to>
      <xdr:col>15</xdr:col>
      <xdr:colOff>213360</xdr:colOff>
      <xdr:row>22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23</xdr:row>
      <xdr:rowOff>118110</xdr:rowOff>
    </xdr:from>
    <xdr:to>
      <xdr:col>15</xdr:col>
      <xdr:colOff>327660</xdr:colOff>
      <xdr:row>38</xdr:row>
      <xdr:rowOff>118110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388620</xdr:colOff>
      <xdr:row>5</xdr:row>
      <xdr:rowOff>160020</xdr:rowOff>
    </xdr:from>
    <xdr:to>
      <xdr:col>28</xdr:col>
      <xdr:colOff>480060</xdr:colOff>
      <xdr:row>16</xdr:row>
      <xdr:rowOff>45720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8420" y="1623060"/>
          <a:ext cx="4358640" cy="1897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388620</xdr:colOff>
      <xdr:row>5</xdr:row>
      <xdr:rowOff>160020</xdr:rowOff>
    </xdr:from>
    <xdr:to>
      <xdr:col>28</xdr:col>
      <xdr:colOff>480060</xdr:colOff>
      <xdr:row>16</xdr:row>
      <xdr:rowOff>45720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8420" y="1623060"/>
          <a:ext cx="4358640" cy="1897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388620</xdr:colOff>
      <xdr:row>5</xdr:row>
      <xdr:rowOff>160020</xdr:rowOff>
    </xdr:from>
    <xdr:to>
      <xdr:col>29</xdr:col>
      <xdr:colOff>480060</xdr:colOff>
      <xdr:row>16</xdr:row>
      <xdr:rowOff>45720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3260" y="1623060"/>
          <a:ext cx="4358640" cy="1897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388620</xdr:colOff>
      <xdr:row>5</xdr:row>
      <xdr:rowOff>160020</xdr:rowOff>
    </xdr:from>
    <xdr:to>
      <xdr:col>28</xdr:col>
      <xdr:colOff>480060</xdr:colOff>
      <xdr:row>16</xdr:row>
      <xdr:rowOff>45720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8420" y="1623060"/>
          <a:ext cx="4358640" cy="1897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388620</xdr:colOff>
      <xdr:row>5</xdr:row>
      <xdr:rowOff>160020</xdr:rowOff>
    </xdr:from>
    <xdr:to>
      <xdr:col>28</xdr:col>
      <xdr:colOff>480060</xdr:colOff>
      <xdr:row>16</xdr:row>
      <xdr:rowOff>45720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8420" y="1623060"/>
          <a:ext cx="4358640" cy="1897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388620</xdr:colOff>
      <xdr:row>5</xdr:row>
      <xdr:rowOff>160020</xdr:rowOff>
    </xdr:from>
    <xdr:to>
      <xdr:col>28</xdr:col>
      <xdr:colOff>480060</xdr:colOff>
      <xdr:row>16</xdr:row>
      <xdr:rowOff>45720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8420" y="1623060"/>
          <a:ext cx="4358640" cy="1897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388620</xdr:colOff>
      <xdr:row>5</xdr:row>
      <xdr:rowOff>160020</xdr:rowOff>
    </xdr:from>
    <xdr:to>
      <xdr:col>28</xdr:col>
      <xdr:colOff>480060</xdr:colOff>
      <xdr:row>16</xdr:row>
      <xdr:rowOff>45720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8420" y="1623060"/>
          <a:ext cx="4358640" cy="1897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388620</xdr:colOff>
      <xdr:row>5</xdr:row>
      <xdr:rowOff>160020</xdr:rowOff>
    </xdr:from>
    <xdr:to>
      <xdr:col>28</xdr:col>
      <xdr:colOff>480060</xdr:colOff>
      <xdr:row>16</xdr:row>
      <xdr:rowOff>45720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8420" y="1623060"/>
          <a:ext cx="4358640" cy="1897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C1" workbookViewId="0">
      <selection activeCell="J3" sqref="J3"/>
    </sheetView>
  </sheetViews>
  <sheetFormatPr defaultRowHeight="14.4" x14ac:dyDescent="0.3"/>
  <cols>
    <col min="2" max="2" width="9.77734375" bestFit="1" customWidth="1"/>
    <col min="3" max="5" width="9.77734375" customWidth="1"/>
    <col min="6" max="6" width="11.5546875" customWidth="1"/>
    <col min="7" max="7" width="11.77734375" customWidth="1"/>
    <col min="8" max="8" width="9.44140625" bestFit="1" customWidth="1"/>
    <col min="9" max="9" width="9.5546875" customWidth="1"/>
    <col min="10" max="10" width="14.109375" bestFit="1" customWidth="1"/>
  </cols>
  <sheetData>
    <row r="1" spans="1:11" x14ac:dyDescent="0.3">
      <c r="A1" t="s">
        <v>0</v>
      </c>
      <c r="B1" t="s">
        <v>1</v>
      </c>
      <c r="C1" t="s">
        <v>11</v>
      </c>
      <c r="D1" t="s">
        <v>26</v>
      </c>
      <c r="E1" t="s">
        <v>27</v>
      </c>
      <c r="F1" t="s">
        <v>2</v>
      </c>
      <c r="G1" t="s">
        <v>3</v>
      </c>
      <c r="H1" t="s">
        <v>7</v>
      </c>
      <c r="I1" t="s">
        <v>4</v>
      </c>
      <c r="J1" t="s">
        <v>5</v>
      </c>
      <c r="K1" t="s">
        <v>6</v>
      </c>
    </row>
    <row r="2" spans="1:11" ht="43.2" x14ac:dyDescent="0.3">
      <c r="A2" t="s">
        <v>8</v>
      </c>
      <c r="B2" s="1" t="s">
        <v>15</v>
      </c>
      <c r="E2">
        <v>0</v>
      </c>
      <c r="F2">
        <v>143692</v>
      </c>
      <c r="G2">
        <v>35841</v>
      </c>
      <c r="H2">
        <v>8731</v>
      </c>
      <c r="I2">
        <v>0</v>
      </c>
      <c r="J2">
        <f>F2+G2+H2+D2</f>
        <v>188264</v>
      </c>
      <c r="K2">
        <f>I2+E2</f>
        <v>0</v>
      </c>
    </row>
    <row r="3" spans="1:11" x14ac:dyDescent="0.3">
      <c r="A3" t="s">
        <v>10</v>
      </c>
      <c r="B3" t="s">
        <v>12</v>
      </c>
      <c r="D3">
        <f>4*144000</f>
        <v>576000</v>
      </c>
      <c r="E3">
        <v>0</v>
      </c>
      <c r="F3">
        <v>158300</v>
      </c>
      <c r="G3">
        <v>17100</v>
      </c>
      <c r="H3">
        <v>0</v>
      </c>
      <c r="I3">
        <v>0</v>
      </c>
      <c r="J3">
        <f t="shared" ref="J3:J16" si="0">F3+G3+H3+D3</f>
        <v>751400</v>
      </c>
      <c r="K3">
        <f t="shared" ref="K3:K16" si="1">I3+E3</f>
        <v>0</v>
      </c>
    </row>
    <row r="4" spans="1:11" ht="43.2" x14ac:dyDescent="0.3">
      <c r="A4" t="s">
        <v>14</v>
      </c>
      <c r="B4" s="1" t="s">
        <v>16</v>
      </c>
      <c r="C4" t="s">
        <v>18</v>
      </c>
      <c r="D4">
        <v>0</v>
      </c>
      <c r="E4">
        <f>2*(237000)</f>
        <v>474000</v>
      </c>
      <c r="F4">
        <f>184700-14700</f>
        <v>170000</v>
      </c>
      <c r="G4">
        <f>19440-4540</f>
        <v>14900</v>
      </c>
      <c r="H4">
        <v>0</v>
      </c>
      <c r="I4">
        <v>0</v>
      </c>
      <c r="J4">
        <f t="shared" si="0"/>
        <v>184900</v>
      </c>
      <c r="K4">
        <f t="shared" si="1"/>
        <v>474000</v>
      </c>
    </row>
    <row r="5" spans="1:11" ht="28.8" x14ac:dyDescent="0.3">
      <c r="A5" t="s">
        <v>17</v>
      </c>
      <c r="B5" s="1" t="s">
        <v>19</v>
      </c>
      <c r="C5" t="s">
        <v>18</v>
      </c>
      <c r="D5">
        <v>0</v>
      </c>
      <c r="E5">
        <f>5*44200</f>
        <v>221000</v>
      </c>
      <c r="F5">
        <v>284089</v>
      </c>
      <c r="G5">
        <v>20830</v>
      </c>
      <c r="H5">
        <v>0</v>
      </c>
      <c r="I5">
        <v>0</v>
      </c>
      <c r="J5">
        <f t="shared" si="0"/>
        <v>304919</v>
      </c>
      <c r="K5">
        <f t="shared" si="1"/>
        <v>221000</v>
      </c>
    </row>
    <row r="6" spans="1:11" x14ac:dyDescent="0.3">
      <c r="A6" t="s">
        <v>20</v>
      </c>
      <c r="B6" s="1" t="s">
        <v>12</v>
      </c>
      <c r="C6" t="s">
        <v>18</v>
      </c>
      <c r="D6">
        <v>0</v>
      </c>
      <c r="E6">
        <f>2*200000</f>
        <v>400000</v>
      </c>
      <c r="F6">
        <f>200000</f>
        <v>200000</v>
      </c>
      <c r="G6">
        <f>30000</f>
        <v>30000</v>
      </c>
      <c r="H6">
        <v>0</v>
      </c>
      <c r="I6">
        <v>0</v>
      </c>
      <c r="J6">
        <f t="shared" si="0"/>
        <v>230000</v>
      </c>
      <c r="K6">
        <f t="shared" si="1"/>
        <v>400000</v>
      </c>
    </row>
    <row r="7" spans="1:11" x14ac:dyDescent="0.3">
      <c r="A7" t="s">
        <v>21</v>
      </c>
      <c r="B7" s="1" t="s">
        <v>13</v>
      </c>
      <c r="D7">
        <v>0</v>
      </c>
      <c r="E7">
        <v>0</v>
      </c>
      <c r="F7">
        <v>395700</v>
      </c>
      <c r="G7">
        <v>92670</v>
      </c>
      <c r="H7">
        <f>549000-G7-F7</f>
        <v>60630</v>
      </c>
      <c r="I7">
        <v>0</v>
      </c>
      <c r="J7">
        <f t="shared" si="0"/>
        <v>549000</v>
      </c>
      <c r="K7">
        <f t="shared" si="1"/>
        <v>0</v>
      </c>
    </row>
    <row r="8" spans="1:11" ht="28.8" x14ac:dyDescent="0.3">
      <c r="A8" t="s">
        <v>22</v>
      </c>
      <c r="B8" s="1" t="s">
        <v>9</v>
      </c>
      <c r="D8">
        <v>0</v>
      </c>
      <c r="E8">
        <v>0</v>
      </c>
      <c r="F8">
        <v>428300</v>
      </c>
      <c r="G8">
        <v>157300</v>
      </c>
      <c r="H8">
        <v>46562</v>
      </c>
      <c r="I8">
        <v>0</v>
      </c>
      <c r="J8">
        <f t="shared" si="0"/>
        <v>632162</v>
      </c>
      <c r="K8">
        <f t="shared" si="1"/>
        <v>0</v>
      </c>
    </row>
    <row r="9" spans="1:11" ht="43.2" x14ac:dyDescent="0.3">
      <c r="A9" t="s">
        <v>23</v>
      </c>
      <c r="B9" s="1" t="s">
        <v>15</v>
      </c>
      <c r="C9" t="s">
        <v>18</v>
      </c>
      <c r="D9">
        <v>0</v>
      </c>
      <c r="E9">
        <v>0</v>
      </c>
      <c r="F9">
        <v>0</v>
      </c>
      <c r="G9">
        <v>116000</v>
      </c>
      <c r="H9">
        <v>28000</v>
      </c>
      <c r="I9">
        <f>205000</f>
        <v>205000</v>
      </c>
      <c r="J9">
        <f t="shared" si="0"/>
        <v>144000</v>
      </c>
      <c r="K9">
        <f t="shared" si="1"/>
        <v>205000</v>
      </c>
    </row>
    <row r="10" spans="1:11" x14ac:dyDescent="0.3">
      <c r="A10" t="s">
        <v>24</v>
      </c>
      <c r="B10" s="1" t="s">
        <v>13</v>
      </c>
      <c r="J10">
        <v>395700</v>
      </c>
      <c r="K10">
        <f t="shared" si="1"/>
        <v>0</v>
      </c>
    </row>
    <row r="11" spans="1:11" ht="57.6" x14ac:dyDescent="0.3">
      <c r="A11" t="s">
        <v>25</v>
      </c>
      <c r="B11" s="1" t="s">
        <v>28</v>
      </c>
      <c r="D11">
        <f>4*39160</f>
        <v>156640</v>
      </c>
      <c r="E11">
        <v>0</v>
      </c>
      <c r="F11">
        <v>90100</v>
      </c>
      <c r="G11">
        <v>25400</v>
      </c>
      <c r="H11">
        <v>5250</v>
      </c>
      <c r="J11">
        <f>F11+G11+H11+D11</f>
        <v>277390</v>
      </c>
      <c r="K11">
        <f t="shared" si="1"/>
        <v>0</v>
      </c>
    </row>
    <row r="12" spans="1:11" ht="28.8" x14ac:dyDescent="0.3">
      <c r="A12" t="s">
        <v>29</v>
      </c>
      <c r="B12" s="1" t="s">
        <v>9</v>
      </c>
      <c r="F12">
        <v>143000</v>
      </c>
      <c r="G12">
        <v>35000</v>
      </c>
      <c r="J12">
        <f t="shared" si="0"/>
        <v>178000</v>
      </c>
      <c r="K12">
        <f t="shared" si="1"/>
        <v>0</v>
      </c>
    </row>
    <row r="13" spans="1:11" ht="28.8" x14ac:dyDescent="0.3">
      <c r="A13" t="s">
        <v>30</v>
      </c>
      <c r="B13" s="1" t="s">
        <v>9</v>
      </c>
      <c r="F13">
        <v>183200</v>
      </c>
      <c r="G13">
        <v>35550</v>
      </c>
      <c r="H13">
        <f>14000+14000</f>
        <v>28000</v>
      </c>
      <c r="J13">
        <f t="shared" si="0"/>
        <v>246750</v>
      </c>
      <c r="K13">
        <f t="shared" si="1"/>
        <v>0</v>
      </c>
    </row>
    <row r="14" spans="1:11" ht="28.8" x14ac:dyDescent="0.3">
      <c r="A14" t="s">
        <v>31</v>
      </c>
      <c r="B14" s="1" t="s">
        <v>9</v>
      </c>
      <c r="C14" t="s">
        <v>18</v>
      </c>
      <c r="E14">
        <f>12*12200</f>
        <v>146400</v>
      </c>
      <c r="G14">
        <v>42000</v>
      </c>
      <c r="H14">
        <v>2500</v>
      </c>
      <c r="I14">
        <f>138200+7600</f>
        <v>145800</v>
      </c>
      <c r="J14">
        <f t="shared" si="0"/>
        <v>44500</v>
      </c>
      <c r="K14">
        <f t="shared" si="1"/>
        <v>292200</v>
      </c>
    </row>
    <row r="15" spans="1:11" ht="57.6" x14ac:dyDescent="0.3">
      <c r="A15" t="s">
        <v>32</v>
      </c>
      <c r="B15" s="1" t="s">
        <v>28</v>
      </c>
      <c r="D15">
        <f>4*39160</f>
        <v>156640</v>
      </c>
      <c r="E15">
        <v>0</v>
      </c>
      <c r="F15">
        <v>90100</v>
      </c>
      <c r="G15">
        <v>25400</v>
      </c>
      <c r="H15">
        <v>5250</v>
      </c>
      <c r="J15">
        <f>F15+G15+H15+D15</f>
        <v>277390</v>
      </c>
      <c r="K15">
        <f t="shared" ref="K15" si="2">I15+E15</f>
        <v>0</v>
      </c>
    </row>
    <row r="16" spans="1:11" x14ac:dyDescent="0.3">
      <c r="A16" t="s">
        <v>33</v>
      </c>
      <c r="C16" t="s">
        <v>18</v>
      </c>
      <c r="I16">
        <f>95695-7330 + 28850-2850 + 11815-1315 + 697-147</f>
        <v>125415</v>
      </c>
      <c r="J16">
        <f t="shared" si="0"/>
        <v>0</v>
      </c>
      <c r="K16">
        <f t="shared" si="1"/>
        <v>125415</v>
      </c>
    </row>
    <row r="17" spans="1:11" ht="28.8" x14ac:dyDescent="0.3">
      <c r="A17" t="s">
        <v>34</v>
      </c>
      <c r="B17" s="1" t="s">
        <v>9</v>
      </c>
      <c r="F17">
        <f>77150-5695</f>
        <v>71455</v>
      </c>
      <c r="G17">
        <f>12195-1485</f>
        <v>10710</v>
      </c>
      <c r="H17">
        <f>6565-1600</f>
        <v>4965</v>
      </c>
      <c r="J17">
        <f t="shared" ref="J17:J23" si="3">F17+G17+H17+D17</f>
        <v>87130</v>
      </c>
      <c r="K17">
        <f t="shared" ref="K17:K23" si="4">I17+E17</f>
        <v>0</v>
      </c>
    </row>
    <row r="18" spans="1:11" x14ac:dyDescent="0.3">
      <c r="A18" t="s">
        <v>36</v>
      </c>
      <c r="B18" s="1" t="s">
        <v>35</v>
      </c>
      <c r="F18">
        <v>9250</v>
      </c>
      <c r="G18">
        <v>2050</v>
      </c>
      <c r="J18">
        <f t="shared" si="3"/>
        <v>11300</v>
      </c>
      <c r="K18">
        <f t="shared" si="4"/>
        <v>0</v>
      </c>
    </row>
    <row r="19" spans="1:11" x14ac:dyDescent="0.3">
      <c r="A19" t="s">
        <v>38</v>
      </c>
      <c r="C19" t="s">
        <v>18</v>
      </c>
      <c r="I19">
        <v>1300</v>
      </c>
      <c r="J19">
        <f t="shared" si="3"/>
        <v>0</v>
      </c>
      <c r="K19">
        <f t="shared" si="4"/>
        <v>1300</v>
      </c>
    </row>
    <row r="20" spans="1:11" x14ac:dyDescent="0.3">
      <c r="A20" t="s">
        <v>95</v>
      </c>
      <c r="C20" t="s">
        <v>18</v>
      </c>
      <c r="K20">
        <v>506</v>
      </c>
    </row>
    <row r="21" spans="1:11" x14ac:dyDescent="0.3">
      <c r="A21" t="s">
        <v>37</v>
      </c>
      <c r="B21" s="1" t="s">
        <v>35</v>
      </c>
      <c r="F21">
        <f>260700-18700</f>
        <v>242000</v>
      </c>
      <c r="G21">
        <v>12815</v>
      </c>
      <c r="J21">
        <f t="shared" si="3"/>
        <v>254815</v>
      </c>
      <c r="K21">
        <f t="shared" si="4"/>
        <v>0</v>
      </c>
    </row>
    <row r="22" spans="1:11" x14ac:dyDescent="0.3">
      <c r="A22" t="s">
        <v>39</v>
      </c>
      <c r="C22" t="s">
        <v>18</v>
      </c>
      <c r="I22">
        <v>1500</v>
      </c>
      <c r="J22">
        <f t="shared" si="3"/>
        <v>0</v>
      </c>
      <c r="K22">
        <v>2200</v>
      </c>
    </row>
    <row r="23" spans="1:11" x14ac:dyDescent="0.3">
      <c r="A23" t="s">
        <v>40</v>
      </c>
      <c r="C23" t="s">
        <v>18</v>
      </c>
      <c r="H23">
        <v>1000</v>
      </c>
      <c r="I23">
        <f>12000+6000+1000</f>
        <v>19000</v>
      </c>
      <c r="J23">
        <f t="shared" si="3"/>
        <v>1000</v>
      </c>
      <c r="K23">
        <f t="shared" si="4"/>
        <v>19000</v>
      </c>
    </row>
    <row r="24" spans="1:11" x14ac:dyDescent="0.3">
      <c r="A24" t="s">
        <v>49</v>
      </c>
      <c r="B24" t="s">
        <v>12</v>
      </c>
      <c r="C24" t="s">
        <v>18</v>
      </c>
      <c r="E24">
        <f>4*23000</f>
        <v>92000</v>
      </c>
      <c r="F24">
        <v>200000</v>
      </c>
      <c r="G24">
        <v>25000</v>
      </c>
      <c r="J24">
        <f t="shared" ref="J24:J26" si="5">F24+G24+H24+D24</f>
        <v>225000</v>
      </c>
      <c r="K24">
        <f t="shared" ref="K24:K26" si="6">I24+E24</f>
        <v>92000</v>
      </c>
    </row>
    <row r="25" spans="1:11" x14ac:dyDescent="0.3">
      <c r="A25" t="s">
        <v>56</v>
      </c>
      <c r="B25" t="s">
        <v>12</v>
      </c>
      <c r="C25" t="s">
        <v>18</v>
      </c>
      <c r="E25">
        <f>4*66000</f>
        <v>264000</v>
      </c>
      <c r="F25">
        <v>177800</v>
      </c>
      <c r="G25">
        <v>16600</v>
      </c>
      <c r="J25">
        <f t="shared" si="5"/>
        <v>194400</v>
      </c>
      <c r="K25">
        <f t="shared" si="6"/>
        <v>264000</v>
      </c>
    </row>
    <row r="26" spans="1:11" x14ac:dyDescent="0.3">
      <c r="A26" t="s">
        <v>51</v>
      </c>
      <c r="B26" t="s">
        <v>9</v>
      </c>
      <c r="C26" t="s">
        <v>18</v>
      </c>
      <c r="E26">
        <f>6*12200</f>
        <v>73200</v>
      </c>
      <c r="F26">
        <v>42000</v>
      </c>
      <c r="G26">
        <v>2500</v>
      </c>
      <c r="I26">
        <f>138200+7600</f>
        <v>145800</v>
      </c>
      <c r="J26">
        <f t="shared" si="5"/>
        <v>44500</v>
      </c>
      <c r="K26">
        <f t="shared" si="6"/>
        <v>219000</v>
      </c>
    </row>
    <row r="27" spans="1:11" x14ac:dyDescent="0.3">
      <c r="A27" t="s">
        <v>52</v>
      </c>
      <c r="I27">
        <v>35000</v>
      </c>
      <c r="J27">
        <f t="shared" ref="J27:J29" si="7">F27+G27+H27+D27</f>
        <v>0</v>
      </c>
      <c r="K27">
        <f t="shared" ref="K27:K29" si="8">I27+E27</f>
        <v>35000</v>
      </c>
    </row>
    <row r="28" spans="1:11" x14ac:dyDescent="0.3">
      <c r="A28" t="s">
        <v>55</v>
      </c>
      <c r="I28">
        <v>1000</v>
      </c>
      <c r="J28">
        <f t="shared" si="7"/>
        <v>0</v>
      </c>
      <c r="K28">
        <f t="shared" si="8"/>
        <v>1000</v>
      </c>
    </row>
    <row r="29" spans="1:11" x14ac:dyDescent="0.3">
      <c r="J29">
        <f t="shared" si="7"/>
        <v>0</v>
      </c>
      <c r="K29">
        <f t="shared" si="8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workbookViewId="0">
      <selection activeCell="E3" sqref="E3"/>
    </sheetView>
  </sheetViews>
  <sheetFormatPr defaultRowHeight="14.4" x14ac:dyDescent="0.3"/>
  <cols>
    <col min="1" max="1" width="15.44140625" customWidth="1"/>
    <col min="2" max="2" width="12.88671875" customWidth="1"/>
    <col min="3" max="3" width="12.77734375" customWidth="1"/>
    <col min="4" max="4" width="11.77734375" customWidth="1"/>
    <col min="5" max="5" width="9" customWidth="1"/>
    <col min="6" max="6" width="8.21875" customWidth="1"/>
    <col min="7" max="7" width="6.21875" customWidth="1"/>
    <col min="8" max="8" width="13.77734375" customWidth="1"/>
    <col min="11" max="11" width="5.21875" customWidth="1"/>
    <col min="14" max="14" width="4.33203125" customWidth="1"/>
    <col min="16" max="16" width="12" bestFit="1" customWidth="1"/>
    <col min="17" max="17" width="11" bestFit="1" customWidth="1"/>
    <col min="18" max="18" width="5.109375" customWidth="1"/>
  </cols>
  <sheetData>
    <row r="1" spans="1:27" ht="57.6" x14ac:dyDescent="0.3">
      <c r="A1" s="2" t="s">
        <v>0</v>
      </c>
      <c r="B1" s="2">
        <v>2015</v>
      </c>
      <c r="C1" s="2" t="s">
        <v>64</v>
      </c>
      <c r="D1" s="2" t="s">
        <v>65</v>
      </c>
      <c r="E1" s="2" t="s">
        <v>66</v>
      </c>
      <c r="F1" s="2" t="s">
        <v>67</v>
      </c>
      <c r="G1" s="1"/>
      <c r="H1" s="3" t="s">
        <v>60</v>
      </c>
      <c r="I1" s="2" t="s">
        <v>59</v>
      </c>
      <c r="J1" s="2" t="s">
        <v>68</v>
      </c>
      <c r="K1" s="1"/>
      <c r="L1" s="3" t="s">
        <v>57</v>
      </c>
      <c r="M1" s="3" t="s">
        <v>58</v>
      </c>
      <c r="O1" s="3" t="s">
        <v>63</v>
      </c>
      <c r="P1" s="3" t="s">
        <v>61</v>
      </c>
      <c r="Q1" s="3" t="s">
        <v>62</v>
      </c>
      <c r="S1" s="3" t="s">
        <v>43</v>
      </c>
      <c r="T1" s="3" t="s">
        <v>44</v>
      </c>
      <c r="V1" s="3" t="s">
        <v>69</v>
      </c>
      <c r="W1" s="3" t="s">
        <v>70</v>
      </c>
      <c r="Y1" s="3" t="s">
        <v>75</v>
      </c>
      <c r="Z1" s="3"/>
      <c r="AA1" s="3"/>
    </row>
    <row r="2" spans="1:27" x14ac:dyDescent="0.3">
      <c r="A2" t="s">
        <v>14</v>
      </c>
      <c r="B2">
        <v>6</v>
      </c>
      <c r="C2">
        <f>184900/1000</f>
        <v>184.9</v>
      </c>
      <c r="D2">
        <f>530000/1000</f>
        <v>530</v>
      </c>
      <c r="E2">
        <f>B2*C2</f>
        <v>1109.4000000000001</v>
      </c>
      <c r="F2">
        <f>B2*D2</f>
        <v>3180</v>
      </c>
      <c r="H2">
        <f>SUM(E2:E9)</f>
        <v>12458.467000000001</v>
      </c>
      <c r="I2">
        <f>SUM(F2:F9)</f>
        <v>6225</v>
      </c>
      <c r="J2">
        <f>H2+I2</f>
        <v>18683.467000000001</v>
      </c>
      <c r="L2">
        <f>H2/J2*100</f>
        <v>66.681772713811625</v>
      </c>
      <c r="M2">
        <f>I2/J2*100</f>
        <v>33.318227286188375</v>
      </c>
      <c r="O2">
        <f>J2/SUM(B2:B9)</f>
        <v>549.51373529411762</v>
      </c>
      <c r="P2">
        <f>B10*O2*L2/100</f>
        <v>366.42549999999994</v>
      </c>
      <c r="Q2">
        <f>B10*O2*M2/100</f>
        <v>183.08823529411765</v>
      </c>
      <c r="S2">
        <f>H2+P2</f>
        <v>12824.8925</v>
      </c>
      <c r="T2">
        <f>I2+Q2</f>
        <v>6408.088235294118</v>
      </c>
      <c r="V2">
        <v>1.28</v>
      </c>
      <c r="W2">
        <v>5</v>
      </c>
      <c r="X2" t="s">
        <v>74</v>
      </c>
      <c r="Y2">
        <v>2.4</v>
      </c>
    </row>
    <row r="3" spans="1:27" x14ac:dyDescent="0.3">
      <c r="A3" t="s">
        <v>17</v>
      </c>
      <c r="B3">
        <v>9</v>
      </c>
      <c r="C3">
        <f>304919/1000</f>
        <v>304.91899999999998</v>
      </c>
      <c r="D3">
        <f>221000/1000</f>
        <v>221</v>
      </c>
      <c r="E3">
        <f>B3*C3</f>
        <v>2744.2709999999997</v>
      </c>
      <c r="F3">
        <f>B3*D3</f>
        <v>1989</v>
      </c>
    </row>
    <row r="4" spans="1:27" x14ac:dyDescent="0.3">
      <c r="A4" t="s">
        <v>10</v>
      </c>
      <c r="B4">
        <v>0</v>
      </c>
      <c r="C4">
        <v>751.4</v>
      </c>
      <c r="E4">
        <f t="shared" ref="E4:E27" si="0">B4*C4</f>
        <v>0</v>
      </c>
      <c r="F4">
        <f t="shared" ref="F4:F27" si="1">B4*D4</f>
        <v>0</v>
      </c>
    </row>
    <row r="5" spans="1:27" x14ac:dyDescent="0.3">
      <c r="A5" t="s">
        <v>20</v>
      </c>
      <c r="B5">
        <v>0</v>
      </c>
      <c r="C5">
        <v>230</v>
      </c>
      <c r="D5">
        <v>400</v>
      </c>
      <c r="E5">
        <f t="shared" si="0"/>
        <v>0</v>
      </c>
      <c r="F5">
        <f t="shared" si="1"/>
        <v>0</v>
      </c>
    </row>
    <row r="6" spans="1:27" x14ac:dyDescent="0.3">
      <c r="A6" t="s">
        <v>24</v>
      </c>
      <c r="B6">
        <v>7</v>
      </c>
      <c r="C6">
        <f>395700/1000</f>
        <v>395.7</v>
      </c>
      <c r="D6">
        <v>0</v>
      </c>
      <c r="E6">
        <f t="shared" si="0"/>
        <v>2769.9</v>
      </c>
      <c r="F6">
        <f t="shared" si="1"/>
        <v>0</v>
      </c>
    </row>
    <row r="7" spans="1:27" x14ac:dyDescent="0.3">
      <c r="A7" t="s">
        <v>21</v>
      </c>
      <c r="B7">
        <v>0</v>
      </c>
      <c r="C7">
        <f>549000/1000</f>
        <v>549</v>
      </c>
      <c r="D7">
        <v>0</v>
      </c>
      <c r="E7">
        <f t="shared" si="0"/>
        <v>0</v>
      </c>
      <c r="F7">
        <f t="shared" si="1"/>
        <v>0</v>
      </c>
    </row>
    <row r="8" spans="1:27" x14ac:dyDescent="0.3">
      <c r="A8" t="s">
        <v>50</v>
      </c>
      <c r="B8">
        <v>4</v>
      </c>
      <c r="C8">
        <f>194400/1000</f>
        <v>194.4</v>
      </c>
      <c r="D8">
        <f>264000/1000</f>
        <v>264</v>
      </c>
      <c r="E8">
        <f>B8*C8</f>
        <v>777.6</v>
      </c>
      <c r="F8">
        <f>B8*D8</f>
        <v>1056</v>
      </c>
    </row>
    <row r="9" spans="1:27" x14ac:dyDescent="0.3">
      <c r="A9" t="s">
        <v>22</v>
      </c>
      <c r="B9">
        <v>8</v>
      </c>
      <c r="C9">
        <f>632162/1000</f>
        <v>632.16200000000003</v>
      </c>
      <c r="D9">
        <v>0</v>
      </c>
      <c r="E9">
        <f t="shared" si="0"/>
        <v>5057.2960000000003</v>
      </c>
      <c r="F9">
        <f t="shared" si="1"/>
        <v>0</v>
      </c>
    </row>
    <row r="10" spans="1:27" x14ac:dyDescent="0.3">
      <c r="A10" t="s">
        <v>45</v>
      </c>
      <c r="B10">
        <v>1</v>
      </c>
      <c r="E10">
        <f t="shared" si="0"/>
        <v>0</v>
      </c>
      <c r="F10">
        <f t="shared" si="1"/>
        <v>0</v>
      </c>
    </row>
    <row r="12" spans="1:27" x14ac:dyDescent="0.3">
      <c r="A12" t="s">
        <v>45</v>
      </c>
      <c r="B12">
        <v>1</v>
      </c>
      <c r="E12">
        <f t="shared" si="0"/>
        <v>0</v>
      </c>
      <c r="F12">
        <f t="shared" si="1"/>
        <v>0</v>
      </c>
    </row>
    <row r="13" spans="1:27" x14ac:dyDescent="0.3">
      <c r="A13" t="s">
        <v>93</v>
      </c>
      <c r="B13">
        <v>0</v>
      </c>
      <c r="C13">
        <v>254.815</v>
      </c>
      <c r="E13">
        <f t="shared" si="0"/>
        <v>0</v>
      </c>
      <c r="F13">
        <f t="shared" si="1"/>
        <v>0</v>
      </c>
    </row>
    <row r="14" spans="1:27" x14ac:dyDescent="0.3">
      <c r="A14" t="s">
        <v>46</v>
      </c>
      <c r="B14">
        <v>7</v>
      </c>
      <c r="C14">
        <f>178000/1000</f>
        <v>178</v>
      </c>
      <c r="D14">
        <v>0</v>
      </c>
      <c r="E14">
        <f t="shared" si="0"/>
        <v>1246</v>
      </c>
      <c r="F14">
        <f t="shared" si="1"/>
        <v>0</v>
      </c>
      <c r="H14">
        <f>SUM(E13:E21)</f>
        <v>9435.0059999999994</v>
      </c>
      <c r="I14">
        <f>SUM(F13:F21)</f>
        <v>1321</v>
      </c>
      <c r="J14">
        <f>H14+I14</f>
        <v>10756.005999999999</v>
      </c>
      <c r="L14">
        <f>H14/J14*100</f>
        <v>87.71848955829887</v>
      </c>
      <c r="M14">
        <f>I14/J14*100</f>
        <v>12.281510441701132</v>
      </c>
      <c r="O14">
        <f>J14/SUM(B13:B21)</f>
        <v>244.4546818181818</v>
      </c>
      <c r="P14">
        <f>B12*O14*L14/100</f>
        <v>214.43195454545454</v>
      </c>
      <c r="Q14">
        <f>B12*M14*O14/100</f>
        <v>30.022727272727273</v>
      </c>
      <c r="S14">
        <f>H14+P14</f>
        <v>9649.437954545454</v>
      </c>
      <c r="T14">
        <f>I14+Q14</f>
        <v>1351.0227272727273</v>
      </c>
    </row>
    <row r="15" spans="1:27" x14ac:dyDescent="0.3">
      <c r="A15" t="s">
        <v>47</v>
      </c>
      <c r="B15">
        <v>9</v>
      </c>
      <c r="C15">
        <f>188264/1000</f>
        <v>188.26400000000001</v>
      </c>
      <c r="D15">
        <v>0</v>
      </c>
      <c r="E15">
        <f t="shared" si="0"/>
        <v>1694.3760000000002</v>
      </c>
      <c r="F15">
        <f t="shared" si="1"/>
        <v>0</v>
      </c>
    </row>
    <row r="16" spans="1:27" x14ac:dyDescent="0.3">
      <c r="A16" t="s">
        <v>48</v>
      </c>
      <c r="B16">
        <v>4</v>
      </c>
      <c r="C16">
        <f>246750/1000</f>
        <v>246.75</v>
      </c>
      <c r="D16">
        <v>0</v>
      </c>
      <c r="E16">
        <f t="shared" si="0"/>
        <v>987</v>
      </c>
      <c r="F16">
        <f t="shared" si="1"/>
        <v>0</v>
      </c>
    </row>
    <row r="17" spans="1:27" x14ac:dyDescent="0.3">
      <c r="A17" t="s">
        <v>49</v>
      </c>
      <c r="B17">
        <v>2</v>
      </c>
      <c r="C17">
        <f>235000/1000</f>
        <v>235</v>
      </c>
      <c r="D17">
        <f>120000/1000</f>
        <v>120</v>
      </c>
      <c r="E17">
        <f t="shared" si="0"/>
        <v>470</v>
      </c>
      <c r="F17">
        <f t="shared" si="1"/>
        <v>240</v>
      </c>
    </row>
    <row r="18" spans="1:27" x14ac:dyDescent="0.3">
      <c r="A18" t="s">
        <v>94</v>
      </c>
      <c r="B18">
        <v>1</v>
      </c>
      <c r="C18">
        <f>144000/1000</f>
        <v>144</v>
      </c>
      <c r="D18">
        <f>205000/1000</f>
        <v>205</v>
      </c>
      <c r="E18">
        <f t="shared" si="0"/>
        <v>144</v>
      </c>
      <c r="F18">
        <f t="shared" si="1"/>
        <v>205</v>
      </c>
      <c r="W18" t="s">
        <v>14</v>
      </c>
    </row>
    <row r="19" spans="1:27" x14ac:dyDescent="0.3">
      <c r="A19" t="s">
        <v>51</v>
      </c>
      <c r="B19">
        <v>4</v>
      </c>
      <c r="C19">
        <f>44500/1000</f>
        <v>44.5</v>
      </c>
      <c r="D19">
        <f>219000/1000</f>
        <v>219</v>
      </c>
      <c r="E19">
        <f t="shared" si="0"/>
        <v>178</v>
      </c>
      <c r="F19">
        <f t="shared" si="1"/>
        <v>876</v>
      </c>
      <c r="W19" t="s">
        <v>71</v>
      </c>
      <c r="X19">
        <v>1</v>
      </c>
      <c r="Y19">
        <f>0.6*2+0.2*0.4</f>
        <v>1.28</v>
      </c>
      <c r="AA19" t="s">
        <v>73</v>
      </c>
    </row>
    <row r="20" spans="1:27" x14ac:dyDescent="0.3">
      <c r="A20" t="s">
        <v>25</v>
      </c>
      <c r="B20">
        <v>14</v>
      </c>
      <c r="C20">
        <f>277390/1000</f>
        <v>277.39</v>
      </c>
      <c r="D20">
        <v>0</v>
      </c>
      <c r="E20">
        <f>B20*C20</f>
        <v>3883.46</v>
      </c>
      <c r="F20">
        <f>B20*D20</f>
        <v>0</v>
      </c>
      <c r="W20" t="s">
        <v>72</v>
      </c>
      <c r="X20">
        <v>0.2</v>
      </c>
    </row>
    <row r="21" spans="1:27" x14ac:dyDescent="0.3">
      <c r="A21" t="s">
        <v>32</v>
      </c>
      <c r="B21">
        <v>3</v>
      </c>
      <c r="C21">
        <f>277390/1000</f>
        <v>277.39</v>
      </c>
      <c r="D21">
        <v>0</v>
      </c>
      <c r="E21">
        <f t="shared" si="0"/>
        <v>832.17</v>
      </c>
      <c r="F21">
        <f t="shared" si="1"/>
        <v>0</v>
      </c>
    </row>
    <row r="23" spans="1:27" x14ac:dyDescent="0.3">
      <c r="A23" t="s">
        <v>45</v>
      </c>
      <c r="B23">
        <v>11</v>
      </c>
      <c r="E23">
        <f t="shared" si="0"/>
        <v>0</v>
      </c>
      <c r="F23">
        <f t="shared" si="1"/>
        <v>0</v>
      </c>
    </row>
    <row r="24" spans="1:27" x14ac:dyDescent="0.3">
      <c r="A24" t="s">
        <v>39</v>
      </c>
      <c r="B24">
        <v>12</v>
      </c>
      <c r="C24">
        <v>0</v>
      </c>
      <c r="D24">
        <f>2200/1000</f>
        <v>2.2000000000000002</v>
      </c>
      <c r="E24">
        <f t="shared" si="0"/>
        <v>0</v>
      </c>
      <c r="F24">
        <f t="shared" si="1"/>
        <v>26.400000000000002</v>
      </c>
      <c r="H24">
        <f>SUM(E24:E27)</f>
        <v>174.26</v>
      </c>
      <c r="I24">
        <f>SUM(F24:F27)</f>
        <v>437.64499999999998</v>
      </c>
      <c r="J24">
        <f>H24+I24</f>
        <v>611.90499999999997</v>
      </c>
      <c r="L24">
        <f>H24/J24*100</f>
        <v>28.478276856701612</v>
      </c>
      <c r="M24">
        <f>I24/J24*100</f>
        <v>71.521723143298388</v>
      </c>
      <c r="O24">
        <f>J24/SUM(B24:B27)</f>
        <v>33.994722222222222</v>
      </c>
      <c r="P24">
        <f>B23*L24*O24/100</f>
        <v>106.49222222222222</v>
      </c>
      <c r="Q24">
        <f>B23*M24*O24/100</f>
        <v>267.44972222222225</v>
      </c>
      <c r="S24">
        <f>H24+P24</f>
        <v>280.7522222222222</v>
      </c>
      <c r="T24">
        <f>I24+Q24</f>
        <v>705.09472222222223</v>
      </c>
    </row>
    <row r="25" spans="1:27" x14ac:dyDescent="0.3">
      <c r="A25" t="s">
        <v>52</v>
      </c>
      <c r="B25">
        <v>1</v>
      </c>
      <c r="C25">
        <v>0</v>
      </c>
      <c r="D25">
        <f>35000/1000</f>
        <v>35</v>
      </c>
      <c r="E25">
        <f t="shared" si="0"/>
        <v>0</v>
      </c>
      <c r="F25">
        <f t="shared" si="1"/>
        <v>35</v>
      </c>
    </row>
    <row r="26" spans="1:27" x14ac:dyDescent="0.3">
      <c r="A26" t="s">
        <v>34</v>
      </c>
      <c r="B26">
        <v>2</v>
      </c>
      <c r="C26">
        <f>87130/1000</f>
        <v>87.13</v>
      </c>
      <c r="D26">
        <v>0</v>
      </c>
      <c r="E26">
        <f t="shared" si="0"/>
        <v>174.26</v>
      </c>
      <c r="F26">
        <f t="shared" si="1"/>
        <v>0</v>
      </c>
    </row>
    <row r="27" spans="1:27" x14ac:dyDescent="0.3">
      <c r="A27" t="s">
        <v>33</v>
      </c>
      <c r="B27">
        <v>3</v>
      </c>
      <c r="C27">
        <v>0</v>
      </c>
      <c r="D27">
        <f>125415/1000</f>
        <v>125.41500000000001</v>
      </c>
      <c r="E27">
        <f t="shared" si="0"/>
        <v>0</v>
      </c>
      <c r="F27">
        <f t="shared" si="1"/>
        <v>376.245</v>
      </c>
    </row>
    <row r="29" spans="1:27" x14ac:dyDescent="0.3">
      <c r="A29" t="s">
        <v>45</v>
      </c>
      <c r="B29">
        <v>8</v>
      </c>
      <c r="E29">
        <f t="shared" ref="E29:E35" si="2">B29*C29</f>
        <v>0</v>
      </c>
      <c r="F29">
        <f t="shared" ref="F29:F35" si="3">B29*D29</f>
        <v>0</v>
      </c>
    </row>
    <row r="30" spans="1:27" x14ac:dyDescent="0.3">
      <c r="A30" t="s">
        <v>36</v>
      </c>
      <c r="B30">
        <v>0</v>
      </c>
      <c r="C30">
        <f>11300/1000</f>
        <v>11.3</v>
      </c>
      <c r="D30">
        <v>0</v>
      </c>
      <c r="E30">
        <f t="shared" si="2"/>
        <v>0</v>
      </c>
      <c r="F30">
        <f t="shared" si="3"/>
        <v>0</v>
      </c>
      <c r="H30">
        <f>SUM(E30:E35)</f>
        <v>0</v>
      </c>
      <c r="I30">
        <f>SUM(F30:F35)</f>
        <v>16.324000000000002</v>
      </c>
      <c r="J30">
        <f>H30+I30</f>
        <v>16.324000000000002</v>
      </c>
      <c r="L30">
        <f>H30/J30*100</f>
        <v>0</v>
      </c>
      <c r="M30">
        <f>I30/J30*100</f>
        <v>100</v>
      </c>
      <c r="O30">
        <f>J30/SUM(B30:B35)</f>
        <v>1.0882666666666667</v>
      </c>
      <c r="P30">
        <f>B29*L30*O30/100</f>
        <v>0</v>
      </c>
      <c r="Q30">
        <f>B29*O30*M30/100</f>
        <v>8.7061333333333337</v>
      </c>
      <c r="S30">
        <f>H30+P30</f>
        <v>0</v>
      </c>
      <c r="T30">
        <f>I30+Q30</f>
        <v>25.030133333333335</v>
      </c>
    </row>
    <row r="31" spans="1:27" x14ac:dyDescent="0.3">
      <c r="A31" t="s">
        <v>53</v>
      </c>
      <c r="B31">
        <v>0</v>
      </c>
      <c r="C31">
        <v>1</v>
      </c>
      <c r="D31">
        <v>19</v>
      </c>
      <c r="E31">
        <f t="shared" si="2"/>
        <v>0</v>
      </c>
      <c r="F31">
        <f t="shared" si="3"/>
        <v>0</v>
      </c>
    </row>
    <row r="32" spans="1:27" x14ac:dyDescent="0.3">
      <c r="A32" t="s">
        <v>95</v>
      </c>
      <c r="B32">
        <v>4</v>
      </c>
      <c r="D32">
        <v>0.50600000000000001</v>
      </c>
      <c r="E32">
        <f t="shared" si="2"/>
        <v>0</v>
      </c>
      <c r="F32">
        <f t="shared" si="3"/>
        <v>2.024</v>
      </c>
    </row>
    <row r="33" spans="1:20" x14ac:dyDescent="0.3">
      <c r="A33" t="s">
        <v>54</v>
      </c>
      <c r="B33">
        <v>0</v>
      </c>
      <c r="D33">
        <f>20000/1000</f>
        <v>20</v>
      </c>
      <c r="E33">
        <f t="shared" si="2"/>
        <v>0</v>
      </c>
      <c r="F33">
        <f t="shared" si="3"/>
        <v>0</v>
      </c>
    </row>
    <row r="34" spans="1:20" x14ac:dyDescent="0.3">
      <c r="A34" t="s">
        <v>55</v>
      </c>
      <c r="B34">
        <v>0</v>
      </c>
      <c r="D34">
        <v>1</v>
      </c>
      <c r="E34">
        <f t="shared" si="2"/>
        <v>0</v>
      </c>
      <c r="F34">
        <f t="shared" si="3"/>
        <v>0</v>
      </c>
    </row>
    <row r="35" spans="1:20" x14ac:dyDescent="0.3">
      <c r="A35" t="s">
        <v>96</v>
      </c>
      <c r="B35">
        <v>11</v>
      </c>
      <c r="C35">
        <v>0</v>
      </c>
      <c r="D35">
        <v>1.3</v>
      </c>
      <c r="E35">
        <f t="shared" si="2"/>
        <v>0</v>
      </c>
      <c r="F35">
        <f t="shared" si="3"/>
        <v>14.3</v>
      </c>
    </row>
    <row r="37" spans="1:20" x14ac:dyDescent="0.3">
      <c r="A37" t="s">
        <v>98</v>
      </c>
      <c r="S37">
        <f>SUM(S2:S30)</f>
        <v>22755.082676767674</v>
      </c>
      <c r="T37">
        <f>SUM(T2:T30)</f>
        <v>8489.2358181224008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workbookViewId="0">
      <selection activeCell="E3" sqref="E3"/>
    </sheetView>
  </sheetViews>
  <sheetFormatPr defaultRowHeight="14.4" x14ac:dyDescent="0.3"/>
  <cols>
    <col min="1" max="1" width="15.44140625" customWidth="1"/>
    <col min="2" max="2" width="12.88671875" customWidth="1"/>
    <col min="3" max="3" width="12.77734375" customWidth="1"/>
    <col min="4" max="4" width="11.77734375" customWidth="1"/>
    <col min="5" max="5" width="9" customWidth="1"/>
    <col min="6" max="6" width="8.21875" customWidth="1"/>
    <col min="7" max="7" width="6.21875" customWidth="1"/>
    <col min="8" max="8" width="13.77734375" customWidth="1"/>
    <col min="11" max="11" width="5.21875" customWidth="1"/>
    <col min="14" max="14" width="4.33203125" customWidth="1"/>
    <col min="16" max="16" width="12" bestFit="1" customWidth="1"/>
    <col min="17" max="17" width="11" bestFit="1" customWidth="1"/>
    <col min="18" max="18" width="5.109375" customWidth="1"/>
  </cols>
  <sheetData>
    <row r="1" spans="1:27" ht="57.6" x14ac:dyDescent="0.3">
      <c r="A1" s="2" t="s">
        <v>0</v>
      </c>
      <c r="B1" s="2">
        <v>2014</v>
      </c>
      <c r="C1" s="2" t="s">
        <v>64</v>
      </c>
      <c r="D1" s="2" t="s">
        <v>65</v>
      </c>
      <c r="E1" s="2" t="s">
        <v>66</v>
      </c>
      <c r="F1" s="2" t="s">
        <v>67</v>
      </c>
      <c r="G1" s="1"/>
      <c r="H1" s="3" t="s">
        <v>60</v>
      </c>
      <c r="I1" s="2" t="s">
        <v>59</v>
      </c>
      <c r="J1" s="2" t="s">
        <v>68</v>
      </c>
      <c r="K1" s="1"/>
      <c r="L1" s="3" t="s">
        <v>57</v>
      </c>
      <c r="M1" s="3" t="s">
        <v>58</v>
      </c>
      <c r="O1" s="3" t="s">
        <v>63</v>
      </c>
      <c r="P1" s="3" t="s">
        <v>61</v>
      </c>
      <c r="Q1" s="3" t="s">
        <v>62</v>
      </c>
      <c r="S1" s="3" t="s">
        <v>43</v>
      </c>
      <c r="T1" s="3" t="s">
        <v>44</v>
      </c>
      <c r="V1" s="3" t="s">
        <v>69</v>
      </c>
      <c r="W1" s="3" t="s">
        <v>70</v>
      </c>
      <c r="Y1" s="3" t="s">
        <v>75</v>
      </c>
      <c r="Z1" s="3"/>
      <c r="AA1" s="3"/>
    </row>
    <row r="2" spans="1:27" x14ac:dyDescent="0.3">
      <c r="A2" t="s">
        <v>14</v>
      </c>
      <c r="B2">
        <v>6</v>
      </c>
      <c r="C2">
        <f>184900/1000</f>
        <v>184.9</v>
      </c>
      <c r="D2">
        <f>530000/1000</f>
        <v>530</v>
      </c>
      <c r="E2">
        <f>B2*C2</f>
        <v>1109.4000000000001</v>
      </c>
      <c r="F2">
        <f>B2*D2</f>
        <v>3180</v>
      </c>
      <c r="H2">
        <f>SUM(E2:E9)</f>
        <v>13875.567000000001</v>
      </c>
      <c r="I2">
        <f>SUM(F2:F9)</f>
        <v>6625</v>
      </c>
      <c r="J2">
        <f>H2+I2</f>
        <v>20500.567000000003</v>
      </c>
      <c r="L2">
        <f>H2/J2*100</f>
        <v>67.6838206474972</v>
      </c>
      <c r="M2">
        <f>I2/J2*100</f>
        <v>32.316179352502786</v>
      </c>
      <c r="O2">
        <f>J2/SUM(B2:B9)</f>
        <v>539.48860526315798</v>
      </c>
      <c r="P2">
        <f>B10*O2*L2/100</f>
        <v>365.1465</v>
      </c>
      <c r="Q2">
        <f>B10*O2*M2/100</f>
        <v>174.34210526315789</v>
      </c>
      <c r="S2">
        <f>H2+P2</f>
        <v>14240.713500000002</v>
      </c>
      <c r="T2">
        <f>I2+Q2</f>
        <v>6799.3421052631575</v>
      </c>
      <c r="V2">
        <v>1.28</v>
      </c>
      <c r="W2">
        <v>5</v>
      </c>
      <c r="X2" t="s">
        <v>74</v>
      </c>
      <c r="Y2">
        <v>2.4</v>
      </c>
    </row>
    <row r="3" spans="1:27" x14ac:dyDescent="0.3">
      <c r="A3" t="s">
        <v>17</v>
      </c>
      <c r="B3">
        <v>9</v>
      </c>
      <c r="C3">
        <f>304919/1000</f>
        <v>304.91899999999998</v>
      </c>
      <c r="D3">
        <f>221000/1000</f>
        <v>221</v>
      </c>
      <c r="E3">
        <f>B3*C3</f>
        <v>2744.2709999999997</v>
      </c>
      <c r="F3">
        <f>B3*D3</f>
        <v>1989</v>
      </c>
    </row>
    <row r="4" spans="1:27" x14ac:dyDescent="0.3">
      <c r="A4" t="s">
        <v>10</v>
      </c>
      <c r="B4">
        <v>0</v>
      </c>
      <c r="C4">
        <v>751.4</v>
      </c>
      <c r="E4">
        <f t="shared" ref="E4:E27" si="0">B4*C4</f>
        <v>0</v>
      </c>
      <c r="F4">
        <f t="shared" ref="F4:F27" si="1">B4*D4</f>
        <v>0</v>
      </c>
    </row>
    <row r="5" spans="1:27" x14ac:dyDescent="0.3">
      <c r="A5" t="s">
        <v>20</v>
      </c>
      <c r="B5">
        <v>1</v>
      </c>
      <c r="C5">
        <v>230</v>
      </c>
      <c r="D5">
        <v>400</v>
      </c>
      <c r="E5">
        <f t="shared" si="0"/>
        <v>230</v>
      </c>
      <c r="F5">
        <f t="shared" si="1"/>
        <v>400</v>
      </c>
    </row>
    <row r="6" spans="1:27" x14ac:dyDescent="0.3">
      <c r="A6" t="s">
        <v>24</v>
      </c>
      <c r="B6">
        <v>10</v>
      </c>
      <c r="C6">
        <f>395700/1000</f>
        <v>395.7</v>
      </c>
      <c r="D6">
        <v>0</v>
      </c>
      <c r="E6">
        <f t="shared" si="0"/>
        <v>3957</v>
      </c>
      <c r="F6">
        <f t="shared" si="1"/>
        <v>0</v>
      </c>
    </row>
    <row r="7" spans="1:27" x14ac:dyDescent="0.3">
      <c r="A7" t="s">
        <v>21</v>
      </c>
      <c r="B7">
        <v>0</v>
      </c>
      <c r="C7">
        <f>549000/1000</f>
        <v>549</v>
      </c>
      <c r="D7">
        <v>0</v>
      </c>
      <c r="E7">
        <f t="shared" si="0"/>
        <v>0</v>
      </c>
      <c r="F7">
        <f t="shared" si="1"/>
        <v>0</v>
      </c>
    </row>
    <row r="8" spans="1:27" x14ac:dyDescent="0.3">
      <c r="A8" t="s">
        <v>50</v>
      </c>
      <c r="B8">
        <v>4</v>
      </c>
      <c r="C8">
        <f>194400/1000</f>
        <v>194.4</v>
      </c>
      <c r="D8">
        <f>264000/1000</f>
        <v>264</v>
      </c>
      <c r="E8">
        <f>B8*C8</f>
        <v>777.6</v>
      </c>
      <c r="F8">
        <f>B8*D8</f>
        <v>1056</v>
      </c>
    </row>
    <row r="9" spans="1:27" x14ac:dyDescent="0.3">
      <c r="A9" t="s">
        <v>22</v>
      </c>
      <c r="B9">
        <v>8</v>
      </c>
      <c r="C9">
        <f>632162/1000</f>
        <v>632.16200000000003</v>
      </c>
      <c r="D9">
        <v>0</v>
      </c>
      <c r="E9">
        <f t="shared" si="0"/>
        <v>5057.2960000000003</v>
      </c>
      <c r="F9">
        <f t="shared" si="1"/>
        <v>0</v>
      </c>
    </row>
    <row r="10" spans="1:27" x14ac:dyDescent="0.3">
      <c r="A10" t="s">
        <v>45</v>
      </c>
      <c r="B10">
        <v>1</v>
      </c>
      <c r="E10">
        <f t="shared" si="0"/>
        <v>0</v>
      </c>
      <c r="F10">
        <f t="shared" si="1"/>
        <v>0</v>
      </c>
    </row>
    <row r="12" spans="1:27" x14ac:dyDescent="0.3">
      <c r="A12" t="s">
        <v>45</v>
      </c>
      <c r="B12">
        <v>0</v>
      </c>
      <c r="E12">
        <f t="shared" si="0"/>
        <v>0</v>
      </c>
      <c r="F12">
        <f t="shared" si="1"/>
        <v>0</v>
      </c>
    </row>
    <row r="13" spans="1:27" x14ac:dyDescent="0.3">
      <c r="A13" t="s">
        <v>93</v>
      </c>
      <c r="B13">
        <v>3</v>
      </c>
      <c r="C13">
        <v>254.815</v>
      </c>
      <c r="E13">
        <f t="shared" si="0"/>
        <v>764.44499999999994</v>
      </c>
      <c r="F13">
        <f t="shared" si="1"/>
        <v>0</v>
      </c>
    </row>
    <row r="14" spans="1:27" x14ac:dyDescent="0.3">
      <c r="A14" t="s">
        <v>46</v>
      </c>
      <c r="B14">
        <v>9</v>
      </c>
      <c r="C14">
        <f>178000/1000</f>
        <v>178</v>
      </c>
      <c r="D14">
        <v>0</v>
      </c>
      <c r="E14">
        <f t="shared" si="0"/>
        <v>1602</v>
      </c>
      <c r="F14">
        <f t="shared" si="1"/>
        <v>0</v>
      </c>
      <c r="H14">
        <f>SUM(E13:E21)</f>
        <v>11699.302999999998</v>
      </c>
      <c r="I14">
        <f>SUM(F13:F21)</f>
        <v>1427</v>
      </c>
      <c r="J14">
        <f>H14+I14</f>
        <v>13126.302999999998</v>
      </c>
      <c r="L14">
        <f>H14/J14*100</f>
        <v>89.128698309036452</v>
      </c>
      <c r="M14">
        <f>I14/J14*100</f>
        <v>10.871301690963557</v>
      </c>
      <c r="O14">
        <f>J14/SUM(B13:B21)</f>
        <v>257.37849019607842</v>
      </c>
      <c r="P14">
        <f>B12*O14*L14/100</f>
        <v>0</v>
      </c>
      <c r="Q14">
        <f>B12*M14*O14/100</f>
        <v>0</v>
      </c>
      <c r="S14">
        <f>H14+P14</f>
        <v>11699.302999999998</v>
      </c>
      <c r="T14">
        <f>I14+Q14</f>
        <v>1427</v>
      </c>
    </row>
    <row r="15" spans="1:27" x14ac:dyDescent="0.3">
      <c r="A15" t="s">
        <v>47</v>
      </c>
      <c r="B15">
        <v>2</v>
      </c>
      <c r="C15">
        <f>188264/1000</f>
        <v>188.26400000000001</v>
      </c>
      <c r="D15">
        <v>0</v>
      </c>
      <c r="E15">
        <f t="shared" si="0"/>
        <v>376.52800000000002</v>
      </c>
      <c r="F15">
        <f t="shared" si="1"/>
        <v>0</v>
      </c>
    </row>
    <row r="16" spans="1:27" x14ac:dyDescent="0.3">
      <c r="A16" t="s">
        <v>48</v>
      </c>
      <c r="B16">
        <v>7</v>
      </c>
      <c r="C16">
        <f>246750/1000</f>
        <v>246.75</v>
      </c>
      <c r="D16">
        <v>0</v>
      </c>
      <c r="E16">
        <f t="shared" si="0"/>
        <v>1727.25</v>
      </c>
      <c r="F16">
        <f t="shared" si="1"/>
        <v>0</v>
      </c>
    </row>
    <row r="17" spans="1:27" x14ac:dyDescent="0.3">
      <c r="A17" t="s">
        <v>49</v>
      </c>
      <c r="B17">
        <v>3</v>
      </c>
      <c r="C17">
        <f>235000/1000</f>
        <v>235</v>
      </c>
      <c r="D17">
        <f>120000/1000</f>
        <v>120</v>
      </c>
      <c r="E17">
        <f t="shared" si="0"/>
        <v>705</v>
      </c>
      <c r="F17">
        <f t="shared" si="1"/>
        <v>360</v>
      </c>
    </row>
    <row r="18" spans="1:27" x14ac:dyDescent="0.3">
      <c r="A18" t="s">
        <v>94</v>
      </c>
      <c r="B18">
        <v>2</v>
      </c>
      <c r="C18">
        <f>144000/1000</f>
        <v>144</v>
      </c>
      <c r="D18">
        <f>205000/1000</f>
        <v>205</v>
      </c>
      <c r="E18">
        <f t="shared" si="0"/>
        <v>288</v>
      </c>
      <c r="F18">
        <f t="shared" si="1"/>
        <v>410</v>
      </c>
      <c r="W18" t="s">
        <v>14</v>
      </c>
    </row>
    <row r="19" spans="1:27" x14ac:dyDescent="0.3">
      <c r="A19" t="s">
        <v>51</v>
      </c>
      <c r="B19">
        <v>3</v>
      </c>
      <c r="C19">
        <f>44500/1000</f>
        <v>44.5</v>
      </c>
      <c r="D19">
        <f>219000/1000</f>
        <v>219</v>
      </c>
      <c r="E19">
        <f t="shared" si="0"/>
        <v>133.5</v>
      </c>
      <c r="F19">
        <f t="shared" si="1"/>
        <v>657</v>
      </c>
      <c r="W19" t="s">
        <v>71</v>
      </c>
      <c r="X19">
        <v>1</v>
      </c>
      <c r="Y19">
        <f>0.6*2+0.2*0.4</f>
        <v>1.28</v>
      </c>
      <c r="AA19" t="s">
        <v>73</v>
      </c>
    </row>
    <row r="20" spans="1:27" x14ac:dyDescent="0.3">
      <c r="A20" t="s">
        <v>25</v>
      </c>
      <c r="B20">
        <v>18</v>
      </c>
      <c r="C20">
        <f>277390/1000</f>
        <v>277.39</v>
      </c>
      <c r="D20">
        <v>0</v>
      </c>
      <c r="E20">
        <f>B20*C20</f>
        <v>4993.0199999999995</v>
      </c>
      <c r="F20">
        <f>B20*D20</f>
        <v>0</v>
      </c>
      <c r="W20" t="s">
        <v>72</v>
      </c>
      <c r="X20">
        <v>0.2</v>
      </c>
    </row>
    <row r="21" spans="1:27" x14ac:dyDescent="0.3">
      <c r="A21" t="s">
        <v>32</v>
      </c>
      <c r="B21">
        <v>4</v>
      </c>
      <c r="C21">
        <f>277390/1000</f>
        <v>277.39</v>
      </c>
      <c r="D21">
        <v>0</v>
      </c>
      <c r="E21">
        <f t="shared" si="0"/>
        <v>1109.56</v>
      </c>
      <c r="F21">
        <f t="shared" si="1"/>
        <v>0</v>
      </c>
    </row>
    <row r="23" spans="1:27" x14ac:dyDescent="0.3">
      <c r="A23" t="s">
        <v>45</v>
      </c>
      <c r="B23">
        <v>3</v>
      </c>
      <c r="E23">
        <f t="shared" si="0"/>
        <v>0</v>
      </c>
      <c r="F23">
        <f t="shared" si="1"/>
        <v>0</v>
      </c>
    </row>
    <row r="24" spans="1:27" x14ac:dyDescent="0.3">
      <c r="A24" t="s">
        <v>39</v>
      </c>
      <c r="B24">
        <v>9</v>
      </c>
      <c r="C24">
        <v>0</v>
      </c>
      <c r="D24">
        <f>2200/1000</f>
        <v>2.2000000000000002</v>
      </c>
      <c r="E24">
        <f t="shared" si="0"/>
        <v>0</v>
      </c>
      <c r="F24">
        <f t="shared" si="1"/>
        <v>19.8</v>
      </c>
      <c r="H24">
        <f>SUM(E24:E27)</f>
        <v>174.26</v>
      </c>
      <c r="I24">
        <f>SUM(F24:F27)</f>
        <v>145.215</v>
      </c>
      <c r="J24">
        <f>H24+I24</f>
        <v>319.47500000000002</v>
      </c>
      <c r="L24">
        <f>H24/J24*100</f>
        <v>54.545739103216206</v>
      </c>
      <c r="M24">
        <f>I24/J24*100</f>
        <v>45.454260896783779</v>
      </c>
      <c r="O24">
        <f>J24/SUM(B24:B27)</f>
        <v>26.622916666666669</v>
      </c>
      <c r="P24">
        <f>B23*L24*O24/100</f>
        <v>43.564999999999998</v>
      </c>
      <c r="Q24">
        <f>B23*M24*O24/100</f>
        <v>36.303749999999994</v>
      </c>
      <c r="S24">
        <f>H24+P24</f>
        <v>217.82499999999999</v>
      </c>
      <c r="T24">
        <f>I24+Q24</f>
        <v>181.51875000000001</v>
      </c>
    </row>
    <row r="25" spans="1:27" x14ac:dyDescent="0.3">
      <c r="A25" t="s">
        <v>52</v>
      </c>
      <c r="B25">
        <v>0</v>
      </c>
      <c r="C25">
        <v>0</v>
      </c>
      <c r="D25">
        <f>35000/1000</f>
        <v>35</v>
      </c>
      <c r="E25">
        <f t="shared" si="0"/>
        <v>0</v>
      </c>
      <c r="F25">
        <f t="shared" si="1"/>
        <v>0</v>
      </c>
    </row>
    <row r="26" spans="1:27" x14ac:dyDescent="0.3">
      <c r="A26" t="s">
        <v>34</v>
      </c>
      <c r="B26">
        <v>2</v>
      </c>
      <c r="C26">
        <f>87130/1000</f>
        <v>87.13</v>
      </c>
      <c r="D26">
        <v>0</v>
      </c>
      <c r="E26">
        <f t="shared" si="0"/>
        <v>174.26</v>
      </c>
      <c r="F26">
        <f t="shared" si="1"/>
        <v>0</v>
      </c>
    </row>
    <row r="27" spans="1:27" x14ac:dyDescent="0.3">
      <c r="A27" t="s">
        <v>33</v>
      </c>
      <c r="B27">
        <v>1</v>
      </c>
      <c r="C27">
        <v>0</v>
      </c>
      <c r="D27">
        <f>125415/1000</f>
        <v>125.41500000000001</v>
      </c>
      <c r="E27">
        <f t="shared" si="0"/>
        <v>0</v>
      </c>
      <c r="F27">
        <f t="shared" si="1"/>
        <v>125.41500000000001</v>
      </c>
    </row>
    <row r="29" spans="1:27" x14ac:dyDescent="0.3">
      <c r="A29" t="s">
        <v>45</v>
      </c>
      <c r="B29">
        <v>3</v>
      </c>
      <c r="E29">
        <f t="shared" ref="E29:E35" si="2">B29*C29</f>
        <v>0</v>
      </c>
      <c r="F29">
        <f t="shared" ref="F29:F35" si="3">B29*D29</f>
        <v>0</v>
      </c>
    </row>
    <row r="30" spans="1:27" x14ac:dyDescent="0.3">
      <c r="A30" t="s">
        <v>36</v>
      </c>
      <c r="B30">
        <v>0</v>
      </c>
      <c r="C30">
        <f>11300/1000</f>
        <v>11.3</v>
      </c>
      <c r="D30">
        <v>0</v>
      </c>
      <c r="E30">
        <f t="shared" si="2"/>
        <v>0</v>
      </c>
      <c r="F30">
        <f t="shared" si="3"/>
        <v>0</v>
      </c>
      <c r="H30">
        <f>SUM(E30:E35)</f>
        <v>1</v>
      </c>
      <c r="I30">
        <f>SUM(F30:F35)</f>
        <v>32.218000000000004</v>
      </c>
      <c r="J30">
        <f>H30+I30</f>
        <v>33.218000000000004</v>
      </c>
      <c r="L30">
        <f>H30/J30*100</f>
        <v>3.0104160394966581</v>
      </c>
      <c r="M30">
        <f>I30/J30*100</f>
        <v>96.989583960503339</v>
      </c>
      <c r="O30">
        <f>J30/SUM(B30:B35)</f>
        <v>2.5552307692307696</v>
      </c>
      <c r="P30">
        <f>B29*L30*O30/100</f>
        <v>0.23076923076923081</v>
      </c>
      <c r="Q30">
        <f>B29*O30*M30/100</f>
        <v>7.4349230769230781</v>
      </c>
      <c r="S30">
        <f>H30+P30</f>
        <v>1.2307692307692308</v>
      </c>
      <c r="T30">
        <f>I30+Q30</f>
        <v>39.652923076923081</v>
      </c>
    </row>
    <row r="31" spans="1:27" x14ac:dyDescent="0.3">
      <c r="A31" t="s">
        <v>53</v>
      </c>
      <c r="B31">
        <v>1</v>
      </c>
      <c r="C31">
        <v>1</v>
      </c>
      <c r="D31">
        <v>19</v>
      </c>
      <c r="E31">
        <f t="shared" si="2"/>
        <v>1</v>
      </c>
      <c r="F31">
        <f t="shared" si="3"/>
        <v>19</v>
      </c>
    </row>
    <row r="32" spans="1:27" x14ac:dyDescent="0.3">
      <c r="A32" t="s">
        <v>95</v>
      </c>
      <c r="B32">
        <v>3</v>
      </c>
      <c r="D32">
        <v>0.50600000000000001</v>
      </c>
      <c r="E32">
        <f t="shared" si="2"/>
        <v>0</v>
      </c>
      <c r="F32">
        <f t="shared" si="3"/>
        <v>1.518</v>
      </c>
    </row>
    <row r="33" spans="1:20" x14ac:dyDescent="0.3">
      <c r="A33" t="s">
        <v>54</v>
      </c>
      <c r="B33">
        <v>0</v>
      </c>
      <c r="D33">
        <f>20000/1000</f>
        <v>20</v>
      </c>
      <c r="E33">
        <f t="shared" si="2"/>
        <v>0</v>
      </c>
      <c r="F33">
        <f t="shared" si="3"/>
        <v>0</v>
      </c>
    </row>
    <row r="34" spans="1:20" x14ac:dyDescent="0.3">
      <c r="A34" t="s">
        <v>55</v>
      </c>
      <c r="B34">
        <v>0</v>
      </c>
      <c r="D34">
        <v>1</v>
      </c>
      <c r="E34">
        <f t="shared" si="2"/>
        <v>0</v>
      </c>
      <c r="F34">
        <f t="shared" si="3"/>
        <v>0</v>
      </c>
    </row>
    <row r="35" spans="1:20" x14ac:dyDescent="0.3">
      <c r="A35" t="s">
        <v>96</v>
      </c>
      <c r="B35">
        <v>9</v>
      </c>
      <c r="C35">
        <v>0</v>
      </c>
      <c r="D35">
        <v>1.3</v>
      </c>
      <c r="E35">
        <f t="shared" si="2"/>
        <v>0</v>
      </c>
      <c r="F35">
        <f t="shared" si="3"/>
        <v>11.700000000000001</v>
      </c>
    </row>
    <row r="37" spans="1:20" x14ac:dyDescent="0.3">
      <c r="A37" t="s">
        <v>98</v>
      </c>
      <c r="S37">
        <f>SUM(S2:S30)</f>
        <v>26159.072269230768</v>
      </c>
      <c r="T37">
        <f>SUM(T2:T30)</f>
        <v>8447.5137783400787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L30" sqref="L30"/>
    </sheetView>
  </sheetViews>
  <sheetFormatPr defaultRowHeight="14.4" x14ac:dyDescent="0.3"/>
  <sheetData>
    <row r="1" spans="1:2" x14ac:dyDescent="0.3">
      <c r="A1" t="s">
        <v>83</v>
      </c>
      <c r="B1" t="s">
        <v>89</v>
      </c>
    </row>
    <row r="2" spans="1:2" x14ac:dyDescent="0.3">
      <c r="A2" t="s">
        <v>76</v>
      </c>
      <c r="B2">
        <f>'2019'!S2+'2019'!T2</f>
        <v>15426.65525925926</v>
      </c>
    </row>
    <row r="3" spans="1:2" x14ac:dyDescent="0.3">
      <c r="A3" t="s">
        <v>77</v>
      </c>
      <c r="B3">
        <f>'2019'!S14+'2019'!T14</f>
        <v>12221.568000000001</v>
      </c>
    </row>
    <row r="4" spans="1:2" x14ac:dyDescent="0.3">
      <c r="A4" t="s">
        <v>78</v>
      </c>
      <c r="B4" s="4">
        <f>'2019'!S24+'2019'!T24</f>
        <v>702.93473684210528</v>
      </c>
    </row>
    <row r="5" spans="1:2" x14ac:dyDescent="0.3">
      <c r="A5" t="s">
        <v>79</v>
      </c>
      <c r="B5" s="4">
        <f>'2019'!S30+'2019'!T30</f>
        <v>241.18023529411764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3" workbookViewId="0">
      <selection activeCell="H18" sqref="H18"/>
    </sheetView>
  </sheetViews>
  <sheetFormatPr defaultRowHeight="14.4" x14ac:dyDescent="0.3"/>
  <sheetData>
    <row r="1" spans="1:2" x14ac:dyDescent="0.3">
      <c r="A1" t="s">
        <v>83</v>
      </c>
      <c r="B1" t="s">
        <v>89</v>
      </c>
    </row>
    <row r="2" spans="1:2" x14ac:dyDescent="0.3">
      <c r="A2" t="s">
        <v>76</v>
      </c>
      <c r="B2">
        <f>'2020'!S2+'2020'!T2+'2019'!S2+'2019'!T2+'2018'!T2+'2018'!S2+'2017'!T2+'2017'!S2+'2016'!T2+'2016'!S2+'2015'!T2+'2015'!S2+'2014'!T2+'2014'!S2</f>
        <v>126414.7446072607</v>
      </c>
    </row>
    <row r="3" spans="1:2" x14ac:dyDescent="0.3">
      <c r="A3" t="s">
        <v>77</v>
      </c>
      <c r="B3">
        <f>'2020'!S14+'2020'!T14+'2019'!S14+'2019'!T14+'2018'!T14+'2018'!S14+'2017'!T14+'2017'!S14+'2016'!T14+'2016'!S14+'2015'!T14+'2015'!S14+'2014'!T14+'2014'!S14</f>
        <v>77124.654115151512</v>
      </c>
    </row>
    <row r="4" spans="1:2" x14ac:dyDescent="0.3">
      <c r="A4" t="s">
        <v>78</v>
      </c>
      <c r="B4">
        <f>'2020'!S24+'2020'!T24+'2019'!S24+'2019'!T24+'2018'!T24+'2018'!S24+'2017'!T24+'2017'!S24+'2016'!T24+'2016'!S24+'2015'!T24+'2015'!S24+'2014'!T24+'2014'!S24</f>
        <v>4685.0290622389302</v>
      </c>
    </row>
    <row r="5" spans="1:2" x14ac:dyDescent="0.3">
      <c r="A5" t="s">
        <v>79</v>
      </c>
      <c r="B5">
        <f>'2020'!S30+'2020'!T30+'2019'!S30+'2019'!T30+'2018'!T30+'2018'!S30+'2017'!T30+'2017'!S30+'2016'!T30+'2016'!S30+'2015'!T30+'2015'!S30+'2014'!T30+'2014'!S30</f>
        <v>674.91376789485037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8" sqref="H18"/>
    </sheetView>
  </sheetViews>
  <sheetFormatPr defaultRowHeight="14.4" x14ac:dyDescent="0.3"/>
  <sheetData>
    <row r="1" spans="1:5" x14ac:dyDescent="0.3">
      <c r="A1" t="s">
        <v>83</v>
      </c>
      <c r="B1" t="s">
        <v>84</v>
      </c>
      <c r="C1" t="s">
        <v>85</v>
      </c>
      <c r="D1" t="s">
        <v>86</v>
      </c>
      <c r="E1" t="s">
        <v>87</v>
      </c>
    </row>
    <row r="2" spans="1:5" x14ac:dyDescent="0.3">
      <c r="A2" t="s">
        <v>42</v>
      </c>
      <c r="B2">
        <f>'20202014'!T2</f>
        <v>39441.409090909088</v>
      </c>
      <c r="C2">
        <f>'20202014'!T14</f>
        <v>9022.6527331189718</v>
      </c>
      <c r="D2">
        <f>'20202014'!T24</f>
        <v>3142.4991089108917</v>
      </c>
      <c r="E2">
        <f>'20202014'!T30</f>
        <v>554.74959223300971</v>
      </c>
    </row>
    <row r="3" spans="1:5" x14ac:dyDescent="0.3">
      <c r="A3" t="s">
        <v>41</v>
      </c>
      <c r="B3">
        <f>'20202014'!S2</f>
        <v>89349.431954545449</v>
      </c>
      <c r="C3">
        <f>'20202014'!S14</f>
        <v>67379.782742765281</v>
      </c>
      <c r="D3">
        <f>'20202014'!S24</f>
        <v>1338.0062376237624</v>
      </c>
      <c r="E3">
        <f>'20202014'!S30</f>
        <v>259.43106796116507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2" sqref="B2"/>
    </sheetView>
  </sheetViews>
  <sheetFormatPr defaultRowHeight="14.4" x14ac:dyDescent="0.3"/>
  <sheetData>
    <row r="1" spans="1:5" x14ac:dyDescent="0.3">
      <c r="A1" t="s">
        <v>83</v>
      </c>
      <c r="B1" t="s">
        <v>84</v>
      </c>
      <c r="C1" t="s">
        <v>85</v>
      </c>
      <c r="D1" t="s">
        <v>86</v>
      </c>
      <c r="E1" t="s">
        <v>87</v>
      </c>
    </row>
    <row r="2" spans="1:5" x14ac:dyDescent="0.3">
      <c r="A2" t="s">
        <v>42</v>
      </c>
      <c r="B2">
        <f>'2019'!T2</f>
        <v>3464.962962962963</v>
      </c>
      <c r="C2">
        <f>'2019'!T14</f>
        <v>1540</v>
      </c>
      <c r="D2">
        <f>'2019'!T24</f>
        <v>482.81684210526316</v>
      </c>
      <c r="E2">
        <f>'2019'!T30</f>
        <v>138.40376470588234</v>
      </c>
    </row>
    <row r="3" spans="1:5" x14ac:dyDescent="0.3">
      <c r="A3" t="s">
        <v>41</v>
      </c>
      <c r="B3">
        <f>'2019'!S2</f>
        <v>11961.692296296296</v>
      </c>
      <c r="C3">
        <f>'2019'!S14</f>
        <v>10681.568000000001</v>
      </c>
      <c r="D3">
        <f>'2019'!S24</f>
        <v>220.11789473684209</v>
      </c>
      <c r="E3">
        <f>'2019'!S30</f>
        <v>102.7764705882353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4" sqref="G4"/>
    </sheetView>
  </sheetViews>
  <sheetFormatPr defaultRowHeight="14.4" x14ac:dyDescent="0.3"/>
  <cols>
    <col min="1" max="1" width="9.77734375" bestFit="1" customWidth="1"/>
  </cols>
  <sheetData>
    <row r="1" spans="1:2" x14ac:dyDescent="0.3">
      <c r="A1" t="s">
        <v>83</v>
      </c>
      <c r="B1" t="s">
        <v>88</v>
      </c>
    </row>
    <row r="2" spans="1:2" x14ac:dyDescent="0.3">
      <c r="A2" t="s">
        <v>81</v>
      </c>
      <c r="B2">
        <f>SUM('Total mass per seg 2'!B2:E2)/(SUM('Total mass per seg 2'!B2:E2)+SUM('Total mass per seg 2'!B3:E3))</f>
        <v>0.19677241938878379</v>
      </c>
    </row>
    <row r="3" spans="1:2" x14ac:dyDescent="0.3">
      <c r="A3" t="s">
        <v>80</v>
      </c>
      <c r="B3">
        <f>SUM('Total mass per seg 2'!B3:E3)/(SUM('Total mass per seg 2'!B2:E2)+SUM('Total mass per seg 2'!B3:E3))</f>
        <v>0.80322758061121624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83</v>
      </c>
      <c r="B1" t="s">
        <v>88</v>
      </c>
    </row>
    <row r="2" spans="1:2" x14ac:dyDescent="0.3">
      <c r="A2" t="s">
        <v>81</v>
      </c>
      <c r="B2">
        <f>SUM('Total mass per seg 2 2014-2020'!B2:E2)/(SUM('Total mass per seg 2 2014-2020'!B2:E2)+SUM('Total mass per seg 2 2014-2020'!B3:E3))</f>
        <v>0.24781137077240931</v>
      </c>
    </row>
    <row r="3" spans="1:2" x14ac:dyDescent="0.3">
      <c r="A3" t="s">
        <v>80</v>
      </c>
      <c r="B3">
        <f>SUM('Total mass per seg 2 2014-2020'!B3:E3)/(SUM('Total mass per seg 2 2014-2020'!B2:E2)+SUM('Total mass per seg 2 2014-2020'!B3:E3))</f>
        <v>0.75218862922759067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F28" sqref="F28"/>
    </sheetView>
  </sheetViews>
  <sheetFormatPr defaultRowHeight="14.4" x14ac:dyDescent="0.3"/>
  <cols>
    <col min="1" max="1" width="11.6640625" bestFit="1" customWidth="1"/>
    <col min="2" max="2" width="11" bestFit="1" customWidth="1"/>
    <col min="4" max="5" width="11" bestFit="1" customWidth="1"/>
  </cols>
  <sheetData>
    <row r="1" spans="1:4" x14ac:dyDescent="0.3">
      <c r="A1" t="s">
        <v>90</v>
      </c>
      <c r="B1" t="s">
        <v>83</v>
      </c>
      <c r="C1" t="s">
        <v>89</v>
      </c>
      <c r="D1" t="s">
        <v>91</v>
      </c>
    </row>
    <row r="2" spans="1:4" x14ac:dyDescent="0.3">
      <c r="A2">
        <v>2014</v>
      </c>
      <c r="B2" t="s">
        <v>41</v>
      </c>
      <c r="C2">
        <f>'2014'!$S$37</f>
        <v>26159.072269230768</v>
      </c>
      <c r="D2">
        <f>C2*1.6*1000</f>
        <v>41854515.63076923</v>
      </c>
    </row>
    <row r="3" spans="1:4" x14ac:dyDescent="0.3">
      <c r="A3">
        <v>2015</v>
      </c>
      <c r="B3" t="s">
        <v>41</v>
      </c>
      <c r="C3">
        <f>'2015'!$S$37</f>
        <v>22755.082676767674</v>
      </c>
      <c r="D3">
        <f t="shared" ref="D3:D18" si="0">C3*1.6*1000</f>
        <v>36408132.282828279</v>
      </c>
    </row>
    <row r="4" spans="1:4" x14ac:dyDescent="0.3">
      <c r="A4">
        <v>2016</v>
      </c>
      <c r="B4" t="s">
        <v>41</v>
      </c>
      <c r="C4">
        <f>'2016'!$S$37</f>
        <v>20190.414000000004</v>
      </c>
      <c r="D4">
        <f t="shared" si="0"/>
        <v>32304662.40000001</v>
      </c>
    </row>
    <row r="5" spans="1:4" x14ac:dyDescent="0.3">
      <c r="A5">
        <v>2017</v>
      </c>
      <c r="B5" t="s">
        <v>41</v>
      </c>
      <c r="C5">
        <f>'2017'!$S$37</f>
        <v>21782.011999999999</v>
      </c>
      <c r="D5">
        <f t="shared" si="0"/>
        <v>34851219.200000003</v>
      </c>
    </row>
    <row r="6" spans="1:4" x14ac:dyDescent="0.3">
      <c r="A6">
        <v>2018</v>
      </c>
      <c r="B6" t="s">
        <v>41</v>
      </c>
      <c r="C6">
        <f>'2018'!$S$37</f>
        <v>26279.635623809525</v>
      </c>
      <c r="D6">
        <f t="shared" si="0"/>
        <v>42047416.998095244</v>
      </c>
    </row>
    <row r="7" spans="1:4" x14ac:dyDescent="0.3">
      <c r="A7">
        <v>2019</v>
      </c>
      <c r="B7" t="s">
        <v>41</v>
      </c>
      <c r="C7">
        <f>'2019'!$S$37</f>
        <v>22966.154661621378</v>
      </c>
      <c r="D7">
        <f t="shared" si="0"/>
        <v>36745847.45859421</v>
      </c>
    </row>
    <row r="8" spans="1:4" x14ac:dyDescent="0.3">
      <c r="A8">
        <v>2020</v>
      </c>
      <c r="B8" t="s">
        <v>41</v>
      </c>
      <c r="C8">
        <f>'2020'!$S$37</f>
        <v>16906.452000000001</v>
      </c>
      <c r="D8">
        <f t="shared" si="0"/>
        <v>27050323.200000003</v>
      </c>
    </row>
    <row r="9" spans="1:4" x14ac:dyDescent="0.3">
      <c r="A9">
        <v>2021</v>
      </c>
      <c r="B9" t="s">
        <v>41</v>
      </c>
      <c r="C9">
        <f>C7*1.1</f>
        <v>25262.770127783519</v>
      </c>
      <c r="D9">
        <f t="shared" si="0"/>
        <v>40420432.204453632</v>
      </c>
    </row>
    <row r="10" spans="1:4" x14ac:dyDescent="0.3">
      <c r="A10">
        <v>2022</v>
      </c>
      <c r="B10" t="s">
        <v>41</v>
      </c>
      <c r="C10">
        <f>C9*1.1</f>
        <v>27789.047140561874</v>
      </c>
      <c r="D10">
        <f t="shared" si="0"/>
        <v>44462475.424898997</v>
      </c>
    </row>
    <row r="11" spans="1:4" x14ac:dyDescent="0.3">
      <c r="A11">
        <v>2023</v>
      </c>
      <c r="B11" t="s">
        <v>41</v>
      </c>
      <c r="C11">
        <f>C10*1.1</f>
        <v>30567.951854618062</v>
      </c>
      <c r="D11">
        <f t="shared" si="0"/>
        <v>48908722.967388898</v>
      </c>
    </row>
    <row r="12" spans="1:4" x14ac:dyDescent="0.3">
      <c r="A12">
        <v>2024</v>
      </c>
      <c r="B12" t="s">
        <v>41</v>
      </c>
      <c r="C12">
        <f t="shared" ref="C12:C18" si="1">C11*1.1</f>
        <v>33624.74704007987</v>
      </c>
      <c r="D12">
        <f t="shared" si="0"/>
        <v>53799595.264127798</v>
      </c>
    </row>
    <row r="13" spans="1:4" x14ac:dyDescent="0.3">
      <c r="A13">
        <v>2025</v>
      </c>
      <c r="B13" t="s">
        <v>41</v>
      </c>
      <c r="C13">
        <f t="shared" si="1"/>
        <v>36987.221744087859</v>
      </c>
      <c r="D13">
        <f t="shared" si="0"/>
        <v>59179554.790540576</v>
      </c>
    </row>
    <row r="14" spans="1:4" x14ac:dyDescent="0.3">
      <c r="A14">
        <v>2026</v>
      </c>
      <c r="B14" t="s">
        <v>41</v>
      </c>
      <c r="C14">
        <f t="shared" si="1"/>
        <v>40685.943918496647</v>
      </c>
      <c r="D14">
        <f t="shared" si="0"/>
        <v>65097510.26959464</v>
      </c>
    </row>
    <row r="15" spans="1:4" x14ac:dyDescent="0.3">
      <c r="A15">
        <v>2027</v>
      </c>
      <c r="B15" t="s">
        <v>41</v>
      </c>
      <c r="C15">
        <f t="shared" si="1"/>
        <v>44754.538310346317</v>
      </c>
      <c r="D15">
        <f t="shared" si="0"/>
        <v>71607261.296554103</v>
      </c>
    </row>
    <row r="16" spans="1:4" x14ac:dyDescent="0.3">
      <c r="A16">
        <v>2028</v>
      </c>
      <c r="B16" t="s">
        <v>41</v>
      </c>
      <c r="C16">
        <f t="shared" si="1"/>
        <v>49229.99214138095</v>
      </c>
      <c r="D16">
        <f t="shared" si="0"/>
        <v>78767987.426209524</v>
      </c>
    </row>
    <row r="17" spans="1:4" x14ac:dyDescent="0.3">
      <c r="A17">
        <v>2029</v>
      </c>
      <c r="B17" t="s">
        <v>41</v>
      </c>
      <c r="C17">
        <f t="shared" si="1"/>
        <v>54152.991355519051</v>
      </c>
      <c r="D17">
        <f t="shared" si="0"/>
        <v>86644786.168830484</v>
      </c>
    </row>
    <row r="18" spans="1:4" x14ac:dyDescent="0.3">
      <c r="A18">
        <v>2030</v>
      </c>
      <c r="B18" t="s">
        <v>41</v>
      </c>
      <c r="C18">
        <f t="shared" si="1"/>
        <v>59568.290491070962</v>
      </c>
      <c r="D18">
        <f t="shared" si="0"/>
        <v>95309264.785713539</v>
      </c>
    </row>
    <row r="19" spans="1:4" x14ac:dyDescent="0.3">
      <c r="A19">
        <v>2014</v>
      </c>
      <c r="B19" t="s">
        <v>42</v>
      </c>
      <c r="C19">
        <f>'2014'!$T$37</f>
        <v>8447.5137783400787</v>
      </c>
      <c r="D19">
        <f>C19*5*1000</f>
        <v>42237568.891700394</v>
      </c>
    </row>
    <row r="20" spans="1:4" x14ac:dyDescent="0.3">
      <c r="A20">
        <v>2015</v>
      </c>
      <c r="B20" t="s">
        <v>42</v>
      </c>
      <c r="C20">
        <f>'2015'!$T$37</f>
        <v>8489.2358181224008</v>
      </c>
      <c r="D20">
        <f t="shared" ref="D20:D25" si="2">C20*5*1000</f>
        <v>42446179.090612002</v>
      </c>
    </row>
    <row r="21" spans="1:4" x14ac:dyDescent="0.3">
      <c r="A21">
        <v>2016</v>
      </c>
      <c r="B21" t="s">
        <v>42</v>
      </c>
      <c r="C21">
        <f>'2016'!$T$37</f>
        <v>9017.6043279569894</v>
      </c>
      <c r="D21">
        <f t="shared" si="2"/>
        <v>45088021.639784947</v>
      </c>
    </row>
    <row r="22" spans="1:4" x14ac:dyDescent="0.3">
      <c r="A22">
        <v>2017</v>
      </c>
      <c r="B22" t="s">
        <v>42</v>
      </c>
      <c r="C22">
        <f>'2017'!$T$37</f>
        <v>7883.9920769230757</v>
      </c>
      <c r="D22">
        <f t="shared" si="2"/>
        <v>39419960.384615377</v>
      </c>
    </row>
    <row r="23" spans="1:4" x14ac:dyDescent="0.3">
      <c r="A23">
        <v>2018</v>
      </c>
      <c r="B23" t="s">
        <v>42</v>
      </c>
      <c r="C23">
        <f>'2018'!$T$37</f>
        <v>7963.7033333333338</v>
      </c>
      <c r="D23">
        <f t="shared" si="2"/>
        <v>39818516.666666672</v>
      </c>
    </row>
    <row r="24" spans="1:4" x14ac:dyDescent="0.3">
      <c r="A24">
        <v>2019</v>
      </c>
      <c r="B24" t="s">
        <v>42</v>
      </c>
      <c r="C24">
        <f>'2019'!$T$37</f>
        <v>5626.1835697741089</v>
      </c>
      <c r="D24">
        <f t="shared" si="2"/>
        <v>28130917.848870546</v>
      </c>
    </row>
    <row r="25" spans="1:4" x14ac:dyDescent="0.3">
      <c r="A25">
        <v>2020</v>
      </c>
      <c r="B25" t="s">
        <v>42</v>
      </c>
      <c r="C25">
        <f>'2020'!$T$37</f>
        <v>4432.2854166666666</v>
      </c>
      <c r="D25">
        <f t="shared" si="2"/>
        <v>22161427.083333332</v>
      </c>
    </row>
    <row r="26" spans="1:4" x14ac:dyDescent="0.3">
      <c r="A26">
        <v>2021</v>
      </c>
      <c r="B26" t="s">
        <v>42</v>
      </c>
      <c r="C26">
        <f>C24*1.1</f>
        <v>6188.8019267515201</v>
      </c>
      <c r="D26">
        <f>C26*5*1000</f>
        <v>30944009.633757599</v>
      </c>
    </row>
    <row r="27" spans="1:4" x14ac:dyDescent="0.3">
      <c r="A27">
        <v>2022</v>
      </c>
      <c r="B27" t="s">
        <v>42</v>
      </c>
      <c r="C27">
        <f>C26*1.1</f>
        <v>6807.6821194266731</v>
      </c>
      <c r="D27">
        <f t="shared" ref="D27:D35" si="3">C27*5*1000</f>
        <v>34038410.597133361</v>
      </c>
    </row>
    <row r="28" spans="1:4" x14ac:dyDescent="0.3">
      <c r="A28">
        <v>2023</v>
      </c>
      <c r="B28" t="s">
        <v>42</v>
      </c>
      <c r="C28">
        <f>C27*1.1</f>
        <v>7488.4503313693413</v>
      </c>
      <c r="D28">
        <f t="shared" si="3"/>
        <v>37442251.656846702</v>
      </c>
    </row>
    <row r="29" spans="1:4" x14ac:dyDescent="0.3">
      <c r="A29">
        <v>2024</v>
      </c>
      <c r="B29" t="s">
        <v>42</v>
      </c>
      <c r="C29">
        <f t="shared" ref="C29:C35" si="4">C28*1.1</f>
        <v>8237.2953645062753</v>
      </c>
      <c r="D29">
        <f t="shared" si="3"/>
        <v>41186476.822531372</v>
      </c>
    </row>
    <row r="30" spans="1:4" x14ac:dyDescent="0.3">
      <c r="A30">
        <v>2025</v>
      </c>
      <c r="B30" t="s">
        <v>42</v>
      </c>
      <c r="C30">
        <f t="shared" si="4"/>
        <v>9061.0249009569034</v>
      </c>
      <c r="D30">
        <f t="shared" si="3"/>
        <v>45305124.504784517</v>
      </c>
    </row>
    <row r="31" spans="1:4" x14ac:dyDescent="0.3">
      <c r="A31">
        <v>2026</v>
      </c>
      <c r="B31" t="s">
        <v>42</v>
      </c>
      <c r="C31">
        <f t="shared" si="4"/>
        <v>9967.1273910525942</v>
      </c>
      <c r="D31">
        <f t="shared" si="3"/>
        <v>49835636.955262966</v>
      </c>
    </row>
    <row r="32" spans="1:4" x14ac:dyDescent="0.3">
      <c r="A32">
        <v>2027</v>
      </c>
      <c r="B32" t="s">
        <v>42</v>
      </c>
      <c r="C32">
        <f t="shared" si="4"/>
        <v>10963.840130157854</v>
      </c>
      <c r="D32">
        <f t="shared" si="3"/>
        <v>54819200.650789276</v>
      </c>
    </row>
    <row r="33" spans="1:4" x14ac:dyDescent="0.3">
      <c r="A33">
        <v>2028</v>
      </c>
      <c r="B33" t="s">
        <v>42</v>
      </c>
      <c r="C33">
        <f t="shared" si="4"/>
        <v>12060.22414317364</v>
      </c>
      <c r="D33">
        <f t="shared" si="3"/>
        <v>60301120.715868197</v>
      </c>
    </row>
    <row r="34" spans="1:4" x14ac:dyDescent="0.3">
      <c r="A34">
        <v>2029</v>
      </c>
      <c r="B34" t="s">
        <v>42</v>
      </c>
      <c r="C34">
        <f t="shared" si="4"/>
        <v>13266.246557491006</v>
      </c>
      <c r="D34">
        <f t="shared" si="3"/>
        <v>66331232.787455022</v>
      </c>
    </row>
    <row r="35" spans="1:4" x14ac:dyDescent="0.3">
      <c r="A35">
        <v>2030</v>
      </c>
      <c r="B35" t="s">
        <v>42</v>
      </c>
      <c r="C35">
        <f t="shared" si="4"/>
        <v>14592.871213240107</v>
      </c>
      <c r="D35">
        <f t="shared" si="3"/>
        <v>72964356.066200539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85" zoomScaleNormal="85" workbookViewId="0">
      <selection activeCell="C2" sqref="C2"/>
    </sheetView>
  </sheetViews>
  <sheetFormatPr defaultRowHeight="14.4" x14ac:dyDescent="0.3"/>
  <cols>
    <col min="1" max="1" width="11.6640625" bestFit="1" customWidth="1"/>
    <col min="2" max="2" width="11" bestFit="1" customWidth="1"/>
    <col min="4" max="4" width="12.44140625" bestFit="1" customWidth="1"/>
  </cols>
  <sheetData>
    <row r="1" spans="1:4" x14ac:dyDescent="0.3">
      <c r="A1" t="s">
        <v>90</v>
      </c>
      <c r="B1" t="s">
        <v>83</v>
      </c>
      <c r="C1" t="s">
        <v>89</v>
      </c>
      <c r="D1" t="s">
        <v>91</v>
      </c>
    </row>
    <row r="2" spans="1:4" x14ac:dyDescent="0.3">
      <c r="A2">
        <v>2014</v>
      </c>
      <c r="B2" t="s">
        <v>41</v>
      </c>
      <c r="C2">
        <f>'2014'!$S$37</f>
        <v>26159.072269230768</v>
      </c>
      <c r="D2">
        <f>C2*1.6*1000</f>
        <v>41854515.63076923</v>
      </c>
    </row>
    <row r="3" spans="1:4" x14ac:dyDescent="0.3">
      <c r="A3">
        <v>2015</v>
      </c>
      <c r="B3" t="s">
        <v>41</v>
      </c>
      <c r="C3">
        <f>'2015'!$S$37</f>
        <v>22755.082676767674</v>
      </c>
      <c r="D3">
        <f t="shared" ref="D3:D18" si="0">C3*1.6*1000</f>
        <v>36408132.282828279</v>
      </c>
    </row>
    <row r="4" spans="1:4" x14ac:dyDescent="0.3">
      <c r="A4">
        <v>2016</v>
      </c>
      <c r="B4" t="s">
        <v>41</v>
      </c>
      <c r="C4">
        <f>'2016'!$S$37</f>
        <v>20190.414000000004</v>
      </c>
      <c r="D4">
        <f t="shared" si="0"/>
        <v>32304662.40000001</v>
      </c>
    </row>
    <row r="5" spans="1:4" x14ac:dyDescent="0.3">
      <c r="A5">
        <v>2017</v>
      </c>
      <c r="B5" t="s">
        <v>41</v>
      </c>
      <c r="C5">
        <f>'2017'!$S$37</f>
        <v>21782.011999999999</v>
      </c>
      <c r="D5">
        <f t="shared" si="0"/>
        <v>34851219.200000003</v>
      </c>
    </row>
    <row r="6" spans="1:4" x14ac:dyDescent="0.3">
      <c r="A6">
        <v>2018</v>
      </c>
      <c r="B6" t="s">
        <v>41</v>
      </c>
      <c r="C6">
        <f>'2018'!$S$37</f>
        <v>26279.635623809525</v>
      </c>
      <c r="D6">
        <f t="shared" si="0"/>
        <v>42047416.998095244</v>
      </c>
    </row>
    <row r="7" spans="1:4" x14ac:dyDescent="0.3">
      <c r="A7">
        <v>2019</v>
      </c>
      <c r="B7" t="s">
        <v>41</v>
      </c>
      <c r="C7">
        <f>'2019'!$S$37</f>
        <v>22966.154661621378</v>
      </c>
      <c r="D7">
        <f t="shared" si="0"/>
        <v>36745847.45859421</v>
      </c>
    </row>
    <row r="8" spans="1:4" x14ac:dyDescent="0.3">
      <c r="A8">
        <v>2020</v>
      </c>
      <c r="B8" t="s">
        <v>41</v>
      </c>
      <c r="C8">
        <f>'2020'!$S$37</f>
        <v>16906.452000000001</v>
      </c>
      <c r="D8">
        <f t="shared" si="0"/>
        <v>27050323.200000003</v>
      </c>
    </row>
    <row r="9" spans="1:4" x14ac:dyDescent="0.3">
      <c r="A9">
        <v>2021</v>
      </c>
      <c r="B9" t="s">
        <v>41</v>
      </c>
      <c r="C9">
        <f>C7*1.15</f>
        <v>26411.077860864581</v>
      </c>
      <c r="D9">
        <f t="shared" si="0"/>
        <v>42257724.577383332</v>
      </c>
    </row>
    <row r="10" spans="1:4" x14ac:dyDescent="0.3">
      <c r="A10">
        <v>2022</v>
      </c>
      <c r="B10" t="s">
        <v>41</v>
      </c>
      <c r="C10">
        <f>C9*1.15</f>
        <v>30372.739539994265</v>
      </c>
      <c r="D10">
        <f t="shared" si="0"/>
        <v>48596383.263990827</v>
      </c>
    </row>
    <row r="11" spans="1:4" x14ac:dyDescent="0.3">
      <c r="A11">
        <v>2023</v>
      </c>
      <c r="B11" t="s">
        <v>41</v>
      </c>
      <c r="C11">
        <f>C10*1.15</f>
        <v>34928.650470993402</v>
      </c>
      <c r="D11">
        <f t="shared" si="0"/>
        <v>55885840.753589444</v>
      </c>
    </row>
    <row r="12" spans="1:4" x14ac:dyDescent="0.3">
      <c r="A12">
        <v>2024</v>
      </c>
      <c r="B12" t="s">
        <v>41</v>
      </c>
      <c r="C12">
        <f t="shared" ref="C12:C18" si="1">C11*1.15</f>
        <v>40167.948041642412</v>
      </c>
      <c r="D12">
        <f t="shared" si="0"/>
        <v>64268716.866627857</v>
      </c>
    </row>
    <row r="13" spans="1:4" x14ac:dyDescent="0.3">
      <c r="A13">
        <v>2025</v>
      </c>
      <c r="B13" t="s">
        <v>41</v>
      </c>
      <c r="C13">
        <f t="shared" si="1"/>
        <v>46193.140247888768</v>
      </c>
      <c r="D13">
        <f t="shared" si="0"/>
        <v>73909024.396622032</v>
      </c>
    </row>
    <row r="14" spans="1:4" x14ac:dyDescent="0.3">
      <c r="A14">
        <v>2026</v>
      </c>
      <c r="B14" t="s">
        <v>41</v>
      </c>
      <c r="C14">
        <f t="shared" si="1"/>
        <v>53122.111285072082</v>
      </c>
      <c r="D14">
        <f t="shared" si="0"/>
        <v>84995378.056115344</v>
      </c>
    </row>
    <row r="15" spans="1:4" x14ac:dyDescent="0.3">
      <c r="A15">
        <v>2027</v>
      </c>
      <c r="B15" t="s">
        <v>41</v>
      </c>
      <c r="C15">
        <f t="shared" si="1"/>
        <v>61090.427977832893</v>
      </c>
      <c r="D15">
        <f t="shared" si="0"/>
        <v>97744684.764532641</v>
      </c>
    </row>
    <row r="16" spans="1:4" x14ac:dyDescent="0.3">
      <c r="A16">
        <v>2028</v>
      </c>
      <c r="B16" t="s">
        <v>41</v>
      </c>
      <c r="C16">
        <f t="shared" si="1"/>
        <v>70253.992174507817</v>
      </c>
      <c r="D16">
        <f t="shared" si="0"/>
        <v>112406387.47921251</v>
      </c>
    </row>
    <row r="17" spans="1:4" x14ac:dyDescent="0.3">
      <c r="A17">
        <v>2029</v>
      </c>
      <c r="B17" t="s">
        <v>41</v>
      </c>
      <c r="C17">
        <f t="shared" si="1"/>
        <v>80792.091000683984</v>
      </c>
      <c r="D17">
        <f t="shared" si="0"/>
        <v>129267345.60109438</v>
      </c>
    </row>
    <row r="18" spans="1:4" x14ac:dyDescent="0.3">
      <c r="A18">
        <v>2030</v>
      </c>
      <c r="B18" t="s">
        <v>41</v>
      </c>
      <c r="C18">
        <f t="shared" si="1"/>
        <v>92910.904650786571</v>
      </c>
      <c r="D18">
        <f t="shared" si="0"/>
        <v>148657447.44125852</v>
      </c>
    </row>
    <row r="19" spans="1:4" x14ac:dyDescent="0.3">
      <c r="A19">
        <v>2014</v>
      </c>
      <c r="B19" t="s">
        <v>42</v>
      </c>
      <c r="C19">
        <f>'2014'!$T$37</f>
        <v>8447.5137783400787</v>
      </c>
      <c r="D19">
        <f t="shared" ref="D3:D35" si="2">C19*1.55*1000</f>
        <v>13093646.356427122</v>
      </c>
    </row>
    <row r="20" spans="1:4" x14ac:dyDescent="0.3">
      <c r="A20">
        <v>2015</v>
      </c>
      <c r="B20" t="s">
        <v>42</v>
      </c>
      <c r="C20">
        <f>'2015'!$T$37</f>
        <v>8489.2358181224008</v>
      </c>
      <c r="D20">
        <f t="shared" si="2"/>
        <v>13158315.518089721</v>
      </c>
    </row>
    <row r="21" spans="1:4" x14ac:dyDescent="0.3">
      <c r="A21">
        <v>2016</v>
      </c>
      <c r="B21" t="s">
        <v>42</v>
      </c>
      <c r="C21">
        <f>'2016'!$T$37</f>
        <v>9017.6043279569894</v>
      </c>
      <c r="D21">
        <f t="shared" si="2"/>
        <v>13977286.708333336</v>
      </c>
    </row>
    <row r="22" spans="1:4" x14ac:dyDescent="0.3">
      <c r="A22">
        <v>2017</v>
      </c>
      <c r="B22" t="s">
        <v>42</v>
      </c>
      <c r="C22">
        <f>'2017'!$T$37</f>
        <v>7883.9920769230757</v>
      </c>
      <c r="D22">
        <f t="shared" si="2"/>
        <v>12220187.719230767</v>
      </c>
    </row>
    <row r="23" spans="1:4" x14ac:dyDescent="0.3">
      <c r="A23">
        <v>2018</v>
      </c>
      <c r="B23" t="s">
        <v>42</v>
      </c>
      <c r="C23">
        <f>'2018'!$T$37</f>
        <v>7963.7033333333338</v>
      </c>
      <c r="D23">
        <f t="shared" si="2"/>
        <v>12343740.166666668</v>
      </c>
    </row>
    <row r="24" spans="1:4" x14ac:dyDescent="0.3">
      <c r="A24">
        <v>2019</v>
      </c>
      <c r="B24" t="s">
        <v>42</v>
      </c>
      <c r="C24">
        <f>'2019'!$T$37</f>
        <v>5626.1835697741089</v>
      </c>
      <c r="D24">
        <f t="shared" si="2"/>
        <v>8720584.5331498701</v>
      </c>
    </row>
    <row r="25" spans="1:4" x14ac:dyDescent="0.3">
      <c r="A25">
        <v>2020</v>
      </c>
      <c r="B25" t="s">
        <v>42</v>
      </c>
      <c r="C25">
        <f>'2020'!$T$37</f>
        <v>4432.2854166666666</v>
      </c>
      <c r="D25">
        <f t="shared" si="2"/>
        <v>6870042.395833333</v>
      </c>
    </row>
    <row r="26" spans="1:4" x14ac:dyDescent="0.3">
      <c r="A26">
        <v>2021</v>
      </c>
      <c r="B26" t="s">
        <v>42</v>
      </c>
      <c r="C26">
        <f>C24*1.1</f>
        <v>6188.8019267515201</v>
      </c>
      <c r="D26">
        <f t="shared" si="2"/>
        <v>9592642.9864648562</v>
      </c>
    </row>
    <row r="27" spans="1:4" x14ac:dyDescent="0.3">
      <c r="A27">
        <v>2022</v>
      </c>
      <c r="B27" t="s">
        <v>42</v>
      </c>
      <c r="C27">
        <f>C26*1.1</f>
        <v>6807.6821194266731</v>
      </c>
      <c r="D27">
        <f t="shared" si="2"/>
        <v>10551907.285111343</v>
      </c>
    </row>
    <row r="28" spans="1:4" x14ac:dyDescent="0.3">
      <c r="A28">
        <v>2023</v>
      </c>
      <c r="B28" t="s">
        <v>42</v>
      </c>
      <c r="C28">
        <f>C27*1.1</f>
        <v>7488.4503313693413</v>
      </c>
      <c r="D28">
        <f t="shared" si="2"/>
        <v>11607098.01362248</v>
      </c>
    </row>
    <row r="29" spans="1:4" x14ac:dyDescent="0.3">
      <c r="A29">
        <v>2024</v>
      </c>
      <c r="B29" t="s">
        <v>42</v>
      </c>
      <c r="C29">
        <f t="shared" ref="C29:C35" si="3">C28*1.1</f>
        <v>8237.2953645062753</v>
      </c>
      <c r="D29">
        <f t="shared" si="2"/>
        <v>12767807.814984728</v>
      </c>
    </row>
    <row r="30" spans="1:4" x14ac:dyDescent="0.3">
      <c r="A30">
        <v>2025</v>
      </c>
      <c r="B30" t="s">
        <v>42</v>
      </c>
      <c r="C30">
        <f t="shared" si="3"/>
        <v>9061.0249009569034</v>
      </c>
      <c r="D30">
        <f t="shared" si="2"/>
        <v>14044588.596483201</v>
      </c>
    </row>
    <row r="31" spans="1:4" x14ac:dyDescent="0.3">
      <c r="A31">
        <v>2026</v>
      </c>
      <c r="B31" t="s">
        <v>42</v>
      </c>
      <c r="C31">
        <f t="shared" si="3"/>
        <v>9967.1273910525942</v>
      </c>
      <c r="D31">
        <f t="shared" si="2"/>
        <v>15449047.456131522</v>
      </c>
    </row>
    <row r="32" spans="1:4" x14ac:dyDescent="0.3">
      <c r="A32">
        <v>2027</v>
      </c>
      <c r="B32" t="s">
        <v>42</v>
      </c>
      <c r="C32">
        <f t="shared" si="3"/>
        <v>10963.840130157854</v>
      </c>
      <c r="D32">
        <f t="shared" si="2"/>
        <v>16993952.201744676</v>
      </c>
    </row>
    <row r="33" spans="1:4" x14ac:dyDescent="0.3">
      <c r="A33">
        <v>2028</v>
      </c>
      <c r="B33" t="s">
        <v>42</v>
      </c>
      <c r="C33">
        <f t="shared" si="3"/>
        <v>12060.22414317364</v>
      </c>
      <c r="D33">
        <f t="shared" si="2"/>
        <v>18693347.421919141</v>
      </c>
    </row>
    <row r="34" spans="1:4" x14ac:dyDescent="0.3">
      <c r="A34">
        <v>2029</v>
      </c>
      <c r="B34" t="s">
        <v>42</v>
      </c>
      <c r="C34">
        <f t="shared" si="3"/>
        <v>13266.246557491006</v>
      </c>
      <c r="D34">
        <f t="shared" si="2"/>
        <v>20562682.164111059</v>
      </c>
    </row>
    <row r="35" spans="1:4" x14ac:dyDescent="0.3">
      <c r="A35">
        <v>2030</v>
      </c>
      <c r="B35" t="s">
        <v>42</v>
      </c>
      <c r="C35">
        <f t="shared" si="3"/>
        <v>14592.871213240107</v>
      </c>
      <c r="D35">
        <f t="shared" si="2"/>
        <v>22618950.380522165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E3" sqref="E3"/>
    </sheetView>
  </sheetViews>
  <sheetFormatPr defaultRowHeight="14.4" x14ac:dyDescent="0.3"/>
  <cols>
    <col min="1" max="1" width="15.44140625" customWidth="1"/>
    <col min="2" max="2" width="12.88671875" customWidth="1"/>
    <col min="3" max="3" width="12.77734375" customWidth="1"/>
    <col min="4" max="4" width="11.77734375" customWidth="1"/>
    <col min="5" max="5" width="9" customWidth="1"/>
    <col min="6" max="6" width="8.21875" customWidth="1"/>
    <col min="7" max="7" width="6.21875" customWidth="1"/>
    <col min="8" max="8" width="13.77734375" customWidth="1"/>
    <col min="11" max="11" width="5.21875" customWidth="1"/>
    <col min="14" max="14" width="4.33203125" customWidth="1"/>
    <col min="16" max="16" width="12" bestFit="1" customWidth="1"/>
    <col min="17" max="17" width="11" bestFit="1" customWidth="1"/>
    <col min="18" max="18" width="5.109375" customWidth="1"/>
  </cols>
  <sheetData>
    <row r="1" spans="1:27" ht="57.6" x14ac:dyDescent="0.3">
      <c r="A1" s="2" t="s">
        <v>0</v>
      </c>
      <c r="B1" s="2" t="s">
        <v>92</v>
      </c>
      <c r="C1" s="2" t="s">
        <v>64</v>
      </c>
      <c r="D1" s="2" t="s">
        <v>65</v>
      </c>
      <c r="E1" s="2" t="s">
        <v>66</v>
      </c>
      <c r="F1" s="2" t="s">
        <v>67</v>
      </c>
      <c r="G1" s="1"/>
      <c r="H1" s="3" t="s">
        <v>60</v>
      </c>
      <c r="I1" s="2" t="s">
        <v>59</v>
      </c>
      <c r="J1" s="2" t="s">
        <v>68</v>
      </c>
      <c r="K1" s="1"/>
      <c r="L1" s="3" t="s">
        <v>57</v>
      </c>
      <c r="M1" s="3" t="s">
        <v>58</v>
      </c>
      <c r="O1" s="3" t="s">
        <v>63</v>
      </c>
      <c r="P1" s="3" t="s">
        <v>61</v>
      </c>
      <c r="Q1" s="3" t="s">
        <v>62</v>
      </c>
      <c r="S1" s="3" t="s">
        <v>43</v>
      </c>
      <c r="T1" s="3" t="s">
        <v>44</v>
      </c>
      <c r="V1" s="3" t="s">
        <v>69</v>
      </c>
      <c r="W1" s="3" t="s">
        <v>70</v>
      </c>
      <c r="Y1" s="3" t="s">
        <v>75</v>
      </c>
      <c r="Z1" s="3"/>
      <c r="AA1" s="3"/>
    </row>
    <row r="2" spans="1:27" x14ac:dyDescent="0.3">
      <c r="A2" t="s">
        <v>14</v>
      </c>
      <c r="B2">
        <v>38</v>
      </c>
      <c r="C2">
        <f>184900/1000</f>
        <v>184.9</v>
      </c>
      <c r="D2">
        <f>530000/1000</f>
        <v>530</v>
      </c>
      <c r="E2">
        <f>B2*C2</f>
        <v>7026.2</v>
      </c>
      <c r="F2">
        <f>B2*D2</f>
        <v>20140</v>
      </c>
      <c r="H2">
        <f>SUM(E2:E9)</f>
        <v>87540.739000000001</v>
      </c>
      <c r="I2">
        <f>SUM(F2:F9)</f>
        <v>38643</v>
      </c>
      <c r="J2">
        <f>H2+I2</f>
        <v>126183.739</v>
      </c>
      <c r="L2">
        <f>H2/J2*100</f>
        <v>69.375610275742432</v>
      </c>
      <c r="M2">
        <f>I2/J2*100</f>
        <v>30.624389724257579</v>
      </c>
      <c r="O2">
        <f>J2/SUM(B2:B9)</f>
        <v>521.42040909090906</v>
      </c>
      <c r="P2">
        <f>B10*O2*L2/100</f>
        <v>1808.6929545454543</v>
      </c>
      <c r="Q2">
        <f>B10*O2*M2/100</f>
        <v>798.40909090909088</v>
      </c>
      <c r="S2">
        <f>H2+P2</f>
        <v>89349.431954545449</v>
      </c>
      <c r="T2">
        <f>I2+Q2</f>
        <v>39441.409090909088</v>
      </c>
      <c r="V2">
        <v>1.28</v>
      </c>
      <c r="W2">
        <v>5</v>
      </c>
      <c r="X2" t="s">
        <v>74</v>
      </c>
      <c r="Y2">
        <v>2.4</v>
      </c>
    </row>
    <row r="3" spans="1:27" x14ac:dyDescent="0.3">
      <c r="A3" t="s">
        <v>17</v>
      </c>
      <c r="B3">
        <v>43</v>
      </c>
      <c r="C3">
        <f>304919/1000</f>
        <v>304.91899999999998</v>
      </c>
      <c r="D3">
        <f>221000/1000</f>
        <v>221</v>
      </c>
      <c r="E3">
        <f>B3*C3</f>
        <v>13111.517</v>
      </c>
      <c r="F3">
        <f>B3*D3</f>
        <v>9503</v>
      </c>
    </row>
    <row r="4" spans="1:27" x14ac:dyDescent="0.3">
      <c r="A4" t="s">
        <v>10</v>
      </c>
      <c r="B4">
        <v>5</v>
      </c>
      <c r="C4">
        <v>751.4</v>
      </c>
      <c r="E4">
        <f t="shared" ref="E4:E5" si="0">B4*C4</f>
        <v>3757</v>
      </c>
      <c r="F4">
        <f t="shared" ref="F4:F5" si="1">B4*D4</f>
        <v>0</v>
      </c>
    </row>
    <row r="5" spans="1:27" x14ac:dyDescent="0.3">
      <c r="A5" t="s">
        <v>20</v>
      </c>
      <c r="B5">
        <v>6</v>
      </c>
      <c r="C5">
        <v>230</v>
      </c>
      <c r="D5">
        <v>400</v>
      </c>
      <c r="E5">
        <f t="shared" si="0"/>
        <v>1380</v>
      </c>
      <c r="F5">
        <f t="shared" si="1"/>
        <v>2400</v>
      </c>
    </row>
    <row r="6" spans="1:27" x14ac:dyDescent="0.3">
      <c r="A6" t="s">
        <v>24</v>
      </c>
      <c r="B6">
        <v>90</v>
      </c>
      <c r="C6">
        <f>395700/1000</f>
        <v>395.7</v>
      </c>
      <c r="D6">
        <v>0</v>
      </c>
      <c r="E6">
        <f t="shared" ref="E6:E25" si="2">B6*C6</f>
        <v>35613</v>
      </c>
      <c r="F6">
        <f t="shared" ref="F6:F25" si="3">B6*D6</f>
        <v>0</v>
      </c>
      <c r="L6">
        <f>3.66*C6*1000</f>
        <v>1448262</v>
      </c>
    </row>
    <row r="7" spans="1:27" x14ac:dyDescent="0.3">
      <c r="A7" t="s">
        <v>21</v>
      </c>
      <c r="B7">
        <v>4</v>
      </c>
      <c r="C7">
        <f>549000/1000</f>
        <v>549</v>
      </c>
      <c r="D7">
        <v>0</v>
      </c>
      <c r="E7">
        <f t="shared" si="2"/>
        <v>2196</v>
      </c>
      <c r="F7">
        <f t="shared" si="3"/>
        <v>0</v>
      </c>
    </row>
    <row r="8" spans="1:27" x14ac:dyDescent="0.3">
      <c r="A8" t="s">
        <v>50</v>
      </c>
      <c r="B8">
        <v>25</v>
      </c>
      <c r="C8">
        <f>194400/1000</f>
        <v>194.4</v>
      </c>
      <c r="D8">
        <f>264000/1000</f>
        <v>264</v>
      </c>
      <c r="E8">
        <f>B8*C8</f>
        <v>4860</v>
      </c>
      <c r="F8">
        <f>B8*D8</f>
        <v>6600</v>
      </c>
    </row>
    <row r="9" spans="1:27" x14ac:dyDescent="0.3">
      <c r="A9" t="s">
        <v>22</v>
      </c>
      <c r="B9">
        <v>31</v>
      </c>
      <c r="C9">
        <f>632162/1000</f>
        <v>632.16200000000003</v>
      </c>
      <c r="D9">
        <v>0</v>
      </c>
      <c r="E9">
        <f t="shared" si="2"/>
        <v>19597.022000000001</v>
      </c>
      <c r="F9">
        <f t="shared" si="3"/>
        <v>0</v>
      </c>
    </row>
    <row r="10" spans="1:27" x14ac:dyDescent="0.3">
      <c r="A10" t="s">
        <v>45</v>
      </c>
      <c r="B10">
        <v>5</v>
      </c>
      <c r="E10">
        <f t="shared" si="2"/>
        <v>0</v>
      </c>
      <c r="F10">
        <f t="shared" si="3"/>
        <v>0</v>
      </c>
    </row>
    <row r="12" spans="1:27" x14ac:dyDescent="0.3">
      <c r="A12" t="s">
        <v>45</v>
      </c>
      <c r="B12">
        <v>2</v>
      </c>
      <c r="E12">
        <f t="shared" si="2"/>
        <v>0</v>
      </c>
      <c r="F12">
        <f t="shared" si="3"/>
        <v>0</v>
      </c>
    </row>
    <row r="13" spans="1:27" x14ac:dyDescent="0.3">
      <c r="A13" t="s">
        <v>93</v>
      </c>
      <c r="B13">
        <v>9</v>
      </c>
      <c r="C13">
        <v>254.815</v>
      </c>
      <c r="E13">
        <f t="shared" si="2"/>
        <v>2293.335</v>
      </c>
      <c r="F13">
        <f t="shared" si="3"/>
        <v>0</v>
      </c>
    </row>
    <row r="14" spans="1:27" x14ac:dyDescent="0.3">
      <c r="A14" t="s">
        <v>46</v>
      </c>
      <c r="B14">
        <v>56</v>
      </c>
      <c r="C14">
        <f>178000/1000</f>
        <v>178</v>
      </c>
      <c r="D14">
        <v>0</v>
      </c>
      <c r="E14">
        <f t="shared" si="2"/>
        <v>9968</v>
      </c>
      <c r="F14">
        <f t="shared" si="3"/>
        <v>0</v>
      </c>
      <c r="H14">
        <f>SUM(E13:E21)</f>
        <v>66949.241000000009</v>
      </c>
      <c r="I14">
        <f>SUM(F13:F21)</f>
        <v>8965</v>
      </c>
      <c r="J14">
        <f>H14+I14</f>
        <v>75914.241000000009</v>
      </c>
      <c r="L14">
        <f>H14/J14*100</f>
        <v>88.190621572571601</v>
      </c>
      <c r="M14">
        <f>I14/J14*100</f>
        <v>11.80937842742839</v>
      </c>
      <c r="O14">
        <f>J14/SUM(B13:B21)</f>
        <v>244.09723794212221</v>
      </c>
      <c r="P14">
        <f>B12*O14*L14/100</f>
        <v>430.54174276527328</v>
      </c>
      <c r="Q14">
        <f>B12*M14*O14/100</f>
        <v>57.652733118971057</v>
      </c>
      <c r="S14">
        <f>H14+P14</f>
        <v>67379.782742765281</v>
      </c>
      <c r="T14">
        <f>I14+Q14</f>
        <v>9022.6527331189718</v>
      </c>
    </row>
    <row r="15" spans="1:27" x14ac:dyDescent="0.3">
      <c r="A15" t="s">
        <v>47</v>
      </c>
      <c r="B15">
        <v>54</v>
      </c>
      <c r="C15">
        <f>188264/1000</f>
        <v>188.26400000000001</v>
      </c>
      <c r="D15">
        <v>0</v>
      </c>
      <c r="E15">
        <f t="shared" si="2"/>
        <v>10166.256000000001</v>
      </c>
      <c r="F15">
        <f t="shared" si="3"/>
        <v>0</v>
      </c>
    </row>
    <row r="16" spans="1:27" x14ac:dyDescent="0.3">
      <c r="A16" t="s">
        <v>48</v>
      </c>
      <c r="B16">
        <v>35</v>
      </c>
      <c r="C16">
        <f>246750/1000</f>
        <v>246.75</v>
      </c>
      <c r="D16">
        <v>0</v>
      </c>
      <c r="E16">
        <f t="shared" si="2"/>
        <v>8636.25</v>
      </c>
      <c r="F16">
        <f t="shared" si="3"/>
        <v>0</v>
      </c>
    </row>
    <row r="17" spans="1:27" x14ac:dyDescent="0.3">
      <c r="A17" t="s">
        <v>49</v>
      </c>
      <c r="B17">
        <v>12</v>
      </c>
      <c r="C17">
        <f>235000/1000</f>
        <v>235</v>
      </c>
      <c r="D17">
        <f>120000/1000</f>
        <v>120</v>
      </c>
      <c r="E17">
        <f t="shared" si="2"/>
        <v>2820</v>
      </c>
      <c r="F17">
        <f t="shared" si="3"/>
        <v>1440</v>
      </c>
    </row>
    <row r="18" spans="1:27" x14ac:dyDescent="0.3">
      <c r="A18" t="s">
        <v>94</v>
      </c>
      <c r="B18">
        <v>10</v>
      </c>
      <c r="C18">
        <f>144000/1000</f>
        <v>144</v>
      </c>
      <c r="D18">
        <f>205000/1000</f>
        <v>205</v>
      </c>
      <c r="E18">
        <f t="shared" si="2"/>
        <v>1440</v>
      </c>
      <c r="F18">
        <f t="shared" si="3"/>
        <v>2050</v>
      </c>
      <c r="W18" t="s">
        <v>14</v>
      </c>
    </row>
    <row r="19" spans="1:27" x14ac:dyDescent="0.3">
      <c r="A19" t="s">
        <v>51</v>
      </c>
      <c r="B19">
        <v>25</v>
      </c>
      <c r="C19">
        <f>44500/1000</f>
        <v>44.5</v>
      </c>
      <c r="D19">
        <f>219000/1000</f>
        <v>219</v>
      </c>
      <c r="E19">
        <f t="shared" si="2"/>
        <v>1112.5</v>
      </c>
      <c r="F19">
        <f t="shared" si="3"/>
        <v>5475</v>
      </c>
      <c r="W19" t="s">
        <v>71</v>
      </c>
      <c r="X19">
        <v>1</v>
      </c>
      <c r="Y19">
        <f>0.6*2+0.2*0.4</f>
        <v>1.28</v>
      </c>
      <c r="AA19" t="s">
        <v>73</v>
      </c>
    </row>
    <row r="20" spans="1:27" x14ac:dyDescent="0.3">
      <c r="A20" t="s">
        <v>25</v>
      </c>
      <c r="B20">
        <v>93</v>
      </c>
      <c r="C20">
        <f>277390/1000</f>
        <v>277.39</v>
      </c>
      <c r="D20">
        <v>0</v>
      </c>
      <c r="E20">
        <f>B20*C20</f>
        <v>25797.27</v>
      </c>
      <c r="F20">
        <f>B20*D20</f>
        <v>0</v>
      </c>
      <c r="W20" t="s">
        <v>72</v>
      </c>
      <c r="X20">
        <v>0.2</v>
      </c>
    </row>
    <row r="21" spans="1:27" x14ac:dyDescent="0.3">
      <c r="A21" t="s">
        <v>32</v>
      </c>
      <c r="B21">
        <v>17</v>
      </c>
      <c r="C21">
        <f>277390/1000</f>
        <v>277.39</v>
      </c>
      <c r="D21">
        <v>0</v>
      </c>
      <c r="E21">
        <f t="shared" si="2"/>
        <v>4715.63</v>
      </c>
      <c r="F21">
        <f t="shared" si="3"/>
        <v>0</v>
      </c>
    </row>
    <row r="23" spans="1:27" x14ac:dyDescent="0.3">
      <c r="A23" t="s">
        <v>45</v>
      </c>
      <c r="B23">
        <v>40</v>
      </c>
      <c r="E23">
        <f t="shared" si="2"/>
        <v>0</v>
      </c>
      <c r="F23">
        <f t="shared" si="3"/>
        <v>0</v>
      </c>
    </row>
    <row r="24" spans="1:27" x14ac:dyDescent="0.3">
      <c r="A24" t="s">
        <v>39</v>
      </c>
      <c r="B24">
        <v>66</v>
      </c>
      <c r="C24">
        <v>0</v>
      </c>
      <c r="D24">
        <f>2200/1000</f>
        <v>2.2000000000000002</v>
      </c>
      <c r="E24">
        <f t="shared" si="2"/>
        <v>0</v>
      </c>
      <c r="F24">
        <f t="shared" si="3"/>
        <v>145.20000000000002</v>
      </c>
      <c r="H24">
        <f>SUM(E24:E27)</f>
        <v>958.43</v>
      </c>
      <c r="I24">
        <f>SUM(F24:F27)</f>
        <v>2251.0100000000002</v>
      </c>
      <c r="J24">
        <f>H24+I24</f>
        <v>3209.44</v>
      </c>
      <c r="L24">
        <f>H24/J24*100</f>
        <v>29.862842115758507</v>
      </c>
      <c r="M24">
        <f>I24/J24*100</f>
        <v>70.137157884241503</v>
      </c>
      <c r="O24">
        <f>J24/SUM(B24:B27)</f>
        <v>31.776633663366336</v>
      </c>
      <c r="P24">
        <f>B23*L24*O24/100</f>
        <v>379.57623762376238</v>
      </c>
      <c r="Q24">
        <f>B23*M24*O24/100</f>
        <v>891.48910891089122</v>
      </c>
      <c r="S24">
        <f>H24+P24</f>
        <v>1338.0062376237624</v>
      </c>
      <c r="T24">
        <f>I24+Q24</f>
        <v>3142.4991089108917</v>
      </c>
    </row>
    <row r="25" spans="1:27" x14ac:dyDescent="0.3">
      <c r="A25" t="s">
        <v>52</v>
      </c>
      <c r="B25">
        <v>10</v>
      </c>
      <c r="C25">
        <v>0</v>
      </c>
      <c r="D25">
        <f>35000/1000</f>
        <v>35</v>
      </c>
      <c r="E25">
        <f t="shared" si="2"/>
        <v>0</v>
      </c>
      <c r="F25">
        <f t="shared" si="3"/>
        <v>350</v>
      </c>
    </row>
    <row r="26" spans="1:27" x14ac:dyDescent="0.3">
      <c r="A26" t="s">
        <v>34</v>
      </c>
      <c r="B26">
        <v>11</v>
      </c>
      <c r="C26">
        <f>87130/1000</f>
        <v>87.13</v>
      </c>
      <c r="D26">
        <v>0</v>
      </c>
      <c r="E26">
        <f t="shared" ref="E26:E27" si="4">B26*C26</f>
        <v>958.43</v>
      </c>
      <c r="F26">
        <f t="shared" ref="F26:F27" si="5">B26*D26</f>
        <v>0</v>
      </c>
    </row>
    <row r="27" spans="1:27" x14ac:dyDescent="0.3">
      <c r="A27" t="s">
        <v>33</v>
      </c>
      <c r="B27">
        <v>14</v>
      </c>
      <c r="C27">
        <v>0</v>
      </c>
      <c r="D27">
        <f>125415/1000</f>
        <v>125.41500000000001</v>
      </c>
      <c r="E27">
        <f t="shared" si="4"/>
        <v>0</v>
      </c>
      <c r="F27">
        <f t="shared" si="5"/>
        <v>1755.8100000000002</v>
      </c>
    </row>
    <row r="29" spans="1:27" x14ac:dyDescent="0.3">
      <c r="A29" t="s">
        <v>45</v>
      </c>
      <c r="B29">
        <v>54</v>
      </c>
      <c r="E29">
        <f t="shared" ref="E29:E30" si="6">B29*C29</f>
        <v>0</v>
      </c>
      <c r="F29">
        <f t="shared" ref="F29:F30" si="7">B29*D29</f>
        <v>0</v>
      </c>
    </row>
    <row r="30" spans="1:27" x14ac:dyDescent="0.3">
      <c r="A30" t="s">
        <v>36</v>
      </c>
      <c r="B30">
        <v>14</v>
      </c>
      <c r="C30">
        <f>11300/1000</f>
        <v>11.3</v>
      </c>
      <c r="D30">
        <v>0</v>
      </c>
      <c r="E30">
        <f t="shared" si="6"/>
        <v>158.20000000000002</v>
      </c>
      <c r="F30">
        <f t="shared" si="7"/>
        <v>0</v>
      </c>
      <c r="H30">
        <f>SUM(E30:E35)</f>
        <v>170.20000000000002</v>
      </c>
      <c r="I30">
        <f>SUM(F30:F35)</f>
        <v>363.94400000000002</v>
      </c>
      <c r="J30">
        <f>H30+I30</f>
        <v>534.14400000000001</v>
      </c>
      <c r="L30">
        <f>H30/J30*100</f>
        <v>31.864066618739518</v>
      </c>
      <c r="M30">
        <f>I30/J30*100</f>
        <v>68.135933381260486</v>
      </c>
      <c r="O30">
        <f>J30/SUM(B30:B35)</f>
        <v>5.185864077669903</v>
      </c>
      <c r="P30">
        <f>B29*L30*O30/100</f>
        <v>89.231067961165039</v>
      </c>
      <c r="Q30">
        <f>B29*O30*M30/100</f>
        <v>190.80559223300975</v>
      </c>
      <c r="S30">
        <f>H30+P30</f>
        <v>259.43106796116507</v>
      </c>
      <c r="T30">
        <f>I30+Q30</f>
        <v>554.74959223300971</v>
      </c>
    </row>
    <row r="31" spans="1:27" x14ac:dyDescent="0.3">
      <c r="A31" t="s">
        <v>40</v>
      </c>
      <c r="B31">
        <v>12</v>
      </c>
      <c r="C31">
        <v>1</v>
      </c>
      <c r="D31">
        <v>19</v>
      </c>
      <c r="E31">
        <f t="shared" ref="E31:E35" si="8">B31*C31</f>
        <v>12</v>
      </c>
      <c r="F31">
        <f t="shared" ref="F31:F35" si="9">B31*D31</f>
        <v>228</v>
      </c>
    </row>
    <row r="32" spans="1:27" x14ac:dyDescent="0.3">
      <c r="A32" t="s">
        <v>95</v>
      </c>
      <c r="B32">
        <v>24</v>
      </c>
      <c r="D32">
        <v>0.50600000000000001</v>
      </c>
      <c r="E32">
        <f t="shared" si="8"/>
        <v>0</v>
      </c>
      <c r="F32">
        <f t="shared" si="9"/>
        <v>12.144</v>
      </c>
    </row>
    <row r="33" spans="1:6" x14ac:dyDescent="0.3">
      <c r="A33" t="s">
        <v>54</v>
      </c>
      <c r="B33">
        <v>3</v>
      </c>
      <c r="D33">
        <f>20000/1000</f>
        <v>20</v>
      </c>
      <c r="E33">
        <f t="shared" si="8"/>
        <v>0</v>
      </c>
      <c r="F33">
        <f t="shared" si="9"/>
        <v>60</v>
      </c>
    </row>
    <row r="34" spans="1:6" x14ac:dyDescent="0.3">
      <c r="A34" t="s">
        <v>55</v>
      </c>
      <c r="B34">
        <v>4</v>
      </c>
      <c r="D34">
        <v>1</v>
      </c>
      <c r="E34">
        <f t="shared" si="8"/>
        <v>0</v>
      </c>
      <c r="F34">
        <f t="shared" si="9"/>
        <v>4</v>
      </c>
    </row>
    <row r="35" spans="1:6" x14ac:dyDescent="0.3">
      <c r="A35" t="s">
        <v>96</v>
      </c>
      <c r="B35">
        <v>46</v>
      </c>
      <c r="C35">
        <v>0</v>
      </c>
      <c r="D35">
        <v>1.3</v>
      </c>
      <c r="E35">
        <f t="shared" si="8"/>
        <v>0</v>
      </c>
      <c r="F35">
        <f t="shared" si="9"/>
        <v>59.800000000000004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2" sqref="D2"/>
    </sheetView>
  </sheetViews>
  <sheetFormatPr defaultRowHeight="14.4" x14ac:dyDescent="0.3"/>
  <cols>
    <col min="1" max="1" width="11.6640625" bestFit="1" customWidth="1"/>
    <col min="2" max="2" width="11" bestFit="1" customWidth="1"/>
    <col min="4" max="4" width="11" bestFit="1" customWidth="1"/>
  </cols>
  <sheetData>
    <row r="1" spans="1:4" x14ac:dyDescent="0.3">
      <c r="A1" t="s">
        <v>90</v>
      </c>
      <c r="B1" t="s">
        <v>83</v>
      </c>
      <c r="C1" t="s">
        <v>89</v>
      </c>
      <c r="D1" t="s">
        <v>91</v>
      </c>
    </row>
    <row r="2" spans="1:4" x14ac:dyDescent="0.3">
      <c r="A2">
        <v>2014</v>
      </c>
      <c r="B2" t="s">
        <v>41</v>
      </c>
      <c r="C2">
        <f>'2014'!$S$37</f>
        <v>26159.072269230768</v>
      </c>
      <c r="D2">
        <f>C2*1.6*1000</f>
        <v>41854515.63076923</v>
      </c>
    </row>
    <row r="3" spans="1:4" x14ac:dyDescent="0.3">
      <c r="A3">
        <v>2015</v>
      </c>
      <c r="B3" t="s">
        <v>41</v>
      </c>
      <c r="C3">
        <f>'2015'!$S$37</f>
        <v>22755.082676767674</v>
      </c>
      <c r="D3">
        <f t="shared" ref="D3:D18" si="0">C3*1.6*1000</f>
        <v>36408132.282828279</v>
      </c>
    </row>
    <row r="4" spans="1:4" x14ac:dyDescent="0.3">
      <c r="A4">
        <v>2016</v>
      </c>
      <c r="B4" t="s">
        <v>41</v>
      </c>
      <c r="C4">
        <f>'2016'!$S$37</f>
        <v>20190.414000000004</v>
      </c>
      <c r="D4">
        <f t="shared" si="0"/>
        <v>32304662.40000001</v>
      </c>
    </row>
    <row r="5" spans="1:4" x14ac:dyDescent="0.3">
      <c r="A5">
        <v>2017</v>
      </c>
      <c r="B5" t="s">
        <v>41</v>
      </c>
      <c r="C5">
        <f>'2017'!$S$37</f>
        <v>21782.011999999999</v>
      </c>
      <c r="D5">
        <f t="shared" si="0"/>
        <v>34851219.200000003</v>
      </c>
    </row>
    <row r="6" spans="1:4" x14ac:dyDescent="0.3">
      <c r="A6">
        <v>2018</v>
      </c>
      <c r="B6" t="s">
        <v>41</v>
      </c>
      <c r="C6">
        <f>'2018'!$S$37</f>
        <v>26279.635623809525</v>
      </c>
      <c r="D6">
        <f t="shared" si="0"/>
        <v>42047416.998095244</v>
      </c>
    </row>
    <row r="7" spans="1:4" x14ac:dyDescent="0.3">
      <c r="A7">
        <v>2019</v>
      </c>
      <c r="B7" t="s">
        <v>41</v>
      </c>
      <c r="C7">
        <f>'2019'!$S$37</f>
        <v>22966.154661621378</v>
      </c>
      <c r="D7">
        <f t="shared" si="0"/>
        <v>36745847.45859421</v>
      </c>
    </row>
    <row r="8" spans="1:4" x14ac:dyDescent="0.3">
      <c r="A8">
        <v>2020</v>
      </c>
      <c r="B8" t="s">
        <v>41</v>
      </c>
      <c r="C8">
        <f>'2020'!$S$37</f>
        <v>16906.452000000001</v>
      </c>
      <c r="D8">
        <f t="shared" si="0"/>
        <v>27050323.200000003</v>
      </c>
    </row>
    <row r="9" spans="1:4" x14ac:dyDescent="0.3">
      <c r="A9">
        <v>2021</v>
      </c>
      <c r="B9" t="s">
        <v>41</v>
      </c>
      <c r="C9">
        <f>C7*1.1</f>
        <v>25262.770127783519</v>
      </c>
      <c r="D9">
        <f t="shared" si="0"/>
        <v>40420432.204453632</v>
      </c>
    </row>
    <row r="10" spans="1:4" x14ac:dyDescent="0.3">
      <c r="A10">
        <v>2022</v>
      </c>
      <c r="B10" t="s">
        <v>41</v>
      </c>
      <c r="C10">
        <f>C9*1.1</f>
        <v>27789.047140561874</v>
      </c>
      <c r="D10">
        <f t="shared" si="0"/>
        <v>44462475.424898997</v>
      </c>
    </row>
    <row r="11" spans="1:4" x14ac:dyDescent="0.3">
      <c r="A11">
        <v>2023</v>
      </c>
      <c r="B11" t="s">
        <v>41</v>
      </c>
      <c r="C11">
        <f>C10*1.1</f>
        <v>30567.951854618062</v>
      </c>
      <c r="D11">
        <f t="shared" si="0"/>
        <v>48908722.967388898</v>
      </c>
    </row>
    <row r="12" spans="1:4" x14ac:dyDescent="0.3">
      <c r="A12">
        <v>2024</v>
      </c>
      <c r="B12" t="s">
        <v>41</v>
      </c>
      <c r="C12">
        <f t="shared" ref="C12:C18" si="1">C11*1.1</f>
        <v>33624.74704007987</v>
      </c>
      <c r="D12">
        <f t="shared" si="0"/>
        <v>53799595.264127798</v>
      </c>
    </row>
    <row r="13" spans="1:4" x14ac:dyDescent="0.3">
      <c r="A13">
        <v>2025</v>
      </c>
      <c r="B13" t="s">
        <v>41</v>
      </c>
      <c r="C13">
        <f t="shared" si="1"/>
        <v>36987.221744087859</v>
      </c>
      <c r="D13">
        <f t="shared" si="0"/>
        <v>59179554.790540576</v>
      </c>
    </row>
    <row r="14" spans="1:4" x14ac:dyDescent="0.3">
      <c r="A14">
        <v>2026</v>
      </c>
      <c r="B14" t="s">
        <v>41</v>
      </c>
      <c r="C14">
        <f t="shared" si="1"/>
        <v>40685.943918496647</v>
      </c>
      <c r="D14">
        <f t="shared" si="0"/>
        <v>65097510.26959464</v>
      </c>
    </row>
    <row r="15" spans="1:4" x14ac:dyDescent="0.3">
      <c r="A15">
        <v>2027</v>
      </c>
      <c r="B15" t="s">
        <v>41</v>
      </c>
      <c r="C15">
        <f t="shared" si="1"/>
        <v>44754.538310346317</v>
      </c>
      <c r="D15">
        <f t="shared" si="0"/>
        <v>71607261.296554103</v>
      </c>
    </row>
    <row r="16" spans="1:4" x14ac:dyDescent="0.3">
      <c r="A16">
        <v>2028</v>
      </c>
      <c r="B16" t="s">
        <v>41</v>
      </c>
      <c r="C16">
        <f t="shared" si="1"/>
        <v>49229.99214138095</v>
      </c>
      <c r="D16">
        <f t="shared" si="0"/>
        <v>78767987.426209524</v>
      </c>
    </row>
    <row r="17" spans="1:4" x14ac:dyDescent="0.3">
      <c r="A17">
        <v>2029</v>
      </c>
      <c r="B17" t="s">
        <v>41</v>
      </c>
      <c r="C17">
        <f t="shared" si="1"/>
        <v>54152.991355519051</v>
      </c>
      <c r="D17">
        <f t="shared" si="0"/>
        <v>86644786.168830484</v>
      </c>
    </row>
    <row r="18" spans="1:4" x14ac:dyDescent="0.3">
      <c r="A18">
        <v>2030</v>
      </c>
      <c r="B18" t="s">
        <v>41</v>
      </c>
      <c r="C18">
        <f t="shared" si="1"/>
        <v>59568.290491070962</v>
      </c>
      <c r="D18">
        <f t="shared" si="0"/>
        <v>95309264.785713539</v>
      </c>
    </row>
    <row r="19" spans="1:4" x14ac:dyDescent="0.3">
      <c r="A19">
        <v>2014</v>
      </c>
      <c r="B19" t="s">
        <v>42</v>
      </c>
      <c r="C19">
        <f>'2014'!$T$37</f>
        <v>8447.5137783400787</v>
      </c>
      <c r="D19">
        <f>C19*5*1000</f>
        <v>42237568.891700394</v>
      </c>
    </row>
    <row r="20" spans="1:4" x14ac:dyDescent="0.3">
      <c r="A20">
        <v>2015</v>
      </c>
      <c r="B20" t="s">
        <v>42</v>
      </c>
      <c r="C20">
        <f>'2015'!$T$37</f>
        <v>8489.2358181224008</v>
      </c>
      <c r="D20">
        <f t="shared" ref="D20:D35" si="2">C20*5*1000</f>
        <v>42446179.090612002</v>
      </c>
    </row>
    <row r="21" spans="1:4" x14ac:dyDescent="0.3">
      <c r="A21">
        <v>2016</v>
      </c>
      <c r="B21" t="s">
        <v>42</v>
      </c>
      <c r="C21">
        <f>'2016'!$T$37</f>
        <v>9017.6043279569894</v>
      </c>
      <c r="D21">
        <f t="shared" si="2"/>
        <v>45088021.639784947</v>
      </c>
    </row>
    <row r="22" spans="1:4" x14ac:dyDescent="0.3">
      <c r="A22">
        <v>2017</v>
      </c>
      <c r="B22" t="s">
        <v>42</v>
      </c>
      <c r="C22">
        <f>'2017'!$T$37</f>
        <v>7883.9920769230757</v>
      </c>
      <c r="D22">
        <f t="shared" si="2"/>
        <v>39419960.384615377</v>
      </c>
    </row>
    <row r="23" spans="1:4" x14ac:dyDescent="0.3">
      <c r="A23">
        <v>2018</v>
      </c>
      <c r="B23" t="s">
        <v>42</v>
      </c>
      <c r="C23">
        <f>'2018'!$T$37</f>
        <v>7963.7033333333338</v>
      </c>
      <c r="D23">
        <f t="shared" si="2"/>
        <v>39818516.666666672</v>
      </c>
    </row>
    <row r="24" spans="1:4" x14ac:dyDescent="0.3">
      <c r="A24">
        <v>2019</v>
      </c>
      <c r="B24" t="s">
        <v>42</v>
      </c>
      <c r="C24">
        <f>'2019'!$T$37</f>
        <v>5626.1835697741089</v>
      </c>
      <c r="D24">
        <f t="shared" si="2"/>
        <v>28130917.848870546</v>
      </c>
    </row>
    <row r="25" spans="1:4" x14ac:dyDescent="0.3">
      <c r="A25">
        <v>2020</v>
      </c>
      <c r="B25" t="s">
        <v>42</v>
      </c>
      <c r="C25">
        <f>'2020'!$T$37</f>
        <v>4432.2854166666666</v>
      </c>
      <c r="D25">
        <f t="shared" si="2"/>
        <v>22161427.083333332</v>
      </c>
    </row>
    <row r="26" spans="1:4" x14ac:dyDescent="0.3">
      <c r="A26">
        <v>2021</v>
      </c>
      <c r="B26" t="s">
        <v>42</v>
      </c>
      <c r="C26">
        <f>C24*1.05</f>
        <v>5907.4927482628145</v>
      </c>
      <c r="D26">
        <f t="shared" si="2"/>
        <v>29537463.741314072</v>
      </c>
    </row>
    <row r="27" spans="1:4" x14ac:dyDescent="0.3">
      <c r="A27">
        <v>2022</v>
      </c>
      <c r="B27" t="s">
        <v>42</v>
      </c>
      <c r="C27">
        <f>C26*1.05</f>
        <v>6202.8673856759551</v>
      </c>
      <c r="D27">
        <f t="shared" si="2"/>
        <v>31014336.928379778</v>
      </c>
    </row>
    <row r="28" spans="1:4" x14ac:dyDescent="0.3">
      <c r="A28">
        <v>2023</v>
      </c>
      <c r="B28" t="s">
        <v>42</v>
      </c>
      <c r="C28">
        <f t="shared" ref="C28:C35" si="3">C27*1.05</f>
        <v>6513.0107549597533</v>
      </c>
      <c r="D28">
        <f t="shared" si="2"/>
        <v>32565053.774798766</v>
      </c>
    </row>
    <row r="29" spans="1:4" x14ac:dyDescent="0.3">
      <c r="A29">
        <v>2024</v>
      </c>
      <c r="B29" t="s">
        <v>42</v>
      </c>
      <c r="C29">
        <f t="shared" si="3"/>
        <v>6838.6612927077413</v>
      </c>
      <c r="D29">
        <f t="shared" si="2"/>
        <v>34193306.463538706</v>
      </c>
    </row>
    <row r="30" spans="1:4" x14ac:dyDescent="0.3">
      <c r="A30">
        <v>2025</v>
      </c>
      <c r="B30" t="s">
        <v>42</v>
      </c>
      <c r="C30">
        <f t="shared" si="3"/>
        <v>7180.5943573431286</v>
      </c>
      <c r="D30">
        <f t="shared" si="2"/>
        <v>35902971.786715642</v>
      </c>
    </row>
    <row r="31" spans="1:4" x14ac:dyDescent="0.3">
      <c r="A31">
        <v>2026</v>
      </c>
      <c r="B31" t="s">
        <v>42</v>
      </c>
      <c r="C31">
        <f t="shared" si="3"/>
        <v>7539.6240752102858</v>
      </c>
      <c r="D31">
        <f t="shared" si="2"/>
        <v>37698120.376051433</v>
      </c>
    </row>
    <row r="32" spans="1:4" x14ac:dyDescent="0.3">
      <c r="A32">
        <v>2027</v>
      </c>
      <c r="B32" t="s">
        <v>42</v>
      </c>
      <c r="C32">
        <f t="shared" si="3"/>
        <v>7916.6052789708001</v>
      </c>
      <c r="D32">
        <f t="shared" si="2"/>
        <v>39583026.394854002</v>
      </c>
    </row>
    <row r="33" spans="1:4" x14ac:dyDescent="0.3">
      <c r="A33">
        <v>2028</v>
      </c>
      <c r="B33" t="s">
        <v>42</v>
      </c>
      <c r="C33">
        <f t="shared" si="3"/>
        <v>8312.4355429193402</v>
      </c>
      <c r="D33">
        <f t="shared" si="2"/>
        <v>41562177.714596696</v>
      </c>
    </row>
    <row r="34" spans="1:4" x14ac:dyDescent="0.3">
      <c r="A34">
        <v>2029</v>
      </c>
      <c r="B34" t="s">
        <v>42</v>
      </c>
      <c r="C34">
        <f t="shared" si="3"/>
        <v>8728.0573200653071</v>
      </c>
      <c r="D34">
        <f t="shared" si="2"/>
        <v>43640286.600326538</v>
      </c>
    </row>
    <row r="35" spans="1:4" x14ac:dyDescent="0.3">
      <c r="A35">
        <v>2030</v>
      </c>
      <c r="B35" t="s">
        <v>42</v>
      </c>
      <c r="C35">
        <f t="shared" si="3"/>
        <v>9164.4601860685725</v>
      </c>
      <c r="D35">
        <f t="shared" si="2"/>
        <v>45822300.930342861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2" sqref="F2:F18"/>
    </sheetView>
  </sheetViews>
  <sheetFormatPr defaultRowHeight="14.4" x14ac:dyDescent="0.3"/>
  <cols>
    <col min="2" max="2" width="11" bestFit="1" customWidth="1"/>
    <col min="3" max="3" width="12" bestFit="1" customWidth="1"/>
    <col min="4" max="4" width="11" bestFit="1" customWidth="1"/>
  </cols>
  <sheetData>
    <row r="1" spans="1:6" x14ac:dyDescent="0.3">
      <c r="A1" t="s">
        <v>90</v>
      </c>
      <c r="B1" t="s">
        <v>41</v>
      </c>
      <c r="C1" t="s">
        <v>42</v>
      </c>
      <c r="D1" t="s">
        <v>82</v>
      </c>
      <c r="E1" t="s">
        <v>108</v>
      </c>
      <c r="F1" t="s">
        <v>109</v>
      </c>
    </row>
    <row r="2" spans="1:6" x14ac:dyDescent="0.3">
      <c r="A2">
        <v>2014</v>
      </c>
      <c r="B2">
        <v>41854515.63076923</v>
      </c>
      <c r="C2">
        <v>42237568.891700394</v>
      </c>
      <c r="D2">
        <f>B2+C2</f>
        <v>84092084.522469625</v>
      </c>
      <c r="E2">
        <f>B2/D2</f>
        <v>0.49772241785236748</v>
      </c>
      <c r="F2">
        <f>C2/D2</f>
        <v>0.50227758214763252</v>
      </c>
    </row>
    <row r="3" spans="1:6" x14ac:dyDescent="0.3">
      <c r="A3">
        <v>2015</v>
      </c>
      <c r="B3">
        <v>36408132.282828279</v>
      </c>
      <c r="C3">
        <v>42446179.090612002</v>
      </c>
      <c r="D3">
        <f t="shared" ref="D3:D8" si="0">B3+C3</f>
        <v>78854311.373440281</v>
      </c>
      <c r="E3">
        <f t="shared" ref="E3:E8" si="1">B3/D3</f>
        <v>0.46171390820225044</v>
      </c>
      <c r="F3">
        <f t="shared" ref="F3:F8" si="2">C3/D3</f>
        <v>0.53828609179774956</v>
      </c>
    </row>
    <row r="4" spans="1:6" x14ac:dyDescent="0.3">
      <c r="A4">
        <v>2016</v>
      </c>
      <c r="B4">
        <v>32304662.40000001</v>
      </c>
      <c r="C4">
        <v>45088021.639784947</v>
      </c>
      <c r="D4">
        <f t="shared" si="0"/>
        <v>77392684.039784953</v>
      </c>
      <c r="E4">
        <f t="shared" si="1"/>
        <v>0.41741235364564017</v>
      </c>
      <c r="F4">
        <f t="shared" si="2"/>
        <v>0.58258764635435989</v>
      </c>
    </row>
    <row r="5" spans="1:6" x14ac:dyDescent="0.3">
      <c r="A5">
        <v>2017</v>
      </c>
      <c r="B5">
        <v>34851219.200000003</v>
      </c>
      <c r="C5">
        <v>39419960.384615377</v>
      </c>
      <c r="D5">
        <f t="shared" si="0"/>
        <v>74271179.58461538</v>
      </c>
      <c r="E5">
        <f t="shared" si="1"/>
        <v>0.46924283948250534</v>
      </c>
      <c r="F5">
        <f t="shared" si="2"/>
        <v>0.53075716051749466</v>
      </c>
    </row>
    <row r="6" spans="1:6" x14ac:dyDescent="0.3">
      <c r="A6">
        <v>2018</v>
      </c>
      <c r="B6">
        <v>42047416.998095244</v>
      </c>
      <c r="C6">
        <v>39818516.666666672</v>
      </c>
      <c r="D6">
        <f t="shared" si="0"/>
        <v>81865933.664761916</v>
      </c>
      <c r="E6">
        <f t="shared" si="1"/>
        <v>0.51361311250999619</v>
      </c>
      <c r="F6">
        <f t="shared" si="2"/>
        <v>0.48638688749000386</v>
      </c>
    </row>
    <row r="7" spans="1:6" x14ac:dyDescent="0.3">
      <c r="A7">
        <v>2019</v>
      </c>
      <c r="B7">
        <v>36745847.45859421</v>
      </c>
      <c r="C7">
        <v>28130917.848870546</v>
      </c>
      <c r="D7">
        <f t="shared" si="0"/>
        <v>64876765.307464756</v>
      </c>
      <c r="E7">
        <f t="shared" si="1"/>
        <v>0.56639456798513066</v>
      </c>
      <c r="F7">
        <f t="shared" si="2"/>
        <v>0.4336054320148694</v>
      </c>
    </row>
    <row r="8" spans="1:6" x14ac:dyDescent="0.3">
      <c r="A8">
        <v>2020</v>
      </c>
      <c r="B8">
        <v>27050323.200000003</v>
      </c>
      <c r="C8">
        <v>22161427.083333332</v>
      </c>
      <c r="D8">
        <f t="shared" si="0"/>
        <v>49211750.283333331</v>
      </c>
      <c r="E8">
        <f t="shared" si="1"/>
        <v>0.54967204060533492</v>
      </c>
      <c r="F8">
        <f t="shared" si="2"/>
        <v>0.45032795939466513</v>
      </c>
    </row>
    <row r="9" spans="1:6" x14ac:dyDescent="0.3">
      <c r="A9">
        <v>2021</v>
      </c>
      <c r="B9">
        <f>E9*D9</f>
        <v>40403849.523026422</v>
      </c>
      <c r="C9">
        <f>D9-B9</f>
        <v>30960592.315184817</v>
      </c>
      <c r="D9">
        <f>D7*1.1</f>
        <v>71364441.838211238</v>
      </c>
      <c r="E9">
        <f>E8*1.03</f>
        <v>0.56616220182349497</v>
      </c>
      <c r="F9">
        <f>1-E9</f>
        <v>0.43383779817650503</v>
      </c>
    </row>
    <row r="10" spans="1:6" x14ac:dyDescent="0.3">
      <c r="A10">
        <v>2022</v>
      </c>
      <c r="B10">
        <f t="shared" ref="B10:B18" si="3">E10*D10</f>
        <v>45777561.509588934</v>
      </c>
      <c r="C10">
        <f t="shared" ref="C10:C18" si="4">D10-B10</f>
        <v>32723324.512443431</v>
      </c>
      <c r="D10">
        <f>D9*1.1</f>
        <v>78500886.022032365</v>
      </c>
      <c r="E10">
        <f t="shared" ref="E10:E18" si="5">E9*1.03</f>
        <v>0.58314706787819981</v>
      </c>
      <c r="F10">
        <f t="shared" ref="F10:F18" si="6">1-E10</f>
        <v>0.41685293212180019</v>
      </c>
    </row>
    <row r="11" spans="1:6" x14ac:dyDescent="0.3">
      <c r="A11">
        <v>2023</v>
      </c>
      <c r="B11">
        <f t="shared" si="3"/>
        <v>51865977.190364279</v>
      </c>
      <c r="C11">
        <f t="shared" si="4"/>
        <v>34484997.433871336</v>
      </c>
      <c r="D11">
        <f>D10*1.1</f>
        <v>86350974.624235615</v>
      </c>
      <c r="E11">
        <f t="shared" si="5"/>
        <v>0.60064147991454586</v>
      </c>
      <c r="F11">
        <f t="shared" si="6"/>
        <v>0.39935852008545414</v>
      </c>
    </row>
    <row r="12" spans="1:6" x14ac:dyDescent="0.3">
      <c r="A12">
        <v>2024</v>
      </c>
      <c r="B12">
        <f t="shared" si="3"/>
        <v>58764152.15668273</v>
      </c>
      <c r="C12">
        <f t="shared" si="4"/>
        <v>36221919.929976448</v>
      </c>
      <c r="D12">
        <f t="shared" ref="D12:D18" si="7">D11*1.1</f>
        <v>94986072.086659178</v>
      </c>
      <c r="E12">
        <f t="shared" si="5"/>
        <v>0.61866072431198227</v>
      </c>
      <c r="F12">
        <f t="shared" si="6"/>
        <v>0.38133927568801773</v>
      </c>
    </row>
    <row r="13" spans="1:6" x14ac:dyDescent="0.3">
      <c r="A13">
        <v>2025</v>
      </c>
      <c r="B13">
        <f t="shared" si="3"/>
        <v>66579784.393521532</v>
      </c>
      <c r="C13">
        <f t="shared" si="4"/>
        <v>37904894.901803568</v>
      </c>
      <c r="D13">
        <f t="shared" si="7"/>
        <v>104484679.2953251</v>
      </c>
      <c r="E13">
        <f t="shared" si="5"/>
        <v>0.63722054604134171</v>
      </c>
      <c r="F13">
        <f t="shared" si="6"/>
        <v>0.36277945395865829</v>
      </c>
    </row>
    <row r="14" spans="1:6" x14ac:dyDescent="0.3">
      <c r="A14">
        <v>2026</v>
      </c>
      <c r="B14">
        <f t="shared" si="3"/>
        <v>75434895.717859894</v>
      </c>
      <c r="C14">
        <f t="shared" si="4"/>
        <v>39498251.506997719</v>
      </c>
      <c r="D14">
        <f t="shared" si="7"/>
        <v>114933147.22485761</v>
      </c>
      <c r="E14">
        <f t="shared" si="5"/>
        <v>0.656337162422582</v>
      </c>
      <c r="F14">
        <f t="shared" si="6"/>
        <v>0.343662837577418</v>
      </c>
    </row>
    <row r="15" spans="1:6" x14ac:dyDescent="0.3">
      <c r="A15">
        <v>2027</v>
      </c>
      <c r="B15">
        <f t="shared" si="3"/>
        <v>85467736.848335266</v>
      </c>
      <c r="C15">
        <f t="shared" si="4"/>
        <v>40958725.099008113</v>
      </c>
      <c r="D15">
        <f t="shared" si="7"/>
        <v>126426461.94734338</v>
      </c>
      <c r="E15">
        <f t="shared" si="5"/>
        <v>0.67602727729525947</v>
      </c>
      <c r="F15">
        <f t="shared" si="6"/>
        <v>0.32397272270474053</v>
      </c>
    </row>
    <row r="16" spans="1:6" x14ac:dyDescent="0.3">
      <c r="A16">
        <v>2028</v>
      </c>
      <c r="B16">
        <f t="shared" si="3"/>
        <v>96834945.84916386</v>
      </c>
      <c r="C16">
        <f t="shared" si="4"/>
        <v>42234162.292913854</v>
      </c>
      <c r="D16">
        <f t="shared" si="7"/>
        <v>139069108.14207771</v>
      </c>
      <c r="E16">
        <f t="shared" si="5"/>
        <v>0.69630809561411722</v>
      </c>
      <c r="F16">
        <f t="shared" si="6"/>
        <v>0.30369190438588278</v>
      </c>
    </row>
    <row r="17" spans="1:6" x14ac:dyDescent="0.3">
      <c r="A17">
        <v>2029</v>
      </c>
      <c r="B17">
        <f t="shared" si="3"/>
        <v>109713993.64710267</v>
      </c>
      <c r="C17">
        <f t="shared" si="4"/>
        <v>43262025.309182838</v>
      </c>
      <c r="D17">
        <f t="shared" si="7"/>
        <v>152976018.95628551</v>
      </c>
      <c r="E17">
        <f t="shared" si="5"/>
        <v>0.71719733848254075</v>
      </c>
      <c r="F17">
        <f t="shared" si="6"/>
        <v>0.28280266151745925</v>
      </c>
    </row>
    <row r="18" spans="1:6" x14ac:dyDescent="0.3">
      <c r="A18">
        <v>2030</v>
      </c>
      <c r="B18">
        <f t="shared" si="3"/>
        <v>124305954.80216734</v>
      </c>
      <c r="C18">
        <f t="shared" si="4"/>
        <v>43967666.049746737</v>
      </c>
      <c r="D18">
        <f t="shared" si="7"/>
        <v>168273620.85191408</v>
      </c>
      <c r="E18">
        <f t="shared" si="5"/>
        <v>0.73871325863701698</v>
      </c>
      <c r="F18">
        <f t="shared" si="6"/>
        <v>0.26128674136298302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7" workbookViewId="0">
      <selection activeCell="I13" sqref="I13"/>
    </sheetView>
  </sheetViews>
  <sheetFormatPr defaultRowHeight="14.4" x14ac:dyDescent="0.3"/>
  <sheetData>
    <row r="1" spans="1:4" x14ac:dyDescent="0.3">
      <c r="A1" t="s">
        <v>90</v>
      </c>
      <c r="B1" t="s">
        <v>83</v>
      </c>
      <c r="C1" t="s">
        <v>91</v>
      </c>
      <c r="D1" t="s">
        <v>110</v>
      </c>
    </row>
    <row r="2" spans="1:4" x14ac:dyDescent="0.3">
      <c r="A2">
        <v>2014</v>
      </c>
      <c r="B2" t="s">
        <v>41</v>
      </c>
      <c r="C2">
        <v>41854515.63076923</v>
      </c>
      <c r="D2">
        <v>0.49772241785236748</v>
      </c>
    </row>
    <row r="3" spans="1:4" x14ac:dyDescent="0.3">
      <c r="A3">
        <v>2015</v>
      </c>
      <c r="B3" t="s">
        <v>41</v>
      </c>
      <c r="C3">
        <v>36408132.282828279</v>
      </c>
      <c r="D3">
        <v>0.46171390820225044</v>
      </c>
    </row>
    <row r="4" spans="1:4" x14ac:dyDescent="0.3">
      <c r="A4">
        <v>2016</v>
      </c>
      <c r="B4" t="s">
        <v>41</v>
      </c>
      <c r="C4">
        <v>32304662.40000001</v>
      </c>
      <c r="D4">
        <v>0.41741235364564017</v>
      </c>
    </row>
    <row r="5" spans="1:4" x14ac:dyDescent="0.3">
      <c r="A5">
        <v>2017</v>
      </c>
      <c r="B5" t="s">
        <v>41</v>
      </c>
      <c r="C5">
        <v>34851219.200000003</v>
      </c>
      <c r="D5">
        <v>0.46924283948250534</v>
      </c>
    </row>
    <row r="6" spans="1:4" x14ac:dyDescent="0.3">
      <c r="A6">
        <v>2018</v>
      </c>
      <c r="B6" t="s">
        <v>41</v>
      </c>
      <c r="C6">
        <v>42047416.998095244</v>
      </c>
      <c r="D6">
        <v>0.51361311250999619</v>
      </c>
    </row>
    <row r="7" spans="1:4" x14ac:dyDescent="0.3">
      <c r="A7">
        <v>2019</v>
      </c>
      <c r="B7" t="s">
        <v>41</v>
      </c>
      <c r="C7">
        <v>36745847.45859421</v>
      </c>
      <c r="D7">
        <v>0.56639456798513066</v>
      </c>
    </row>
    <row r="8" spans="1:4" x14ac:dyDescent="0.3">
      <c r="A8">
        <v>2020</v>
      </c>
      <c r="B8" t="s">
        <v>41</v>
      </c>
      <c r="C8">
        <v>27050323.200000003</v>
      </c>
      <c r="D8">
        <v>0.54967204060533492</v>
      </c>
    </row>
    <row r="9" spans="1:4" x14ac:dyDescent="0.3">
      <c r="A9">
        <v>2021</v>
      </c>
      <c r="B9" t="s">
        <v>41</v>
      </c>
      <c r="C9">
        <v>40403849.523026422</v>
      </c>
      <c r="D9">
        <v>0.56616220182349497</v>
      </c>
    </row>
    <row r="10" spans="1:4" x14ac:dyDescent="0.3">
      <c r="A10">
        <v>2022</v>
      </c>
      <c r="B10" t="s">
        <v>41</v>
      </c>
      <c r="C10">
        <v>45777561.509588934</v>
      </c>
      <c r="D10">
        <v>0.58314706787819981</v>
      </c>
    </row>
    <row r="11" spans="1:4" x14ac:dyDescent="0.3">
      <c r="A11">
        <v>2023</v>
      </c>
      <c r="B11" t="s">
        <v>41</v>
      </c>
      <c r="C11">
        <v>51865977.190364279</v>
      </c>
      <c r="D11">
        <v>0.60064147991454586</v>
      </c>
    </row>
    <row r="12" spans="1:4" x14ac:dyDescent="0.3">
      <c r="A12">
        <v>2024</v>
      </c>
      <c r="B12" t="s">
        <v>41</v>
      </c>
      <c r="C12">
        <v>58764152.15668273</v>
      </c>
      <c r="D12">
        <v>0.61866072431198227</v>
      </c>
    </row>
    <row r="13" spans="1:4" x14ac:dyDescent="0.3">
      <c r="A13">
        <v>2025</v>
      </c>
      <c r="B13" t="s">
        <v>41</v>
      </c>
      <c r="C13">
        <v>66579784.393521532</v>
      </c>
      <c r="D13">
        <v>0.63722054604134171</v>
      </c>
    </row>
    <row r="14" spans="1:4" x14ac:dyDescent="0.3">
      <c r="A14">
        <v>2026</v>
      </c>
      <c r="B14" t="s">
        <v>41</v>
      </c>
      <c r="C14">
        <v>75434895.717859894</v>
      </c>
      <c r="D14">
        <v>0.656337162422582</v>
      </c>
    </row>
    <row r="15" spans="1:4" x14ac:dyDescent="0.3">
      <c r="A15">
        <v>2027</v>
      </c>
      <c r="B15" t="s">
        <v>41</v>
      </c>
      <c r="C15">
        <v>85467736.848335266</v>
      </c>
      <c r="D15">
        <v>0.67602727729525947</v>
      </c>
    </row>
    <row r="16" spans="1:4" x14ac:dyDescent="0.3">
      <c r="A16">
        <v>2028</v>
      </c>
      <c r="B16" t="s">
        <v>41</v>
      </c>
      <c r="C16">
        <v>96834945.84916386</v>
      </c>
      <c r="D16">
        <v>0.69630809561411722</v>
      </c>
    </row>
    <row r="17" spans="1:4" x14ac:dyDescent="0.3">
      <c r="A17">
        <v>2029</v>
      </c>
      <c r="B17" t="s">
        <v>41</v>
      </c>
      <c r="C17">
        <v>109713993.64710267</v>
      </c>
      <c r="D17">
        <v>0.71719733848254075</v>
      </c>
    </row>
    <row r="18" spans="1:4" x14ac:dyDescent="0.3">
      <c r="A18">
        <v>2030</v>
      </c>
      <c r="B18" t="s">
        <v>41</v>
      </c>
      <c r="C18">
        <v>124305954.80216734</v>
      </c>
      <c r="D18">
        <v>0.73871325863701698</v>
      </c>
    </row>
    <row r="19" spans="1:4" x14ac:dyDescent="0.3">
      <c r="A19">
        <v>2014</v>
      </c>
      <c r="B19" t="s">
        <v>42</v>
      </c>
      <c r="C19">
        <v>42237568.891700394</v>
      </c>
      <c r="D19">
        <v>0.50227758214763252</v>
      </c>
    </row>
    <row r="20" spans="1:4" x14ac:dyDescent="0.3">
      <c r="A20">
        <v>2015</v>
      </c>
      <c r="B20" t="s">
        <v>42</v>
      </c>
      <c r="C20">
        <v>42446179.090612002</v>
      </c>
      <c r="D20">
        <v>0.53828609179774956</v>
      </c>
    </row>
    <row r="21" spans="1:4" x14ac:dyDescent="0.3">
      <c r="A21">
        <v>2016</v>
      </c>
      <c r="B21" t="s">
        <v>42</v>
      </c>
      <c r="C21">
        <v>45088021.639784947</v>
      </c>
      <c r="D21">
        <v>0.58258764635435989</v>
      </c>
    </row>
    <row r="22" spans="1:4" x14ac:dyDescent="0.3">
      <c r="A22">
        <v>2017</v>
      </c>
      <c r="B22" t="s">
        <v>42</v>
      </c>
      <c r="C22">
        <v>39419960.384615377</v>
      </c>
      <c r="D22">
        <v>0.53075716051749466</v>
      </c>
    </row>
    <row r="23" spans="1:4" x14ac:dyDescent="0.3">
      <c r="A23">
        <v>2018</v>
      </c>
      <c r="B23" t="s">
        <v>42</v>
      </c>
      <c r="C23">
        <v>39818516.666666672</v>
      </c>
      <c r="D23">
        <v>0.48638688749000386</v>
      </c>
    </row>
    <row r="24" spans="1:4" x14ac:dyDescent="0.3">
      <c r="A24">
        <v>2019</v>
      </c>
      <c r="B24" t="s">
        <v>42</v>
      </c>
      <c r="C24">
        <v>28130917.848870546</v>
      </c>
      <c r="D24">
        <v>0.4336054320148694</v>
      </c>
    </row>
    <row r="25" spans="1:4" x14ac:dyDescent="0.3">
      <c r="A25">
        <v>2020</v>
      </c>
      <c r="B25" t="s">
        <v>42</v>
      </c>
      <c r="C25">
        <v>22161427.083333332</v>
      </c>
      <c r="D25">
        <v>0.45032795939466513</v>
      </c>
    </row>
    <row r="26" spans="1:4" x14ac:dyDescent="0.3">
      <c r="A26">
        <v>2021</v>
      </c>
      <c r="B26" t="s">
        <v>42</v>
      </c>
      <c r="C26">
        <v>30960592.315184817</v>
      </c>
      <c r="D26">
        <v>0.43383779817650503</v>
      </c>
    </row>
    <row r="27" spans="1:4" x14ac:dyDescent="0.3">
      <c r="A27">
        <v>2022</v>
      </c>
      <c r="B27" t="s">
        <v>42</v>
      </c>
      <c r="C27">
        <v>32723324.512443431</v>
      </c>
      <c r="D27">
        <v>0.41685293212180019</v>
      </c>
    </row>
    <row r="28" spans="1:4" x14ac:dyDescent="0.3">
      <c r="A28">
        <v>2023</v>
      </c>
      <c r="B28" t="s">
        <v>42</v>
      </c>
      <c r="C28">
        <v>34484997.433871336</v>
      </c>
      <c r="D28">
        <v>0.39935852008545414</v>
      </c>
    </row>
    <row r="29" spans="1:4" x14ac:dyDescent="0.3">
      <c r="A29">
        <v>2024</v>
      </c>
      <c r="B29" t="s">
        <v>42</v>
      </c>
      <c r="C29">
        <v>36221919.929976448</v>
      </c>
      <c r="D29">
        <v>0.38133927568801773</v>
      </c>
    </row>
    <row r="30" spans="1:4" x14ac:dyDescent="0.3">
      <c r="A30">
        <v>2025</v>
      </c>
      <c r="B30" t="s">
        <v>42</v>
      </c>
      <c r="C30">
        <v>37904894.901803568</v>
      </c>
      <c r="D30">
        <v>0.36277945395865829</v>
      </c>
    </row>
    <row r="31" spans="1:4" x14ac:dyDescent="0.3">
      <c r="A31">
        <v>2026</v>
      </c>
      <c r="B31" t="s">
        <v>42</v>
      </c>
      <c r="C31">
        <v>39498251.506997719</v>
      </c>
      <c r="D31">
        <v>0.343662837577418</v>
      </c>
    </row>
    <row r="32" spans="1:4" x14ac:dyDescent="0.3">
      <c r="A32">
        <v>2027</v>
      </c>
      <c r="B32" t="s">
        <v>42</v>
      </c>
      <c r="C32">
        <v>40958725.099008113</v>
      </c>
      <c r="D32">
        <v>0.32397272270474053</v>
      </c>
    </row>
    <row r="33" spans="1:4" x14ac:dyDescent="0.3">
      <c r="A33">
        <v>2028</v>
      </c>
      <c r="B33" t="s">
        <v>42</v>
      </c>
      <c r="C33">
        <v>42234162.292913854</v>
      </c>
      <c r="D33">
        <v>0.30369190438588278</v>
      </c>
    </row>
    <row r="34" spans="1:4" x14ac:dyDescent="0.3">
      <c r="A34">
        <v>2029</v>
      </c>
      <c r="B34" t="s">
        <v>42</v>
      </c>
      <c r="C34">
        <v>43262025.309182838</v>
      </c>
      <c r="D34">
        <v>0.28280266151745925</v>
      </c>
    </row>
    <row r="35" spans="1:4" x14ac:dyDescent="0.3">
      <c r="A35">
        <v>2030</v>
      </c>
      <c r="B35" t="s">
        <v>42</v>
      </c>
      <c r="C35">
        <v>43967666.049746737</v>
      </c>
      <c r="D35">
        <v>0.26128674136298302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2" sqref="G2"/>
    </sheetView>
  </sheetViews>
  <sheetFormatPr defaultRowHeight="14.4" x14ac:dyDescent="0.3"/>
  <sheetData>
    <row r="1" spans="1:7" x14ac:dyDescent="0.3">
      <c r="A1" t="s">
        <v>90</v>
      </c>
      <c r="B1" t="s">
        <v>83</v>
      </c>
      <c r="C1" t="s">
        <v>91</v>
      </c>
      <c r="D1" t="s">
        <v>110</v>
      </c>
      <c r="G1">
        <f>30.6+13+19.2+0.8</f>
        <v>63.599999999999994</v>
      </c>
    </row>
    <row r="2" spans="1:7" x14ac:dyDescent="0.3">
      <c r="A2">
        <v>2014</v>
      </c>
      <c r="B2" t="s">
        <v>41</v>
      </c>
      <c r="C2">
        <v>41854515.63076923</v>
      </c>
      <c r="D2">
        <v>0.49772241785236748</v>
      </c>
    </row>
    <row r="3" spans="1:7" x14ac:dyDescent="0.3">
      <c r="A3">
        <v>2015</v>
      </c>
      <c r="B3" t="s">
        <v>41</v>
      </c>
      <c r="C3">
        <v>36408132.282828279</v>
      </c>
      <c r="D3">
        <v>0.46171390820225044</v>
      </c>
    </row>
    <row r="4" spans="1:7" x14ac:dyDescent="0.3">
      <c r="A4">
        <v>2016</v>
      </c>
      <c r="B4" t="s">
        <v>41</v>
      </c>
      <c r="C4">
        <v>32304662.40000001</v>
      </c>
      <c r="D4">
        <v>0.41741235364564017</v>
      </c>
    </row>
    <row r="5" spans="1:7" x14ac:dyDescent="0.3">
      <c r="A5">
        <v>2017</v>
      </c>
      <c r="B5" t="s">
        <v>41</v>
      </c>
      <c r="C5">
        <v>34851219.200000003</v>
      </c>
      <c r="D5">
        <v>0.46924283948250534</v>
      </c>
    </row>
    <row r="6" spans="1:7" x14ac:dyDescent="0.3">
      <c r="A6">
        <v>2018</v>
      </c>
      <c r="B6" t="s">
        <v>41</v>
      </c>
      <c r="C6">
        <v>42047416.998095244</v>
      </c>
      <c r="D6">
        <v>0.51361311250999619</v>
      </c>
    </row>
    <row r="7" spans="1:7" x14ac:dyDescent="0.3">
      <c r="A7">
        <v>2019</v>
      </c>
      <c r="B7" t="s">
        <v>41</v>
      </c>
      <c r="C7">
        <v>36745847.45859421</v>
      </c>
      <c r="D7">
        <v>0.56639456798513066</v>
      </c>
    </row>
    <row r="8" spans="1:7" x14ac:dyDescent="0.3">
      <c r="A8">
        <v>2020</v>
      </c>
      <c r="B8" t="s">
        <v>41</v>
      </c>
      <c r="C8">
        <v>27050323.200000003</v>
      </c>
      <c r="D8">
        <v>0.54967204060533492</v>
      </c>
    </row>
    <row r="9" spans="1:7" x14ac:dyDescent="0.3">
      <c r="A9">
        <v>2021</v>
      </c>
      <c r="B9" t="s">
        <v>41</v>
      </c>
      <c r="C9">
        <v>42240388.137709431</v>
      </c>
      <c r="D9">
        <v>0.56616220182349497</v>
      </c>
    </row>
    <row r="10" spans="1:7" x14ac:dyDescent="0.3">
      <c r="A10">
        <v>2022</v>
      </c>
      <c r="B10" t="s">
        <v>41</v>
      </c>
      <c r="C10">
        <v>50033739.749116823</v>
      </c>
      <c r="D10">
        <v>0.58314706787819981</v>
      </c>
    </row>
    <row r="11" spans="1:7" x14ac:dyDescent="0.3">
      <c r="A11">
        <v>2023</v>
      </c>
      <c r="B11" t="s">
        <v>41</v>
      </c>
      <c r="C11">
        <v>59264964.73282887</v>
      </c>
      <c r="D11">
        <v>0.60064147991454586</v>
      </c>
    </row>
    <row r="12" spans="1:7" x14ac:dyDescent="0.3">
      <c r="A12">
        <v>2024</v>
      </c>
      <c r="B12" t="s">
        <v>41</v>
      </c>
      <c r="C12">
        <v>70199350.726035789</v>
      </c>
      <c r="D12">
        <v>0.61866072431198227</v>
      </c>
    </row>
    <row r="13" spans="1:7" x14ac:dyDescent="0.3">
      <c r="A13">
        <v>2025</v>
      </c>
      <c r="B13" t="s">
        <v>41</v>
      </c>
      <c r="C13">
        <v>83151130.934989378</v>
      </c>
      <c r="D13">
        <v>0.63722054604134171</v>
      </c>
    </row>
    <row r="14" spans="1:7" x14ac:dyDescent="0.3">
      <c r="A14">
        <v>2026</v>
      </c>
      <c r="B14" t="s">
        <v>41</v>
      </c>
      <c r="C14">
        <v>98492514.59249492</v>
      </c>
      <c r="D14">
        <v>0.656337162422582</v>
      </c>
    </row>
    <row r="15" spans="1:7" x14ac:dyDescent="0.3">
      <c r="A15">
        <v>2027</v>
      </c>
      <c r="B15" t="s">
        <v>41</v>
      </c>
      <c r="C15">
        <v>116664383.53481023</v>
      </c>
      <c r="D15">
        <v>0.67602727729525947</v>
      </c>
    </row>
    <row r="16" spans="1:7" x14ac:dyDescent="0.3">
      <c r="A16">
        <v>2028</v>
      </c>
      <c r="B16" t="s">
        <v>41</v>
      </c>
      <c r="C16">
        <v>138188962.29698271</v>
      </c>
      <c r="D16">
        <v>0.69630809561411722</v>
      </c>
    </row>
    <row r="17" spans="1:4" x14ac:dyDescent="0.3">
      <c r="A17">
        <v>2029</v>
      </c>
      <c r="B17" t="s">
        <v>41</v>
      </c>
      <c r="C17">
        <v>163684825.840776</v>
      </c>
      <c r="D17">
        <v>0.71719733848254075</v>
      </c>
    </row>
    <row r="18" spans="1:4" x14ac:dyDescent="0.3">
      <c r="A18">
        <v>2030</v>
      </c>
      <c r="B18" t="s">
        <v>41</v>
      </c>
      <c r="C18">
        <v>193884676.20839915</v>
      </c>
      <c r="D18">
        <v>0.73871325863701698</v>
      </c>
    </row>
    <row r="19" spans="1:4" x14ac:dyDescent="0.3">
      <c r="A19">
        <v>2014</v>
      </c>
      <c r="B19" t="s">
        <v>42</v>
      </c>
      <c r="C19">
        <v>42237568.891700394</v>
      </c>
      <c r="D19">
        <v>0.50227758214763252</v>
      </c>
    </row>
    <row r="20" spans="1:4" x14ac:dyDescent="0.3">
      <c r="A20">
        <v>2015</v>
      </c>
      <c r="B20" t="s">
        <v>42</v>
      </c>
      <c r="C20">
        <v>42446179.090612002</v>
      </c>
      <c r="D20">
        <v>0.53828609179774956</v>
      </c>
    </row>
    <row r="21" spans="1:4" x14ac:dyDescent="0.3">
      <c r="A21">
        <v>2016</v>
      </c>
      <c r="B21" t="s">
        <v>42</v>
      </c>
      <c r="C21">
        <v>45088021.639784947</v>
      </c>
      <c r="D21">
        <v>0.58258764635435989</v>
      </c>
    </row>
    <row r="22" spans="1:4" x14ac:dyDescent="0.3">
      <c r="A22">
        <v>2017</v>
      </c>
      <c r="B22" t="s">
        <v>42</v>
      </c>
      <c r="C22">
        <v>39419960.384615377</v>
      </c>
      <c r="D22">
        <v>0.53075716051749466</v>
      </c>
    </row>
    <row r="23" spans="1:4" x14ac:dyDescent="0.3">
      <c r="A23">
        <v>2018</v>
      </c>
      <c r="B23" t="s">
        <v>42</v>
      </c>
      <c r="C23">
        <v>39818516.666666672</v>
      </c>
      <c r="D23">
        <v>0.48638688749000386</v>
      </c>
    </row>
    <row r="24" spans="1:4" x14ac:dyDescent="0.3">
      <c r="A24">
        <v>2019</v>
      </c>
      <c r="B24" t="s">
        <v>42</v>
      </c>
      <c r="C24">
        <v>28130917.848870546</v>
      </c>
      <c r="D24">
        <v>0.4336054320148694</v>
      </c>
    </row>
    <row r="25" spans="1:4" x14ac:dyDescent="0.3">
      <c r="A25">
        <v>2020</v>
      </c>
      <c r="B25" t="s">
        <v>42</v>
      </c>
      <c r="C25">
        <v>22161427.083333332</v>
      </c>
      <c r="D25">
        <v>0.45032795939466513</v>
      </c>
    </row>
    <row r="26" spans="1:4" x14ac:dyDescent="0.3">
      <c r="A26">
        <v>2021</v>
      </c>
      <c r="B26" t="s">
        <v>42</v>
      </c>
      <c r="C26">
        <v>32367891.965875037</v>
      </c>
      <c r="D26">
        <v>0.43383779817650503</v>
      </c>
    </row>
    <row r="27" spans="1:4" x14ac:dyDescent="0.3">
      <c r="A27">
        <v>2022</v>
      </c>
      <c r="B27" t="s">
        <v>42</v>
      </c>
      <c r="C27">
        <v>35765782.37000531</v>
      </c>
      <c r="D27">
        <v>0.41685293212180019</v>
      </c>
    </row>
    <row r="28" spans="1:4" x14ac:dyDescent="0.3">
      <c r="A28">
        <v>2023</v>
      </c>
      <c r="B28" t="s">
        <v>42</v>
      </c>
      <c r="C28">
        <v>39404485.704161569</v>
      </c>
      <c r="D28">
        <v>0.39935852008545414</v>
      </c>
    </row>
    <row r="29" spans="1:4" x14ac:dyDescent="0.3">
      <c r="A29">
        <v>2024</v>
      </c>
      <c r="B29" t="s">
        <v>42</v>
      </c>
      <c r="C29">
        <v>43270517.276503205</v>
      </c>
      <c r="D29">
        <v>0.38133927568801773</v>
      </c>
    </row>
    <row r="30" spans="1:4" x14ac:dyDescent="0.3">
      <c r="A30">
        <v>2025</v>
      </c>
      <c r="B30" t="s">
        <v>42</v>
      </c>
      <c r="C30">
        <v>47339217.267930448</v>
      </c>
      <c r="D30">
        <v>0.36277945395865829</v>
      </c>
    </row>
    <row r="31" spans="1:4" x14ac:dyDescent="0.3">
      <c r="A31">
        <v>2026</v>
      </c>
      <c r="B31" t="s">
        <v>42</v>
      </c>
      <c r="C31">
        <v>51571385.840862855</v>
      </c>
      <c r="D31">
        <v>0.343662837577418</v>
      </c>
    </row>
    <row r="32" spans="1:4" x14ac:dyDescent="0.3">
      <c r="A32">
        <v>2027</v>
      </c>
      <c r="B32" t="s">
        <v>42</v>
      </c>
      <c r="C32">
        <v>55909101.963551208</v>
      </c>
      <c r="D32">
        <v>0.32397272270474053</v>
      </c>
    </row>
    <row r="33" spans="1:4" x14ac:dyDescent="0.3">
      <c r="A33">
        <v>2028</v>
      </c>
      <c r="B33" t="s">
        <v>42</v>
      </c>
      <c r="C33">
        <v>60270546.026132941</v>
      </c>
      <c r="D33">
        <v>0.30369190438588278</v>
      </c>
    </row>
    <row r="34" spans="1:4" x14ac:dyDescent="0.3">
      <c r="A34">
        <v>2029</v>
      </c>
      <c r="B34" t="s">
        <v>42</v>
      </c>
      <c r="C34">
        <v>64543608.730806977</v>
      </c>
      <c r="D34">
        <v>0.28280266151745925</v>
      </c>
    </row>
    <row r="35" spans="1:4" x14ac:dyDescent="0.3">
      <c r="A35">
        <v>2030</v>
      </c>
      <c r="B35" t="s">
        <v>42</v>
      </c>
      <c r="C35">
        <v>68578023.548921257</v>
      </c>
      <c r="D35">
        <v>0.26128674136298302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2" sqref="F2:F18"/>
    </sheetView>
  </sheetViews>
  <sheetFormatPr defaultRowHeight="14.4" x14ac:dyDescent="0.3"/>
  <cols>
    <col min="4" max="4" width="11" bestFit="1" customWidth="1"/>
  </cols>
  <sheetData>
    <row r="1" spans="1:6" x14ac:dyDescent="0.3">
      <c r="A1" t="s">
        <v>90</v>
      </c>
      <c r="B1" t="s">
        <v>41</v>
      </c>
      <c r="C1" t="s">
        <v>42</v>
      </c>
      <c r="D1" t="s">
        <v>82</v>
      </c>
      <c r="E1" t="s">
        <v>108</v>
      </c>
      <c r="F1" t="s">
        <v>109</v>
      </c>
    </row>
    <row r="2" spans="1:6" x14ac:dyDescent="0.3">
      <c r="A2">
        <v>2014</v>
      </c>
      <c r="B2">
        <v>41854515.63076923</v>
      </c>
      <c r="C2">
        <v>42237568.891700394</v>
      </c>
      <c r="D2">
        <f>B2+C2</f>
        <v>84092084.522469625</v>
      </c>
      <c r="E2">
        <f>B2/D2</f>
        <v>0.49772241785236748</v>
      </c>
      <c r="F2">
        <f>C2/D2</f>
        <v>0.50227758214763252</v>
      </c>
    </row>
    <row r="3" spans="1:6" x14ac:dyDescent="0.3">
      <c r="A3">
        <v>2015</v>
      </c>
      <c r="B3">
        <v>36408132.282828279</v>
      </c>
      <c r="C3">
        <v>42446179.090612002</v>
      </c>
      <c r="D3">
        <f t="shared" ref="D3:D8" si="0">B3+C3</f>
        <v>78854311.373440281</v>
      </c>
      <c r="E3">
        <f t="shared" ref="E3:E8" si="1">B3/D3</f>
        <v>0.46171390820225044</v>
      </c>
      <c r="F3">
        <f t="shared" ref="F3:F8" si="2">C3/D3</f>
        <v>0.53828609179774956</v>
      </c>
    </row>
    <row r="4" spans="1:6" x14ac:dyDescent="0.3">
      <c r="A4">
        <v>2016</v>
      </c>
      <c r="B4">
        <v>32304662.40000001</v>
      </c>
      <c r="C4">
        <v>45088021.639784947</v>
      </c>
      <c r="D4">
        <f t="shared" si="0"/>
        <v>77392684.039784953</v>
      </c>
      <c r="E4">
        <f t="shared" si="1"/>
        <v>0.41741235364564017</v>
      </c>
      <c r="F4">
        <f t="shared" si="2"/>
        <v>0.58258764635435989</v>
      </c>
    </row>
    <row r="5" spans="1:6" x14ac:dyDescent="0.3">
      <c r="A5">
        <v>2017</v>
      </c>
      <c r="B5">
        <v>34851219.200000003</v>
      </c>
      <c r="C5">
        <v>39419960.384615377</v>
      </c>
      <c r="D5">
        <f t="shared" si="0"/>
        <v>74271179.58461538</v>
      </c>
      <c r="E5">
        <f t="shared" si="1"/>
        <v>0.46924283948250534</v>
      </c>
      <c r="F5">
        <f t="shared" si="2"/>
        <v>0.53075716051749466</v>
      </c>
    </row>
    <row r="6" spans="1:6" x14ac:dyDescent="0.3">
      <c r="A6">
        <v>2018</v>
      </c>
      <c r="B6">
        <v>42047416.998095244</v>
      </c>
      <c r="C6">
        <v>39818516.666666672</v>
      </c>
      <c r="D6">
        <f t="shared" si="0"/>
        <v>81865933.664761916</v>
      </c>
      <c r="E6">
        <f t="shared" si="1"/>
        <v>0.51361311250999619</v>
      </c>
      <c r="F6">
        <f t="shared" si="2"/>
        <v>0.48638688749000386</v>
      </c>
    </row>
    <row r="7" spans="1:6" x14ac:dyDescent="0.3">
      <c r="A7">
        <v>2019</v>
      </c>
      <c r="B7">
        <v>36745847.45859421</v>
      </c>
      <c r="C7">
        <v>28130917.848870546</v>
      </c>
      <c r="D7">
        <f t="shared" si="0"/>
        <v>64876765.307464756</v>
      </c>
      <c r="E7">
        <f t="shared" si="1"/>
        <v>0.56639456798513066</v>
      </c>
      <c r="F7">
        <f t="shared" si="2"/>
        <v>0.4336054320148694</v>
      </c>
    </row>
    <row r="8" spans="1:6" x14ac:dyDescent="0.3">
      <c r="A8">
        <v>2020</v>
      </c>
      <c r="B8">
        <v>27050323.200000003</v>
      </c>
      <c r="C8">
        <v>22161427.083333332</v>
      </c>
      <c r="D8">
        <f t="shared" si="0"/>
        <v>49211750.283333331</v>
      </c>
      <c r="E8">
        <f t="shared" si="1"/>
        <v>0.54967204060533492</v>
      </c>
      <c r="F8">
        <f t="shared" si="2"/>
        <v>0.45032795939466513</v>
      </c>
    </row>
    <row r="9" spans="1:6" x14ac:dyDescent="0.3">
      <c r="A9">
        <v>2021</v>
      </c>
      <c r="B9">
        <f>E9*D9</f>
        <v>42240388.137709431</v>
      </c>
      <c r="C9">
        <f>D9-B9</f>
        <v>32367891.965875037</v>
      </c>
      <c r="D9">
        <f>D7*1.15</f>
        <v>74608280.103584468</v>
      </c>
      <c r="E9">
        <f>E8*1.03</f>
        <v>0.56616220182349497</v>
      </c>
      <c r="F9">
        <f>1-E9</f>
        <v>0.43383779817650503</v>
      </c>
    </row>
    <row r="10" spans="1:6" x14ac:dyDescent="0.3">
      <c r="A10">
        <v>2022</v>
      </c>
      <c r="B10">
        <f t="shared" ref="B10:B18" si="3">E10*D10</f>
        <v>50033739.749116823</v>
      </c>
      <c r="C10">
        <f t="shared" ref="C10:C18" si="4">D10-B10</f>
        <v>35765782.37000531</v>
      </c>
      <c r="D10">
        <f>D9*1.15</f>
        <v>85799522.119122133</v>
      </c>
      <c r="E10">
        <f t="shared" ref="E10:E18" si="5">E9*1.03</f>
        <v>0.58314706787819981</v>
      </c>
      <c r="F10">
        <f t="shared" ref="F10:F18" si="6">1-E10</f>
        <v>0.41685293212180019</v>
      </c>
    </row>
    <row r="11" spans="1:6" x14ac:dyDescent="0.3">
      <c r="A11">
        <v>2023</v>
      </c>
      <c r="B11">
        <f t="shared" si="3"/>
        <v>59264964.73282887</v>
      </c>
      <c r="C11">
        <f t="shared" si="4"/>
        <v>39404485.704161569</v>
      </c>
      <c r="D11">
        <f>D10*1.15</f>
        <v>98669450.43699044</v>
      </c>
      <c r="E11">
        <f t="shared" si="5"/>
        <v>0.60064147991454586</v>
      </c>
      <c r="F11">
        <f t="shared" si="6"/>
        <v>0.39935852008545414</v>
      </c>
    </row>
    <row r="12" spans="1:6" x14ac:dyDescent="0.3">
      <c r="A12">
        <v>2024</v>
      </c>
      <c r="B12">
        <f t="shared" si="3"/>
        <v>70199350.726035789</v>
      </c>
      <c r="C12">
        <f t="shared" si="4"/>
        <v>43270517.276503205</v>
      </c>
      <c r="D12">
        <f t="shared" ref="D12:D18" si="7">D11*1.15</f>
        <v>113469868.00253899</v>
      </c>
      <c r="E12">
        <f t="shared" si="5"/>
        <v>0.61866072431198227</v>
      </c>
      <c r="F12">
        <f t="shared" si="6"/>
        <v>0.38133927568801773</v>
      </c>
    </row>
    <row r="13" spans="1:6" x14ac:dyDescent="0.3">
      <c r="A13">
        <v>2025</v>
      </c>
      <c r="B13">
        <f t="shared" si="3"/>
        <v>83151130.934989378</v>
      </c>
      <c r="C13">
        <f t="shared" si="4"/>
        <v>47339217.267930448</v>
      </c>
      <c r="D13">
        <f t="shared" si="7"/>
        <v>130490348.20291983</v>
      </c>
      <c r="E13">
        <f t="shared" si="5"/>
        <v>0.63722054604134171</v>
      </c>
      <c r="F13">
        <f t="shared" si="6"/>
        <v>0.36277945395865829</v>
      </c>
    </row>
    <row r="14" spans="1:6" x14ac:dyDescent="0.3">
      <c r="A14">
        <v>2026</v>
      </c>
      <c r="B14">
        <f t="shared" si="3"/>
        <v>98492514.59249492</v>
      </c>
      <c r="C14">
        <f t="shared" si="4"/>
        <v>51571385.840862855</v>
      </c>
      <c r="D14">
        <f t="shared" si="7"/>
        <v>150063900.43335778</v>
      </c>
      <c r="E14">
        <f t="shared" si="5"/>
        <v>0.656337162422582</v>
      </c>
      <c r="F14">
        <f t="shared" si="6"/>
        <v>0.343662837577418</v>
      </c>
    </row>
    <row r="15" spans="1:6" x14ac:dyDescent="0.3">
      <c r="A15">
        <v>2027</v>
      </c>
      <c r="B15">
        <f t="shared" si="3"/>
        <v>116664383.53481023</v>
      </c>
      <c r="C15">
        <f t="shared" si="4"/>
        <v>55909101.963551208</v>
      </c>
      <c r="D15">
        <f t="shared" si="7"/>
        <v>172573485.49836144</v>
      </c>
      <c r="E15">
        <f t="shared" si="5"/>
        <v>0.67602727729525947</v>
      </c>
      <c r="F15">
        <f t="shared" si="6"/>
        <v>0.32397272270474053</v>
      </c>
    </row>
    <row r="16" spans="1:6" x14ac:dyDescent="0.3">
      <c r="A16">
        <v>2028</v>
      </c>
      <c r="B16">
        <f t="shared" si="3"/>
        <v>138188962.29698271</v>
      </c>
      <c r="C16">
        <f t="shared" si="4"/>
        <v>60270546.026132941</v>
      </c>
      <c r="D16">
        <f t="shared" si="7"/>
        <v>198459508.32311565</v>
      </c>
      <c r="E16">
        <f t="shared" si="5"/>
        <v>0.69630809561411722</v>
      </c>
      <c r="F16">
        <f t="shared" si="6"/>
        <v>0.30369190438588278</v>
      </c>
    </row>
    <row r="17" spans="1:6" x14ac:dyDescent="0.3">
      <c r="A17">
        <v>2029</v>
      </c>
      <c r="B17">
        <f t="shared" si="3"/>
        <v>163684825.840776</v>
      </c>
      <c r="C17">
        <f t="shared" si="4"/>
        <v>64543608.730806977</v>
      </c>
      <c r="D17">
        <f t="shared" si="7"/>
        <v>228228434.57158297</v>
      </c>
      <c r="E17">
        <f t="shared" si="5"/>
        <v>0.71719733848254075</v>
      </c>
      <c r="F17">
        <f t="shared" si="6"/>
        <v>0.28280266151745925</v>
      </c>
    </row>
    <row r="18" spans="1:6" x14ac:dyDescent="0.3">
      <c r="A18">
        <v>2030</v>
      </c>
      <c r="B18">
        <f t="shared" si="3"/>
        <v>193884676.20839915</v>
      </c>
      <c r="C18">
        <f t="shared" si="4"/>
        <v>68578023.548921257</v>
      </c>
      <c r="D18">
        <f t="shared" si="7"/>
        <v>262462699.7573204</v>
      </c>
      <c r="E18">
        <f t="shared" si="5"/>
        <v>0.73871325863701698</v>
      </c>
      <c r="F18">
        <f t="shared" si="6"/>
        <v>0.26128674136298302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workbookViewId="0">
      <selection activeCell="G12" sqref="G12"/>
    </sheetView>
  </sheetViews>
  <sheetFormatPr defaultRowHeight="14.4" x14ac:dyDescent="0.3"/>
  <cols>
    <col min="1" max="1" width="15.44140625" customWidth="1"/>
    <col min="2" max="2" width="12.88671875" customWidth="1"/>
    <col min="3" max="3" width="12.77734375" customWidth="1"/>
    <col min="4" max="4" width="11.77734375" customWidth="1"/>
    <col min="5" max="5" width="9" customWidth="1"/>
    <col min="6" max="6" width="8.21875" customWidth="1"/>
    <col min="7" max="7" width="6.21875" customWidth="1"/>
    <col min="8" max="8" width="13.77734375" customWidth="1"/>
    <col min="11" max="11" width="5.21875" customWidth="1"/>
    <col min="14" max="14" width="4.33203125" customWidth="1"/>
    <col min="16" max="16" width="12" bestFit="1" customWidth="1"/>
    <col min="17" max="17" width="11" bestFit="1" customWidth="1"/>
    <col min="18" max="18" width="5.109375" customWidth="1"/>
  </cols>
  <sheetData>
    <row r="1" spans="1:27" ht="57.6" x14ac:dyDescent="0.3">
      <c r="A1" s="2" t="s">
        <v>0</v>
      </c>
      <c r="B1" s="2">
        <v>2020</v>
      </c>
      <c r="C1" s="2" t="s">
        <v>64</v>
      </c>
      <c r="D1" s="2" t="s">
        <v>65</v>
      </c>
      <c r="E1" s="2" t="s">
        <v>66</v>
      </c>
      <c r="F1" s="2" t="s">
        <v>67</v>
      </c>
      <c r="G1" s="1"/>
      <c r="H1" s="3" t="s">
        <v>60</v>
      </c>
      <c r="I1" s="2" t="s">
        <v>59</v>
      </c>
      <c r="J1" s="2" t="s">
        <v>68</v>
      </c>
      <c r="K1" s="1"/>
      <c r="L1" s="3" t="s">
        <v>57</v>
      </c>
      <c r="M1" s="3" t="s">
        <v>58</v>
      </c>
      <c r="O1" s="3" t="s">
        <v>63</v>
      </c>
      <c r="P1" s="3" t="s">
        <v>61</v>
      </c>
      <c r="Q1" s="3" t="s">
        <v>62</v>
      </c>
      <c r="S1" s="3" t="s">
        <v>43</v>
      </c>
      <c r="T1" s="3" t="s">
        <v>44</v>
      </c>
      <c r="V1" s="3" t="s">
        <v>69</v>
      </c>
      <c r="W1" s="3" t="s">
        <v>70</v>
      </c>
      <c r="Y1" s="3" t="s">
        <v>75</v>
      </c>
      <c r="Z1" s="3"/>
      <c r="AA1" s="3"/>
    </row>
    <row r="2" spans="1:27" x14ac:dyDescent="0.3">
      <c r="A2" t="s">
        <v>14</v>
      </c>
      <c r="B2">
        <v>3</v>
      </c>
      <c r="C2">
        <f>184900/1000</f>
        <v>184.9</v>
      </c>
      <c r="D2">
        <f>530000/1000</f>
        <v>530</v>
      </c>
      <c r="E2">
        <f>B2*C2</f>
        <v>554.70000000000005</v>
      </c>
      <c r="F2">
        <f>B2*D2</f>
        <v>1590</v>
      </c>
      <c r="H2">
        <f>SUM(E2:E9)</f>
        <v>9934.2380000000012</v>
      </c>
      <c r="I2">
        <f>SUM(F2:F9)</f>
        <v>4066</v>
      </c>
      <c r="J2">
        <f>H2+I2</f>
        <v>14000.238000000001</v>
      </c>
      <c r="L2">
        <f>H2/J2*100</f>
        <v>70.957636577321054</v>
      </c>
      <c r="M2">
        <f>I2/J2*100</f>
        <v>29.042363422678957</v>
      </c>
      <c r="O2">
        <f>J2/SUM(B2:B9)</f>
        <v>482.76682758620694</v>
      </c>
      <c r="P2">
        <f>B10*O2*L2/100</f>
        <v>0</v>
      </c>
      <c r="Q2">
        <f>B10*O2*M2/100</f>
        <v>0</v>
      </c>
      <c r="S2">
        <f>H2+P2</f>
        <v>9934.2380000000012</v>
      </c>
      <c r="T2">
        <f>I2+Q2</f>
        <v>4066</v>
      </c>
      <c r="V2">
        <v>1.28</v>
      </c>
      <c r="W2">
        <v>5</v>
      </c>
      <c r="X2" t="s">
        <v>74</v>
      </c>
      <c r="Y2">
        <v>2.4</v>
      </c>
    </row>
    <row r="3" spans="1:27" x14ac:dyDescent="0.3">
      <c r="A3" t="s">
        <v>17</v>
      </c>
      <c r="B3">
        <v>4</v>
      </c>
      <c r="C3">
        <f>304919/1000</f>
        <v>304.91899999999998</v>
      </c>
      <c r="D3">
        <f>221000/1000</f>
        <v>221</v>
      </c>
      <c r="E3">
        <f>B3*C3</f>
        <v>1219.6759999999999</v>
      </c>
      <c r="F3">
        <f>B3*D3</f>
        <v>884</v>
      </c>
    </row>
    <row r="4" spans="1:27" x14ac:dyDescent="0.3">
      <c r="A4" t="s">
        <v>10</v>
      </c>
      <c r="B4">
        <v>0</v>
      </c>
      <c r="C4">
        <v>751.4</v>
      </c>
      <c r="E4">
        <f t="shared" ref="E4:E27" si="0">B4*C4</f>
        <v>0</v>
      </c>
      <c r="F4">
        <f t="shared" ref="F4:F27" si="1">B4*D4</f>
        <v>0</v>
      </c>
    </row>
    <row r="5" spans="1:27" x14ac:dyDescent="0.3">
      <c r="A5" t="s">
        <v>20</v>
      </c>
      <c r="B5">
        <v>2</v>
      </c>
      <c r="C5">
        <v>230</v>
      </c>
      <c r="D5">
        <v>400</v>
      </c>
      <c r="E5">
        <f t="shared" si="0"/>
        <v>460</v>
      </c>
      <c r="F5">
        <f t="shared" si="1"/>
        <v>800</v>
      </c>
    </row>
    <row r="6" spans="1:27" x14ac:dyDescent="0.3">
      <c r="A6" t="s">
        <v>24</v>
      </c>
      <c r="B6">
        <v>15</v>
      </c>
      <c r="C6">
        <f>395700/1000</f>
        <v>395.7</v>
      </c>
      <c r="D6">
        <v>0</v>
      </c>
      <c r="E6">
        <f t="shared" si="0"/>
        <v>5935.5</v>
      </c>
      <c r="F6">
        <f t="shared" si="1"/>
        <v>0</v>
      </c>
    </row>
    <row r="7" spans="1:27" x14ac:dyDescent="0.3">
      <c r="A7" t="s">
        <v>21</v>
      </c>
      <c r="B7">
        <v>1</v>
      </c>
      <c r="C7">
        <f>549000/1000</f>
        <v>549</v>
      </c>
      <c r="D7">
        <v>0</v>
      </c>
      <c r="E7">
        <f t="shared" si="0"/>
        <v>549</v>
      </c>
      <c r="F7">
        <f t="shared" si="1"/>
        <v>0</v>
      </c>
    </row>
    <row r="8" spans="1:27" x14ac:dyDescent="0.3">
      <c r="A8" t="s">
        <v>50</v>
      </c>
      <c r="B8">
        <v>3</v>
      </c>
      <c r="C8">
        <f>194400/1000</f>
        <v>194.4</v>
      </c>
      <c r="D8">
        <f>264000/1000</f>
        <v>264</v>
      </c>
      <c r="E8">
        <f>B8*C8</f>
        <v>583.20000000000005</v>
      </c>
      <c r="F8">
        <f>B8*D8</f>
        <v>792</v>
      </c>
    </row>
    <row r="9" spans="1:27" x14ac:dyDescent="0.3">
      <c r="A9" t="s">
        <v>22</v>
      </c>
      <c r="B9">
        <v>1</v>
      </c>
      <c r="C9">
        <f>632162/1000</f>
        <v>632.16200000000003</v>
      </c>
      <c r="D9">
        <v>0</v>
      </c>
      <c r="E9">
        <f t="shared" si="0"/>
        <v>632.16200000000003</v>
      </c>
      <c r="F9">
        <f t="shared" si="1"/>
        <v>0</v>
      </c>
    </row>
    <row r="10" spans="1:27" x14ac:dyDescent="0.3">
      <c r="A10" t="s">
        <v>45</v>
      </c>
      <c r="B10">
        <v>0</v>
      </c>
      <c r="E10">
        <f t="shared" si="0"/>
        <v>0</v>
      </c>
      <c r="F10">
        <f t="shared" si="1"/>
        <v>0</v>
      </c>
    </row>
    <row r="12" spans="1:27" x14ac:dyDescent="0.3">
      <c r="A12" t="s">
        <v>45</v>
      </c>
      <c r="B12">
        <v>1</v>
      </c>
      <c r="E12">
        <f t="shared" si="0"/>
        <v>0</v>
      </c>
      <c r="F12">
        <f t="shared" si="1"/>
        <v>0</v>
      </c>
    </row>
    <row r="13" spans="1:27" x14ac:dyDescent="0.3">
      <c r="A13" t="s">
        <v>93</v>
      </c>
      <c r="B13">
        <v>2</v>
      </c>
      <c r="C13">
        <v>254.815</v>
      </c>
      <c r="E13">
        <f t="shared" si="0"/>
        <v>509.63</v>
      </c>
      <c r="F13">
        <f t="shared" si="1"/>
        <v>0</v>
      </c>
    </row>
    <row r="14" spans="1:27" x14ac:dyDescent="0.3">
      <c r="A14" t="s">
        <v>46</v>
      </c>
      <c r="B14">
        <v>10</v>
      </c>
      <c r="C14">
        <f>178000/1000</f>
        <v>178</v>
      </c>
      <c r="D14">
        <v>0</v>
      </c>
      <c r="E14">
        <f t="shared" si="0"/>
        <v>1780</v>
      </c>
      <c r="F14">
        <f t="shared" si="1"/>
        <v>0</v>
      </c>
      <c r="H14">
        <f>SUM(E13:E21)</f>
        <v>6683.8200000000006</v>
      </c>
      <c r="I14">
        <f>SUM(F13:F21)</f>
        <v>0</v>
      </c>
      <c r="J14">
        <f>H14+I14</f>
        <v>6683.8200000000006</v>
      </c>
      <c r="L14">
        <f>H14/J14*100</f>
        <v>100</v>
      </c>
      <c r="M14">
        <f>I14/J14*100</f>
        <v>0</v>
      </c>
      <c r="O14">
        <f>J14/SUM(B13:B21)</f>
        <v>222.79400000000001</v>
      </c>
      <c r="P14">
        <f>B12*O14*L14/100</f>
        <v>222.79400000000001</v>
      </c>
      <c r="Q14">
        <f>B12*M14*O14/100</f>
        <v>0</v>
      </c>
      <c r="S14">
        <f>H14+P14</f>
        <v>6906.6140000000005</v>
      </c>
      <c r="T14">
        <f>I14+Q14</f>
        <v>0</v>
      </c>
    </row>
    <row r="15" spans="1:27" x14ac:dyDescent="0.3">
      <c r="A15" t="s">
        <v>47</v>
      </c>
      <c r="B15">
        <v>5</v>
      </c>
      <c r="C15">
        <f>188264/1000</f>
        <v>188.26400000000001</v>
      </c>
      <c r="D15">
        <v>0</v>
      </c>
      <c r="E15">
        <f t="shared" si="0"/>
        <v>941.32</v>
      </c>
      <c r="F15">
        <f t="shared" si="1"/>
        <v>0</v>
      </c>
    </row>
    <row r="16" spans="1:27" x14ac:dyDescent="0.3">
      <c r="A16" t="s">
        <v>48</v>
      </c>
      <c r="B16">
        <v>5</v>
      </c>
      <c r="C16">
        <f>246750/1000</f>
        <v>246.75</v>
      </c>
      <c r="D16">
        <v>0</v>
      </c>
      <c r="E16">
        <f t="shared" si="0"/>
        <v>1233.75</v>
      </c>
      <c r="F16">
        <f t="shared" si="1"/>
        <v>0</v>
      </c>
    </row>
    <row r="17" spans="1:27" x14ac:dyDescent="0.3">
      <c r="A17" t="s">
        <v>49</v>
      </c>
      <c r="B17">
        <v>0</v>
      </c>
      <c r="C17">
        <f>235000/1000</f>
        <v>235</v>
      </c>
      <c r="D17">
        <f>120000/1000</f>
        <v>120</v>
      </c>
      <c r="E17">
        <f t="shared" si="0"/>
        <v>0</v>
      </c>
      <c r="F17">
        <f t="shared" si="1"/>
        <v>0</v>
      </c>
    </row>
    <row r="18" spans="1:27" x14ac:dyDescent="0.3">
      <c r="A18" t="s">
        <v>94</v>
      </c>
      <c r="B18">
        <v>0</v>
      </c>
      <c r="C18">
        <f>144000/1000</f>
        <v>144</v>
      </c>
      <c r="D18">
        <f>205000/1000</f>
        <v>205</v>
      </c>
      <c r="E18">
        <f t="shared" si="0"/>
        <v>0</v>
      </c>
      <c r="F18">
        <f t="shared" si="1"/>
        <v>0</v>
      </c>
      <c r="W18" t="s">
        <v>14</v>
      </c>
    </row>
    <row r="19" spans="1:27" x14ac:dyDescent="0.3">
      <c r="A19" t="s">
        <v>51</v>
      </c>
      <c r="B19">
        <v>0</v>
      </c>
      <c r="C19">
        <f>44500/1000</f>
        <v>44.5</v>
      </c>
      <c r="D19">
        <f>219000/1000</f>
        <v>219</v>
      </c>
      <c r="E19">
        <f t="shared" si="0"/>
        <v>0</v>
      </c>
      <c r="F19">
        <f t="shared" si="1"/>
        <v>0</v>
      </c>
      <c r="W19" t="s">
        <v>71</v>
      </c>
      <c r="X19">
        <v>1</v>
      </c>
      <c r="Y19">
        <f>0.6*2+0.2*0.4</f>
        <v>1.28</v>
      </c>
      <c r="AA19" t="s">
        <v>73</v>
      </c>
    </row>
    <row r="20" spans="1:27" x14ac:dyDescent="0.3">
      <c r="A20" t="s">
        <v>25</v>
      </c>
      <c r="B20">
        <v>8</v>
      </c>
      <c r="C20">
        <f>277390/1000</f>
        <v>277.39</v>
      </c>
      <c r="D20">
        <v>0</v>
      </c>
      <c r="E20">
        <f>B20*C20</f>
        <v>2219.12</v>
      </c>
      <c r="F20">
        <f>B20*D20</f>
        <v>0</v>
      </c>
      <c r="W20" t="s">
        <v>72</v>
      </c>
      <c r="X20">
        <v>0.2</v>
      </c>
    </row>
    <row r="21" spans="1:27" x14ac:dyDescent="0.3">
      <c r="A21" t="s">
        <v>32</v>
      </c>
      <c r="B21">
        <v>0</v>
      </c>
      <c r="C21">
        <f>277390/1000</f>
        <v>277.39</v>
      </c>
      <c r="D21">
        <v>0</v>
      </c>
      <c r="E21">
        <f t="shared" si="0"/>
        <v>0</v>
      </c>
      <c r="F21">
        <f t="shared" si="1"/>
        <v>0</v>
      </c>
    </row>
    <row r="23" spans="1:27" x14ac:dyDescent="0.3">
      <c r="A23" t="s">
        <v>45</v>
      </c>
      <c r="B23">
        <v>2</v>
      </c>
      <c r="E23">
        <f t="shared" si="0"/>
        <v>0</v>
      </c>
      <c r="F23">
        <f t="shared" si="1"/>
        <v>0</v>
      </c>
    </row>
    <row r="24" spans="1:27" x14ac:dyDescent="0.3">
      <c r="A24" t="s">
        <v>39</v>
      </c>
      <c r="B24">
        <v>5</v>
      </c>
      <c r="C24">
        <v>0</v>
      </c>
      <c r="D24">
        <f>2200/1000</f>
        <v>2.2000000000000002</v>
      </c>
      <c r="E24">
        <f t="shared" si="0"/>
        <v>0</v>
      </c>
      <c r="F24">
        <f t="shared" si="1"/>
        <v>11</v>
      </c>
      <c r="H24">
        <f>SUM(E24:E27)</f>
        <v>0</v>
      </c>
      <c r="I24">
        <f>SUM(F24:F27)</f>
        <v>206.41500000000002</v>
      </c>
      <c r="J24">
        <f>H24+I24</f>
        <v>206.41500000000002</v>
      </c>
      <c r="L24">
        <f>H24/J24*100</f>
        <v>0</v>
      </c>
      <c r="M24">
        <f>I24/J24*100</f>
        <v>100</v>
      </c>
      <c r="O24">
        <f>J24/SUM(B24:B27)</f>
        <v>25.801875000000003</v>
      </c>
      <c r="P24">
        <f>B23*L24*O24/100</f>
        <v>0</v>
      </c>
      <c r="Q24">
        <f>B23*M24*O24/100</f>
        <v>51.603750000000012</v>
      </c>
      <c r="S24">
        <f>H24+P24</f>
        <v>0</v>
      </c>
      <c r="T24">
        <f>I24+Q24</f>
        <v>258.01875000000001</v>
      </c>
    </row>
    <row r="25" spans="1:27" x14ac:dyDescent="0.3">
      <c r="A25" t="s">
        <v>52</v>
      </c>
      <c r="B25">
        <v>2</v>
      </c>
      <c r="C25">
        <v>0</v>
      </c>
      <c r="D25">
        <f>35000/1000</f>
        <v>35</v>
      </c>
      <c r="E25">
        <f t="shared" si="0"/>
        <v>0</v>
      </c>
      <c r="F25">
        <f t="shared" si="1"/>
        <v>70</v>
      </c>
    </row>
    <row r="26" spans="1:27" x14ac:dyDescent="0.3">
      <c r="A26" t="s">
        <v>34</v>
      </c>
      <c r="B26">
        <v>0</v>
      </c>
      <c r="C26">
        <f>87130/1000</f>
        <v>87.13</v>
      </c>
      <c r="D26">
        <v>0</v>
      </c>
      <c r="E26">
        <f t="shared" si="0"/>
        <v>0</v>
      </c>
      <c r="F26">
        <f t="shared" si="1"/>
        <v>0</v>
      </c>
    </row>
    <row r="27" spans="1:27" x14ac:dyDescent="0.3">
      <c r="A27" t="s">
        <v>33</v>
      </c>
      <c r="B27">
        <v>1</v>
      </c>
      <c r="C27">
        <v>0</v>
      </c>
      <c r="D27">
        <f>125415/1000</f>
        <v>125.41500000000001</v>
      </c>
      <c r="E27">
        <f t="shared" si="0"/>
        <v>0</v>
      </c>
      <c r="F27">
        <f t="shared" si="1"/>
        <v>125.41500000000001</v>
      </c>
    </row>
    <row r="29" spans="1:27" x14ac:dyDescent="0.3">
      <c r="A29" t="s">
        <v>45</v>
      </c>
      <c r="B29">
        <v>4</v>
      </c>
      <c r="E29">
        <f t="shared" ref="E29:E35" si="2">B29*C29</f>
        <v>0</v>
      </c>
      <c r="F29">
        <f t="shared" ref="F29:F35" si="3">B29*D29</f>
        <v>0</v>
      </c>
    </row>
    <row r="30" spans="1:27" x14ac:dyDescent="0.3">
      <c r="A30" t="s">
        <v>36</v>
      </c>
      <c r="B30">
        <v>4</v>
      </c>
      <c r="C30">
        <f>11300/1000</f>
        <v>11.3</v>
      </c>
      <c r="D30">
        <v>0</v>
      </c>
      <c r="E30">
        <f t="shared" si="2"/>
        <v>45.2</v>
      </c>
      <c r="F30">
        <f t="shared" si="3"/>
        <v>0</v>
      </c>
      <c r="H30">
        <f>SUM(E30:E35)</f>
        <v>49.2</v>
      </c>
      <c r="I30">
        <f>SUM(F30:F35)</f>
        <v>81.2</v>
      </c>
      <c r="J30">
        <f>H30+I30</f>
        <v>130.4</v>
      </c>
      <c r="L30">
        <f>H30/J30*100</f>
        <v>37.730061349693251</v>
      </c>
      <c r="M30">
        <f>I30/J30*100</f>
        <v>62.269938650306742</v>
      </c>
      <c r="O30">
        <f>J30/SUM(B30:B35)</f>
        <v>10.866666666666667</v>
      </c>
      <c r="P30">
        <f>B29*L30*O30/100</f>
        <v>16.399999999999999</v>
      </c>
      <c r="Q30">
        <f>B29*O30*M30/100</f>
        <v>27.066666666666666</v>
      </c>
      <c r="S30">
        <f>H30+P30</f>
        <v>65.599999999999994</v>
      </c>
      <c r="T30">
        <f>I30+Q30</f>
        <v>108.26666666666667</v>
      </c>
    </row>
    <row r="31" spans="1:27" x14ac:dyDescent="0.3">
      <c r="A31" t="s">
        <v>53</v>
      </c>
      <c r="B31">
        <v>4</v>
      </c>
      <c r="C31">
        <v>1</v>
      </c>
      <c r="D31">
        <v>19</v>
      </c>
      <c r="E31">
        <f t="shared" si="2"/>
        <v>4</v>
      </c>
      <c r="F31">
        <f t="shared" si="3"/>
        <v>76</v>
      </c>
    </row>
    <row r="32" spans="1:27" x14ac:dyDescent="0.3">
      <c r="A32" t="s">
        <v>95</v>
      </c>
      <c r="B32">
        <v>0</v>
      </c>
      <c r="D32">
        <v>0.50600000000000001</v>
      </c>
      <c r="E32">
        <f t="shared" si="2"/>
        <v>0</v>
      </c>
      <c r="F32">
        <f t="shared" si="3"/>
        <v>0</v>
      </c>
    </row>
    <row r="33" spans="1:20" x14ac:dyDescent="0.3">
      <c r="A33" t="s">
        <v>54</v>
      </c>
      <c r="B33">
        <v>0</v>
      </c>
      <c r="D33">
        <f>20000/1000</f>
        <v>20</v>
      </c>
      <c r="E33">
        <f t="shared" si="2"/>
        <v>0</v>
      </c>
      <c r="F33">
        <f t="shared" si="3"/>
        <v>0</v>
      </c>
    </row>
    <row r="34" spans="1:20" x14ac:dyDescent="0.3">
      <c r="A34" t="s">
        <v>55</v>
      </c>
      <c r="B34">
        <v>0</v>
      </c>
      <c r="D34">
        <v>1</v>
      </c>
      <c r="E34">
        <f t="shared" si="2"/>
        <v>0</v>
      </c>
      <c r="F34">
        <f t="shared" si="3"/>
        <v>0</v>
      </c>
    </row>
    <row r="35" spans="1:20" x14ac:dyDescent="0.3">
      <c r="A35" t="s">
        <v>96</v>
      </c>
      <c r="B35">
        <v>4</v>
      </c>
      <c r="C35">
        <v>0</v>
      </c>
      <c r="D35">
        <v>1.3</v>
      </c>
      <c r="E35">
        <f t="shared" si="2"/>
        <v>0</v>
      </c>
      <c r="F35">
        <f t="shared" si="3"/>
        <v>5.2</v>
      </c>
    </row>
    <row r="37" spans="1:20" x14ac:dyDescent="0.3">
      <c r="A37" t="s">
        <v>97</v>
      </c>
      <c r="S37">
        <f>SUM(S2:S30)</f>
        <v>16906.452000000001</v>
      </c>
      <c r="T37">
        <f>SUM(T2:T30)</f>
        <v>4432.2854166666666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zoomScaleNormal="100" workbookViewId="0">
      <selection activeCell="H31" sqref="H31"/>
    </sheetView>
  </sheetViews>
  <sheetFormatPr defaultRowHeight="14.4" x14ac:dyDescent="0.3"/>
  <cols>
    <col min="1" max="1" width="15.44140625" customWidth="1"/>
    <col min="2" max="2" width="12.88671875" customWidth="1"/>
    <col min="3" max="3" width="12.77734375" customWidth="1"/>
    <col min="4" max="4" width="11.77734375" customWidth="1"/>
    <col min="5" max="5" width="9" customWidth="1"/>
    <col min="6" max="6" width="8.21875" customWidth="1"/>
    <col min="7" max="7" width="6.21875" customWidth="1"/>
    <col min="8" max="8" width="13.77734375" customWidth="1"/>
    <col min="11" max="11" width="12.21875" customWidth="1"/>
    <col min="13" max="13" width="11" bestFit="1" customWidth="1"/>
    <col min="14" max="14" width="4.33203125" customWidth="1"/>
    <col min="16" max="16" width="12" bestFit="1" customWidth="1"/>
    <col min="17" max="17" width="11" bestFit="1" customWidth="1"/>
    <col min="18" max="18" width="5.109375" customWidth="1"/>
  </cols>
  <sheetData>
    <row r="1" spans="1:27" ht="57.6" x14ac:dyDescent="0.3">
      <c r="A1" s="2" t="s">
        <v>0</v>
      </c>
      <c r="B1" s="2">
        <v>2019</v>
      </c>
      <c r="C1" s="2" t="s">
        <v>64</v>
      </c>
      <c r="D1" s="2" t="s">
        <v>65</v>
      </c>
      <c r="E1" s="2" t="s">
        <v>66</v>
      </c>
      <c r="F1" s="2" t="s">
        <v>67</v>
      </c>
      <c r="G1" s="1"/>
      <c r="H1" s="3" t="s">
        <v>60</v>
      </c>
      <c r="I1" s="2" t="s">
        <v>59</v>
      </c>
      <c r="J1" s="2" t="s">
        <v>68</v>
      </c>
      <c r="K1" s="1"/>
      <c r="L1" s="3" t="s">
        <v>57</v>
      </c>
      <c r="M1" s="3" t="s">
        <v>58</v>
      </c>
      <c r="O1" s="3" t="s">
        <v>63</v>
      </c>
      <c r="P1" s="3" t="s">
        <v>61</v>
      </c>
      <c r="Q1" s="3" t="s">
        <v>62</v>
      </c>
      <c r="S1" s="3" t="s">
        <v>43</v>
      </c>
      <c r="T1" s="3" t="s">
        <v>44</v>
      </c>
      <c r="V1" s="3" t="s">
        <v>69</v>
      </c>
      <c r="W1" s="3" t="s">
        <v>70</v>
      </c>
      <c r="Y1" s="3" t="s">
        <v>75</v>
      </c>
      <c r="Z1" s="3"/>
      <c r="AA1" s="3"/>
    </row>
    <row r="2" spans="1:27" x14ac:dyDescent="0.3">
      <c r="A2" t="s">
        <v>14</v>
      </c>
      <c r="B2">
        <v>4</v>
      </c>
      <c r="C2">
        <f>184900/1000</f>
        <v>184.9</v>
      </c>
      <c r="D2">
        <f>530000/1000</f>
        <v>530</v>
      </c>
      <c r="E2">
        <f>B2*C2</f>
        <v>739.6</v>
      </c>
      <c r="F2">
        <f>B2*D2</f>
        <v>2120</v>
      </c>
      <c r="H2">
        <f>SUM(E2:E9)</f>
        <v>11136.748</v>
      </c>
      <c r="I2">
        <f>SUM(F2:F9)</f>
        <v>3226</v>
      </c>
      <c r="J2">
        <f>H2+I2</f>
        <v>14362.748</v>
      </c>
      <c r="L2">
        <f>H2/J2*100</f>
        <v>77.539117166157894</v>
      </c>
      <c r="M2">
        <f>I2/J2*100</f>
        <v>22.460882833842106</v>
      </c>
      <c r="O2">
        <f>J2/SUM(B2:B9)</f>
        <v>531.95362962962963</v>
      </c>
      <c r="P2">
        <f>B10*O2*L2/100</f>
        <v>824.94429629629622</v>
      </c>
      <c r="Q2">
        <f>B10*O2*M2/100</f>
        <v>238.96296296296299</v>
      </c>
      <c r="S2">
        <f>H2+P2</f>
        <v>11961.692296296296</v>
      </c>
      <c r="T2">
        <f>I2+Q2</f>
        <v>3464.962962962963</v>
      </c>
      <c r="V2">
        <v>1.28</v>
      </c>
      <c r="W2">
        <v>5</v>
      </c>
      <c r="X2" t="s">
        <v>74</v>
      </c>
      <c r="Y2">
        <v>2.4</v>
      </c>
    </row>
    <row r="3" spans="1:27" x14ac:dyDescent="0.3">
      <c r="A3" t="s">
        <v>17</v>
      </c>
      <c r="B3">
        <v>2</v>
      </c>
      <c r="C3">
        <f>304919/1000</f>
        <v>304.91899999999998</v>
      </c>
      <c r="D3">
        <f>221000/1000</f>
        <v>221</v>
      </c>
      <c r="E3">
        <f>B3*C3</f>
        <v>609.83799999999997</v>
      </c>
      <c r="F3">
        <f>B3*D3</f>
        <v>442</v>
      </c>
    </row>
    <row r="4" spans="1:27" x14ac:dyDescent="0.3">
      <c r="A4" t="s">
        <v>10</v>
      </c>
      <c r="B4">
        <v>1</v>
      </c>
      <c r="C4">
        <v>751.4</v>
      </c>
      <c r="E4">
        <f t="shared" ref="E4:E27" si="0">B4*C4</f>
        <v>751.4</v>
      </c>
      <c r="F4">
        <f t="shared" ref="F4:F27" si="1">B4*D4</f>
        <v>0</v>
      </c>
    </row>
    <row r="5" spans="1:27" x14ac:dyDescent="0.3">
      <c r="A5" t="s">
        <v>20</v>
      </c>
      <c r="B5">
        <v>1</v>
      </c>
      <c r="C5">
        <v>230</v>
      </c>
      <c r="D5">
        <v>400</v>
      </c>
      <c r="E5">
        <f t="shared" si="0"/>
        <v>230</v>
      </c>
      <c r="F5">
        <f t="shared" si="1"/>
        <v>400</v>
      </c>
    </row>
    <row r="6" spans="1:27" x14ac:dyDescent="0.3">
      <c r="A6" t="s">
        <v>24</v>
      </c>
      <c r="B6">
        <v>11</v>
      </c>
      <c r="C6">
        <f>395700/1000</f>
        <v>395.7</v>
      </c>
      <c r="D6">
        <v>0</v>
      </c>
      <c r="E6">
        <f t="shared" si="0"/>
        <v>4352.7</v>
      </c>
      <c r="F6">
        <f t="shared" si="1"/>
        <v>0</v>
      </c>
    </row>
    <row r="7" spans="1:27" x14ac:dyDescent="0.3">
      <c r="A7" t="s">
        <v>21</v>
      </c>
      <c r="B7">
        <v>2</v>
      </c>
      <c r="C7">
        <f>549000/1000</f>
        <v>549</v>
      </c>
      <c r="D7">
        <v>0</v>
      </c>
      <c r="E7">
        <f t="shared" si="0"/>
        <v>1098</v>
      </c>
      <c r="F7">
        <f t="shared" si="1"/>
        <v>0</v>
      </c>
    </row>
    <row r="8" spans="1:27" x14ac:dyDescent="0.3">
      <c r="A8" t="s">
        <v>50</v>
      </c>
      <c r="B8">
        <v>1</v>
      </c>
      <c r="C8">
        <f>194400/1000</f>
        <v>194.4</v>
      </c>
      <c r="D8">
        <f>264000/1000</f>
        <v>264</v>
      </c>
      <c r="E8">
        <f>B8*C8</f>
        <v>194.4</v>
      </c>
      <c r="F8">
        <f>B8*D8</f>
        <v>264</v>
      </c>
    </row>
    <row r="9" spans="1:27" x14ac:dyDescent="0.3">
      <c r="A9" t="s">
        <v>22</v>
      </c>
      <c r="B9">
        <v>5</v>
      </c>
      <c r="C9">
        <f>632162/1000</f>
        <v>632.16200000000003</v>
      </c>
      <c r="D9">
        <v>0</v>
      </c>
      <c r="E9">
        <f t="shared" si="0"/>
        <v>3160.8100000000004</v>
      </c>
      <c r="F9">
        <f t="shared" si="1"/>
        <v>0</v>
      </c>
    </row>
    <row r="10" spans="1:27" x14ac:dyDescent="0.3">
      <c r="A10" t="s">
        <v>45</v>
      </c>
      <c r="B10">
        <v>2</v>
      </c>
      <c r="E10">
        <f t="shared" si="0"/>
        <v>0</v>
      </c>
      <c r="F10">
        <f t="shared" si="1"/>
        <v>0</v>
      </c>
    </row>
    <row r="12" spans="1:27" x14ac:dyDescent="0.3">
      <c r="A12" t="s">
        <v>45</v>
      </c>
      <c r="B12">
        <v>0</v>
      </c>
      <c r="E12">
        <f t="shared" si="0"/>
        <v>0</v>
      </c>
      <c r="F12">
        <f t="shared" si="1"/>
        <v>0</v>
      </c>
    </row>
    <row r="13" spans="1:27" x14ac:dyDescent="0.3">
      <c r="A13" t="s">
        <v>93</v>
      </c>
      <c r="B13">
        <v>2</v>
      </c>
      <c r="C13">
        <v>254.815</v>
      </c>
      <c r="E13">
        <f t="shared" si="0"/>
        <v>509.63</v>
      </c>
      <c r="F13">
        <f t="shared" si="1"/>
        <v>0</v>
      </c>
    </row>
    <row r="14" spans="1:27" x14ac:dyDescent="0.3">
      <c r="A14" t="s">
        <v>46</v>
      </c>
      <c r="B14">
        <v>2</v>
      </c>
      <c r="C14">
        <f>178000/1000</f>
        <v>178</v>
      </c>
      <c r="D14">
        <v>0</v>
      </c>
      <c r="E14">
        <f t="shared" si="0"/>
        <v>356</v>
      </c>
      <c r="F14">
        <f t="shared" si="1"/>
        <v>0</v>
      </c>
      <c r="H14">
        <f>SUM(E13:E21)</f>
        <v>10681.568000000001</v>
      </c>
      <c r="I14">
        <f>SUM(F13:F21)</f>
        <v>1540</v>
      </c>
      <c r="J14">
        <f>H14+I14</f>
        <v>12221.568000000001</v>
      </c>
      <c r="L14">
        <f>H14/J14*100</f>
        <v>87.399325520260575</v>
      </c>
      <c r="M14">
        <f>I14/J14*100</f>
        <v>12.600674479739423</v>
      </c>
      <c r="O14">
        <f>J14/SUM(B13:B21)</f>
        <v>249.41975510204085</v>
      </c>
      <c r="P14">
        <f>B12*O14*L14/100</f>
        <v>0</v>
      </c>
      <c r="Q14">
        <f>B12*M14*O14/100</f>
        <v>0</v>
      </c>
      <c r="S14">
        <f>H14+P14</f>
        <v>10681.568000000001</v>
      </c>
      <c r="T14">
        <f>I14+Q14</f>
        <v>1540</v>
      </c>
    </row>
    <row r="15" spans="1:27" x14ac:dyDescent="0.3">
      <c r="A15" t="s">
        <v>47</v>
      </c>
      <c r="B15">
        <v>12</v>
      </c>
      <c r="C15">
        <f>188264/1000</f>
        <v>188.26400000000001</v>
      </c>
      <c r="D15">
        <v>0</v>
      </c>
      <c r="E15">
        <f t="shared" si="0"/>
        <v>2259.1680000000001</v>
      </c>
      <c r="F15">
        <f t="shared" si="1"/>
        <v>0</v>
      </c>
    </row>
    <row r="16" spans="1:27" x14ac:dyDescent="0.3">
      <c r="A16" t="s">
        <v>48</v>
      </c>
      <c r="B16">
        <v>7</v>
      </c>
      <c r="C16">
        <f>246750/1000</f>
        <v>246.75</v>
      </c>
      <c r="D16">
        <v>0</v>
      </c>
      <c r="E16">
        <f t="shared" si="0"/>
        <v>1727.25</v>
      </c>
      <c r="F16">
        <f t="shared" si="1"/>
        <v>0</v>
      </c>
    </row>
    <row r="17" spans="1:27" x14ac:dyDescent="0.3">
      <c r="A17" t="s">
        <v>49</v>
      </c>
      <c r="B17">
        <v>2</v>
      </c>
      <c r="C17">
        <f>235000/1000</f>
        <v>235</v>
      </c>
      <c r="D17">
        <f>120000/1000</f>
        <v>120</v>
      </c>
      <c r="E17">
        <f t="shared" si="0"/>
        <v>470</v>
      </c>
      <c r="F17">
        <f t="shared" si="1"/>
        <v>240</v>
      </c>
      <c r="M17">
        <f>450000/80000000</f>
        <v>5.6249999999999998E-3</v>
      </c>
    </row>
    <row r="18" spans="1:27" x14ac:dyDescent="0.3">
      <c r="A18" t="s">
        <v>94</v>
      </c>
      <c r="B18">
        <v>1</v>
      </c>
      <c r="C18">
        <f>144000/1000</f>
        <v>144</v>
      </c>
      <c r="D18">
        <f>205000/1000</f>
        <v>205</v>
      </c>
      <c r="E18">
        <f t="shared" si="0"/>
        <v>144</v>
      </c>
      <c r="F18">
        <f t="shared" si="1"/>
        <v>205</v>
      </c>
      <c r="W18" t="s">
        <v>14</v>
      </c>
    </row>
    <row r="19" spans="1:27" x14ac:dyDescent="0.3">
      <c r="A19" t="s">
        <v>51</v>
      </c>
      <c r="B19">
        <v>5</v>
      </c>
      <c r="C19">
        <f>44500/1000</f>
        <v>44.5</v>
      </c>
      <c r="D19">
        <f>219000/1000</f>
        <v>219</v>
      </c>
      <c r="E19">
        <f t="shared" si="0"/>
        <v>222.5</v>
      </c>
      <c r="F19">
        <f t="shared" si="1"/>
        <v>1095</v>
      </c>
      <c r="W19" t="s">
        <v>71</v>
      </c>
      <c r="X19">
        <v>1</v>
      </c>
      <c r="Y19">
        <f>0.6*2+0.2*0.4</f>
        <v>1.28</v>
      </c>
      <c r="AA19" t="s">
        <v>73</v>
      </c>
    </row>
    <row r="20" spans="1:27" x14ac:dyDescent="0.3">
      <c r="A20" t="s">
        <v>25</v>
      </c>
      <c r="B20">
        <v>15</v>
      </c>
      <c r="C20">
        <f>277390/1000</f>
        <v>277.39</v>
      </c>
      <c r="D20">
        <v>0</v>
      </c>
      <c r="E20">
        <f>B20*C20</f>
        <v>4160.8499999999995</v>
      </c>
      <c r="F20">
        <f>B20*D20</f>
        <v>0</v>
      </c>
      <c r="W20" t="s">
        <v>72</v>
      </c>
      <c r="X20">
        <v>0.2</v>
      </c>
    </row>
    <row r="21" spans="1:27" x14ac:dyDescent="0.3">
      <c r="A21" t="s">
        <v>32</v>
      </c>
      <c r="B21">
        <v>3</v>
      </c>
      <c r="C21">
        <f>277390/1000</f>
        <v>277.39</v>
      </c>
      <c r="D21">
        <v>0</v>
      </c>
      <c r="E21">
        <f t="shared" si="0"/>
        <v>832.17</v>
      </c>
      <c r="F21">
        <f t="shared" si="1"/>
        <v>0</v>
      </c>
    </row>
    <row r="23" spans="1:27" x14ac:dyDescent="0.3">
      <c r="A23" t="s">
        <v>45</v>
      </c>
      <c r="B23">
        <v>5</v>
      </c>
      <c r="E23">
        <f t="shared" si="0"/>
        <v>0</v>
      </c>
      <c r="F23">
        <f t="shared" si="1"/>
        <v>0</v>
      </c>
    </row>
    <row r="24" spans="1:27" x14ac:dyDescent="0.3">
      <c r="A24" t="s">
        <v>39</v>
      </c>
      <c r="B24">
        <v>12</v>
      </c>
      <c r="C24">
        <v>0</v>
      </c>
      <c r="D24">
        <f>2200/1000</f>
        <v>2.2000000000000002</v>
      </c>
      <c r="E24">
        <f t="shared" si="0"/>
        <v>0</v>
      </c>
      <c r="F24">
        <f t="shared" si="1"/>
        <v>26.400000000000002</v>
      </c>
      <c r="H24">
        <f>SUM(E24:E27)</f>
        <v>174.26</v>
      </c>
      <c r="I24">
        <f>SUM(F24:F27)</f>
        <v>382.23</v>
      </c>
      <c r="J24">
        <f>H24+I24</f>
        <v>556.49</v>
      </c>
      <c r="L24">
        <f>H24/J24*100</f>
        <v>31.314129633955684</v>
      </c>
      <c r="M24">
        <f>I24/J24*100</f>
        <v>68.685870366044313</v>
      </c>
      <c r="O24">
        <f>J24/SUM(B24:B27)</f>
        <v>29.288947368421052</v>
      </c>
      <c r="P24">
        <f>B23*L24*O24/100</f>
        <v>45.857894736842098</v>
      </c>
      <c r="Q24">
        <f>B23*M24*O24/100</f>
        <v>100.58684210526314</v>
      </c>
      <c r="S24">
        <f>H24+P24</f>
        <v>220.11789473684209</v>
      </c>
      <c r="T24">
        <f>I24+Q24</f>
        <v>482.81684210526316</v>
      </c>
    </row>
    <row r="25" spans="1:27" x14ac:dyDescent="0.3">
      <c r="A25" t="s">
        <v>52</v>
      </c>
      <c r="B25">
        <v>3</v>
      </c>
      <c r="C25">
        <v>0</v>
      </c>
      <c r="D25">
        <f>35000/1000</f>
        <v>35</v>
      </c>
      <c r="E25">
        <f t="shared" si="0"/>
        <v>0</v>
      </c>
      <c r="F25">
        <f t="shared" si="1"/>
        <v>105</v>
      </c>
    </row>
    <row r="26" spans="1:27" x14ac:dyDescent="0.3">
      <c r="A26" t="s">
        <v>34</v>
      </c>
      <c r="B26">
        <v>2</v>
      </c>
      <c r="C26">
        <f>87130/1000</f>
        <v>87.13</v>
      </c>
      <c r="D26">
        <v>0</v>
      </c>
      <c r="E26">
        <f t="shared" si="0"/>
        <v>174.26</v>
      </c>
      <c r="F26">
        <f t="shared" si="1"/>
        <v>0</v>
      </c>
    </row>
    <row r="27" spans="1:27" x14ac:dyDescent="0.3">
      <c r="A27" t="s">
        <v>33</v>
      </c>
      <c r="B27">
        <v>2</v>
      </c>
      <c r="C27">
        <v>0</v>
      </c>
      <c r="D27">
        <f>125415/1000</f>
        <v>125.41500000000001</v>
      </c>
      <c r="E27">
        <f t="shared" si="0"/>
        <v>0</v>
      </c>
      <c r="F27">
        <f t="shared" si="1"/>
        <v>250.83</v>
      </c>
    </row>
    <row r="29" spans="1:27" x14ac:dyDescent="0.3">
      <c r="A29" t="s">
        <v>45</v>
      </c>
      <c r="B29">
        <v>7</v>
      </c>
      <c r="E29">
        <f t="shared" ref="E29:E35" si="2">B29*C29</f>
        <v>0</v>
      </c>
      <c r="F29">
        <f t="shared" ref="F29:F35" si="3">B29*D29</f>
        <v>0</v>
      </c>
    </row>
    <row r="30" spans="1:27" x14ac:dyDescent="0.3">
      <c r="A30" t="s">
        <v>36</v>
      </c>
      <c r="B30">
        <v>6</v>
      </c>
      <c r="C30">
        <f>11300/1000</f>
        <v>11.3</v>
      </c>
      <c r="D30">
        <v>0</v>
      </c>
      <c r="E30">
        <f t="shared" si="2"/>
        <v>67.800000000000011</v>
      </c>
      <c r="F30">
        <f t="shared" si="3"/>
        <v>0</v>
      </c>
      <c r="H30">
        <f>SUM(E30:E35)</f>
        <v>72.800000000000011</v>
      </c>
      <c r="I30">
        <f>SUM(F30:F35)</f>
        <v>98.036000000000001</v>
      </c>
      <c r="J30">
        <f>H30+I30</f>
        <v>170.83600000000001</v>
      </c>
      <c r="L30">
        <f>H30/J30*100</f>
        <v>42.613968952679762</v>
      </c>
      <c r="M30">
        <f>I30/J30*100</f>
        <v>57.38603104732023</v>
      </c>
      <c r="O30">
        <f>J30/SUM(B30:B35)</f>
        <v>10.049176470588236</v>
      </c>
      <c r="P30">
        <f>B29*L30*O30/100</f>
        <v>29.976470588235294</v>
      </c>
      <c r="Q30">
        <f>B29*O30*M30/100</f>
        <v>40.367764705882351</v>
      </c>
      <c r="S30">
        <f>H30+P30</f>
        <v>102.7764705882353</v>
      </c>
      <c r="T30">
        <f>I30+Q30</f>
        <v>138.40376470588234</v>
      </c>
    </row>
    <row r="31" spans="1:27" x14ac:dyDescent="0.3">
      <c r="A31" t="s">
        <v>53</v>
      </c>
      <c r="B31">
        <v>5</v>
      </c>
      <c r="C31">
        <v>1</v>
      </c>
      <c r="D31">
        <v>19</v>
      </c>
      <c r="E31">
        <f t="shared" si="2"/>
        <v>5</v>
      </c>
      <c r="F31">
        <f t="shared" si="3"/>
        <v>95</v>
      </c>
    </row>
    <row r="32" spans="1:27" x14ac:dyDescent="0.3">
      <c r="A32" t="s">
        <v>95</v>
      </c>
      <c r="B32">
        <v>6</v>
      </c>
      <c r="D32">
        <v>0.50600000000000001</v>
      </c>
      <c r="E32">
        <f t="shared" si="2"/>
        <v>0</v>
      </c>
      <c r="F32">
        <f t="shared" si="3"/>
        <v>3.036</v>
      </c>
    </row>
    <row r="33" spans="1:20" x14ac:dyDescent="0.3">
      <c r="A33" t="s">
        <v>54</v>
      </c>
      <c r="B33">
        <v>0</v>
      </c>
      <c r="D33">
        <f>20000/1000</f>
        <v>20</v>
      </c>
      <c r="E33">
        <f t="shared" si="2"/>
        <v>0</v>
      </c>
      <c r="F33">
        <f t="shared" si="3"/>
        <v>0</v>
      </c>
    </row>
    <row r="34" spans="1:20" x14ac:dyDescent="0.3">
      <c r="A34" t="s">
        <v>55</v>
      </c>
      <c r="B34">
        <v>0</v>
      </c>
      <c r="D34">
        <v>1</v>
      </c>
      <c r="E34">
        <f t="shared" si="2"/>
        <v>0</v>
      </c>
      <c r="F34">
        <f t="shared" si="3"/>
        <v>0</v>
      </c>
    </row>
    <row r="35" spans="1:20" x14ac:dyDescent="0.3">
      <c r="A35" t="s">
        <v>96</v>
      </c>
      <c r="B35">
        <v>0</v>
      </c>
      <c r="C35">
        <v>0</v>
      </c>
      <c r="D35">
        <v>1.3</v>
      </c>
      <c r="E35">
        <f t="shared" si="2"/>
        <v>0</v>
      </c>
      <c r="F35">
        <f t="shared" si="3"/>
        <v>0</v>
      </c>
    </row>
    <row r="37" spans="1:20" x14ac:dyDescent="0.3">
      <c r="A37" t="s">
        <v>98</v>
      </c>
      <c r="S37">
        <f>SUM(S2:S30)</f>
        <v>22966.154661621378</v>
      </c>
      <c r="T37">
        <f>SUM(T2:T30)</f>
        <v>5626.1835697741089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abSelected="1" topLeftCell="A11" workbookViewId="0">
      <selection activeCell="I37" sqref="I37"/>
    </sheetView>
  </sheetViews>
  <sheetFormatPr defaultRowHeight="14.4" x14ac:dyDescent="0.3"/>
  <cols>
    <col min="1" max="1" width="15.44140625" customWidth="1"/>
    <col min="2" max="2" width="12.88671875" customWidth="1"/>
    <col min="3" max="3" width="12.77734375" customWidth="1"/>
    <col min="4" max="4" width="11.77734375" customWidth="1"/>
    <col min="5" max="5" width="9" customWidth="1"/>
    <col min="6" max="7" width="8.21875" customWidth="1"/>
    <col min="8" max="8" width="8" bestFit="1" customWidth="1"/>
    <col min="9" max="9" width="13.77734375" customWidth="1"/>
    <col min="10" max="10" width="11" bestFit="1" customWidth="1"/>
    <col min="12" max="12" width="12.21875" customWidth="1"/>
    <col min="14" max="14" width="11" bestFit="1" customWidth="1"/>
    <col min="15" max="15" width="4.33203125" customWidth="1"/>
    <col min="17" max="17" width="12" bestFit="1" customWidth="1"/>
    <col min="18" max="18" width="11" bestFit="1" customWidth="1"/>
    <col min="19" max="19" width="5.109375" customWidth="1"/>
  </cols>
  <sheetData>
    <row r="1" spans="1:28" ht="28.8" x14ac:dyDescent="0.3">
      <c r="A1" s="2" t="s">
        <v>0</v>
      </c>
      <c r="B1" s="2">
        <v>2019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100</v>
      </c>
      <c r="H1" s="1" t="s">
        <v>104</v>
      </c>
      <c r="I1" s="3" t="s">
        <v>105</v>
      </c>
      <c r="J1" s="2" t="s">
        <v>106</v>
      </c>
      <c r="K1" s="2"/>
      <c r="L1" s="1"/>
      <c r="M1" s="3"/>
      <c r="N1" s="3"/>
      <c r="P1" s="3"/>
      <c r="Q1" s="3"/>
      <c r="R1" s="3"/>
      <c r="T1" s="3"/>
      <c r="U1" s="3"/>
      <c r="W1" s="3"/>
      <c r="X1" s="3"/>
      <c r="Z1" s="3"/>
      <c r="AA1" s="3"/>
      <c r="AB1" s="3"/>
    </row>
    <row r="2" spans="1:28" x14ac:dyDescent="0.3">
      <c r="A2" t="s">
        <v>14</v>
      </c>
      <c r="B2">
        <v>4</v>
      </c>
      <c r="C2">
        <f>184900/1000</f>
        <v>184.9</v>
      </c>
      <c r="D2">
        <f>530000/1000</f>
        <v>530</v>
      </c>
      <c r="E2">
        <f>B2*C2</f>
        <v>739.6</v>
      </c>
      <c r="F2">
        <f>B2*D2</f>
        <v>2120</v>
      </c>
      <c r="G2" t="s">
        <v>101</v>
      </c>
      <c r="H2">
        <f>E2*1.6*1000</f>
        <v>1183360.0000000002</v>
      </c>
      <c r="I2">
        <f>F2*5000</f>
        <v>10600000</v>
      </c>
      <c r="J2">
        <f>H2+I2</f>
        <v>11783360</v>
      </c>
    </row>
    <row r="3" spans="1:28" x14ac:dyDescent="0.3">
      <c r="A3" t="s">
        <v>17</v>
      </c>
      <c r="B3">
        <v>2</v>
      </c>
      <c r="C3">
        <f>304919/1000</f>
        <v>304.91899999999998</v>
      </c>
      <c r="D3">
        <f>221000/1000</f>
        <v>221</v>
      </c>
      <c r="E3">
        <f>B3*C3</f>
        <v>609.83799999999997</v>
      </c>
      <c r="F3">
        <f>B3*D3</f>
        <v>442</v>
      </c>
      <c r="G3" t="s">
        <v>102</v>
      </c>
      <c r="H3">
        <f t="shared" ref="H3:H10" si="0">E3*1.6*1000</f>
        <v>975740.8</v>
      </c>
      <c r="I3">
        <f t="shared" ref="I3:I10" si="1">F3*5000</f>
        <v>2210000</v>
      </c>
      <c r="J3">
        <f t="shared" ref="J3:J10" si="2">H3+I3</f>
        <v>3185740.8</v>
      </c>
    </row>
    <row r="4" spans="1:28" x14ac:dyDescent="0.3">
      <c r="A4" t="s">
        <v>10</v>
      </c>
      <c r="B4">
        <v>1</v>
      </c>
      <c r="C4">
        <v>751.4</v>
      </c>
      <c r="E4">
        <f t="shared" ref="E4:E27" si="3">B4*C4</f>
        <v>751.4</v>
      </c>
      <c r="F4">
        <f t="shared" ref="F4:F27" si="4">B4*D4</f>
        <v>0</v>
      </c>
      <c r="G4" t="s">
        <v>103</v>
      </c>
      <c r="H4">
        <f t="shared" si="0"/>
        <v>1202240</v>
      </c>
      <c r="I4">
        <f t="shared" si="1"/>
        <v>0</v>
      </c>
      <c r="J4">
        <f t="shared" si="2"/>
        <v>1202240</v>
      </c>
    </row>
    <row r="5" spans="1:28" x14ac:dyDescent="0.3">
      <c r="A5" t="s">
        <v>20</v>
      </c>
      <c r="B5">
        <v>1</v>
      </c>
      <c r="C5">
        <v>230</v>
      </c>
      <c r="D5">
        <v>400</v>
      </c>
      <c r="E5">
        <f t="shared" si="3"/>
        <v>230</v>
      </c>
      <c r="F5">
        <f t="shared" si="4"/>
        <v>400</v>
      </c>
      <c r="G5" t="s">
        <v>102</v>
      </c>
      <c r="H5">
        <f t="shared" si="0"/>
        <v>368000</v>
      </c>
      <c r="I5">
        <f t="shared" si="1"/>
        <v>2000000</v>
      </c>
      <c r="J5">
        <f t="shared" si="2"/>
        <v>2368000</v>
      </c>
    </row>
    <row r="6" spans="1:28" x14ac:dyDescent="0.3">
      <c r="A6" t="s">
        <v>24</v>
      </c>
      <c r="B6">
        <v>11</v>
      </c>
      <c r="C6">
        <f>395700/1000</f>
        <v>395.7</v>
      </c>
      <c r="D6">
        <v>0</v>
      </c>
      <c r="E6">
        <f t="shared" si="3"/>
        <v>4352.7</v>
      </c>
      <c r="F6">
        <f t="shared" si="4"/>
        <v>0</v>
      </c>
      <c r="G6" t="s">
        <v>102</v>
      </c>
      <c r="H6">
        <f t="shared" si="0"/>
        <v>6964320</v>
      </c>
      <c r="I6">
        <f t="shared" si="1"/>
        <v>0</v>
      </c>
      <c r="J6">
        <f t="shared" si="2"/>
        <v>6964320</v>
      </c>
    </row>
    <row r="7" spans="1:28" x14ac:dyDescent="0.3">
      <c r="A7" t="s">
        <v>21</v>
      </c>
      <c r="B7">
        <v>2</v>
      </c>
      <c r="C7">
        <f>549000/1000</f>
        <v>549</v>
      </c>
      <c r="D7">
        <v>0</v>
      </c>
      <c r="E7">
        <f t="shared" si="3"/>
        <v>1098</v>
      </c>
      <c r="F7">
        <f t="shared" si="4"/>
        <v>0</v>
      </c>
      <c r="G7" t="s">
        <v>102</v>
      </c>
      <c r="H7">
        <f t="shared" si="0"/>
        <v>1756800.0000000002</v>
      </c>
      <c r="I7">
        <f t="shared" si="1"/>
        <v>0</v>
      </c>
      <c r="J7">
        <f t="shared" si="2"/>
        <v>1756800.0000000002</v>
      </c>
    </row>
    <row r="8" spans="1:28" x14ac:dyDescent="0.3">
      <c r="A8" t="s">
        <v>50</v>
      </c>
      <c r="B8">
        <v>1</v>
      </c>
      <c r="C8">
        <f>194400/1000</f>
        <v>194.4</v>
      </c>
      <c r="D8">
        <f>264000/1000</f>
        <v>264</v>
      </c>
      <c r="E8">
        <f>B8*C8</f>
        <v>194.4</v>
      </c>
      <c r="F8">
        <f>B8*D8</f>
        <v>264</v>
      </c>
      <c r="G8" t="s">
        <v>103</v>
      </c>
      <c r="H8">
        <f t="shared" si="0"/>
        <v>311040</v>
      </c>
      <c r="I8">
        <f t="shared" si="1"/>
        <v>1320000</v>
      </c>
      <c r="J8">
        <f t="shared" si="2"/>
        <v>1631040</v>
      </c>
    </row>
    <row r="9" spans="1:28" x14ac:dyDescent="0.3">
      <c r="A9" t="s">
        <v>22</v>
      </c>
      <c r="B9">
        <v>5</v>
      </c>
      <c r="C9">
        <f>632162/1000</f>
        <v>632.16200000000003</v>
      </c>
      <c r="D9">
        <v>0</v>
      </c>
      <c r="E9">
        <f t="shared" si="3"/>
        <v>3160.8100000000004</v>
      </c>
      <c r="F9">
        <f t="shared" si="4"/>
        <v>0</v>
      </c>
      <c r="G9" t="s">
        <v>103</v>
      </c>
      <c r="H9">
        <f t="shared" si="0"/>
        <v>5057296.0000000009</v>
      </c>
      <c r="I9">
        <f t="shared" si="1"/>
        <v>0</v>
      </c>
      <c r="J9">
        <f t="shared" si="2"/>
        <v>5057296.0000000009</v>
      </c>
    </row>
    <row r="10" spans="1:28" x14ac:dyDescent="0.3">
      <c r="A10" t="s">
        <v>45</v>
      </c>
      <c r="B10">
        <v>2</v>
      </c>
      <c r="E10">
        <v>770.2138962962963</v>
      </c>
      <c r="F10">
        <v>238.96296296296296</v>
      </c>
      <c r="G10" t="s">
        <v>102</v>
      </c>
      <c r="H10">
        <f t="shared" si="0"/>
        <v>1232342.2340740743</v>
      </c>
      <c r="I10">
        <f t="shared" si="1"/>
        <v>1194814.8148148148</v>
      </c>
      <c r="J10">
        <f t="shared" si="2"/>
        <v>2427157.0488888891</v>
      </c>
    </row>
    <row r="12" spans="1:28" x14ac:dyDescent="0.3">
      <c r="A12" t="s">
        <v>45</v>
      </c>
      <c r="B12">
        <v>0</v>
      </c>
      <c r="E12">
        <f t="shared" si="3"/>
        <v>0</v>
      </c>
      <c r="F12">
        <f t="shared" si="4"/>
        <v>0</v>
      </c>
      <c r="G12" t="s">
        <v>102</v>
      </c>
      <c r="H12">
        <f t="shared" ref="H12:H34" si="5">E12*1.55*1000</f>
        <v>0</v>
      </c>
      <c r="I12">
        <f t="shared" ref="I12:I34" si="6">F12*5000</f>
        <v>0</v>
      </c>
      <c r="J12">
        <f t="shared" ref="J12:J34" si="7">H12+I12</f>
        <v>0</v>
      </c>
    </row>
    <row r="13" spans="1:28" x14ac:dyDescent="0.3">
      <c r="A13" t="s">
        <v>93</v>
      </c>
      <c r="B13">
        <v>2</v>
      </c>
      <c r="C13">
        <v>254.815</v>
      </c>
      <c r="E13">
        <f t="shared" si="3"/>
        <v>509.63</v>
      </c>
      <c r="F13">
        <f t="shared" si="4"/>
        <v>0</v>
      </c>
      <c r="G13" t="s">
        <v>102</v>
      </c>
      <c r="H13">
        <f>E13*1.6*1000</f>
        <v>815408</v>
      </c>
      <c r="I13">
        <f t="shared" si="6"/>
        <v>0</v>
      </c>
      <c r="J13">
        <f t="shared" si="7"/>
        <v>815408</v>
      </c>
    </row>
    <row r="14" spans="1:28" x14ac:dyDescent="0.3">
      <c r="A14" t="s">
        <v>46</v>
      </c>
      <c r="B14">
        <v>2</v>
      </c>
      <c r="C14">
        <f>178000/1000</f>
        <v>178</v>
      </c>
      <c r="D14">
        <v>0</v>
      </c>
      <c r="E14">
        <f t="shared" si="3"/>
        <v>356</v>
      </c>
      <c r="F14">
        <f t="shared" si="4"/>
        <v>0</v>
      </c>
      <c r="G14" t="s">
        <v>103</v>
      </c>
      <c r="H14">
        <f t="shared" ref="H14:H21" si="8">E14*1.6*1000</f>
        <v>569600</v>
      </c>
      <c r="I14">
        <f t="shared" si="6"/>
        <v>0</v>
      </c>
      <c r="J14">
        <f t="shared" si="7"/>
        <v>569600</v>
      </c>
    </row>
    <row r="15" spans="1:28" x14ac:dyDescent="0.3">
      <c r="A15" t="s">
        <v>47</v>
      </c>
      <c r="B15">
        <v>12</v>
      </c>
      <c r="C15">
        <f>188264/1000</f>
        <v>188.26400000000001</v>
      </c>
      <c r="D15">
        <v>0</v>
      </c>
      <c r="E15">
        <f t="shared" si="3"/>
        <v>2259.1680000000001</v>
      </c>
      <c r="F15">
        <f t="shared" si="4"/>
        <v>0</v>
      </c>
      <c r="G15" t="s">
        <v>103</v>
      </c>
      <c r="H15">
        <f t="shared" si="8"/>
        <v>3614668.8000000003</v>
      </c>
      <c r="I15">
        <f t="shared" si="6"/>
        <v>0</v>
      </c>
      <c r="J15">
        <f t="shared" si="7"/>
        <v>3614668.8000000003</v>
      </c>
    </row>
    <row r="16" spans="1:28" x14ac:dyDescent="0.3">
      <c r="A16" t="s">
        <v>48</v>
      </c>
      <c r="B16">
        <v>7</v>
      </c>
      <c r="C16">
        <f>246750/1000</f>
        <v>246.75</v>
      </c>
      <c r="D16">
        <v>0</v>
      </c>
      <c r="E16">
        <f t="shared" si="3"/>
        <v>1727.25</v>
      </c>
      <c r="F16">
        <f t="shared" si="4"/>
        <v>0</v>
      </c>
      <c r="G16" t="s">
        <v>103</v>
      </c>
      <c r="H16">
        <f t="shared" si="8"/>
        <v>2763600.0000000005</v>
      </c>
      <c r="I16">
        <f t="shared" si="6"/>
        <v>0</v>
      </c>
      <c r="J16">
        <f t="shared" si="7"/>
        <v>2763600.0000000005</v>
      </c>
    </row>
    <row r="17" spans="1:10" x14ac:dyDescent="0.3">
      <c r="A17" t="s">
        <v>49</v>
      </c>
      <c r="B17">
        <v>2</v>
      </c>
      <c r="C17">
        <f>235000/1000</f>
        <v>235</v>
      </c>
      <c r="D17">
        <f>120000/1000</f>
        <v>120</v>
      </c>
      <c r="E17">
        <f t="shared" si="3"/>
        <v>470</v>
      </c>
      <c r="F17">
        <f t="shared" si="4"/>
        <v>240</v>
      </c>
      <c r="G17" t="s">
        <v>102</v>
      </c>
      <c r="H17">
        <f t="shared" si="8"/>
        <v>752000</v>
      </c>
      <c r="I17">
        <f t="shared" si="6"/>
        <v>1200000</v>
      </c>
      <c r="J17">
        <f t="shared" si="7"/>
        <v>1952000</v>
      </c>
    </row>
    <row r="18" spans="1:10" x14ac:dyDescent="0.3">
      <c r="A18" t="s">
        <v>94</v>
      </c>
      <c r="B18">
        <v>1</v>
      </c>
      <c r="C18">
        <f>144000/1000</f>
        <v>144</v>
      </c>
      <c r="D18">
        <f>205000/1000</f>
        <v>205</v>
      </c>
      <c r="E18">
        <f t="shared" si="3"/>
        <v>144</v>
      </c>
      <c r="F18">
        <f t="shared" si="4"/>
        <v>205</v>
      </c>
      <c r="G18" t="s">
        <v>103</v>
      </c>
      <c r="H18">
        <f t="shared" si="8"/>
        <v>230400</v>
      </c>
      <c r="I18">
        <f t="shared" si="6"/>
        <v>1025000</v>
      </c>
      <c r="J18">
        <f t="shared" si="7"/>
        <v>1255400</v>
      </c>
    </row>
    <row r="19" spans="1:10" x14ac:dyDescent="0.3">
      <c r="A19" t="s">
        <v>51</v>
      </c>
      <c r="B19">
        <v>5</v>
      </c>
      <c r="C19">
        <f>44500/1000</f>
        <v>44.5</v>
      </c>
      <c r="D19">
        <f>219000/1000</f>
        <v>219</v>
      </c>
      <c r="E19">
        <f t="shared" si="3"/>
        <v>222.5</v>
      </c>
      <c r="F19">
        <f t="shared" si="4"/>
        <v>1095</v>
      </c>
      <c r="G19" t="s">
        <v>103</v>
      </c>
      <c r="H19">
        <f t="shared" si="8"/>
        <v>356000</v>
      </c>
      <c r="I19">
        <f t="shared" si="6"/>
        <v>5475000</v>
      </c>
      <c r="J19">
        <f t="shared" si="7"/>
        <v>5831000</v>
      </c>
    </row>
    <row r="20" spans="1:10" x14ac:dyDescent="0.3">
      <c r="A20" t="s">
        <v>25</v>
      </c>
      <c r="B20">
        <v>15</v>
      </c>
      <c r="C20">
        <f>277390/1000</f>
        <v>277.39</v>
      </c>
      <c r="D20">
        <v>0</v>
      </c>
      <c r="E20">
        <f>B20*C20</f>
        <v>4160.8499999999995</v>
      </c>
      <c r="F20">
        <f>B20*D20</f>
        <v>0</v>
      </c>
      <c r="G20" t="s">
        <v>103</v>
      </c>
      <c r="H20">
        <f t="shared" si="8"/>
        <v>6657360</v>
      </c>
      <c r="I20">
        <f t="shared" si="6"/>
        <v>0</v>
      </c>
      <c r="J20">
        <f t="shared" si="7"/>
        <v>6657360</v>
      </c>
    </row>
    <row r="21" spans="1:10" x14ac:dyDescent="0.3">
      <c r="A21" t="s">
        <v>32</v>
      </c>
      <c r="B21">
        <v>3</v>
      </c>
      <c r="C21">
        <f>277390/1000</f>
        <v>277.39</v>
      </c>
      <c r="D21">
        <v>0</v>
      </c>
      <c r="E21">
        <f t="shared" si="3"/>
        <v>832.17</v>
      </c>
      <c r="F21">
        <f t="shared" si="4"/>
        <v>0</v>
      </c>
      <c r="G21" t="s">
        <v>103</v>
      </c>
      <c r="H21">
        <f t="shared" si="8"/>
        <v>1331472</v>
      </c>
      <c r="I21">
        <f t="shared" si="6"/>
        <v>0</v>
      </c>
      <c r="J21">
        <f t="shared" si="7"/>
        <v>1331472</v>
      </c>
    </row>
    <row r="22" spans="1:10" x14ac:dyDescent="0.3">
      <c r="I22">
        <f t="shared" si="6"/>
        <v>0</v>
      </c>
    </row>
    <row r="23" spans="1:10" x14ac:dyDescent="0.3">
      <c r="A23" t="s">
        <v>45</v>
      </c>
      <c r="B23">
        <v>5</v>
      </c>
      <c r="E23">
        <v>45.857894736842098</v>
      </c>
      <c r="F23">
        <v>100.58684210526314</v>
      </c>
      <c r="G23" t="s">
        <v>107</v>
      </c>
      <c r="H23">
        <f>E23*1.6*1000</f>
        <v>73372.631578947359</v>
      </c>
      <c r="I23">
        <f t="shared" si="6"/>
        <v>502934.21052631573</v>
      </c>
      <c r="J23">
        <f t="shared" si="7"/>
        <v>576306.84210526315</v>
      </c>
    </row>
    <row r="24" spans="1:10" x14ac:dyDescent="0.3">
      <c r="A24" t="s">
        <v>39</v>
      </c>
      <c r="B24">
        <v>12</v>
      </c>
      <c r="C24">
        <v>0</v>
      </c>
      <c r="D24">
        <f>2200/1000</f>
        <v>2.2000000000000002</v>
      </c>
      <c r="E24">
        <f t="shared" si="3"/>
        <v>0</v>
      </c>
      <c r="F24">
        <f t="shared" si="4"/>
        <v>26.400000000000002</v>
      </c>
      <c r="G24" t="s">
        <v>102</v>
      </c>
      <c r="H24">
        <f t="shared" ref="H24:H27" si="9">E24*1.6*1000</f>
        <v>0</v>
      </c>
      <c r="I24">
        <f t="shared" si="6"/>
        <v>132000</v>
      </c>
      <c r="J24">
        <f t="shared" si="7"/>
        <v>132000</v>
      </c>
    </row>
    <row r="25" spans="1:10" x14ac:dyDescent="0.3">
      <c r="A25" t="s">
        <v>52</v>
      </c>
      <c r="B25">
        <v>3</v>
      </c>
      <c r="C25">
        <v>0</v>
      </c>
      <c r="D25">
        <f>35000/1000</f>
        <v>35</v>
      </c>
      <c r="E25">
        <f t="shared" si="3"/>
        <v>0</v>
      </c>
      <c r="F25">
        <f t="shared" si="4"/>
        <v>105</v>
      </c>
      <c r="G25" t="s">
        <v>103</v>
      </c>
      <c r="H25">
        <f t="shared" si="9"/>
        <v>0</v>
      </c>
      <c r="I25">
        <f t="shared" si="6"/>
        <v>525000</v>
      </c>
      <c r="J25">
        <f t="shared" si="7"/>
        <v>525000</v>
      </c>
    </row>
    <row r="26" spans="1:10" x14ac:dyDescent="0.3">
      <c r="A26" t="s">
        <v>34</v>
      </c>
      <c r="B26">
        <v>2</v>
      </c>
      <c r="C26">
        <f>87130/1000</f>
        <v>87.13</v>
      </c>
      <c r="D26">
        <v>0</v>
      </c>
      <c r="E26">
        <f t="shared" si="3"/>
        <v>174.26</v>
      </c>
      <c r="F26">
        <f t="shared" si="4"/>
        <v>0</v>
      </c>
      <c r="G26" t="s">
        <v>103</v>
      </c>
      <c r="H26">
        <f t="shared" si="9"/>
        <v>278816</v>
      </c>
      <c r="I26">
        <f t="shared" si="6"/>
        <v>0</v>
      </c>
      <c r="J26">
        <f t="shared" si="7"/>
        <v>278816</v>
      </c>
    </row>
    <row r="27" spans="1:10" x14ac:dyDescent="0.3">
      <c r="A27" t="s">
        <v>33</v>
      </c>
      <c r="B27">
        <v>2</v>
      </c>
      <c r="C27">
        <v>0</v>
      </c>
      <c r="D27">
        <f>125415/1000</f>
        <v>125.41500000000001</v>
      </c>
      <c r="E27">
        <f t="shared" si="3"/>
        <v>0</v>
      </c>
      <c r="F27">
        <f t="shared" si="4"/>
        <v>250.83</v>
      </c>
      <c r="G27" t="s">
        <v>101</v>
      </c>
      <c r="H27">
        <f t="shared" si="9"/>
        <v>0</v>
      </c>
      <c r="I27">
        <f t="shared" si="6"/>
        <v>1254150</v>
      </c>
      <c r="J27">
        <f t="shared" si="7"/>
        <v>1254150</v>
      </c>
    </row>
    <row r="29" spans="1:10" x14ac:dyDescent="0.3">
      <c r="A29" t="s">
        <v>45</v>
      </c>
      <c r="B29">
        <v>7</v>
      </c>
      <c r="E29">
        <v>29.976470588235294</v>
      </c>
      <c r="F29">
        <v>40.367764705882351</v>
      </c>
      <c r="G29" t="s">
        <v>107</v>
      </c>
      <c r="H29">
        <f>E29*1.6*1000</f>
        <v>47962.352941176476</v>
      </c>
      <c r="I29">
        <f t="shared" si="6"/>
        <v>201838.82352941175</v>
      </c>
      <c r="J29">
        <f t="shared" si="7"/>
        <v>249801.17647058822</v>
      </c>
    </row>
    <row r="30" spans="1:10" x14ac:dyDescent="0.3">
      <c r="A30" t="s">
        <v>36</v>
      </c>
      <c r="B30">
        <v>6</v>
      </c>
      <c r="C30">
        <f>11300/1000</f>
        <v>11.3</v>
      </c>
      <c r="D30">
        <v>0</v>
      </c>
      <c r="E30">
        <f t="shared" ref="E30:E35" si="10">B30*C30</f>
        <v>67.800000000000011</v>
      </c>
      <c r="F30">
        <f t="shared" ref="F30:F35" si="11">B30*D30</f>
        <v>0</v>
      </c>
      <c r="G30" t="s">
        <v>103</v>
      </c>
      <c r="H30">
        <f t="shared" ref="H30:H35" si="12">E30*1.6*1000</f>
        <v>108480.00000000001</v>
      </c>
      <c r="I30">
        <f t="shared" si="6"/>
        <v>0</v>
      </c>
      <c r="J30">
        <f t="shared" si="7"/>
        <v>108480.00000000001</v>
      </c>
    </row>
    <row r="31" spans="1:10" x14ac:dyDescent="0.3">
      <c r="A31" t="s">
        <v>53</v>
      </c>
      <c r="B31">
        <v>5</v>
      </c>
      <c r="C31">
        <v>1</v>
      </c>
      <c r="D31">
        <v>19</v>
      </c>
      <c r="E31">
        <f t="shared" si="10"/>
        <v>5</v>
      </c>
      <c r="F31">
        <f t="shared" si="11"/>
        <v>95</v>
      </c>
      <c r="G31" t="s">
        <v>103</v>
      </c>
      <c r="H31">
        <f t="shared" si="12"/>
        <v>8000</v>
      </c>
      <c r="I31">
        <f t="shared" si="6"/>
        <v>475000</v>
      </c>
      <c r="J31">
        <f t="shared" si="7"/>
        <v>483000</v>
      </c>
    </row>
    <row r="32" spans="1:10" x14ac:dyDescent="0.3">
      <c r="A32" t="s">
        <v>95</v>
      </c>
      <c r="B32">
        <v>6</v>
      </c>
      <c r="D32">
        <v>0.50600000000000001</v>
      </c>
      <c r="E32">
        <f t="shared" si="10"/>
        <v>0</v>
      </c>
      <c r="F32">
        <f t="shared" si="11"/>
        <v>3.036</v>
      </c>
      <c r="G32" t="s">
        <v>102</v>
      </c>
      <c r="H32">
        <f t="shared" si="12"/>
        <v>0</v>
      </c>
      <c r="I32">
        <f t="shared" si="6"/>
        <v>15180</v>
      </c>
      <c r="J32">
        <f t="shared" si="7"/>
        <v>15180</v>
      </c>
    </row>
    <row r="33" spans="1:10" x14ac:dyDescent="0.3">
      <c r="A33" t="s">
        <v>54</v>
      </c>
      <c r="B33">
        <v>0</v>
      </c>
      <c r="D33">
        <f>20000/1000</f>
        <v>20</v>
      </c>
      <c r="E33">
        <f t="shared" si="10"/>
        <v>0</v>
      </c>
      <c r="F33">
        <f t="shared" si="11"/>
        <v>0</v>
      </c>
      <c r="G33" t="s">
        <v>103</v>
      </c>
      <c r="H33">
        <f t="shared" si="12"/>
        <v>0</v>
      </c>
      <c r="I33">
        <f t="shared" si="6"/>
        <v>0</v>
      </c>
      <c r="J33">
        <f t="shared" si="7"/>
        <v>0</v>
      </c>
    </row>
    <row r="34" spans="1:10" x14ac:dyDescent="0.3">
      <c r="A34" t="s">
        <v>55</v>
      </c>
      <c r="B34">
        <v>0</v>
      </c>
      <c r="D34">
        <v>1</v>
      </c>
      <c r="E34">
        <f t="shared" si="10"/>
        <v>0</v>
      </c>
      <c r="F34">
        <f t="shared" si="11"/>
        <v>0</v>
      </c>
      <c r="G34" t="s">
        <v>102</v>
      </c>
      <c r="H34">
        <f t="shared" si="12"/>
        <v>0</v>
      </c>
      <c r="I34">
        <f t="shared" si="6"/>
        <v>0</v>
      </c>
      <c r="J34">
        <f t="shared" si="7"/>
        <v>0</v>
      </c>
    </row>
    <row r="35" spans="1:10" x14ac:dyDescent="0.3">
      <c r="A35" t="s">
        <v>96</v>
      </c>
      <c r="B35">
        <v>0</v>
      </c>
      <c r="C35">
        <v>0</v>
      </c>
      <c r="D35">
        <v>1.3</v>
      </c>
      <c r="E35">
        <f t="shared" si="10"/>
        <v>0</v>
      </c>
      <c r="F35">
        <f t="shared" si="11"/>
        <v>0</v>
      </c>
      <c r="G35" t="s">
        <v>102</v>
      </c>
      <c r="H35">
        <f t="shared" si="12"/>
        <v>0</v>
      </c>
      <c r="I35">
        <f t="shared" ref="I35" si="13">F35*5000</f>
        <v>0</v>
      </c>
      <c r="J35">
        <f t="shared" ref="J35" si="14">H35+I35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3" sqref="D13"/>
    </sheetView>
  </sheetViews>
  <sheetFormatPr defaultRowHeight="14.4" x14ac:dyDescent="0.3"/>
  <cols>
    <col min="2" max="2" width="12" bestFit="1" customWidth="1"/>
    <col min="3" max="3" width="11" bestFit="1" customWidth="1"/>
  </cols>
  <sheetData>
    <row r="1" spans="1:2" x14ac:dyDescent="0.3">
      <c r="A1" t="s">
        <v>83</v>
      </c>
      <c r="B1" t="s">
        <v>99</v>
      </c>
    </row>
    <row r="2" spans="1:2" x14ac:dyDescent="0.3">
      <c r="A2" t="s">
        <v>41</v>
      </c>
      <c r="B2">
        <f>'2019'!S37*1.6*1000</f>
        <v>36745847.45859421</v>
      </c>
    </row>
    <row r="3" spans="1:2" x14ac:dyDescent="0.3">
      <c r="A3" t="s">
        <v>42</v>
      </c>
      <c r="B3">
        <f>'2019'!T37*5*1000</f>
        <v>28130917.848870546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workbookViewId="0">
      <selection activeCell="E3" sqref="E3"/>
    </sheetView>
  </sheetViews>
  <sheetFormatPr defaultRowHeight="14.4" x14ac:dyDescent="0.3"/>
  <cols>
    <col min="1" max="1" width="15.44140625" customWidth="1"/>
    <col min="2" max="2" width="12.88671875" customWidth="1"/>
    <col min="3" max="3" width="12.77734375" customWidth="1"/>
    <col min="4" max="4" width="11.77734375" customWidth="1"/>
    <col min="5" max="5" width="9" customWidth="1"/>
    <col min="6" max="6" width="8.21875" customWidth="1"/>
    <col min="7" max="7" width="6.21875" customWidth="1"/>
    <col min="8" max="8" width="13.77734375" customWidth="1"/>
    <col min="11" max="11" width="5.21875" customWidth="1"/>
    <col min="14" max="14" width="4.33203125" customWidth="1"/>
    <col min="16" max="16" width="12" bestFit="1" customWidth="1"/>
    <col min="17" max="17" width="11" bestFit="1" customWidth="1"/>
    <col min="18" max="18" width="5.109375" customWidth="1"/>
  </cols>
  <sheetData>
    <row r="1" spans="1:27" ht="57.6" x14ac:dyDescent="0.3">
      <c r="A1" s="2" t="s">
        <v>0</v>
      </c>
      <c r="B1" s="2">
        <v>2018</v>
      </c>
      <c r="C1" s="2" t="s">
        <v>64</v>
      </c>
      <c r="D1" s="2" t="s">
        <v>65</v>
      </c>
      <c r="E1" s="2" t="s">
        <v>66</v>
      </c>
      <c r="F1" s="2" t="s">
        <v>67</v>
      </c>
      <c r="G1" s="1"/>
      <c r="H1" s="3" t="s">
        <v>60</v>
      </c>
      <c r="I1" s="2" t="s">
        <v>59</v>
      </c>
      <c r="J1" s="2" t="s">
        <v>68</v>
      </c>
      <c r="K1" s="1"/>
      <c r="L1" s="3" t="s">
        <v>57</v>
      </c>
      <c r="M1" s="3" t="s">
        <v>58</v>
      </c>
      <c r="O1" s="3" t="s">
        <v>63</v>
      </c>
      <c r="P1" s="3" t="s">
        <v>61</v>
      </c>
      <c r="Q1" s="3" t="s">
        <v>62</v>
      </c>
      <c r="S1" s="3" t="s">
        <v>43</v>
      </c>
      <c r="T1" s="3" t="s">
        <v>44</v>
      </c>
      <c r="V1" s="3" t="s">
        <v>69</v>
      </c>
      <c r="W1" s="3" t="s">
        <v>70</v>
      </c>
      <c r="Y1" s="3" t="s">
        <v>75</v>
      </c>
      <c r="Z1" s="3"/>
      <c r="AA1" s="3"/>
    </row>
    <row r="2" spans="1:27" x14ac:dyDescent="0.3">
      <c r="A2" t="s">
        <v>14</v>
      </c>
      <c r="B2">
        <v>6</v>
      </c>
      <c r="C2">
        <f>184900/1000</f>
        <v>184.9</v>
      </c>
      <c r="D2">
        <f>530000/1000</f>
        <v>530</v>
      </c>
      <c r="E2">
        <f>B2*C2</f>
        <v>1109.4000000000001</v>
      </c>
      <c r="F2">
        <f>B2*D2</f>
        <v>3180</v>
      </c>
      <c r="H2">
        <f>SUM(E2:E9)</f>
        <v>13368.919</v>
      </c>
      <c r="I2">
        <f>SUM(F2:F9)</f>
        <v>5741</v>
      </c>
      <c r="J2">
        <f>H2+I2</f>
        <v>19109.919000000002</v>
      </c>
      <c r="L2">
        <f>H2/J2*100</f>
        <v>69.958009764457913</v>
      </c>
      <c r="M2">
        <f>I2/J2*100</f>
        <v>30.04199023554207</v>
      </c>
      <c r="O2">
        <f>J2/SUM(B2:B9)</f>
        <v>489.99792307692314</v>
      </c>
      <c r="P2">
        <f>B10*O2*L2/100</f>
        <v>0</v>
      </c>
      <c r="Q2">
        <f>B10*O2*M2/100</f>
        <v>0</v>
      </c>
      <c r="S2">
        <f>H2+P2</f>
        <v>13368.919</v>
      </c>
      <c r="T2">
        <f>I2+Q2</f>
        <v>5741</v>
      </c>
      <c r="V2">
        <v>1.28</v>
      </c>
      <c r="W2">
        <v>5</v>
      </c>
      <c r="X2" t="s">
        <v>74</v>
      </c>
      <c r="Y2">
        <v>2.4</v>
      </c>
    </row>
    <row r="3" spans="1:27" x14ac:dyDescent="0.3">
      <c r="A3" t="s">
        <v>17</v>
      </c>
      <c r="B3">
        <v>5</v>
      </c>
      <c r="C3">
        <f>304919/1000</f>
        <v>304.91899999999998</v>
      </c>
      <c r="D3">
        <f>221000/1000</f>
        <v>221</v>
      </c>
      <c r="E3">
        <f>B3*C3</f>
        <v>1524.5949999999998</v>
      </c>
      <c r="F3">
        <f>B3*D3</f>
        <v>1105</v>
      </c>
    </row>
    <row r="4" spans="1:27" x14ac:dyDescent="0.3">
      <c r="A4" t="s">
        <v>10</v>
      </c>
      <c r="B4">
        <v>0</v>
      </c>
      <c r="C4">
        <v>751.4</v>
      </c>
      <c r="E4">
        <f t="shared" ref="E4:E27" si="0">B4*C4</f>
        <v>0</v>
      </c>
      <c r="F4">
        <f t="shared" ref="F4:F27" si="1">B4*D4</f>
        <v>0</v>
      </c>
    </row>
    <row r="5" spans="1:27" x14ac:dyDescent="0.3">
      <c r="A5" t="s">
        <v>20</v>
      </c>
      <c r="B5">
        <v>1</v>
      </c>
      <c r="C5">
        <v>230</v>
      </c>
      <c r="D5">
        <v>400</v>
      </c>
      <c r="E5">
        <f t="shared" si="0"/>
        <v>230</v>
      </c>
      <c r="F5">
        <f t="shared" si="1"/>
        <v>400</v>
      </c>
    </row>
    <row r="6" spans="1:27" x14ac:dyDescent="0.3">
      <c r="A6" t="s">
        <v>24</v>
      </c>
      <c r="B6">
        <v>20</v>
      </c>
      <c r="C6">
        <f>395700/1000</f>
        <v>395.7</v>
      </c>
      <c r="D6">
        <v>0</v>
      </c>
      <c r="E6">
        <f t="shared" si="0"/>
        <v>7914</v>
      </c>
      <c r="F6">
        <f t="shared" si="1"/>
        <v>0</v>
      </c>
    </row>
    <row r="7" spans="1:27" x14ac:dyDescent="0.3">
      <c r="A7" t="s">
        <v>21</v>
      </c>
      <c r="B7">
        <v>1</v>
      </c>
      <c r="C7">
        <f>549000/1000</f>
        <v>549</v>
      </c>
      <c r="D7">
        <v>0</v>
      </c>
      <c r="E7">
        <f t="shared" si="0"/>
        <v>549</v>
      </c>
      <c r="F7">
        <f t="shared" si="1"/>
        <v>0</v>
      </c>
    </row>
    <row r="8" spans="1:27" x14ac:dyDescent="0.3">
      <c r="A8" t="s">
        <v>50</v>
      </c>
      <c r="B8">
        <v>4</v>
      </c>
      <c r="C8">
        <f>194400/1000</f>
        <v>194.4</v>
      </c>
      <c r="D8">
        <f>264000/1000</f>
        <v>264</v>
      </c>
      <c r="E8">
        <f>B8*C8</f>
        <v>777.6</v>
      </c>
      <c r="F8">
        <f>B8*D8</f>
        <v>1056</v>
      </c>
    </row>
    <row r="9" spans="1:27" x14ac:dyDescent="0.3">
      <c r="A9" t="s">
        <v>22</v>
      </c>
      <c r="B9">
        <v>2</v>
      </c>
      <c r="C9">
        <f>632162/1000</f>
        <v>632.16200000000003</v>
      </c>
      <c r="D9">
        <v>0</v>
      </c>
      <c r="E9">
        <f t="shared" si="0"/>
        <v>1264.3240000000001</v>
      </c>
      <c r="F9">
        <f t="shared" si="1"/>
        <v>0</v>
      </c>
    </row>
    <row r="10" spans="1:27" x14ac:dyDescent="0.3">
      <c r="A10" t="s">
        <v>45</v>
      </c>
      <c r="B10">
        <v>0</v>
      </c>
      <c r="E10">
        <f t="shared" si="0"/>
        <v>0</v>
      </c>
      <c r="F10">
        <f t="shared" si="1"/>
        <v>0</v>
      </c>
    </row>
    <row r="12" spans="1:27" x14ac:dyDescent="0.3">
      <c r="A12" t="s">
        <v>45</v>
      </c>
      <c r="B12">
        <v>1</v>
      </c>
      <c r="E12">
        <f t="shared" si="0"/>
        <v>0</v>
      </c>
      <c r="F12">
        <f t="shared" si="1"/>
        <v>0</v>
      </c>
    </row>
    <row r="13" spans="1:27" x14ac:dyDescent="0.3">
      <c r="A13" t="s">
        <v>93</v>
      </c>
      <c r="B13">
        <v>2</v>
      </c>
      <c r="C13">
        <v>254.815</v>
      </c>
      <c r="E13">
        <f t="shared" si="0"/>
        <v>509.63</v>
      </c>
      <c r="F13">
        <f t="shared" si="1"/>
        <v>0</v>
      </c>
    </row>
    <row r="14" spans="1:27" x14ac:dyDescent="0.3">
      <c r="A14" t="s">
        <v>46</v>
      </c>
      <c r="B14">
        <v>14</v>
      </c>
      <c r="C14">
        <f>178000/1000</f>
        <v>178</v>
      </c>
      <c r="D14">
        <v>0</v>
      </c>
      <c r="E14">
        <f t="shared" si="0"/>
        <v>2492</v>
      </c>
      <c r="F14">
        <f t="shared" si="1"/>
        <v>0</v>
      </c>
      <c r="H14">
        <f>SUM(E13:E21)</f>
        <v>12401.066000000001</v>
      </c>
      <c r="I14">
        <f>SUM(F13:F21)</f>
        <v>1611</v>
      </c>
      <c r="J14">
        <f>H14+I14</f>
        <v>14012.066000000001</v>
      </c>
      <c r="L14">
        <f>H14/J14*100</f>
        <v>88.502766116003158</v>
      </c>
      <c r="M14">
        <f>I14/J14*100</f>
        <v>11.497233883996834</v>
      </c>
      <c r="O14">
        <f>J14/SUM(B13:B21)</f>
        <v>233.53443333333334</v>
      </c>
      <c r="P14">
        <f>B12*O14*L14/100</f>
        <v>206.68443333333332</v>
      </c>
      <c r="Q14">
        <f>B12*M14*O14/100</f>
        <v>26.85</v>
      </c>
      <c r="S14">
        <f>H14+P14</f>
        <v>12607.750433333335</v>
      </c>
      <c r="T14">
        <f>I14+Q14</f>
        <v>1637.85</v>
      </c>
    </row>
    <row r="15" spans="1:27" x14ac:dyDescent="0.3">
      <c r="A15" t="s">
        <v>47</v>
      </c>
      <c r="B15">
        <v>14</v>
      </c>
      <c r="C15">
        <f>188264/1000</f>
        <v>188.26400000000001</v>
      </c>
      <c r="D15">
        <v>0</v>
      </c>
      <c r="E15">
        <f t="shared" si="0"/>
        <v>2635.6959999999999</v>
      </c>
      <c r="F15">
        <f t="shared" si="1"/>
        <v>0</v>
      </c>
    </row>
    <row r="16" spans="1:27" x14ac:dyDescent="0.3">
      <c r="A16" t="s">
        <v>48</v>
      </c>
      <c r="B16">
        <v>6</v>
      </c>
      <c r="C16">
        <f>246750/1000</f>
        <v>246.75</v>
      </c>
      <c r="D16">
        <v>0</v>
      </c>
      <c r="E16">
        <f t="shared" si="0"/>
        <v>1480.5</v>
      </c>
      <c r="F16">
        <f t="shared" si="1"/>
        <v>0</v>
      </c>
    </row>
    <row r="17" spans="1:27" x14ac:dyDescent="0.3">
      <c r="A17" t="s">
        <v>49</v>
      </c>
      <c r="B17">
        <v>1</v>
      </c>
      <c r="C17">
        <f>235000/1000</f>
        <v>235</v>
      </c>
      <c r="D17">
        <f>120000/1000</f>
        <v>120</v>
      </c>
      <c r="E17">
        <f t="shared" si="0"/>
        <v>235</v>
      </c>
      <c r="F17">
        <f t="shared" si="1"/>
        <v>120</v>
      </c>
    </row>
    <row r="18" spans="1:27" x14ac:dyDescent="0.3">
      <c r="A18" t="s">
        <v>94</v>
      </c>
      <c r="B18">
        <v>3</v>
      </c>
      <c r="C18">
        <f>144000/1000</f>
        <v>144</v>
      </c>
      <c r="D18">
        <f>205000/1000</f>
        <v>205</v>
      </c>
      <c r="E18">
        <f t="shared" si="0"/>
        <v>432</v>
      </c>
      <c r="F18">
        <f t="shared" si="1"/>
        <v>615</v>
      </c>
      <c r="W18" t="s">
        <v>14</v>
      </c>
    </row>
    <row r="19" spans="1:27" x14ac:dyDescent="0.3">
      <c r="A19" t="s">
        <v>51</v>
      </c>
      <c r="B19">
        <v>4</v>
      </c>
      <c r="C19">
        <f>44500/1000</f>
        <v>44.5</v>
      </c>
      <c r="D19">
        <f>219000/1000</f>
        <v>219</v>
      </c>
      <c r="E19">
        <f t="shared" si="0"/>
        <v>178</v>
      </c>
      <c r="F19">
        <f t="shared" si="1"/>
        <v>876</v>
      </c>
      <c r="W19" t="s">
        <v>71</v>
      </c>
      <c r="X19">
        <v>1</v>
      </c>
      <c r="Y19">
        <f>0.6*2+0.2*0.4</f>
        <v>1.28</v>
      </c>
      <c r="AA19" t="s">
        <v>73</v>
      </c>
    </row>
    <row r="20" spans="1:27" x14ac:dyDescent="0.3">
      <c r="A20" t="s">
        <v>25</v>
      </c>
      <c r="B20">
        <v>13</v>
      </c>
      <c r="C20">
        <f>277390/1000</f>
        <v>277.39</v>
      </c>
      <c r="D20">
        <v>0</v>
      </c>
      <c r="E20">
        <f>B20*C20</f>
        <v>3606.0699999999997</v>
      </c>
      <c r="F20">
        <f>B20*D20</f>
        <v>0</v>
      </c>
      <c r="W20" t="s">
        <v>72</v>
      </c>
      <c r="X20">
        <v>0.2</v>
      </c>
    </row>
    <row r="21" spans="1:27" x14ac:dyDescent="0.3">
      <c r="A21" t="s">
        <v>32</v>
      </c>
      <c r="B21">
        <v>3</v>
      </c>
      <c r="C21">
        <f>277390/1000</f>
        <v>277.39</v>
      </c>
      <c r="D21">
        <v>0</v>
      </c>
      <c r="E21">
        <f t="shared" si="0"/>
        <v>832.17</v>
      </c>
      <c r="F21">
        <f t="shared" si="1"/>
        <v>0</v>
      </c>
    </row>
    <row r="23" spans="1:27" x14ac:dyDescent="0.3">
      <c r="A23" t="s">
        <v>45</v>
      </c>
      <c r="B23">
        <v>8</v>
      </c>
      <c r="E23">
        <f t="shared" si="0"/>
        <v>0</v>
      </c>
      <c r="F23">
        <f t="shared" si="1"/>
        <v>0</v>
      </c>
    </row>
    <row r="24" spans="1:27" x14ac:dyDescent="0.3">
      <c r="A24" t="s">
        <v>39</v>
      </c>
      <c r="B24">
        <v>14</v>
      </c>
      <c r="C24">
        <v>0</v>
      </c>
      <c r="D24">
        <f>2200/1000</f>
        <v>2.2000000000000002</v>
      </c>
      <c r="E24">
        <f t="shared" si="0"/>
        <v>0</v>
      </c>
      <c r="F24">
        <f t="shared" si="1"/>
        <v>30.800000000000004</v>
      </c>
      <c r="H24">
        <f>SUM(E24:E27)</f>
        <v>174.26</v>
      </c>
      <c r="I24">
        <f>SUM(F24:F27)</f>
        <v>386.63</v>
      </c>
      <c r="J24">
        <f>H24+I24</f>
        <v>560.89</v>
      </c>
      <c r="L24">
        <f>H24/J24*100</f>
        <v>31.068480450712261</v>
      </c>
      <c r="M24">
        <f>I24/J24*100</f>
        <v>68.931519549287742</v>
      </c>
      <c r="O24">
        <f>J24/SUM(B24:B27)</f>
        <v>26.709047619047617</v>
      </c>
      <c r="P24">
        <f>B23*L24*O24/100</f>
        <v>66.384761904761902</v>
      </c>
      <c r="Q24">
        <f>B23*M24*O24/100</f>
        <v>147.28761904761905</v>
      </c>
      <c r="S24">
        <f>H24+P24</f>
        <v>240.64476190476188</v>
      </c>
      <c r="T24">
        <f>I24+Q24</f>
        <v>533.91761904761904</v>
      </c>
    </row>
    <row r="25" spans="1:27" x14ac:dyDescent="0.3">
      <c r="A25" t="s">
        <v>52</v>
      </c>
      <c r="B25">
        <v>3</v>
      </c>
      <c r="C25">
        <v>0</v>
      </c>
      <c r="D25">
        <f>35000/1000</f>
        <v>35</v>
      </c>
      <c r="E25">
        <f t="shared" si="0"/>
        <v>0</v>
      </c>
      <c r="F25">
        <f t="shared" si="1"/>
        <v>105</v>
      </c>
    </row>
    <row r="26" spans="1:27" x14ac:dyDescent="0.3">
      <c r="A26" t="s">
        <v>34</v>
      </c>
      <c r="B26">
        <v>2</v>
      </c>
      <c r="C26">
        <f>87130/1000</f>
        <v>87.13</v>
      </c>
      <c r="D26">
        <v>0</v>
      </c>
      <c r="E26">
        <f t="shared" si="0"/>
        <v>174.26</v>
      </c>
      <c r="F26">
        <f t="shared" si="1"/>
        <v>0</v>
      </c>
    </row>
    <row r="27" spans="1:27" x14ac:dyDescent="0.3">
      <c r="A27" t="s">
        <v>33</v>
      </c>
      <c r="B27">
        <v>2</v>
      </c>
      <c r="C27">
        <v>0</v>
      </c>
      <c r="D27">
        <f>125415/1000</f>
        <v>125.41500000000001</v>
      </c>
      <c r="E27">
        <f t="shared" si="0"/>
        <v>0</v>
      </c>
      <c r="F27">
        <f t="shared" si="1"/>
        <v>250.83</v>
      </c>
    </row>
    <row r="29" spans="1:27" x14ac:dyDescent="0.3">
      <c r="A29" t="s">
        <v>45</v>
      </c>
      <c r="B29">
        <v>11</v>
      </c>
      <c r="E29">
        <f t="shared" ref="E29:E35" si="2">B29*C29</f>
        <v>0</v>
      </c>
      <c r="F29">
        <f t="shared" ref="F29:F35" si="3">B29*D29</f>
        <v>0</v>
      </c>
    </row>
    <row r="30" spans="1:27" x14ac:dyDescent="0.3">
      <c r="A30" t="s">
        <v>36</v>
      </c>
      <c r="B30">
        <v>3</v>
      </c>
      <c r="C30">
        <f>11300/1000</f>
        <v>11.3</v>
      </c>
      <c r="D30">
        <v>0</v>
      </c>
      <c r="E30">
        <f t="shared" si="2"/>
        <v>33.900000000000006</v>
      </c>
      <c r="F30">
        <f t="shared" si="3"/>
        <v>0</v>
      </c>
      <c r="H30">
        <f>SUM(E30:E35)</f>
        <v>34.900000000000006</v>
      </c>
      <c r="I30">
        <f>SUM(F30:F35)</f>
        <v>28.524000000000001</v>
      </c>
      <c r="J30">
        <f>H30+I30</f>
        <v>63.424000000000007</v>
      </c>
      <c r="L30">
        <f>H30/J30*100</f>
        <v>55.026488395560044</v>
      </c>
      <c r="M30">
        <f>I30/J30*100</f>
        <v>44.973511604439956</v>
      </c>
      <c r="O30">
        <f>J30/SUM(B30:B35)</f>
        <v>4.5302857142857151</v>
      </c>
      <c r="P30">
        <f>B29*L30*O30/100</f>
        <v>27.421428571428578</v>
      </c>
      <c r="Q30">
        <f>B29*O30*M30/100</f>
        <v>22.411714285714289</v>
      </c>
      <c r="S30">
        <f>H30+P30</f>
        <v>62.321428571428584</v>
      </c>
      <c r="T30">
        <f>I30+Q30</f>
        <v>50.93571428571429</v>
      </c>
    </row>
    <row r="31" spans="1:27" x14ac:dyDescent="0.3">
      <c r="A31" t="s">
        <v>53</v>
      </c>
      <c r="B31">
        <v>1</v>
      </c>
      <c r="C31">
        <v>1</v>
      </c>
      <c r="D31">
        <v>19</v>
      </c>
      <c r="E31">
        <f t="shared" si="2"/>
        <v>1</v>
      </c>
      <c r="F31">
        <f t="shared" si="3"/>
        <v>19</v>
      </c>
    </row>
    <row r="32" spans="1:27" x14ac:dyDescent="0.3">
      <c r="A32" t="s">
        <v>95</v>
      </c>
      <c r="B32">
        <v>4</v>
      </c>
      <c r="D32">
        <v>0.50600000000000001</v>
      </c>
      <c r="E32">
        <f t="shared" si="2"/>
        <v>0</v>
      </c>
      <c r="F32">
        <f t="shared" si="3"/>
        <v>2.024</v>
      </c>
    </row>
    <row r="33" spans="1:20" x14ac:dyDescent="0.3">
      <c r="A33" t="s">
        <v>54</v>
      </c>
      <c r="B33">
        <v>0</v>
      </c>
      <c r="D33">
        <f>20000/1000</f>
        <v>20</v>
      </c>
      <c r="E33">
        <f t="shared" si="2"/>
        <v>0</v>
      </c>
      <c r="F33">
        <f t="shared" si="3"/>
        <v>0</v>
      </c>
    </row>
    <row r="34" spans="1:20" x14ac:dyDescent="0.3">
      <c r="A34" t="s">
        <v>55</v>
      </c>
      <c r="B34">
        <v>1</v>
      </c>
      <c r="D34">
        <v>1</v>
      </c>
      <c r="E34">
        <f t="shared" si="2"/>
        <v>0</v>
      </c>
      <c r="F34">
        <f t="shared" si="3"/>
        <v>1</v>
      </c>
    </row>
    <row r="35" spans="1:20" x14ac:dyDescent="0.3">
      <c r="A35" t="s">
        <v>96</v>
      </c>
      <c r="B35">
        <v>5</v>
      </c>
      <c r="C35">
        <v>0</v>
      </c>
      <c r="D35">
        <v>1.3</v>
      </c>
      <c r="E35">
        <f t="shared" si="2"/>
        <v>0</v>
      </c>
      <c r="F35">
        <f t="shared" si="3"/>
        <v>6.5</v>
      </c>
    </row>
    <row r="37" spans="1:20" x14ac:dyDescent="0.3">
      <c r="A37" t="s">
        <v>98</v>
      </c>
      <c r="S37">
        <f>SUM(S2:S30)</f>
        <v>26279.635623809525</v>
      </c>
      <c r="T37">
        <f>SUM(T2:T30)</f>
        <v>7963.7033333333338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workbookViewId="0">
      <selection activeCell="E3" sqref="E3"/>
    </sheetView>
  </sheetViews>
  <sheetFormatPr defaultRowHeight="14.4" x14ac:dyDescent="0.3"/>
  <cols>
    <col min="1" max="1" width="15.44140625" customWidth="1"/>
    <col min="2" max="2" width="12.88671875" customWidth="1"/>
    <col min="3" max="3" width="12.77734375" customWidth="1"/>
    <col min="4" max="4" width="11.77734375" customWidth="1"/>
    <col min="5" max="5" width="9" customWidth="1"/>
    <col min="6" max="6" width="8.21875" customWidth="1"/>
    <col min="7" max="7" width="6.21875" customWidth="1"/>
    <col min="8" max="8" width="13.77734375" customWidth="1"/>
    <col min="11" max="11" width="5.21875" customWidth="1"/>
    <col min="14" max="14" width="4.33203125" customWidth="1"/>
    <col min="16" max="16" width="12" bestFit="1" customWidth="1"/>
    <col min="17" max="17" width="11" bestFit="1" customWidth="1"/>
    <col min="18" max="18" width="5.109375" customWidth="1"/>
  </cols>
  <sheetData>
    <row r="1" spans="1:27" ht="57.6" x14ac:dyDescent="0.3">
      <c r="A1" s="2" t="s">
        <v>0</v>
      </c>
      <c r="B1" s="2">
        <v>2017</v>
      </c>
      <c r="C1" s="2" t="s">
        <v>64</v>
      </c>
      <c r="D1" s="2" t="s">
        <v>65</v>
      </c>
      <c r="E1" s="2" t="s">
        <v>66</v>
      </c>
      <c r="F1" s="2" t="s">
        <v>67</v>
      </c>
      <c r="G1" s="1"/>
      <c r="H1" s="3" t="s">
        <v>60</v>
      </c>
      <c r="I1" s="2" t="s">
        <v>59</v>
      </c>
      <c r="J1" s="2" t="s">
        <v>68</v>
      </c>
      <c r="K1" s="1"/>
      <c r="L1" s="3" t="s">
        <v>57</v>
      </c>
      <c r="M1" s="3" t="s">
        <v>58</v>
      </c>
      <c r="O1" s="3" t="s">
        <v>63</v>
      </c>
      <c r="P1" s="3" t="s">
        <v>61</v>
      </c>
      <c r="Q1" s="3" t="s">
        <v>62</v>
      </c>
      <c r="S1" s="3" t="s">
        <v>43</v>
      </c>
      <c r="T1" s="3" t="s">
        <v>44</v>
      </c>
      <c r="V1" s="3" t="s">
        <v>69</v>
      </c>
      <c r="W1" s="3" t="s">
        <v>70</v>
      </c>
      <c r="Y1" s="3" t="s">
        <v>75</v>
      </c>
      <c r="Z1" s="3"/>
      <c r="AA1" s="3"/>
    </row>
    <row r="2" spans="1:27" x14ac:dyDescent="0.3">
      <c r="A2" t="s">
        <v>14</v>
      </c>
      <c r="B2">
        <v>6</v>
      </c>
      <c r="C2">
        <f>184900/1000</f>
        <v>184.9</v>
      </c>
      <c r="D2">
        <f>530000/1000</f>
        <v>530</v>
      </c>
      <c r="E2">
        <f>B2*C2</f>
        <v>1109.4000000000001</v>
      </c>
      <c r="F2">
        <f>B2*D2</f>
        <v>3180</v>
      </c>
      <c r="H2">
        <f>SUM(E2:E9)</f>
        <v>13368.919</v>
      </c>
      <c r="I2">
        <f>SUM(F2:F9)</f>
        <v>5741</v>
      </c>
      <c r="J2">
        <f>H2+I2</f>
        <v>19109.919000000002</v>
      </c>
      <c r="L2">
        <f>H2/J2*100</f>
        <v>69.958009764457913</v>
      </c>
      <c r="M2">
        <f>I2/J2*100</f>
        <v>30.04199023554207</v>
      </c>
      <c r="O2">
        <f>J2/SUM(B2:B9)</f>
        <v>489.99792307692314</v>
      </c>
      <c r="P2">
        <f>B10*O2*L2/100</f>
        <v>685.58558974358971</v>
      </c>
      <c r="Q2">
        <f>B10*O2*M2/100</f>
        <v>294.41025641025635</v>
      </c>
      <c r="S2">
        <f>H2+P2</f>
        <v>14054.50458974359</v>
      </c>
      <c r="T2">
        <f>I2+Q2</f>
        <v>6035.4102564102559</v>
      </c>
      <c r="V2">
        <v>1.28</v>
      </c>
      <c r="W2">
        <v>5</v>
      </c>
      <c r="X2" t="s">
        <v>74</v>
      </c>
      <c r="Y2">
        <v>2.4</v>
      </c>
    </row>
    <row r="3" spans="1:27" x14ac:dyDescent="0.3">
      <c r="A3" t="s">
        <v>17</v>
      </c>
      <c r="B3">
        <v>5</v>
      </c>
      <c r="C3">
        <f>304919/1000</f>
        <v>304.91899999999998</v>
      </c>
      <c r="D3">
        <f>221000/1000</f>
        <v>221</v>
      </c>
      <c r="E3">
        <f>B3*C3</f>
        <v>1524.5949999999998</v>
      </c>
      <c r="F3">
        <f>B3*D3</f>
        <v>1105</v>
      </c>
    </row>
    <row r="4" spans="1:27" x14ac:dyDescent="0.3">
      <c r="A4" t="s">
        <v>10</v>
      </c>
      <c r="B4">
        <v>0</v>
      </c>
      <c r="C4">
        <v>751.4</v>
      </c>
      <c r="E4">
        <f t="shared" ref="E4:E27" si="0">B4*C4</f>
        <v>0</v>
      </c>
      <c r="F4">
        <f t="shared" ref="F4:F27" si="1">B4*D4</f>
        <v>0</v>
      </c>
    </row>
    <row r="5" spans="1:27" x14ac:dyDescent="0.3">
      <c r="A5" t="s">
        <v>20</v>
      </c>
      <c r="B5">
        <v>1</v>
      </c>
      <c r="C5">
        <v>230</v>
      </c>
      <c r="D5">
        <v>400</v>
      </c>
      <c r="E5">
        <f t="shared" si="0"/>
        <v>230</v>
      </c>
      <c r="F5">
        <f t="shared" si="1"/>
        <v>400</v>
      </c>
    </row>
    <row r="6" spans="1:27" x14ac:dyDescent="0.3">
      <c r="A6" t="s">
        <v>24</v>
      </c>
      <c r="B6">
        <v>20</v>
      </c>
      <c r="C6">
        <f>395700/1000</f>
        <v>395.7</v>
      </c>
      <c r="D6">
        <v>0</v>
      </c>
      <c r="E6">
        <f t="shared" si="0"/>
        <v>7914</v>
      </c>
      <c r="F6">
        <f t="shared" si="1"/>
        <v>0</v>
      </c>
    </row>
    <row r="7" spans="1:27" x14ac:dyDescent="0.3">
      <c r="A7" t="s">
        <v>21</v>
      </c>
      <c r="B7">
        <v>1</v>
      </c>
      <c r="C7">
        <f>549000/1000</f>
        <v>549</v>
      </c>
      <c r="D7">
        <v>0</v>
      </c>
      <c r="E7">
        <f t="shared" si="0"/>
        <v>549</v>
      </c>
      <c r="F7">
        <f t="shared" si="1"/>
        <v>0</v>
      </c>
    </row>
    <row r="8" spans="1:27" x14ac:dyDescent="0.3">
      <c r="A8" t="s">
        <v>50</v>
      </c>
      <c r="B8">
        <v>4</v>
      </c>
      <c r="C8">
        <f>194400/1000</f>
        <v>194.4</v>
      </c>
      <c r="D8">
        <f>264000/1000</f>
        <v>264</v>
      </c>
      <c r="E8">
        <f>B8*C8</f>
        <v>777.6</v>
      </c>
      <c r="F8">
        <f>B8*D8</f>
        <v>1056</v>
      </c>
    </row>
    <row r="9" spans="1:27" x14ac:dyDescent="0.3">
      <c r="A9" t="s">
        <v>22</v>
      </c>
      <c r="B9">
        <v>2</v>
      </c>
      <c r="C9">
        <f>632162/1000</f>
        <v>632.16200000000003</v>
      </c>
      <c r="D9">
        <v>0</v>
      </c>
      <c r="E9">
        <f t="shared" si="0"/>
        <v>1264.3240000000001</v>
      </c>
      <c r="F9">
        <f t="shared" si="1"/>
        <v>0</v>
      </c>
    </row>
    <row r="10" spans="1:27" x14ac:dyDescent="0.3">
      <c r="A10" t="s">
        <v>45</v>
      </c>
      <c r="B10">
        <v>2</v>
      </c>
      <c r="E10">
        <f t="shared" si="0"/>
        <v>0</v>
      </c>
      <c r="F10">
        <f t="shared" si="1"/>
        <v>0</v>
      </c>
    </row>
    <row r="12" spans="1:27" x14ac:dyDescent="0.3">
      <c r="A12" t="s">
        <v>45</v>
      </c>
      <c r="B12">
        <v>0</v>
      </c>
      <c r="E12">
        <f t="shared" si="0"/>
        <v>0</v>
      </c>
      <c r="F12">
        <f t="shared" si="1"/>
        <v>0</v>
      </c>
    </row>
    <row r="13" spans="1:27" x14ac:dyDescent="0.3">
      <c r="A13" t="s">
        <v>93</v>
      </c>
      <c r="B13">
        <v>1</v>
      </c>
      <c r="C13">
        <v>254.815</v>
      </c>
      <c r="E13">
        <f t="shared" si="0"/>
        <v>254.815</v>
      </c>
      <c r="F13">
        <f t="shared" si="1"/>
        <v>0</v>
      </c>
    </row>
    <row r="14" spans="1:27" x14ac:dyDescent="0.3">
      <c r="A14" t="s">
        <v>46</v>
      </c>
      <c r="B14">
        <v>6</v>
      </c>
      <c r="C14">
        <f>178000/1000</f>
        <v>178</v>
      </c>
      <c r="D14">
        <v>0</v>
      </c>
      <c r="E14">
        <f t="shared" si="0"/>
        <v>1068</v>
      </c>
      <c r="F14">
        <f t="shared" si="1"/>
        <v>0</v>
      </c>
      <c r="H14">
        <f>SUM(E13:E21)</f>
        <v>7574.9849999999997</v>
      </c>
      <c r="I14">
        <f>SUM(F13:F21)</f>
        <v>1187</v>
      </c>
      <c r="J14">
        <f>H14+I14</f>
        <v>8761.9850000000006</v>
      </c>
      <c r="L14">
        <f>H14/J14*100</f>
        <v>86.452841450881266</v>
      </c>
      <c r="M14">
        <f>I14/J14*100</f>
        <v>13.54715854911872</v>
      </c>
      <c r="O14">
        <f>J14/SUM(B13:B21)</f>
        <v>250.3424285714286</v>
      </c>
      <c r="P14">
        <f>B12*O14*L14/100</f>
        <v>0</v>
      </c>
      <c r="Q14">
        <f>B12*M14*O14/100</f>
        <v>0</v>
      </c>
      <c r="S14">
        <f>H14+P14</f>
        <v>7574.9849999999997</v>
      </c>
      <c r="T14">
        <f>I14+Q14</f>
        <v>1187</v>
      </c>
    </row>
    <row r="15" spans="1:27" x14ac:dyDescent="0.3">
      <c r="A15" t="s">
        <v>47</v>
      </c>
      <c r="B15">
        <v>5</v>
      </c>
      <c r="C15">
        <f>188264/1000</f>
        <v>188.26400000000001</v>
      </c>
      <c r="D15">
        <v>0</v>
      </c>
      <c r="E15">
        <f t="shared" si="0"/>
        <v>941.32</v>
      </c>
      <c r="F15">
        <f t="shared" si="1"/>
        <v>0</v>
      </c>
    </row>
    <row r="16" spans="1:27" x14ac:dyDescent="0.3">
      <c r="A16" t="s">
        <v>48</v>
      </c>
      <c r="B16">
        <v>2</v>
      </c>
      <c r="C16">
        <f>246750/1000</f>
        <v>246.75</v>
      </c>
      <c r="D16">
        <v>0</v>
      </c>
      <c r="E16">
        <f t="shared" si="0"/>
        <v>493.5</v>
      </c>
      <c r="F16">
        <f t="shared" si="1"/>
        <v>0</v>
      </c>
    </row>
    <row r="17" spans="1:27" x14ac:dyDescent="0.3">
      <c r="A17" t="s">
        <v>49</v>
      </c>
      <c r="B17">
        <v>1</v>
      </c>
      <c r="C17">
        <f>235000/1000</f>
        <v>235</v>
      </c>
      <c r="D17">
        <f>120000/1000</f>
        <v>120</v>
      </c>
      <c r="E17">
        <f t="shared" si="0"/>
        <v>235</v>
      </c>
      <c r="F17">
        <f t="shared" si="1"/>
        <v>120</v>
      </c>
    </row>
    <row r="18" spans="1:27" x14ac:dyDescent="0.3">
      <c r="A18" t="s">
        <v>94</v>
      </c>
      <c r="B18">
        <v>2</v>
      </c>
      <c r="C18">
        <f>144000/1000</f>
        <v>144</v>
      </c>
      <c r="D18">
        <f>205000/1000</f>
        <v>205</v>
      </c>
      <c r="E18">
        <f t="shared" si="0"/>
        <v>288</v>
      </c>
      <c r="F18">
        <f t="shared" si="1"/>
        <v>410</v>
      </c>
      <c r="W18" t="s">
        <v>14</v>
      </c>
    </row>
    <row r="19" spans="1:27" x14ac:dyDescent="0.3">
      <c r="A19" t="s">
        <v>51</v>
      </c>
      <c r="B19">
        <v>3</v>
      </c>
      <c r="C19">
        <f>44500/1000</f>
        <v>44.5</v>
      </c>
      <c r="D19">
        <f>219000/1000</f>
        <v>219</v>
      </c>
      <c r="E19">
        <f t="shared" si="0"/>
        <v>133.5</v>
      </c>
      <c r="F19">
        <f t="shared" si="1"/>
        <v>657</v>
      </c>
      <c r="W19" t="s">
        <v>71</v>
      </c>
      <c r="X19">
        <v>1</v>
      </c>
      <c r="Y19">
        <f>0.6*2+0.2*0.4</f>
        <v>1.28</v>
      </c>
      <c r="AA19" t="s">
        <v>73</v>
      </c>
    </row>
    <row r="20" spans="1:27" x14ac:dyDescent="0.3">
      <c r="A20" t="s">
        <v>25</v>
      </c>
      <c r="B20">
        <v>13</v>
      </c>
      <c r="C20">
        <f>277390/1000</f>
        <v>277.39</v>
      </c>
      <c r="D20">
        <v>0</v>
      </c>
      <c r="E20">
        <f>B20*C20</f>
        <v>3606.0699999999997</v>
      </c>
      <c r="F20">
        <f>B20*D20</f>
        <v>0</v>
      </c>
      <c r="W20" t="s">
        <v>72</v>
      </c>
      <c r="X20">
        <v>0.2</v>
      </c>
    </row>
    <row r="21" spans="1:27" x14ac:dyDescent="0.3">
      <c r="A21" t="s">
        <v>32</v>
      </c>
      <c r="B21">
        <v>2</v>
      </c>
      <c r="C21">
        <f>277390/1000</f>
        <v>277.39</v>
      </c>
      <c r="D21">
        <v>0</v>
      </c>
      <c r="E21">
        <f t="shared" si="0"/>
        <v>554.78</v>
      </c>
      <c r="F21">
        <f t="shared" si="1"/>
        <v>0</v>
      </c>
    </row>
    <row r="23" spans="1:27" x14ac:dyDescent="0.3">
      <c r="A23" t="s">
        <v>45</v>
      </c>
      <c r="B23">
        <v>8</v>
      </c>
      <c r="E23">
        <f t="shared" si="0"/>
        <v>0</v>
      </c>
      <c r="F23">
        <f t="shared" si="1"/>
        <v>0</v>
      </c>
    </row>
    <row r="24" spans="1:27" x14ac:dyDescent="0.3">
      <c r="A24" t="s">
        <v>39</v>
      </c>
      <c r="B24">
        <v>11</v>
      </c>
      <c r="C24">
        <v>0</v>
      </c>
      <c r="D24">
        <f>2200/1000</f>
        <v>2.2000000000000002</v>
      </c>
      <c r="E24">
        <f t="shared" si="0"/>
        <v>0</v>
      </c>
      <c r="F24">
        <f t="shared" si="1"/>
        <v>24.200000000000003</v>
      </c>
      <c r="H24">
        <f>SUM(E24:E27)</f>
        <v>87.13</v>
      </c>
      <c r="I24">
        <f>SUM(F24:F27)</f>
        <v>400.44499999999999</v>
      </c>
      <c r="J24">
        <f>H24+I24</f>
        <v>487.57499999999999</v>
      </c>
      <c r="L24">
        <f>H24/J24*100</f>
        <v>17.870071271086498</v>
      </c>
      <c r="M24">
        <f>I24/J24*100</f>
        <v>82.129928728913498</v>
      </c>
      <c r="O24">
        <f>J24/SUM(B24:B27)</f>
        <v>32.505000000000003</v>
      </c>
      <c r="P24">
        <f>B23*L24*O24/100</f>
        <v>46.469333333333331</v>
      </c>
      <c r="Q24">
        <f>B23*M24*O24/100</f>
        <v>213.57066666666668</v>
      </c>
      <c r="S24">
        <f>H24+P24</f>
        <v>133.59933333333333</v>
      </c>
      <c r="T24">
        <f>I24+Q24</f>
        <v>614.01566666666668</v>
      </c>
    </row>
    <row r="25" spans="1:27" x14ac:dyDescent="0.3">
      <c r="A25" t="s">
        <v>52</v>
      </c>
      <c r="B25">
        <v>0</v>
      </c>
      <c r="C25">
        <v>0</v>
      </c>
      <c r="D25">
        <f>35000/1000</f>
        <v>35</v>
      </c>
      <c r="E25">
        <f t="shared" si="0"/>
        <v>0</v>
      </c>
      <c r="F25">
        <f t="shared" si="1"/>
        <v>0</v>
      </c>
    </row>
    <row r="26" spans="1:27" x14ac:dyDescent="0.3">
      <c r="A26" t="s">
        <v>34</v>
      </c>
      <c r="B26">
        <v>1</v>
      </c>
      <c r="C26">
        <f>87130/1000</f>
        <v>87.13</v>
      </c>
      <c r="D26">
        <v>0</v>
      </c>
      <c r="E26">
        <f t="shared" si="0"/>
        <v>87.13</v>
      </c>
      <c r="F26">
        <f t="shared" si="1"/>
        <v>0</v>
      </c>
    </row>
    <row r="27" spans="1:27" x14ac:dyDescent="0.3">
      <c r="A27" t="s">
        <v>33</v>
      </c>
      <c r="B27">
        <v>3</v>
      </c>
      <c r="C27">
        <v>0</v>
      </c>
      <c r="D27">
        <f>125415/1000</f>
        <v>125.41500000000001</v>
      </c>
      <c r="E27">
        <f t="shared" si="0"/>
        <v>0</v>
      </c>
      <c r="F27">
        <f t="shared" si="1"/>
        <v>376.245</v>
      </c>
    </row>
    <row r="29" spans="1:27" x14ac:dyDescent="0.3">
      <c r="A29" t="s">
        <v>45</v>
      </c>
      <c r="B29">
        <v>7</v>
      </c>
      <c r="E29">
        <f t="shared" ref="E29:E35" si="2">B29*C29</f>
        <v>0</v>
      </c>
      <c r="F29">
        <f t="shared" ref="F29:F35" si="3">B29*D29</f>
        <v>0</v>
      </c>
    </row>
    <row r="30" spans="1:27" x14ac:dyDescent="0.3">
      <c r="A30" t="s">
        <v>36</v>
      </c>
      <c r="B30">
        <v>1</v>
      </c>
      <c r="C30">
        <f>11300/1000</f>
        <v>11.3</v>
      </c>
      <c r="D30">
        <v>0</v>
      </c>
      <c r="E30">
        <f t="shared" si="2"/>
        <v>11.3</v>
      </c>
      <c r="F30">
        <f t="shared" si="3"/>
        <v>0</v>
      </c>
      <c r="H30">
        <f>SUM(E30:E35)</f>
        <v>12.3</v>
      </c>
      <c r="I30">
        <f>SUM(F30:F35)</f>
        <v>30.917999999999999</v>
      </c>
      <c r="J30">
        <f>H30+I30</f>
        <v>43.218000000000004</v>
      </c>
      <c r="L30">
        <f>H30/J30*100</f>
        <v>28.460363737331669</v>
      </c>
      <c r="M30">
        <f>I30/J30*100</f>
        <v>71.539636262668324</v>
      </c>
      <c r="O30">
        <f>J30/SUM(B30:B35)</f>
        <v>3.3244615384615388</v>
      </c>
      <c r="P30">
        <f>B29*L30*O30/100</f>
        <v>6.6230769230769235</v>
      </c>
      <c r="Q30">
        <f>B29*O30*M30/100</f>
        <v>16.648153846153846</v>
      </c>
      <c r="S30">
        <f>H30+P30</f>
        <v>18.923076923076923</v>
      </c>
      <c r="T30">
        <f>I30+Q30</f>
        <v>47.566153846153846</v>
      </c>
    </row>
    <row r="31" spans="1:27" x14ac:dyDescent="0.3">
      <c r="A31" t="s">
        <v>53</v>
      </c>
      <c r="B31">
        <v>1</v>
      </c>
      <c r="C31">
        <v>1</v>
      </c>
      <c r="D31">
        <v>19</v>
      </c>
      <c r="E31">
        <f t="shared" si="2"/>
        <v>1</v>
      </c>
      <c r="F31">
        <f t="shared" si="3"/>
        <v>19</v>
      </c>
    </row>
    <row r="32" spans="1:27" x14ac:dyDescent="0.3">
      <c r="A32" t="s">
        <v>95</v>
      </c>
      <c r="B32">
        <v>3</v>
      </c>
      <c r="D32">
        <v>0.50600000000000001</v>
      </c>
      <c r="E32">
        <f t="shared" si="2"/>
        <v>0</v>
      </c>
      <c r="F32">
        <f t="shared" si="3"/>
        <v>1.518</v>
      </c>
    </row>
    <row r="33" spans="1:20" x14ac:dyDescent="0.3">
      <c r="A33" t="s">
        <v>54</v>
      </c>
      <c r="B33">
        <v>0</v>
      </c>
      <c r="D33">
        <f>20000/1000</f>
        <v>20</v>
      </c>
      <c r="E33">
        <f t="shared" si="2"/>
        <v>0</v>
      </c>
      <c r="F33">
        <f t="shared" si="3"/>
        <v>0</v>
      </c>
    </row>
    <row r="34" spans="1:20" x14ac:dyDescent="0.3">
      <c r="A34" t="s">
        <v>55</v>
      </c>
      <c r="B34">
        <v>0</v>
      </c>
      <c r="D34">
        <v>1</v>
      </c>
      <c r="E34">
        <f t="shared" si="2"/>
        <v>0</v>
      </c>
      <c r="F34">
        <f t="shared" si="3"/>
        <v>0</v>
      </c>
    </row>
    <row r="35" spans="1:20" x14ac:dyDescent="0.3">
      <c r="A35" t="s">
        <v>96</v>
      </c>
      <c r="B35">
        <v>8</v>
      </c>
      <c r="C35">
        <v>0</v>
      </c>
      <c r="D35">
        <v>1.3</v>
      </c>
      <c r="E35">
        <f t="shared" si="2"/>
        <v>0</v>
      </c>
      <c r="F35">
        <f t="shared" si="3"/>
        <v>10.4</v>
      </c>
    </row>
    <row r="37" spans="1:20" x14ac:dyDescent="0.3">
      <c r="A37" t="s">
        <v>98</v>
      </c>
      <c r="S37">
        <f>SUM(S2:S30)</f>
        <v>21782.011999999999</v>
      </c>
      <c r="T37">
        <f>SUM(T2:T30)</f>
        <v>7883.9920769230757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workbookViewId="0">
      <selection activeCell="E3" sqref="E3"/>
    </sheetView>
  </sheetViews>
  <sheetFormatPr defaultRowHeight="14.4" x14ac:dyDescent="0.3"/>
  <cols>
    <col min="1" max="1" width="15.44140625" customWidth="1"/>
    <col min="2" max="2" width="12.88671875" customWidth="1"/>
    <col min="3" max="3" width="12.77734375" customWidth="1"/>
    <col min="4" max="4" width="11.77734375" customWidth="1"/>
    <col min="5" max="5" width="9" customWidth="1"/>
    <col min="6" max="6" width="8.21875" customWidth="1"/>
    <col min="7" max="7" width="6.21875" customWidth="1"/>
    <col min="8" max="8" width="13.77734375" customWidth="1"/>
    <col min="11" max="11" width="5.21875" customWidth="1"/>
    <col min="14" max="14" width="4.33203125" customWidth="1"/>
    <col min="16" max="16" width="12" bestFit="1" customWidth="1"/>
    <col min="17" max="17" width="11" bestFit="1" customWidth="1"/>
    <col min="18" max="18" width="5.109375" customWidth="1"/>
  </cols>
  <sheetData>
    <row r="1" spans="1:27" ht="57.6" x14ac:dyDescent="0.3">
      <c r="A1" s="2" t="s">
        <v>0</v>
      </c>
      <c r="B1" s="2">
        <v>2016</v>
      </c>
      <c r="C1" s="2" t="s">
        <v>64</v>
      </c>
      <c r="D1" s="2" t="s">
        <v>65</v>
      </c>
      <c r="E1" s="2" t="s">
        <v>66</v>
      </c>
      <c r="F1" s="2" t="s">
        <v>67</v>
      </c>
      <c r="G1" s="1"/>
      <c r="H1" s="3" t="s">
        <v>60</v>
      </c>
      <c r="I1" s="2" t="s">
        <v>59</v>
      </c>
      <c r="J1" s="2" t="s">
        <v>68</v>
      </c>
      <c r="K1" s="1"/>
      <c r="L1" s="3" t="s">
        <v>57</v>
      </c>
      <c r="M1" s="3" t="s">
        <v>58</v>
      </c>
      <c r="O1" s="3" t="s">
        <v>63</v>
      </c>
      <c r="P1" s="3" t="s">
        <v>61</v>
      </c>
      <c r="Q1" s="3" t="s">
        <v>62</v>
      </c>
      <c r="S1" s="3" t="s">
        <v>43</v>
      </c>
      <c r="T1" s="3" t="s">
        <v>44</v>
      </c>
      <c r="V1" s="3" t="s">
        <v>69</v>
      </c>
      <c r="W1" s="3" t="s">
        <v>70</v>
      </c>
      <c r="Y1" s="3" t="s">
        <v>75</v>
      </c>
      <c r="Z1" s="3"/>
      <c r="AA1" s="3"/>
    </row>
    <row r="2" spans="1:27" x14ac:dyDescent="0.3">
      <c r="A2" t="s">
        <v>14</v>
      </c>
      <c r="B2">
        <v>7</v>
      </c>
      <c r="C2">
        <f>184900/1000</f>
        <v>184.9</v>
      </c>
      <c r="D2">
        <f>530000/1000</f>
        <v>530</v>
      </c>
      <c r="E2">
        <f>B2*C2</f>
        <v>1294.3</v>
      </c>
      <c r="F2">
        <f>B2*D2</f>
        <v>3710</v>
      </c>
      <c r="H2">
        <f>SUM(E2:E9)</f>
        <v>10561.637999999999</v>
      </c>
      <c r="I2">
        <f>SUM(F2:F9)</f>
        <v>6406</v>
      </c>
      <c r="J2">
        <f>H2+I2</f>
        <v>16967.637999999999</v>
      </c>
      <c r="L2">
        <f>H2/J2*100</f>
        <v>62.245776341998805</v>
      </c>
      <c r="M2">
        <f>I2/J2*100</f>
        <v>37.754223658001187</v>
      </c>
      <c r="O2">
        <f>J2/SUM(B2:B9)</f>
        <v>547.34316129032254</v>
      </c>
      <c r="P2">
        <f>B10*O2*L2/100</f>
        <v>340.69799999999998</v>
      </c>
      <c r="Q2">
        <f>B10*O2*M2/100</f>
        <v>206.64516129032253</v>
      </c>
      <c r="S2">
        <f>H2+P2</f>
        <v>10902.335999999999</v>
      </c>
      <c r="T2">
        <f>I2+Q2</f>
        <v>6612.6451612903229</v>
      </c>
      <c r="V2">
        <v>1.28</v>
      </c>
      <c r="W2">
        <v>5</v>
      </c>
      <c r="X2" t="s">
        <v>74</v>
      </c>
      <c r="Y2">
        <v>2.4</v>
      </c>
    </row>
    <row r="3" spans="1:27" x14ac:dyDescent="0.3">
      <c r="A3" t="s">
        <v>17</v>
      </c>
      <c r="B3">
        <v>8</v>
      </c>
      <c r="C3">
        <f>304919/1000</f>
        <v>304.91899999999998</v>
      </c>
      <c r="D3">
        <f>221000/1000</f>
        <v>221</v>
      </c>
      <c r="E3">
        <f>B3*C3</f>
        <v>2439.3519999999999</v>
      </c>
      <c r="F3">
        <f>B3*D3</f>
        <v>1768</v>
      </c>
    </row>
    <row r="4" spans="1:27" x14ac:dyDescent="0.3">
      <c r="A4" t="s">
        <v>10</v>
      </c>
      <c r="B4">
        <v>1</v>
      </c>
      <c r="C4">
        <v>751.4</v>
      </c>
      <c r="E4">
        <f t="shared" ref="E4:E27" si="0">B4*C4</f>
        <v>751.4</v>
      </c>
      <c r="F4">
        <f t="shared" ref="F4:F27" si="1">B4*D4</f>
        <v>0</v>
      </c>
    </row>
    <row r="5" spans="1:27" x14ac:dyDescent="0.3">
      <c r="A5" t="s">
        <v>20</v>
      </c>
      <c r="B5">
        <v>1</v>
      </c>
      <c r="C5">
        <v>230</v>
      </c>
      <c r="D5">
        <v>400</v>
      </c>
      <c r="E5">
        <f t="shared" si="0"/>
        <v>230</v>
      </c>
      <c r="F5">
        <f t="shared" si="1"/>
        <v>400</v>
      </c>
    </row>
    <row r="6" spans="1:27" x14ac:dyDescent="0.3">
      <c r="A6" t="s">
        <v>24</v>
      </c>
      <c r="B6">
        <v>9</v>
      </c>
      <c r="C6">
        <f>395700/1000</f>
        <v>395.7</v>
      </c>
      <c r="D6">
        <v>0</v>
      </c>
      <c r="E6">
        <f t="shared" si="0"/>
        <v>3561.2999999999997</v>
      </c>
      <c r="F6">
        <f t="shared" si="1"/>
        <v>0</v>
      </c>
    </row>
    <row r="7" spans="1:27" x14ac:dyDescent="0.3">
      <c r="A7" t="s">
        <v>21</v>
      </c>
      <c r="B7">
        <v>0</v>
      </c>
      <c r="C7">
        <f>549000/1000</f>
        <v>549</v>
      </c>
      <c r="D7">
        <v>0</v>
      </c>
      <c r="E7">
        <f t="shared" si="0"/>
        <v>0</v>
      </c>
      <c r="F7">
        <f t="shared" si="1"/>
        <v>0</v>
      </c>
    </row>
    <row r="8" spans="1:27" x14ac:dyDescent="0.3">
      <c r="A8" t="s">
        <v>50</v>
      </c>
      <c r="B8">
        <v>2</v>
      </c>
      <c r="C8">
        <f>194400/1000</f>
        <v>194.4</v>
      </c>
      <c r="D8">
        <f>264000/1000</f>
        <v>264</v>
      </c>
      <c r="E8">
        <f>B8*C8</f>
        <v>388.8</v>
      </c>
      <c r="F8">
        <f>B8*D8</f>
        <v>528</v>
      </c>
    </row>
    <row r="9" spans="1:27" x14ac:dyDescent="0.3">
      <c r="A9" t="s">
        <v>22</v>
      </c>
      <c r="B9">
        <v>3</v>
      </c>
      <c r="C9">
        <f>632162/1000</f>
        <v>632.16200000000003</v>
      </c>
      <c r="D9">
        <v>0</v>
      </c>
      <c r="E9">
        <f t="shared" si="0"/>
        <v>1896.4860000000001</v>
      </c>
      <c r="F9">
        <f t="shared" si="1"/>
        <v>0</v>
      </c>
    </row>
    <row r="10" spans="1:27" x14ac:dyDescent="0.3">
      <c r="A10" t="s">
        <v>45</v>
      </c>
      <c r="B10">
        <v>1</v>
      </c>
      <c r="E10">
        <f t="shared" si="0"/>
        <v>0</v>
      </c>
      <c r="F10">
        <f t="shared" si="1"/>
        <v>0</v>
      </c>
    </row>
    <row r="12" spans="1:27" x14ac:dyDescent="0.3">
      <c r="A12" t="s">
        <v>45</v>
      </c>
      <c r="B12">
        <v>0</v>
      </c>
      <c r="E12">
        <f t="shared" si="0"/>
        <v>0</v>
      </c>
      <c r="F12">
        <f t="shared" si="1"/>
        <v>0</v>
      </c>
    </row>
    <row r="13" spans="1:27" x14ac:dyDescent="0.3">
      <c r="A13" t="s">
        <v>93</v>
      </c>
      <c r="B13">
        <v>1</v>
      </c>
      <c r="C13">
        <v>254.815</v>
      </c>
      <c r="E13">
        <f t="shared" si="0"/>
        <v>254.815</v>
      </c>
      <c r="F13">
        <f t="shared" si="1"/>
        <v>0</v>
      </c>
    </row>
    <row r="14" spans="1:27" x14ac:dyDescent="0.3">
      <c r="A14" t="s">
        <v>46</v>
      </c>
      <c r="B14">
        <v>8</v>
      </c>
      <c r="C14">
        <f>178000/1000</f>
        <v>178</v>
      </c>
      <c r="D14">
        <v>0</v>
      </c>
      <c r="E14">
        <f t="shared" si="0"/>
        <v>1424</v>
      </c>
      <c r="F14">
        <f t="shared" si="1"/>
        <v>0</v>
      </c>
      <c r="H14">
        <f>SUM(E13:E21)</f>
        <v>8983.1230000000014</v>
      </c>
      <c r="I14">
        <f>SUM(F13:F21)</f>
        <v>1879</v>
      </c>
      <c r="J14">
        <f>H14+I14</f>
        <v>10862.123000000001</v>
      </c>
      <c r="L14">
        <f>H14/J14*100</f>
        <v>82.701355895159722</v>
      </c>
      <c r="M14">
        <f>I14/J14*100</f>
        <v>17.298644104840278</v>
      </c>
      <c r="O14">
        <f>J14/SUM(B13:B21)</f>
        <v>246.86643181818184</v>
      </c>
      <c r="P14">
        <f>B12*O14*L14/100</f>
        <v>0</v>
      </c>
      <c r="Q14">
        <f>B12*M14*O14/100</f>
        <v>0</v>
      </c>
      <c r="S14">
        <f>H14+P14</f>
        <v>8983.1230000000014</v>
      </c>
      <c r="T14">
        <f>I14+Q14</f>
        <v>1879</v>
      </c>
    </row>
    <row r="15" spans="1:27" x14ac:dyDescent="0.3">
      <c r="A15" t="s">
        <v>47</v>
      </c>
      <c r="B15">
        <v>7</v>
      </c>
      <c r="C15">
        <f>188264/1000</f>
        <v>188.26400000000001</v>
      </c>
      <c r="D15">
        <v>0</v>
      </c>
      <c r="E15">
        <f t="shared" si="0"/>
        <v>1317.848</v>
      </c>
      <c r="F15">
        <f t="shared" si="1"/>
        <v>0</v>
      </c>
    </row>
    <row r="16" spans="1:27" x14ac:dyDescent="0.3">
      <c r="A16" t="s">
        <v>48</v>
      </c>
      <c r="B16">
        <v>4</v>
      </c>
      <c r="C16">
        <f>246750/1000</f>
        <v>246.75</v>
      </c>
      <c r="D16">
        <v>0</v>
      </c>
      <c r="E16">
        <f t="shared" si="0"/>
        <v>987</v>
      </c>
      <c r="F16">
        <f t="shared" si="1"/>
        <v>0</v>
      </c>
    </row>
    <row r="17" spans="1:27" x14ac:dyDescent="0.3">
      <c r="A17" t="s">
        <v>49</v>
      </c>
      <c r="B17">
        <v>3</v>
      </c>
      <c r="C17">
        <f>235000/1000</f>
        <v>235</v>
      </c>
      <c r="D17">
        <f>120000/1000</f>
        <v>120</v>
      </c>
      <c r="E17">
        <f t="shared" si="0"/>
        <v>705</v>
      </c>
      <c r="F17">
        <f t="shared" si="1"/>
        <v>360</v>
      </c>
    </row>
    <row r="18" spans="1:27" x14ac:dyDescent="0.3">
      <c r="A18" t="s">
        <v>94</v>
      </c>
      <c r="B18">
        <v>1</v>
      </c>
      <c r="C18">
        <f>144000/1000</f>
        <v>144</v>
      </c>
      <c r="D18">
        <f>205000/1000</f>
        <v>205</v>
      </c>
      <c r="E18">
        <f t="shared" si="0"/>
        <v>144</v>
      </c>
      <c r="F18">
        <f t="shared" si="1"/>
        <v>205</v>
      </c>
      <c r="W18" t="s">
        <v>14</v>
      </c>
    </row>
    <row r="19" spans="1:27" x14ac:dyDescent="0.3">
      <c r="A19" t="s">
        <v>51</v>
      </c>
      <c r="B19">
        <v>6</v>
      </c>
      <c r="C19">
        <f>44500/1000</f>
        <v>44.5</v>
      </c>
      <c r="D19">
        <f>219000/1000</f>
        <v>219</v>
      </c>
      <c r="E19">
        <f t="shared" si="0"/>
        <v>267</v>
      </c>
      <c r="F19">
        <f t="shared" si="1"/>
        <v>1314</v>
      </c>
      <c r="W19" t="s">
        <v>71</v>
      </c>
      <c r="X19">
        <v>1</v>
      </c>
      <c r="Y19">
        <f>0.6*2+0.2*0.4</f>
        <v>1.28</v>
      </c>
      <c r="AA19" t="s">
        <v>73</v>
      </c>
    </row>
    <row r="20" spans="1:27" x14ac:dyDescent="0.3">
      <c r="A20" t="s">
        <v>25</v>
      </c>
      <c r="B20">
        <v>12</v>
      </c>
      <c r="C20">
        <f>277390/1000</f>
        <v>277.39</v>
      </c>
      <c r="D20">
        <v>0</v>
      </c>
      <c r="E20">
        <f>B20*C20</f>
        <v>3328.68</v>
      </c>
      <c r="F20">
        <f>B20*D20</f>
        <v>0</v>
      </c>
      <c r="W20" t="s">
        <v>72</v>
      </c>
      <c r="X20">
        <v>0.2</v>
      </c>
    </row>
    <row r="21" spans="1:27" x14ac:dyDescent="0.3">
      <c r="A21" t="s">
        <v>32</v>
      </c>
      <c r="B21">
        <v>2</v>
      </c>
      <c r="C21">
        <f>277390/1000</f>
        <v>277.39</v>
      </c>
      <c r="D21">
        <v>0</v>
      </c>
      <c r="E21">
        <f t="shared" si="0"/>
        <v>554.78</v>
      </c>
      <c r="F21">
        <f t="shared" si="1"/>
        <v>0</v>
      </c>
    </row>
    <row r="23" spans="1:27" x14ac:dyDescent="0.3">
      <c r="A23" t="s">
        <v>45</v>
      </c>
      <c r="B23">
        <v>6</v>
      </c>
      <c r="E23">
        <f t="shared" si="0"/>
        <v>0</v>
      </c>
      <c r="F23">
        <f t="shared" si="1"/>
        <v>0</v>
      </c>
    </row>
    <row r="24" spans="1:27" x14ac:dyDescent="0.3">
      <c r="A24" t="s">
        <v>39</v>
      </c>
      <c r="B24">
        <v>3</v>
      </c>
      <c r="C24">
        <v>0</v>
      </c>
      <c r="D24">
        <f>2200/1000</f>
        <v>2.2000000000000002</v>
      </c>
      <c r="E24">
        <f t="shared" si="0"/>
        <v>0</v>
      </c>
      <c r="F24">
        <f t="shared" si="1"/>
        <v>6.6000000000000005</v>
      </c>
      <c r="H24">
        <f>SUM(E24:E27)</f>
        <v>174.26</v>
      </c>
      <c r="I24">
        <f>SUM(F24:F27)</f>
        <v>292.43</v>
      </c>
      <c r="J24">
        <f>H24+I24</f>
        <v>466.69</v>
      </c>
      <c r="L24">
        <f>H24/J24*100</f>
        <v>37.339561593348904</v>
      </c>
      <c r="M24">
        <f>I24/J24*100</f>
        <v>62.660438406651096</v>
      </c>
      <c r="O24">
        <f>J24/SUM(B24:B27)</f>
        <v>58.33625</v>
      </c>
      <c r="P24">
        <f>B23*L24*O24/100</f>
        <v>130.69499999999999</v>
      </c>
      <c r="Q24">
        <f>B23*M24*O24/100</f>
        <v>219.32249999999999</v>
      </c>
      <c r="S24">
        <f>H24+P24</f>
        <v>304.95499999999998</v>
      </c>
      <c r="T24">
        <f>I24+Q24</f>
        <v>511.7525</v>
      </c>
    </row>
    <row r="25" spans="1:27" x14ac:dyDescent="0.3">
      <c r="A25" t="s">
        <v>52</v>
      </c>
      <c r="B25">
        <v>1</v>
      </c>
      <c r="C25">
        <v>0</v>
      </c>
      <c r="D25">
        <f>35000/1000</f>
        <v>35</v>
      </c>
      <c r="E25">
        <f t="shared" si="0"/>
        <v>0</v>
      </c>
      <c r="F25">
        <f t="shared" si="1"/>
        <v>35</v>
      </c>
    </row>
    <row r="26" spans="1:27" x14ac:dyDescent="0.3">
      <c r="A26" t="s">
        <v>34</v>
      </c>
      <c r="B26">
        <v>2</v>
      </c>
      <c r="C26">
        <f>87130/1000</f>
        <v>87.13</v>
      </c>
      <c r="D26">
        <v>0</v>
      </c>
      <c r="E26">
        <f t="shared" si="0"/>
        <v>174.26</v>
      </c>
      <c r="F26">
        <f t="shared" si="1"/>
        <v>0</v>
      </c>
    </row>
    <row r="27" spans="1:27" x14ac:dyDescent="0.3">
      <c r="A27" t="s">
        <v>33</v>
      </c>
      <c r="B27">
        <v>2</v>
      </c>
      <c r="C27">
        <v>0</v>
      </c>
      <c r="D27">
        <f>125415/1000</f>
        <v>125.41500000000001</v>
      </c>
      <c r="E27">
        <f t="shared" si="0"/>
        <v>0</v>
      </c>
      <c r="F27">
        <f t="shared" si="1"/>
        <v>250.83</v>
      </c>
    </row>
    <row r="29" spans="1:27" x14ac:dyDescent="0.3">
      <c r="A29" t="s">
        <v>45</v>
      </c>
      <c r="B29">
        <v>6</v>
      </c>
      <c r="E29">
        <f t="shared" ref="E29:E35" si="2">B29*C29</f>
        <v>0</v>
      </c>
      <c r="F29">
        <f t="shared" ref="F29:F35" si="3">B29*D29</f>
        <v>0</v>
      </c>
    </row>
    <row r="30" spans="1:27" x14ac:dyDescent="0.3">
      <c r="A30" t="s">
        <v>36</v>
      </c>
      <c r="B30">
        <v>0</v>
      </c>
      <c r="C30">
        <f>11300/1000</f>
        <v>11.3</v>
      </c>
      <c r="D30">
        <v>0</v>
      </c>
      <c r="E30">
        <f t="shared" si="2"/>
        <v>0</v>
      </c>
      <c r="F30">
        <f t="shared" si="3"/>
        <v>0</v>
      </c>
      <c r="H30">
        <f>SUM(E30:E35)</f>
        <v>0</v>
      </c>
      <c r="I30">
        <f>SUM(F30:F35)</f>
        <v>8.5240000000000009</v>
      </c>
      <c r="J30">
        <f>H30+I30</f>
        <v>8.5240000000000009</v>
      </c>
      <c r="L30">
        <f>H30/J30*100</f>
        <v>0</v>
      </c>
      <c r="M30">
        <f>I30/J30*100</f>
        <v>100</v>
      </c>
      <c r="O30">
        <f>J30/SUM(B30:B35)</f>
        <v>0.94711111111111124</v>
      </c>
      <c r="P30">
        <f>B29*L30*O30/100</f>
        <v>0</v>
      </c>
      <c r="Q30">
        <f>B29*O30*M30/100</f>
        <v>5.6826666666666679</v>
      </c>
      <c r="S30">
        <f>H30+P30</f>
        <v>0</v>
      </c>
      <c r="T30">
        <f>I30+Q30</f>
        <v>14.206666666666669</v>
      </c>
    </row>
    <row r="31" spans="1:27" x14ac:dyDescent="0.3">
      <c r="A31" t="s">
        <v>53</v>
      </c>
      <c r="B31">
        <v>0</v>
      </c>
      <c r="C31">
        <v>1</v>
      </c>
      <c r="D31">
        <v>19</v>
      </c>
      <c r="E31">
        <f t="shared" si="2"/>
        <v>0</v>
      </c>
      <c r="F31">
        <f t="shared" si="3"/>
        <v>0</v>
      </c>
    </row>
    <row r="32" spans="1:27" x14ac:dyDescent="0.3">
      <c r="A32" t="s">
        <v>95</v>
      </c>
      <c r="B32">
        <v>4</v>
      </c>
      <c r="D32">
        <v>0.50600000000000001</v>
      </c>
      <c r="E32">
        <f t="shared" si="2"/>
        <v>0</v>
      </c>
      <c r="F32">
        <f t="shared" si="3"/>
        <v>2.024</v>
      </c>
    </row>
    <row r="33" spans="1:20" x14ac:dyDescent="0.3">
      <c r="A33" t="s">
        <v>54</v>
      </c>
      <c r="B33">
        <v>0</v>
      </c>
      <c r="D33">
        <f>20000/1000</f>
        <v>20</v>
      </c>
      <c r="E33">
        <f t="shared" si="2"/>
        <v>0</v>
      </c>
      <c r="F33">
        <f t="shared" si="3"/>
        <v>0</v>
      </c>
    </row>
    <row r="34" spans="1:20" x14ac:dyDescent="0.3">
      <c r="A34" t="s">
        <v>55</v>
      </c>
      <c r="B34">
        <v>0</v>
      </c>
      <c r="D34">
        <v>1</v>
      </c>
      <c r="E34">
        <f t="shared" si="2"/>
        <v>0</v>
      </c>
      <c r="F34">
        <f t="shared" si="3"/>
        <v>0</v>
      </c>
    </row>
    <row r="35" spans="1:20" x14ac:dyDescent="0.3">
      <c r="A35" t="s">
        <v>96</v>
      </c>
      <c r="B35">
        <v>5</v>
      </c>
      <c r="C35">
        <v>0</v>
      </c>
      <c r="D35">
        <v>1.3</v>
      </c>
      <c r="E35">
        <f t="shared" si="2"/>
        <v>0</v>
      </c>
      <c r="F35">
        <f t="shared" si="3"/>
        <v>6.5</v>
      </c>
    </row>
    <row r="37" spans="1:20" x14ac:dyDescent="0.3">
      <c r="A37" t="s">
        <v>98</v>
      </c>
      <c r="S37">
        <f>SUM(S2:S30)</f>
        <v>20190.414000000004</v>
      </c>
      <c r="T37">
        <f>SUM(T2:T30)</f>
        <v>9017.6043279569894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Launch vehicle</vt:lpstr>
      <vt:lpstr>20202014</vt:lpstr>
      <vt:lpstr>2020</vt:lpstr>
      <vt:lpstr>2019</vt:lpstr>
      <vt:lpstr>2019_geography</vt:lpstr>
      <vt:lpstr>2019_market</vt:lpstr>
      <vt:lpstr>2018</vt:lpstr>
      <vt:lpstr>2017</vt:lpstr>
      <vt:lpstr>2016</vt:lpstr>
      <vt:lpstr>2015</vt:lpstr>
      <vt:lpstr>2014</vt:lpstr>
      <vt:lpstr>Total mass per seg</vt:lpstr>
      <vt:lpstr>Total mass per seg, 2014-2020</vt:lpstr>
      <vt:lpstr>Total mass per seg 2 2014-2020</vt:lpstr>
      <vt:lpstr>Total mass per seg 2</vt:lpstr>
      <vt:lpstr>% mass total</vt:lpstr>
      <vt:lpstr>% mass total 2014-2020</vt:lpstr>
      <vt:lpstr>Market 10%</vt:lpstr>
      <vt:lpstr>Market 15_10</vt:lpstr>
      <vt:lpstr>Market 10_5</vt:lpstr>
      <vt:lpstr>Market_new_10_calc</vt:lpstr>
      <vt:lpstr>Market_new_10</vt:lpstr>
      <vt:lpstr>Market_new_15</vt:lpstr>
      <vt:lpstr>Market_new_15_calc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sstev</dc:creator>
  <cp:lastModifiedBy>sstev</cp:lastModifiedBy>
  <dcterms:created xsi:type="dcterms:W3CDTF">2020-09-28T08:21:29Z</dcterms:created>
  <dcterms:modified xsi:type="dcterms:W3CDTF">2020-09-30T22:26:17Z</dcterms:modified>
</cp:coreProperties>
</file>