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" yWindow="15" windowWidth="12285" windowHeight="8070" tabRatio="597"/>
  </bookViews>
  <sheets>
    <sheet name="Medidores" sheetId="1" r:id="rId1"/>
    <sheet name="Distribucion" sheetId="2" r:id="rId2"/>
    <sheet name="CCOSTO" sheetId="6" r:id="rId3"/>
  </sheets>
  <externalReferences>
    <externalReference r:id="rId4"/>
    <externalReference r:id="rId5"/>
  </externalReferences>
  <definedNames>
    <definedName name="_xlnm.Print_Area" localSheetId="1">Distribucion!$1:$1048576</definedName>
    <definedName name="Hoja_01">#REF!</definedName>
    <definedName name="Hoja_02">#REF!</definedName>
    <definedName name="Hoja_03">#REF!</definedName>
    <definedName name="Tabla_01_02">#REF!</definedName>
    <definedName name="Tabla_03_04">#REF!</definedName>
    <definedName name="_xlnm.Print_Titles" localSheetId="2">CCOSTO!$2:$2</definedName>
  </definedNames>
  <calcPr calcId="145621"/>
</workbook>
</file>

<file path=xl/calcChain.xml><?xml version="1.0" encoding="utf-8"?>
<calcChain xmlns="http://schemas.openxmlformats.org/spreadsheetml/2006/main">
  <c r="C52" i="1" l="1"/>
  <c r="D49" i="1" l="1"/>
  <c r="C45" i="1" l="1"/>
  <c r="D44" i="1"/>
  <c r="D43" i="1"/>
  <c r="D42" i="1"/>
  <c r="D41" i="1"/>
  <c r="D40" i="1"/>
  <c r="D38" i="1"/>
  <c r="D37" i="1"/>
  <c r="D36" i="1"/>
  <c r="D35" i="1"/>
  <c r="D34" i="1"/>
  <c r="D33" i="1"/>
  <c r="D32" i="1"/>
  <c r="D22" i="1"/>
  <c r="D21" i="1"/>
  <c r="D20" i="1"/>
  <c r="D18" i="1"/>
  <c r="D17" i="1"/>
  <c r="D16" i="1"/>
  <c r="D15" i="1"/>
  <c r="D10" i="1"/>
  <c r="D9" i="1"/>
  <c r="D5" i="1"/>
  <c r="D6" i="1"/>
  <c r="D4" i="1"/>
  <c r="C3" i="1" l="1"/>
  <c r="F44" i="1" l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P76" i="2" l="1"/>
  <c r="Q76" i="2"/>
  <c r="J76" i="2"/>
  <c r="K76" i="2"/>
  <c r="K73" i="2"/>
  <c r="K74" i="2" l="1"/>
  <c r="Y151" i="1"/>
  <c r="Y153" i="1" s="1"/>
  <c r="Y149" i="1"/>
  <c r="Y147" i="1"/>
  <c r="Y154" i="1" s="1"/>
  <c r="Y145" i="1"/>
  <c r="W151" i="1"/>
  <c r="W153" i="1" s="1"/>
  <c r="W149" i="1"/>
  <c r="W147" i="1"/>
  <c r="W154" i="1" s="1"/>
  <c r="W145" i="1"/>
  <c r="U151" i="1"/>
  <c r="U153" i="1" s="1"/>
  <c r="U149" i="1"/>
  <c r="U147" i="1"/>
  <c r="U154" i="1" s="1"/>
  <c r="U145" i="1"/>
  <c r="S151" i="1"/>
  <c r="S153" i="1" s="1"/>
  <c r="S149" i="1"/>
  <c r="S147" i="1"/>
  <c r="S154" i="1" s="1"/>
  <c r="S145" i="1"/>
  <c r="Q151" i="1"/>
  <c r="Q153" i="1" s="1"/>
  <c r="Q149" i="1"/>
  <c r="Q147" i="1"/>
  <c r="Q154" i="1" s="1"/>
  <c r="Q145" i="1"/>
  <c r="O151" i="1"/>
  <c r="O153" i="1" s="1"/>
  <c r="O149" i="1"/>
  <c r="O147" i="1"/>
  <c r="O154" i="1" s="1"/>
  <c r="O145" i="1"/>
  <c r="M151" i="1"/>
  <c r="M153" i="1" s="1"/>
  <c r="M149" i="1"/>
  <c r="M147" i="1"/>
  <c r="M154" i="1" s="1"/>
  <c r="M145" i="1"/>
  <c r="K151" i="1"/>
  <c r="K153" i="1" s="1"/>
  <c r="K149" i="1"/>
  <c r="K147" i="1"/>
  <c r="K154" i="1" s="1"/>
  <c r="K145" i="1"/>
  <c r="I151" i="1"/>
  <c r="I153" i="1" s="1"/>
  <c r="I149" i="1"/>
  <c r="I147" i="1"/>
  <c r="I154" i="1" s="1"/>
  <c r="I145" i="1"/>
  <c r="G151" i="1"/>
  <c r="G153" i="1" s="1"/>
  <c r="G149" i="1"/>
  <c r="G145" i="1"/>
  <c r="E145" i="1"/>
  <c r="C142" i="1"/>
  <c r="G142" i="1"/>
  <c r="Y140" i="1"/>
  <c r="Y85" i="1"/>
  <c r="Y84" i="1"/>
  <c r="Y82" i="1"/>
  <c r="Y81" i="1"/>
  <c r="Y80" i="1"/>
  <c r="Y78" i="1"/>
  <c r="Y77" i="1"/>
  <c r="Y76" i="1"/>
  <c r="Y74" i="1"/>
  <c r="Y73" i="1"/>
  <c r="Y72" i="1"/>
  <c r="Y70" i="1"/>
  <c r="Y69" i="1"/>
  <c r="Y68" i="1"/>
  <c r="Y66" i="1"/>
  <c r="Y65" i="1"/>
  <c r="Y63" i="1"/>
  <c r="Y83" i="1" s="1"/>
  <c r="W85" i="1"/>
  <c r="W84" i="1"/>
  <c r="W82" i="1"/>
  <c r="W81" i="1"/>
  <c r="W80" i="1"/>
  <c r="W78" i="1"/>
  <c r="W77" i="1"/>
  <c r="W76" i="1"/>
  <c r="W74" i="1"/>
  <c r="W73" i="1"/>
  <c r="W72" i="1"/>
  <c r="W70" i="1"/>
  <c r="W69" i="1"/>
  <c r="W68" i="1"/>
  <c r="W66" i="1"/>
  <c r="W65" i="1"/>
  <c r="W63" i="1"/>
  <c r="W83" i="1" s="1"/>
  <c r="U84" i="1"/>
  <c r="U82" i="1"/>
  <c r="U80" i="1"/>
  <c r="U78" i="1"/>
  <c r="U76" i="1"/>
  <c r="U74" i="1"/>
  <c r="U72" i="1"/>
  <c r="U70" i="1"/>
  <c r="U68" i="1"/>
  <c r="U66" i="1"/>
  <c r="U63" i="1"/>
  <c r="U85" i="1" s="1"/>
  <c r="S85" i="1"/>
  <c r="S84" i="1"/>
  <c r="S82" i="1"/>
  <c r="S81" i="1"/>
  <c r="S80" i="1"/>
  <c r="S78" i="1"/>
  <c r="S77" i="1"/>
  <c r="S76" i="1"/>
  <c r="S74" i="1"/>
  <c r="S73" i="1"/>
  <c r="S72" i="1"/>
  <c r="S70" i="1"/>
  <c r="S69" i="1"/>
  <c r="S68" i="1"/>
  <c r="S66" i="1"/>
  <c r="S65" i="1"/>
  <c r="S63" i="1"/>
  <c r="S83" i="1" s="1"/>
  <c r="Q84" i="1"/>
  <c r="Q82" i="1"/>
  <c r="Q80" i="1"/>
  <c r="Q78" i="1"/>
  <c r="Q76" i="1"/>
  <c r="Q74" i="1"/>
  <c r="Q72" i="1"/>
  <c r="Q70" i="1"/>
  <c r="Q68" i="1"/>
  <c r="Q66" i="1"/>
  <c r="Q63" i="1"/>
  <c r="Q85" i="1" s="1"/>
  <c r="O84" i="1"/>
  <c r="O82" i="1"/>
  <c r="O80" i="1"/>
  <c r="O78" i="1"/>
  <c r="O76" i="1"/>
  <c r="O74" i="1"/>
  <c r="O72" i="1"/>
  <c r="O70" i="1"/>
  <c r="O68" i="1"/>
  <c r="O66" i="1"/>
  <c r="O63" i="1"/>
  <c r="O85" i="1" s="1"/>
  <c r="M85" i="1"/>
  <c r="M84" i="1"/>
  <c r="M82" i="1"/>
  <c r="M81" i="1"/>
  <c r="M80" i="1"/>
  <c r="M78" i="1"/>
  <c r="M77" i="1"/>
  <c r="M76" i="1"/>
  <c r="M74" i="1"/>
  <c r="M73" i="1"/>
  <c r="M72" i="1"/>
  <c r="M70" i="1"/>
  <c r="M69" i="1"/>
  <c r="M68" i="1"/>
  <c r="M66" i="1"/>
  <c r="M65" i="1"/>
  <c r="M63" i="1"/>
  <c r="M83" i="1" s="1"/>
  <c r="K82" i="1"/>
  <c r="K78" i="1"/>
  <c r="K74" i="1"/>
  <c r="K72" i="1"/>
  <c r="K70" i="1"/>
  <c r="K68" i="1"/>
  <c r="K66" i="1"/>
  <c r="K63" i="1"/>
  <c r="K85" i="1" s="1"/>
  <c r="I85" i="1"/>
  <c r="I84" i="1"/>
  <c r="I82" i="1"/>
  <c r="I81" i="1"/>
  <c r="I80" i="1"/>
  <c r="I78" i="1"/>
  <c r="I77" i="1"/>
  <c r="I76" i="1"/>
  <c r="I74" i="1"/>
  <c r="I73" i="1"/>
  <c r="I72" i="1"/>
  <c r="I70" i="1"/>
  <c r="I69" i="1"/>
  <c r="I68" i="1"/>
  <c r="I66" i="1"/>
  <c r="I65" i="1"/>
  <c r="I63" i="1"/>
  <c r="I83" i="1" s="1"/>
  <c r="Y67" i="1" l="1"/>
  <c r="Y87" i="1" s="1"/>
  <c r="Y71" i="1"/>
  <c r="Y75" i="1"/>
  <c r="Y64" i="1" s="1"/>
  <c r="Y79" i="1"/>
  <c r="W67" i="1"/>
  <c r="W71" i="1"/>
  <c r="W75" i="1"/>
  <c r="W64" i="1" s="1"/>
  <c r="W79" i="1"/>
  <c r="W87" i="1" s="1"/>
  <c r="U67" i="1"/>
  <c r="U71" i="1"/>
  <c r="U75" i="1"/>
  <c r="U79" i="1"/>
  <c r="U83" i="1"/>
  <c r="U65" i="1"/>
  <c r="U69" i="1"/>
  <c r="U73" i="1"/>
  <c r="U77" i="1"/>
  <c r="U81" i="1"/>
  <c r="S67" i="1"/>
  <c r="S87" i="1" s="1"/>
  <c r="S71" i="1"/>
  <c r="S75" i="1"/>
  <c r="S64" i="1" s="1"/>
  <c r="S79" i="1"/>
  <c r="Q67" i="1"/>
  <c r="Q71" i="1"/>
  <c r="Q75" i="1"/>
  <c r="Q79" i="1"/>
  <c r="Q83" i="1"/>
  <c r="Q65" i="1"/>
  <c r="Q69" i="1"/>
  <c r="Q73" i="1"/>
  <c r="Q77" i="1"/>
  <c r="Q81" i="1"/>
  <c r="O67" i="1"/>
  <c r="O71" i="1"/>
  <c r="O75" i="1"/>
  <c r="O79" i="1"/>
  <c r="O83" i="1"/>
  <c r="O65" i="1"/>
  <c r="O69" i="1"/>
  <c r="O73" i="1"/>
  <c r="O77" i="1"/>
  <c r="O81" i="1"/>
  <c r="M67" i="1"/>
  <c r="M87" i="1" s="1"/>
  <c r="M71" i="1"/>
  <c r="M75" i="1"/>
  <c r="M64" i="1" s="1"/>
  <c r="M79" i="1"/>
  <c r="K67" i="1"/>
  <c r="K71" i="1"/>
  <c r="K75" i="1"/>
  <c r="K79" i="1"/>
  <c r="K83" i="1"/>
  <c r="K76" i="1"/>
  <c r="K80" i="1"/>
  <c r="K84" i="1"/>
  <c r="K65" i="1"/>
  <c r="K69" i="1"/>
  <c r="K73" i="1"/>
  <c r="K77" i="1"/>
  <c r="K81" i="1"/>
  <c r="I67" i="1"/>
  <c r="I87" i="1" s="1"/>
  <c r="I71" i="1"/>
  <c r="I75" i="1"/>
  <c r="I64" i="1" s="1"/>
  <c r="I79" i="1"/>
  <c r="U64" i="1" l="1"/>
  <c r="U87" i="1"/>
  <c r="Q64" i="1"/>
  <c r="Q87" i="1"/>
  <c r="O64" i="1"/>
  <c r="O87" i="1"/>
  <c r="K64" i="1"/>
  <c r="K87" i="1"/>
  <c r="Y44" i="1" l="1"/>
  <c r="Y43" i="1"/>
  <c r="Y42" i="1"/>
  <c r="Y41" i="1"/>
  <c r="Y40" i="1"/>
  <c r="Y38" i="1"/>
  <c r="Y39" i="1" s="1"/>
  <c r="Y37" i="1"/>
  <c r="Y36" i="1"/>
  <c r="Y35" i="1"/>
  <c r="Y34" i="1"/>
  <c r="Y33" i="1"/>
  <c r="Y32" i="1"/>
  <c r="W44" i="1"/>
  <c r="W43" i="1"/>
  <c r="W42" i="1"/>
  <c r="W41" i="1"/>
  <c r="W40" i="1"/>
  <c r="W38" i="1"/>
  <c r="W39" i="1" s="1"/>
  <c r="W37" i="1"/>
  <c r="W36" i="1"/>
  <c r="W35" i="1"/>
  <c r="W34" i="1"/>
  <c r="W33" i="1"/>
  <c r="W32" i="1"/>
  <c r="U44" i="1"/>
  <c r="U43" i="1"/>
  <c r="U42" i="1"/>
  <c r="U41" i="1"/>
  <c r="U40" i="1"/>
  <c r="U38" i="1"/>
  <c r="U39" i="1" s="1"/>
  <c r="U37" i="1"/>
  <c r="U36" i="1"/>
  <c r="U35" i="1"/>
  <c r="U34" i="1"/>
  <c r="U33" i="1"/>
  <c r="U32" i="1"/>
  <c r="S44" i="1"/>
  <c r="S43" i="1"/>
  <c r="S42" i="1"/>
  <c r="S41" i="1"/>
  <c r="S40" i="1"/>
  <c r="S38" i="1"/>
  <c r="S39" i="1" s="1"/>
  <c r="S37" i="1"/>
  <c r="S36" i="1"/>
  <c r="S35" i="1"/>
  <c r="S34" i="1"/>
  <c r="S33" i="1"/>
  <c r="S32" i="1"/>
  <c r="Q44" i="1"/>
  <c r="Q43" i="1"/>
  <c r="Q42" i="1"/>
  <c r="Q41" i="1"/>
  <c r="Q40" i="1"/>
  <c r="Q38" i="1"/>
  <c r="Q39" i="1" s="1"/>
  <c r="Q37" i="1"/>
  <c r="Q36" i="1"/>
  <c r="Q35" i="1"/>
  <c r="Q34" i="1"/>
  <c r="Q33" i="1"/>
  <c r="Q32" i="1"/>
  <c r="O44" i="1"/>
  <c r="O43" i="1"/>
  <c r="O42" i="1"/>
  <c r="O41" i="1"/>
  <c r="O40" i="1"/>
  <c r="O38" i="1"/>
  <c r="O39" i="1" s="1"/>
  <c r="O37" i="1"/>
  <c r="O36" i="1"/>
  <c r="O35" i="1"/>
  <c r="O34" i="1"/>
  <c r="O33" i="1"/>
  <c r="O32" i="1"/>
  <c r="M44" i="1"/>
  <c r="M43" i="1"/>
  <c r="M42" i="1"/>
  <c r="M41" i="1"/>
  <c r="M40" i="1"/>
  <c r="M38" i="1"/>
  <c r="M39" i="1" s="1"/>
  <c r="M37" i="1"/>
  <c r="M36" i="1"/>
  <c r="M35" i="1"/>
  <c r="M34" i="1"/>
  <c r="M33" i="1"/>
  <c r="M32" i="1"/>
  <c r="K44" i="1"/>
  <c r="K43" i="1"/>
  <c r="K42" i="1"/>
  <c r="K41" i="1"/>
  <c r="K40" i="1"/>
  <c r="K38" i="1"/>
  <c r="K39" i="1" s="1"/>
  <c r="K37" i="1"/>
  <c r="K36" i="1"/>
  <c r="K35" i="1"/>
  <c r="K34" i="1"/>
  <c r="K33" i="1"/>
  <c r="K32" i="1"/>
  <c r="I44" i="1"/>
  <c r="I43" i="1"/>
  <c r="I42" i="1"/>
  <c r="I41" i="1"/>
  <c r="I40" i="1"/>
  <c r="I38" i="1"/>
  <c r="I39" i="1" s="1"/>
  <c r="I37" i="1"/>
  <c r="I36" i="1"/>
  <c r="I35" i="1"/>
  <c r="I34" i="1"/>
  <c r="I33" i="1"/>
  <c r="I32" i="1"/>
  <c r="G44" i="1"/>
  <c r="G43" i="1"/>
  <c r="G42" i="1"/>
  <c r="G41" i="1"/>
  <c r="G40" i="1"/>
  <c r="G38" i="1"/>
  <c r="G39" i="1" s="1"/>
  <c r="G37" i="1"/>
  <c r="G36" i="1"/>
  <c r="G35" i="1"/>
  <c r="G34" i="1"/>
  <c r="G33" i="1"/>
  <c r="G32" i="1"/>
  <c r="E44" i="1"/>
  <c r="E43" i="1"/>
  <c r="E42" i="1"/>
  <c r="E41" i="1"/>
  <c r="E40" i="1"/>
  <c r="E38" i="1"/>
  <c r="E39" i="1" s="1"/>
  <c r="E37" i="1"/>
  <c r="E36" i="1"/>
  <c r="E35" i="1"/>
  <c r="E34" i="1"/>
  <c r="E33" i="1"/>
  <c r="E32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3" i="1"/>
  <c r="G22" i="1"/>
  <c r="G21" i="1"/>
  <c r="G20" i="1"/>
  <c r="G19" i="1"/>
  <c r="G18" i="1"/>
  <c r="G17" i="1"/>
  <c r="G16" i="1"/>
  <c r="G15" i="1"/>
  <c r="G14" i="1"/>
  <c r="G13" i="1" s="1"/>
  <c r="G5" i="1" s="1"/>
  <c r="G12" i="1"/>
  <c r="G11" i="1"/>
  <c r="G10" i="1"/>
  <c r="G9" i="1"/>
  <c r="G8" i="1"/>
  <c r="G7" i="1"/>
  <c r="G6" i="1"/>
  <c r="G4" i="1"/>
  <c r="G3" i="1"/>
  <c r="E23" i="1"/>
  <c r="E22" i="1"/>
  <c r="E21" i="1"/>
  <c r="E20" i="1"/>
  <c r="E19" i="1"/>
  <c r="E18" i="1"/>
  <c r="E17" i="1"/>
  <c r="E16" i="1"/>
  <c r="E15" i="1"/>
  <c r="E14" i="1"/>
  <c r="E13" i="1" s="1"/>
  <c r="E5" i="1" s="1"/>
  <c r="E12" i="1"/>
  <c r="E11" i="1"/>
  <c r="E10" i="1"/>
  <c r="E9" i="1"/>
  <c r="E8" i="1"/>
  <c r="E7" i="1"/>
  <c r="E6" i="1"/>
  <c r="E4" i="1"/>
  <c r="E3" i="1"/>
  <c r="C23" i="1"/>
  <c r="S125" i="1" l="1"/>
  <c r="U26" i="2" s="1"/>
  <c r="Q125" i="1"/>
  <c r="S26" i="2" s="1"/>
  <c r="O125" i="1"/>
  <c r="Q26" i="2" s="1"/>
  <c r="M126" i="1"/>
  <c r="O140" i="2" s="1"/>
  <c r="G76" i="6"/>
  <c r="K125" i="1"/>
  <c r="M26" i="2" s="1"/>
  <c r="G125" i="1"/>
  <c r="I26" i="2" s="1"/>
  <c r="F66" i="6"/>
  <c r="F57" i="6"/>
  <c r="F40" i="6"/>
  <c r="F31" i="6"/>
  <c r="F26" i="6"/>
  <c r="F18" i="6"/>
  <c r="F14" i="6"/>
  <c r="E125" i="1"/>
  <c r="G26" i="2" s="1"/>
  <c r="F59" i="6" s="1"/>
  <c r="D31" i="6"/>
  <c r="K142" i="1"/>
  <c r="K141" i="1"/>
  <c r="K143" i="1" s="1"/>
  <c r="K140" i="1"/>
  <c r="K138" i="1"/>
  <c r="K137" i="1"/>
  <c r="U142" i="1"/>
  <c r="S142" i="1"/>
  <c r="W141" i="1"/>
  <c r="W140" i="1"/>
  <c r="W138" i="1"/>
  <c r="W127" i="1"/>
  <c r="U125" i="1"/>
  <c r="W26" i="2" s="1"/>
  <c r="I125" i="1"/>
  <c r="K26" i="2" s="1"/>
  <c r="C41" i="1"/>
  <c r="C125" i="1" s="1"/>
  <c r="E26" i="2" s="1"/>
  <c r="D59" i="6" s="1"/>
  <c r="G59" i="1"/>
  <c r="G55" i="1"/>
  <c r="C22" i="1"/>
  <c r="C21" i="1"/>
  <c r="C20" i="1"/>
  <c r="C19" i="1"/>
  <c r="C18" i="1"/>
  <c r="C15" i="1"/>
  <c r="C12" i="1"/>
  <c r="C11" i="1"/>
  <c r="C10" i="1"/>
  <c r="C9" i="1"/>
  <c r="C8" i="1"/>
  <c r="C7" i="1"/>
  <c r="C6" i="1"/>
  <c r="C4" i="1"/>
  <c r="AA171" i="2"/>
  <c r="AA167" i="2"/>
  <c r="AA166" i="2"/>
  <c r="AA164" i="2"/>
  <c r="AA163" i="2"/>
  <c r="AA162" i="2"/>
  <c r="AA161" i="2"/>
  <c r="AA160" i="2"/>
  <c r="AA159" i="2"/>
  <c r="AA157" i="2"/>
  <c r="AA156" i="2"/>
  <c r="AA151" i="2"/>
  <c r="AA150" i="2"/>
  <c r="AA146" i="2"/>
  <c r="AA145" i="2"/>
  <c r="Y141" i="1"/>
  <c r="Y138" i="1"/>
  <c r="Y156" i="1"/>
  <c r="Y142" i="1"/>
  <c r="Y137" i="1"/>
  <c r="Y171" i="2"/>
  <c r="Y167" i="2"/>
  <c r="Y166" i="2"/>
  <c r="Y164" i="2"/>
  <c r="Y163" i="2"/>
  <c r="Y162" i="2"/>
  <c r="Y161" i="2"/>
  <c r="Y160" i="2"/>
  <c r="Y159" i="2"/>
  <c r="Y157" i="2"/>
  <c r="Y156" i="2"/>
  <c r="Y151" i="2"/>
  <c r="Y150" i="2"/>
  <c r="Y146" i="2"/>
  <c r="Y145" i="2"/>
  <c r="W156" i="1"/>
  <c r="W142" i="1"/>
  <c r="W137" i="1"/>
  <c r="W171" i="2"/>
  <c r="W167" i="2"/>
  <c r="W166" i="2"/>
  <c r="W164" i="2"/>
  <c r="W163" i="2"/>
  <c r="W162" i="2"/>
  <c r="W161" i="2"/>
  <c r="W160" i="2"/>
  <c r="W159" i="2"/>
  <c r="W157" i="2"/>
  <c r="W156" i="2"/>
  <c r="W151" i="2"/>
  <c r="W150" i="2"/>
  <c r="W146" i="2"/>
  <c r="W145" i="2"/>
  <c r="U156" i="1"/>
  <c r="U141" i="1"/>
  <c r="U140" i="1"/>
  <c r="U138" i="1"/>
  <c r="U139" i="1" s="1"/>
  <c r="U137" i="1"/>
  <c r="Y125" i="1"/>
  <c r="AA26" i="2" s="1"/>
  <c r="D14" i="6"/>
  <c r="AB14" i="6" s="1"/>
  <c r="E14" i="6"/>
  <c r="E17" i="6"/>
  <c r="D18" i="6"/>
  <c r="E18" i="6"/>
  <c r="E20" i="6"/>
  <c r="D26" i="6"/>
  <c r="E26" i="6"/>
  <c r="E34" i="6"/>
  <c r="E38" i="6"/>
  <c r="D40" i="6"/>
  <c r="E40" i="6"/>
  <c r="E47" i="6"/>
  <c r="E49" i="6"/>
  <c r="E51" i="6"/>
  <c r="E53" i="6"/>
  <c r="E55" i="6"/>
  <c r="D57" i="6"/>
  <c r="E57" i="6"/>
  <c r="D66" i="6"/>
  <c r="E66" i="6"/>
  <c r="E68" i="6"/>
  <c r="E3" i="6"/>
  <c r="E7" i="6"/>
  <c r="E8" i="6"/>
  <c r="E5" i="6"/>
  <c r="E4" i="6"/>
  <c r="AB7" i="2"/>
  <c r="AB8" i="2"/>
  <c r="AB9" i="2"/>
  <c r="AB12" i="2"/>
  <c r="AB15" i="2"/>
  <c r="AB16" i="2"/>
  <c r="AB19" i="2"/>
  <c r="AB23" i="2"/>
  <c r="AB24" i="2"/>
  <c r="E21" i="6"/>
  <c r="E59" i="6"/>
  <c r="E36" i="6"/>
  <c r="AB36" i="2"/>
  <c r="AB37" i="2"/>
  <c r="AB38" i="2"/>
  <c r="AB39" i="2"/>
  <c r="AB40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71" i="2"/>
  <c r="AB72" i="2"/>
  <c r="AB77" i="2"/>
  <c r="AB78" i="2"/>
  <c r="AB79" i="2"/>
  <c r="AB80" i="2"/>
  <c r="AB81" i="2"/>
  <c r="AB82" i="2"/>
  <c r="AB84" i="2"/>
  <c r="AB85" i="2"/>
  <c r="AB86" i="2"/>
  <c r="AB87" i="2"/>
  <c r="AB88" i="2"/>
  <c r="AB89" i="2"/>
  <c r="AB90" i="2"/>
  <c r="AB95" i="2"/>
  <c r="AB96" i="2"/>
  <c r="AB97" i="2"/>
  <c r="AB98" i="2"/>
  <c r="AB99" i="2"/>
  <c r="AB100" i="2"/>
  <c r="AB101" i="2"/>
  <c r="AB116" i="2"/>
  <c r="AB117" i="2"/>
  <c r="AB118" i="2"/>
  <c r="AB119" i="2"/>
  <c r="AB120" i="2"/>
  <c r="AB121" i="2"/>
  <c r="AB122" i="2"/>
  <c r="AB123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E62" i="6"/>
  <c r="E23" i="6"/>
  <c r="E24" i="6"/>
  <c r="E145" i="2"/>
  <c r="D13" i="6" s="1"/>
  <c r="E13" i="6"/>
  <c r="G145" i="2"/>
  <c r="F13" i="6" s="1"/>
  <c r="I145" i="2"/>
  <c r="K145" i="2"/>
  <c r="M145" i="2"/>
  <c r="O145" i="2"/>
  <c r="Q145" i="2"/>
  <c r="S145" i="2"/>
  <c r="U145" i="2"/>
  <c r="E146" i="2"/>
  <c r="E15" i="6"/>
  <c r="G146" i="2"/>
  <c r="F15" i="6" s="1"/>
  <c r="I146" i="2"/>
  <c r="K146" i="2"/>
  <c r="M146" i="2"/>
  <c r="O146" i="2"/>
  <c r="Q146" i="2"/>
  <c r="S146" i="2"/>
  <c r="U146" i="2"/>
  <c r="G150" i="2"/>
  <c r="F29" i="6" s="1"/>
  <c r="I150" i="2"/>
  <c r="K150" i="2"/>
  <c r="M150" i="2"/>
  <c r="O150" i="2"/>
  <c r="Q150" i="2"/>
  <c r="S150" i="2"/>
  <c r="U150" i="2"/>
  <c r="E151" i="2"/>
  <c r="D38" i="6" s="1"/>
  <c r="G151" i="2"/>
  <c r="F38" i="6" s="1"/>
  <c r="I151" i="2"/>
  <c r="K151" i="2"/>
  <c r="M151" i="2"/>
  <c r="O151" i="2"/>
  <c r="Q151" i="2"/>
  <c r="S151" i="2"/>
  <c r="U151" i="2"/>
  <c r="E156" i="2"/>
  <c r="G156" i="2"/>
  <c r="I156" i="2"/>
  <c r="K156" i="2"/>
  <c r="M156" i="2"/>
  <c r="O156" i="2"/>
  <c r="Q156" i="2"/>
  <c r="S156" i="2"/>
  <c r="U156" i="2"/>
  <c r="E157" i="2"/>
  <c r="D68" i="6" s="1"/>
  <c r="G157" i="2"/>
  <c r="F68" i="6" s="1"/>
  <c r="I157" i="2"/>
  <c r="K157" i="2"/>
  <c r="M157" i="2"/>
  <c r="O157" i="2"/>
  <c r="Q157" i="2"/>
  <c r="S157" i="2"/>
  <c r="U157" i="2"/>
  <c r="E159" i="2"/>
  <c r="G159" i="2"/>
  <c r="F51" i="6" s="1"/>
  <c r="I159" i="2"/>
  <c r="K159" i="2"/>
  <c r="M159" i="2"/>
  <c r="O159" i="2"/>
  <c r="Q159" i="2"/>
  <c r="S159" i="2"/>
  <c r="U159" i="2"/>
  <c r="E160" i="2"/>
  <c r="D53" i="6" s="1"/>
  <c r="G160" i="2"/>
  <c r="F53" i="6" s="1"/>
  <c r="I160" i="2"/>
  <c r="K160" i="2"/>
  <c r="M160" i="2"/>
  <c r="O160" i="2"/>
  <c r="Q160" i="2"/>
  <c r="S160" i="2"/>
  <c r="U160" i="2"/>
  <c r="E161" i="2"/>
  <c r="D49" i="6" s="1"/>
  <c r="AB49" i="6" s="1"/>
  <c r="G161" i="2"/>
  <c r="F49" i="6" s="1"/>
  <c r="I161" i="2"/>
  <c r="K161" i="2"/>
  <c r="M161" i="2"/>
  <c r="O161" i="2"/>
  <c r="Q161" i="2"/>
  <c r="S161" i="2"/>
  <c r="U161" i="2"/>
  <c r="E162" i="2"/>
  <c r="G162" i="2"/>
  <c r="F55" i="6" s="1"/>
  <c r="I162" i="2"/>
  <c r="K162" i="2"/>
  <c r="M162" i="2"/>
  <c r="O162" i="2"/>
  <c r="Q162" i="2"/>
  <c r="S162" i="2"/>
  <c r="U162" i="2"/>
  <c r="E163" i="2"/>
  <c r="D72" i="6" s="1"/>
  <c r="E72" i="6"/>
  <c r="G163" i="2"/>
  <c r="F72" i="6" s="1"/>
  <c r="I163" i="2"/>
  <c r="K163" i="2"/>
  <c r="M163" i="2"/>
  <c r="O163" i="2"/>
  <c r="Q163" i="2"/>
  <c r="S163" i="2"/>
  <c r="U163" i="2"/>
  <c r="E164" i="2"/>
  <c r="G164" i="2"/>
  <c r="I164" i="2"/>
  <c r="K164" i="2"/>
  <c r="M164" i="2"/>
  <c r="O164" i="2"/>
  <c r="Q164" i="2"/>
  <c r="S164" i="2"/>
  <c r="U164" i="2"/>
  <c r="AB164" i="2"/>
  <c r="AB165" i="2"/>
  <c r="E166" i="2"/>
  <c r="G166" i="2"/>
  <c r="I166" i="2"/>
  <c r="K166" i="2"/>
  <c r="M166" i="2"/>
  <c r="O166" i="2"/>
  <c r="Q166" i="2"/>
  <c r="S166" i="2"/>
  <c r="U166" i="2"/>
  <c r="AB166" i="2"/>
  <c r="E167" i="2"/>
  <c r="AB167" i="2" s="1"/>
  <c r="G167" i="2"/>
  <c r="F17" i="6" s="1"/>
  <c r="I167" i="2"/>
  <c r="K167" i="2"/>
  <c r="M167" i="2"/>
  <c r="O167" i="2"/>
  <c r="Q167" i="2"/>
  <c r="S167" i="2"/>
  <c r="U167" i="2"/>
  <c r="E171" i="2"/>
  <c r="D70" i="6" s="1"/>
  <c r="E70" i="6"/>
  <c r="G171" i="2"/>
  <c r="F70" i="6" s="1"/>
  <c r="I171" i="2"/>
  <c r="K171" i="2"/>
  <c r="M171" i="2"/>
  <c r="O171" i="2"/>
  <c r="Q171" i="2"/>
  <c r="S171" i="2"/>
  <c r="U171" i="2"/>
  <c r="C27" i="1"/>
  <c r="C98" i="1" s="1"/>
  <c r="E27" i="1"/>
  <c r="E98" i="1" s="1"/>
  <c r="G27" i="1"/>
  <c r="G98" i="1" s="1"/>
  <c r="I27" i="1"/>
  <c r="I98" i="1" s="1"/>
  <c r="K27" i="1"/>
  <c r="K98" i="1" s="1"/>
  <c r="M27" i="1"/>
  <c r="O27" i="1"/>
  <c r="O48" i="1" s="1"/>
  <c r="O130" i="1" s="1"/>
  <c r="Q4" i="2" s="1"/>
  <c r="Q27" i="1"/>
  <c r="Q98" i="1" s="1"/>
  <c r="S27" i="1"/>
  <c r="U27" i="1"/>
  <c r="W27" i="1"/>
  <c r="W48" i="1" s="1"/>
  <c r="W130" i="1" s="1"/>
  <c r="Y4" i="2" s="1"/>
  <c r="Y27" i="1"/>
  <c r="C28" i="1"/>
  <c r="C106" i="1" s="1"/>
  <c r="E28" i="1"/>
  <c r="G28" i="1"/>
  <c r="G106" i="1" s="1"/>
  <c r="I28" i="1"/>
  <c r="I106" i="1"/>
  <c r="K28" i="1"/>
  <c r="M28" i="1"/>
  <c r="M106" i="1" s="1"/>
  <c r="O28" i="1"/>
  <c r="O106" i="1" s="1"/>
  <c r="Q28" i="1"/>
  <c r="Q106" i="1" s="1"/>
  <c r="S28" i="1"/>
  <c r="U28" i="1"/>
  <c r="W28" i="1"/>
  <c r="Y28" i="1"/>
  <c r="Y106" i="1" s="1"/>
  <c r="C32" i="1"/>
  <c r="E116" i="1"/>
  <c r="G109" i="2" s="1"/>
  <c r="G116" i="1"/>
  <c r="I109" i="2" s="1"/>
  <c r="I116" i="1"/>
  <c r="K109" i="2" s="1"/>
  <c r="K116" i="1"/>
  <c r="M109" i="2" s="1"/>
  <c r="O116" i="1"/>
  <c r="Q109" i="2" s="1"/>
  <c r="Q116" i="1"/>
  <c r="S109" i="2" s="1"/>
  <c r="S116" i="1"/>
  <c r="U109" i="2" s="1"/>
  <c r="U116" i="1"/>
  <c r="W109" i="2" s="1"/>
  <c r="W116" i="1"/>
  <c r="Y109" i="2" s="1"/>
  <c r="Y116" i="1"/>
  <c r="AA109" i="2" s="1"/>
  <c r="C33" i="1"/>
  <c r="C117" i="1" s="1"/>
  <c r="E110" i="2" s="1"/>
  <c r="I117" i="1"/>
  <c r="K110" i="2" s="1"/>
  <c r="M117" i="1"/>
  <c r="O110" i="2" s="1"/>
  <c r="Q117" i="1"/>
  <c r="S110" i="2" s="1"/>
  <c r="U117" i="1"/>
  <c r="W110" i="2" s="1"/>
  <c r="W117" i="1"/>
  <c r="Y110" i="2" s="1"/>
  <c r="Y117" i="1"/>
  <c r="AA110" i="2" s="1"/>
  <c r="C34" i="1"/>
  <c r="C118" i="1" s="1"/>
  <c r="E111" i="2" s="1"/>
  <c r="G118" i="1"/>
  <c r="I111" i="2" s="1"/>
  <c r="I118" i="1"/>
  <c r="K111" i="2" s="1"/>
  <c r="K118" i="1"/>
  <c r="M111" i="2" s="1"/>
  <c r="M118" i="1"/>
  <c r="O111" i="2" s="1"/>
  <c r="O118" i="1"/>
  <c r="Q111" i="2" s="1"/>
  <c r="Q118" i="1"/>
  <c r="S111" i="2" s="1"/>
  <c r="S118" i="1"/>
  <c r="U111" i="2" s="1"/>
  <c r="U118" i="1"/>
  <c r="W111" i="2" s="1"/>
  <c r="W118" i="1"/>
  <c r="Y111" i="2" s="1"/>
  <c r="Y118" i="1"/>
  <c r="AA111" i="2" s="1"/>
  <c r="C35" i="1"/>
  <c r="C119" i="1" s="1"/>
  <c r="E112" i="2" s="1"/>
  <c r="G119" i="1"/>
  <c r="I112" i="2" s="1"/>
  <c r="K119" i="1"/>
  <c r="M112" i="2" s="1"/>
  <c r="O119" i="1"/>
  <c r="Q112" i="2" s="1"/>
  <c r="Q119" i="1"/>
  <c r="S112" i="2" s="1"/>
  <c r="S119" i="1"/>
  <c r="U112" i="2" s="1"/>
  <c r="U119" i="1"/>
  <c r="W112" i="2" s="1"/>
  <c r="W119" i="1"/>
  <c r="Y112" i="2" s="1"/>
  <c r="Y119" i="1"/>
  <c r="AA112" i="2" s="1"/>
  <c r="C36" i="1"/>
  <c r="C120" i="1" s="1"/>
  <c r="E113" i="2" s="1"/>
  <c r="G120" i="1"/>
  <c r="I113" i="2" s="1"/>
  <c r="M120" i="1"/>
  <c r="O113" i="2" s="1"/>
  <c r="Q120" i="1"/>
  <c r="S113" i="2" s="1"/>
  <c r="U120" i="1"/>
  <c r="W113" i="2" s="1"/>
  <c r="W120" i="1"/>
  <c r="Y113" i="2" s="1"/>
  <c r="Y120" i="1"/>
  <c r="AA113" i="2" s="1"/>
  <c r="C37" i="1"/>
  <c r="C121" i="1" s="1"/>
  <c r="E114" i="2" s="1"/>
  <c r="G121" i="1"/>
  <c r="I114" i="2" s="1"/>
  <c r="K121" i="1"/>
  <c r="M114" i="2" s="1"/>
  <c r="O121" i="1"/>
  <c r="Q114" i="2" s="1"/>
  <c r="S121" i="1"/>
  <c r="U114" i="2" s="1"/>
  <c r="W121" i="1"/>
  <c r="Y114" i="2" s="1"/>
  <c r="Y121" i="1"/>
  <c r="AA114" i="2" s="1"/>
  <c r="C38" i="1"/>
  <c r="C39" i="1" s="1"/>
  <c r="C123" i="1" s="1"/>
  <c r="G123" i="1"/>
  <c r="I122" i="1"/>
  <c r="K104" i="2" s="1"/>
  <c r="K123" i="1"/>
  <c r="M105" i="2" s="1"/>
  <c r="M123" i="1"/>
  <c r="S123" i="1"/>
  <c r="U105" i="2" s="1"/>
  <c r="U123" i="1"/>
  <c r="W123" i="1"/>
  <c r="Y105" i="2" s="1"/>
  <c r="Y122" i="1"/>
  <c r="E123" i="1"/>
  <c r="C40" i="1"/>
  <c r="C124" i="1" s="1"/>
  <c r="E107" i="2" s="1"/>
  <c r="E124" i="1"/>
  <c r="G107" i="2" s="1"/>
  <c r="I124" i="1"/>
  <c r="K107" i="2" s="1"/>
  <c r="M124" i="1"/>
  <c r="O107" i="2" s="1"/>
  <c r="O124" i="1"/>
  <c r="Q107" i="2" s="1"/>
  <c r="S124" i="1"/>
  <c r="U107" i="2" s="1"/>
  <c r="W124" i="1"/>
  <c r="Y107" i="2" s="1"/>
  <c r="Y124" i="1"/>
  <c r="AA107" i="2" s="1"/>
  <c r="M125" i="1"/>
  <c r="O26" i="2" s="1"/>
  <c r="C42" i="1"/>
  <c r="C126" i="1" s="1"/>
  <c r="E140" i="2" s="1"/>
  <c r="D23" i="6" s="1"/>
  <c r="E126" i="1"/>
  <c r="G140" i="2" s="1"/>
  <c r="F23" i="6" s="1"/>
  <c r="G126" i="1"/>
  <c r="I140" i="2" s="1"/>
  <c r="I126" i="1"/>
  <c r="K140" i="2" s="1"/>
  <c r="K126" i="1"/>
  <c r="M140" i="2" s="1"/>
  <c r="O126" i="1"/>
  <c r="Q140" i="2" s="1"/>
  <c r="Q126" i="1"/>
  <c r="S140" i="2" s="1"/>
  <c r="U126" i="1"/>
  <c r="W140" i="2" s="1"/>
  <c r="W126" i="1"/>
  <c r="Y140" i="2" s="1"/>
  <c r="Y126" i="1"/>
  <c r="AA140" i="2" s="1"/>
  <c r="C43" i="1"/>
  <c r="C127" i="1" s="1"/>
  <c r="E127" i="1"/>
  <c r="G127" i="1"/>
  <c r="K127" i="1"/>
  <c r="M127" i="1"/>
  <c r="O127" i="1"/>
  <c r="Q127" i="1"/>
  <c r="S127" i="1"/>
  <c r="U127" i="1"/>
  <c r="Y127" i="1"/>
  <c r="C44" i="1"/>
  <c r="C128" i="1" s="1"/>
  <c r="E128" i="1"/>
  <c r="I128" i="1"/>
  <c r="M128" i="1"/>
  <c r="Q128" i="1"/>
  <c r="U128" i="1"/>
  <c r="W128" i="1"/>
  <c r="Y128" i="1"/>
  <c r="C47" i="1"/>
  <c r="C129" i="1" s="1"/>
  <c r="E5" i="2" s="1"/>
  <c r="D4" i="6" s="1"/>
  <c r="E47" i="1"/>
  <c r="E129" i="1" s="1"/>
  <c r="G5" i="2" s="1"/>
  <c r="F4" i="6" s="1"/>
  <c r="G47" i="1"/>
  <c r="G129" i="1" s="1"/>
  <c r="I5" i="2" s="1"/>
  <c r="I47" i="1"/>
  <c r="K47" i="1"/>
  <c r="K129" i="1" s="1"/>
  <c r="M5" i="2" s="1"/>
  <c r="M47" i="1"/>
  <c r="O47" i="1"/>
  <c r="O129" i="1" s="1"/>
  <c r="Q5" i="2" s="1"/>
  <c r="Q47" i="1"/>
  <c r="S47" i="1"/>
  <c r="S129" i="1" s="1"/>
  <c r="U5" i="2" s="1"/>
  <c r="U47" i="1"/>
  <c r="U129" i="1" s="1"/>
  <c r="W5" i="2" s="1"/>
  <c r="W47" i="1"/>
  <c r="W129" i="1" s="1"/>
  <c r="Y5" i="2" s="1"/>
  <c r="Y47" i="1"/>
  <c r="C49" i="1"/>
  <c r="C131" i="1" s="1"/>
  <c r="E3" i="2" s="1"/>
  <c r="D7" i="6" s="1"/>
  <c r="E49" i="1"/>
  <c r="E131" i="1" s="1"/>
  <c r="G49" i="1"/>
  <c r="G131" i="1"/>
  <c r="I49" i="1"/>
  <c r="I131" i="1" s="1"/>
  <c r="K49" i="1"/>
  <c r="K131" i="1"/>
  <c r="M49" i="1"/>
  <c r="M131" i="1" s="1"/>
  <c r="O49" i="1"/>
  <c r="O131" i="1" s="1"/>
  <c r="Q49" i="1"/>
  <c r="S49" i="1"/>
  <c r="S131" i="1" s="1"/>
  <c r="U49" i="1"/>
  <c r="U131" i="1" s="1"/>
  <c r="W3" i="2" s="1"/>
  <c r="W49" i="1"/>
  <c r="W131" i="1" s="1"/>
  <c r="Y49" i="1"/>
  <c r="C53" i="1"/>
  <c r="E53" i="1"/>
  <c r="G53" i="1"/>
  <c r="I53" i="1"/>
  <c r="K53" i="1"/>
  <c r="M53" i="1"/>
  <c r="O53" i="1"/>
  <c r="Q53" i="1"/>
  <c r="S53" i="1"/>
  <c r="U53" i="1"/>
  <c r="W53" i="1"/>
  <c r="Y53" i="1"/>
  <c r="C54" i="1"/>
  <c r="E54" i="1"/>
  <c r="G54" i="1"/>
  <c r="G56" i="1"/>
  <c r="I54" i="1"/>
  <c r="K54" i="1"/>
  <c r="M54" i="1"/>
  <c r="O54" i="1"/>
  <c r="Q54" i="1"/>
  <c r="S54" i="1"/>
  <c r="U54" i="1"/>
  <c r="W54" i="1"/>
  <c r="Y54" i="1"/>
  <c r="C55" i="1"/>
  <c r="E55" i="1"/>
  <c r="E56" i="1"/>
  <c r="I55" i="1"/>
  <c r="I56" i="1" s="1"/>
  <c r="K55" i="1"/>
  <c r="K56" i="1" s="1"/>
  <c r="M55" i="1"/>
  <c r="M56" i="1" s="1"/>
  <c r="O55" i="1"/>
  <c r="O56" i="1" s="1"/>
  <c r="Q55" i="1"/>
  <c r="Q56" i="1" s="1"/>
  <c r="S55" i="1"/>
  <c r="S56" i="1" s="1"/>
  <c r="U55" i="1"/>
  <c r="U56" i="1" s="1"/>
  <c r="W55" i="1"/>
  <c r="Y55" i="1"/>
  <c r="C56" i="1"/>
  <c r="W56" i="1"/>
  <c r="C57" i="1"/>
  <c r="E57" i="1"/>
  <c r="G57" i="1"/>
  <c r="I57" i="1"/>
  <c r="K57" i="1"/>
  <c r="M57" i="1"/>
  <c r="O57" i="1"/>
  <c r="Q57" i="1"/>
  <c r="S57" i="1"/>
  <c r="U57" i="1"/>
  <c r="W57" i="1"/>
  <c r="Y57" i="1"/>
  <c r="C58" i="1"/>
  <c r="E58" i="1"/>
  <c r="G58" i="1"/>
  <c r="I58" i="1"/>
  <c r="K58" i="1"/>
  <c r="M58" i="1"/>
  <c r="O58" i="1"/>
  <c r="O60" i="1" s="1"/>
  <c r="Q58" i="1"/>
  <c r="S58" i="1"/>
  <c r="U58" i="1"/>
  <c r="W58" i="1"/>
  <c r="Y58" i="1"/>
  <c r="C59" i="1"/>
  <c r="E59" i="1"/>
  <c r="E60" i="1"/>
  <c r="I59" i="1"/>
  <c r="I60" i="1" s="1"/>
  <c r="K59" i="1"/>
  <c r="K60" i="1"/>
  <c r="M59" i="1"/>
  <c r="M60" i="1" s="1"/>
  <c r="O59" i="1"/>
  <c r="Q59" i="1"/>
  <c r="Q60" i="1"/>
  <c r="S59" i="1"/>
  <c r="S60" i="1" s="1"/>
  <c r="U59" i="1"/>
  <c r="W59" i="1"/>
  <c r="Y59" i="1"/>
  <c r="C60" i="1"/>
  <c r="C14" i="1" s="1"/>
  <c r="C13" i="1" s="1"/>
  <c r="C5" i="1" s="1"/>
  <c r="G60" i="1"/>
  <c r="U60" i="1"/>
  <c r="Y60" i="1"/>
  <c r="B87" i="1"/>
  <c r="C89" i="1"/>
  <c r="E89" i="1"/>
  <c r="G89" i="1"/>
  <c r="I89" i="1"/>
  <c r="K89" i="1"/>
  <c r="M89" i="1"/>
  <c r="O89" i="1"/>
  <c r="Q89" i="1"/>
  <c r="S89" i="1"/>
  <c r="Y98" i="1"/>
  <c r="K106" i="1"/>
  <c r="S106" i="1"/>
  <c r="C116" i="1"/>
  <c r="E109" i="2" s="1"/>
  <c r="M116" i="1"/>
  <c r="O109" i="2" s="1"/>
  <c r="E117" i="1"/>
  <c r="G110" i="2" s="1"/>
  <c r="G117" i="1"/>
  <c r="I110" i="2" s="1"/>
  <c r="K117" i="1"/>
  <c r="M110" i="2" s="1"/>
  <c r="O117" i="1"/>
  <c r="Q110" i="2" s="1"/>
  <c r="S117" i="1"/>
  <c r="U110" i="2" s="1"/>
  <c r="E118" i="1"/>
  <c r="G111" i="2" s="1"/>
  <c r="E119" i="1"/>
  <c r="G112" i="2" s="1"/>
  <c r="I119" i="1"/>
  <c r="K112" i="2" s="1"/>
  <c r="M119" i="1"/>
  <c r="O112" i="2" s="1"/>
  <c r="E120" i="1"/>
  <c r="G113" i="2" s="1"/>
  <c r="I120" i="1"/>
  <c r="K113" i="2" s="1"/>
  <c r="K120" i="1"/>
  <c r="M113" i="2"/>
  <c r="O120" i="1"/>
  <c r="Q113" i="2" s="1"/>
  <c r="S120" i="1"/>
  <c r="U113" i="2" s="1"/>
  <c r="E121" i="1"/>
  <c r="G114" i="2" s="1"/>
  <c r="I121" i="1"/>
  <c r="K114" i="2" s="1"/>
  <c r="M121" i="1"/>
  <c r="O114" i="2" s="1"/>
  <c r="Q121" i="1"/>
  <c r="S114" i="2" s="1"/>
  <c r="U121" i="1"/>
  <c r="W114" i="2" s="1"/>
  <c r="K103" i="2"/>
  <c r="K124" i="1"/>
  <c r="M107" i="2" s="1"/>
  <c r="Q124" i="1"/>
  <c r="S107" i="2" s="1"/>
  <c r="U124" i="1"/>
  <c r="W107" i="2" s="1"/>
  <c r="W125" i="1"/>
  <c r="Y26" i="2" s="1"/>
  <c r="S126" i="1"/>
  <c r="U140" i="2" s="1"/>
  <c r="I127" i="1"/>
  <c r="G128" i="1"/>
  <c r="K128" i="1"/>
  <c r="O128" i="1"/>
  <c r="S128" i="1"/>
  <c r="I129" i="1"/>
  <c r="K5" i="2"/>
  <c r="M129" i="1"/>
  <c r="O5" i="2" s="1"/>
  <c r="Q129" i="1"/>
  <c r="S5" i="2"/>
  <c r="Y129" i="1"/>
  <c r="AA5" i="2" s="1"/>
  <c r="Q131" i="1"/>
  <c r="S3" i="2" s="1"/>
  <c r="U3" i="2"/>
  <c r="Y131" i="1"/>
  <c r="C137" i="1"/>
  <c r="C145" i="1" s="1"/>
  <c r="E137" i="1"/>
  <c r="G137" i="1"/>
  <c r="I137" i="1"/>
  <c r="I139" i="1" s="1"/>
  <c r="M137" i="1"/>
  <c r="O137" i="1"/>
  <c r="O139" i="1"/>
  <c r="Q137" i="1"/>
  <c r="S137" i="1"/>
  <c r="C138" i="1"/>
  <c r="E138" i="1"/>
  <c r="G138" i="1"/>
  <c r="G139" i="1"/>
  <c r="I138" i="1"/>
  <c r="M138" i="1"/>
  <c r="O138" i="1"/>
  <c r="Q138" i="1"/>
  <c r="Q139" i="1" s="1"/>
  <c r="S138" i="1"/>
  <c r="C140" i="1"/>
  <c r="E140" i="1"/>
  <c r="G140" i="1"/>
  <c r="I140" i="1"/>
  <c r="M140" i="1"/>
  <c r="M143" i="1" s="1"/>
  <c r="O140" i="1"/>
  <c r="Q140" i="1"/>
  <c r="S140" i="1"/>
  <c r="C141" i="1"/>
  <c r="E141" i="1"/>
  <c r="G141" i="1"/>
  <c r="I141" i="1"/>
  <c r="I143" i="1"/>
  <c r="M141" i="1"/>
  <c r="O141" i="1"/>
  <c r="O143" i="1" s="1"/>
  <c r="Q141" i="1"/>
  <c r="S141" i="1"/>
  <c r="I142" i="1"/>
  <c r="M142" i="1"/>
  <c r="O142" i="1"/>
  <c r="Q142" i="1"/>
  <c r="O156" i="1"/>
  <c r="Q156" i="1"/>
  <c r="S156" i="1"/>
  <c r="E22" i="6"/>
  <c r="E29" i="6"/>
  <c r="AB156" i="2"/>
  <c r="E122" i="1"/>
  <c r="G103" i="2" s="1"/>
  <c r="E150" i="2"/>
  <c r="D29" i="6" s="1"/>
  <c r="AB75" i="2"/>
  <c r="E139" i="1"/>
  <c r="Q143" i="1"/>
  <c r="G124" i="1"/>
  <c r="I107" i="2" s="1"/>
  <c r="S139" i="1"/>
  <c r="C17" i="1"/>
  <c r="C16" i="1"/>
  <c r="Q122" i="1"/>
  <c r="S103" i="2" s="1"/>
  <c r="Q123" i="1"/>
  <c r="Y56" i="1"/>
  <c r="K139" i="1"/>
  <c r="W60" i="1"/>
  <c r="I48" i="1"/>
  <c r="I130" i="1"/>
  <c r="K4" i="2" s="1"/>
  <c r="AB161" i="2"/>
  <c r="M122" i="1"/>
  <c r="O104" i="2" s="1"/>
  <c r="D55" i="6"/>
  <c r="I24" i="1"/>
  <c r="S104" i="2"/>
  <c r="G143" i="1"/>
  <c r="G24" i="1"/>
  <c r="I29" i="1"/>
  <c r="K48" i="1"/>
  <c r="K130" i="1" s="1"/>
  <c r="M4" i="2" s="1"/>
  <c r="M98" i="1"/>
  <c r="K50" i="1"/>
  <c r="K24" i="1"/>
  <c r="M50" i="1"/>
  <c r="M24" i="1"/>
  <c r="O3" i="2"/>
  <c r="E29" i="1" l="1"/>
  <c r="E106" i="1"/>
  <c r="G3" i="2"/>
  <c r="F7" i="6" s="1"/>
  <c r="F9" i="6" s="1"/>
  <c r="F8" i="6" s="1"/>
  <c r="E149" i="1"/>
  <c r="E151" i="1" s="1"/>
  <c r="E153" i="1" s="1"/>
  <c r="AB31" i="6"/>
  <c r="AB13" i="6"/>
  <c r="AB66" i="6"/>
  <c r="AB72" i="6"/>
  <c r="AB70" i="6"/>
  <c r="AB157" i="2"/>
  <c r="AB68" i="6"/>
  <c r="AA57" i="6"/>
  <c r="AB57" i="6"/>
  <c r="AB162" i="2"/>
  <c r="AA55" i="6"/>
  <c r="AB55" i="6"/>
  <c r="AB160" i="2"/>
  <c r="AB53" i="6"/>
  <c r="AB159" i="2"/>
  <c r="D51" i="6"/>
  <c r="AB29" i="6"/>
  <c r="AB151" i="2"/>
  <c r="AA38" i="6"/>
  <c r="AB38" i="6"/>
  <c r="AB150" i="2"/>
  <c r="AB26" i="6"/>
  <c r="AA18" i="6"/>
  <c r="AB18" i="6"/>
  <c r="AB146" i="2"/>
  <c r="D15" i="6"/>
  <c r="AB15" i="6" s="1"/>
  <c r="AA29" i="6"/>
  <c r="AA40" i="6"/>
  <c r="AA26" i="6"/>
  <c r="AB145" i="2"/>
  <c r="W143" i="1"/>
  <c r="C139" i="1"/>
  <c r="C143" i="1"/>
  <c r="E143" i="1"/>
  <c r="Q3" i="2"/>
  <c r="M3" i="2"/>
  <c r="K3" i="2"/>
  <c r="I3" i="2"/>
  <c r="C149" i="1"/>
  <c r="C151" i="1" s="1"/>
  <c r="C153" i="1" s="1"/>
  <c r="M106" i="2"/>
  <c r="S122" i="1"/>
  <c r="U104" i="2" s="1"/>
  <c r="M45" i="1"/>
  <c r="O103" i="2"/>
  <c r="O115" i="2"/>
  <c r="K45" i="1"/>
  <c r="K158" i="1" s="1"/>
  <c r="K122" i="1"/>
  <c r="G122" i="1"/>
  <c r="I103" i="2" s="1"/>
  <c r="I105" i="2"/>
  <c r="I106" i="2"/>
  <c r="I115" i="2"/>
  <c r="G45" i="1"/>
  <c r="E45" i="1"/>
  <c r="G105" i="2"/>
  <c r="G106" i="2"/>
  <c r="G104" i="2"/>
  <c r="E106" i="2"/>
  <c r="E105" i="2"/>
  <c r="C50" i="1"/>
  <c r="C158" i="1"/>
  <c r="C122" i="1"/>
  <c r="Y29" i="1"/>
  <c r="Y48" i="1"/>
  <c r="Y130" i="1" s="1"/>
  <c r="AA4" i="2" s="1"/>
  <c r="Q29" i="1"/>
  <c r="O29" i="1"/>
  <c r="O98" i="1"/>
  <c r="M52" i="1"/>
  <c r="M51" i="1" s="1"/>
  <c r="M105" i="1" s="1"/>
  <c r="M48" i="1"/>
  <c r="M130" i="1" s="1"/>
  <c r="O4" i="2" s="1"/>
  <c r="M29" i="1"/>
  <c r="K157" i="1"/>
  <c r="K29" i="1"/>
  <c r="I157" i="1"/>
  <c r="K52" i="1"/>
  <c r="K51" i="1" s="1"/>
  <c r="K96" i="1" s="1"/>
  <c r="M138" i="2" s="1"/>
  <c r="M124" i="2" s="1"/>
  <c r="M147" i="2" s="1"/>
  <c r="G48" i="1"/>
  <c r="G130" i="1" s="1"/>
  <c r="I4" i="2" s="1"/>
  <c r="G29" i="1"/>
  <c r="G157" i="1" s="1"/>
  <c r="E48" i="1"/>
  <c r="E130" i="1" s="1"/>
  <c r="G4" i="2" s="1"/>
  <c r="F5" i="6" s="1"/>
  <c r="C48" i="1"/>
  <c r="C130" i="1" s="1"/>
  <c r="E4" i="2" s="1"/>
  <c r="D5" i="6" s="1"/>
  <c r="C24" i="1"/>
  <c r="G50" i="1"/>
  <c r="E50" i="1"/>
  <c r="E52" i="1" s="1"/>
  <c r="E51" i="1" s="1"/>
  <c r="E63" i="1" s="1"/>
  <c r="AA3" i="2"/>
  <c r="Y139" i="1"/>
  <c r="AA104" i="2"/>
  <c r="AA103" i="2"/>
  <c r="Y123" i="1"/>
  <c r="AA106" i="2" s="1"/>
  <c r="Y3" i="2"/>
  <c r="Y106" i="2"/>
  <c r="W122" i="1"/>
  <c r="Y103" i="2" s="1"/>
  <c r="Y24" i="1"/>
  <c r="W29" i="1"/>
  <c r="W98" i="1"/>
  <c r="U48" i="1"/>
  <c r="U130" i="1" s="1"/>
  <c r="W4" i="2" s="1"/>
  <c r="U106" i="1"/>
  <c r="W139" i="1"/>
  <c r="W45" i="1"/>
  <c r="U122" i="1"/>
  <c r="S24" i="1"/>
  <c r="S26" i="1" s="1"/>
  <c r="S29" i="1"/>
  <c r="U29" i="1"/>
  <c r="S98" i="1"/>
  <c r="S48" i="1"/>
  <c r="S130" i="1" s="1"/>
  <c r="U4" i="2" s="1"/>
  <c r="S143" i="1"/>
  <c r="U143" i="1"/>
  <c r="W106" i="2"/>
  <c r="W105" i="2"/>
  <c r="U45" i="1"/>
  <c r="U106" i="2"/>
  <c r="U50" i="1"/>
  <c r="U24" i="1"/>
  <c r="U26" i="1" s="1"/>
  <c r="S45" i="1"/>
  <c r="Q45" i="1"/>
  <c r="S50" i="1"/>
  <c r="S52" i="1" s="1"/>
  <c r="S51" i="1" s="1"/>
  <c r="S105" i="1" s="1"/>
  <c r="W50" i="1"/>
  <c r="W52" i="1" s="1"/>
  <c r="W51" i="1" s="1"/>
  <c r="W24" i="1"/>
  <c r="O106" i="2"/>
  <c r="O105" i="2"/>
  <c r="AA51" i="6"/>
  <c r="E24" i="1"/>
  <c r="W115" i="2"/>
  <c r="M115" i="2"/>
  <c r="E115" i="2"/>
  <c r="K115" i="2"/>
  <c r="M139" i="1"/>
  <c r="AA72" i="6"/>
  <c r="AA49" i="6"/>
  <c r="AA68" i="6"/>
  <c r="W106" i="1"/>
  <c r="U98" i="1"/>
  <c r="AB163" i="2"/>
  <c r="Y143" i="1"/>
  <c r="D17" i="6"/>
  <c r="AB17" i="6" s="1"/>
  <c r="AA115" i="2"/>
  <c r="AB140" i="2"/>
  <c r="C29" i="1"/>
  <c r="C157" i="1" s="1"/>
  <c r="AB171" i="2"/>
  <c r="AA13" i="6"/>
  <c r="O123" i="1"/>
  <c r="U115" i="2"/>
  <c r="E46" i="6"/>
  <c r="E63" i="6"/>
  <c r="Y115" i="2"/>
  <c r="D9" i="6"/>
  <c r="D8" i="6" s="1"/>
  <c r="E44" i="6"/>
  <c r="AA23" i="6"/>
  <c r="G115" i="2"/>
  <c r="AB114" i="2"/>
  <c r="AA59" i="6"/>
  <c r="AB5" i="2"/>
  <c r="AB113" i="2"/>
  <c r="AB111" i="2"/>
  <c r="E64" i="6"/>
  <c r="E60" i="6"/>
  <c r="AA4" i="6"/>
  <c r="E27" i="6"/>
  <c r="E30" i="6"/>
  <c r="E58" i="6"/>
  <c r="AB110" i="2"/>
  <c r="AB107" i="2"/>
  <c r="Q48" i="1"/>
  <c r="Q130" i="1" s="1"/>
  <c r="S4" i="2" s="1"/>
  <c r="AB26" i="2"/>
  <c r="AB112" i="2"/>
  <c r="S115" i="2"/>
  <c r="S105" i="2"/>
  <c r="S106" i="2"/>
  <c r="AB109" i="2"/>
  <c r="Q115" i="2"/>
  <c r="O122" i="1"/>
  <c r="Q24" i="1"/>
  <c r="Q50" i="1"/>
  <c r="O24" i="1"/>
  <c r="O50" i="1"/>
  <c r="O52" i="1" s="1"/>
  <c r="O51" i="1" s="1"/>
  <c r="E158" i="1" l="1"/>
  <c r="F158" i="1" s="1"/>
  <c r="E147" i="1"/>
  <c r="E154" i="1" s="1"/>
  <c r="E82" i="1"/>
  <c r="E109" i="1" s="1"/>
  <c r="G33" i="2" s="1"/>
  <c r="E65" i="1"/>
  <c r="E90" i="1" s="1"/>
  <c r="G158" i="1"/>
  <c r="G147" i="1"/>
  <c r="G154" i="1" s="1"/>
  <c r="AB51" i="6"/>
  <c r="AA17" i="6"/>
  <c r="AA15" i="6"/>
  <c r="C147" i="1"/>
  <c r="C154" i="1" s="1"/>
  <c r="D87" i="1"/>
  <c r="AB3" i="2"/>
  <c r="AA7" i="6"/>
  <c r="G108" i="2"/>
  <c r="AA105" i="2"/>
  <c r="AA108" i="2" s="1"/>
  <c r="Y50" i="1"/>
  <c r="Y52" i="1" s="1"/>
  <c r="Y51" i="1" s="1"/>
  <c r="Y104" i="2"/>
  <c r="U103" i="2"/>
  <c r="U108" i="2" s="1"/>
  <c r="O108" i="2"/>
  <c r="O45" i="1"/>
  <c r="M94" i="1"/>
  <c r="M102" i="1"/>
  <c r="M111" i="1"/>
  <c r="O141" i="2" s="1"/>
  <c r="K99" i="1"/>
  <c r="M70" i="2" s="1"/>
  <c r="M68" i="2" s="1"/>
  <c r="M107" i="1"/>
  <c r="O28" i="2" s="1"/>
  <c r="K104" i="1"/>
  <c r="M104" i="2"/>
  <c r="M103" i="2"/>
  <c r="M108" i="2" s="1"/>
  <c r="K103" i="1"/>
  <c r="M27" i="2" s="1"/>
  <c r="M154" i="2" s="1"/>
  <c r="K110" i="1"/>
  <c r="M34" i="2" s="1"/>
  <c r="K91" i="1"/>
  <c r="M13" i="2" s="1"/>
  <c r="M11" i="2" s="1"/>
  <c r="K93" i="1"/>
  <c r="M31" i="2" s="1"/>
  <c r="M125" i="2"/>
  <c r="K90" i="1"/>
  <c r="I104" i="2"/>
  <c r="I108" i="2" s="1"/>
  <c r="E103" i="2"/>
  <c r="E104" i="2"/>
  <c r="M108" i="1"/>
  <c r="O29" i="2" s="1"/>
  <c r="M109" i="1"/>
  <c r="O33" i="2" s="1"/>
  <c r="M103" i="1"/>
  <c r="O27" i="2" s="1"/>
  <c r="O154" i="2" s="1"/>
  <c r="M112" i="1"/>
  <c r="M92" i="1"/>
  <c r="O18" i="2" s="1"/>
  <c r="O14" i="2" s="1"/>
  <c r="M99" i="1"/>
  <c r="O70" i="2" s="1"/>
  <c r="O68" i="2" s="1"/>
  <c r="M93" i="1"/>
  <c r="O31" i="2" s="1"/>
  <c r="M90" i="1"/>
  <c r="M100" i="1"/>
  <c r="O139" i="2" s="1"/>
  <c r="M110" i="1"/>
  <c r="O34" i="2" s="1"/>
  <c r="M101" i="1"/>
  <c r="K102" i="1"/>
  <c r="K112" i="1"/>
  <c r="K94" i="1"/>
  <c r="K100" i="1"/>
  <c r="M139" i="2" s="1"/>
  <c r="K108" i="1"/>
  <c r="M29" i="2" s="1"/>
  <c r="K109" i="1"/>
  <c r="M33" i="2" s="1"/>
  <c r="K95" i="1"/>
  <c r="K101" i="1"/>
  <c r="M95" i="1"/>
  <c r="M97" i="1"/>
  <c r="O32" i="2" s="1"/>
  <c r="M91" i="1"/>
  <c r="O13" i="2" s="1"/>
  <c r="O10" i="2" s="1"/>
  <c r="M96" i="1"/>
  <c r="O138" i="2" s="1"/>
  <c r="O124" i="2" s="1"/>
  <c r="O147" i="2" s="1"/>
  <c r="M104" i="1"/>
  <c r="O102" i="2" s="1"/>
  <c r="K92" i="1"/>
  <c r="M18" i="2" s="1"/>
  <c r="K107" i="1"/>
  <c r="M28" i="2" s="1"/>
  <c r="K105" i="1"/>
  <c r="K97" i="1"/>
  <c r="M32" i="2" s="1"/>
  <c r="K111" i="1"/>
  <c r="M141" i="2" s="1"/>
  <c r="AA5" i="6"/>
  <c r="G52" i="1"/>
  <c r="G51" i="1" s="1"/>
  <c r="E80" i="1"/>
  <c r="E107" i="1" s="1"/>
  <c r="G28" i="2" s="1"/>
  <c r="F36" i="6" s="1"/>
  <c r="E78" i="1"/>
  <c r="E104" i="1" s="1"/>
  <c r="E84" i="1"/>
  <c r="E111" i="1" s="1"/>
  <c r="G141" i="2" s="1"/>
  <c r="F24" i="6" s="1"/>
  <c r="E67" i="1"/>
  <c r="E92" i="1" s="1"/>
  <c r="G18" i="2" s="1"/>
  <c r="G17" i="2" s="1"/>
  <c r="C51" i="1"/>
  <c r="C63" i="1" s="1"/>
  <c r="E66" i="1"/>
  <c r="E91" i="1" s="1"/>
  <c r="G13" i="2" s="1"/>
  <c r="E69" i="1"/>
  <c r="E94" i="1" s="1"/>
  <c r="Q26" i="1"/>
  <c r="E71" i="1"/>
  <c r="E96" i="1" s="1"/>
  <c r="G138" i="2" s="1"/>
  <c r="G124" i="2" s="1"/>
  <c r="G147" i="2" s="1"/>
  <c r="F62" i="6" s="1"/>
  <c r="E74" i="1"/>
  <c r="E100" i="1" s="1"/>
  <c r="G139" i="2" s="1"/>
  <c r="E77" i="1"/>
  <c r="E103" i="1" s="1"/>
  <c r="G27" i="2" s="1"/>
  <c r="G154" i="2" s="1"/>
  <c r="E81" i="1"/>
  <c r="E108" i="1" s="1"/>
  <c r="G29" i="2" s="1"/>
  <c r="E79" i="1"/>
  <c r="E105" i="1" s="1"/>
  <c r="E72" i="1"/>
  <c r="E97" i="1" s="1"/>
  <c r="G32" i="2" s="1"/>
  <c r="E73" i="1"/>
  <c r="E99" i="1" s="1"/>
  <c r="G70" i="2" s="1"/>
  <c r="E75" i="1"/>
  <c r="E101" i="1" s="1"/>
  <c r="E85" i="1"/>
  <c r="E112" i="1" s="1"/>
  <c r="E70" i="1"/>
  <c r="E95" i="1" s="1"/>
  <c r="E76" i="1"/>
  <c r="E102" i="1" s="1"/>
  <c r="E83" i="1"/>
  <c r="E110" i="1" s="1"/>
  <c r="G34" i="2" s="1"/>
  <c r="E68" i="1"/>
  <c r="E93" i="1" s="1"/>
  <c r="G31" i="2" s="1"/>
  <c r="Y45" i="1"/>
  <c r="Y108" i="2"/>
  <c r="AB4" i="2"/>
  <c r="U52" i="1"/>
  <c r="U51" i="1" s="1"/>
  <c r="U97" i="1" s="1"/>
  <c r="W32" i="2" s="1"/>
  <c r="W104" i="2"/>
  <c r="W103" i="2"/>
  <c r="S99" i="1"/>
  <c r="U70" i="2" s="1"/>
  <c r="U68" i="2" s="1"/>
  <c r="S112" i="1"/>
  <c r="S107" i="1"/>
  <c r="U28" i="2" s="1"/>
  <c r="S110" i="1"/>
  <c r="U34" i="2" s="1"/>
  <c r="S97" i="1"/>
  <c r="U32" i="2" s="1"/>
  <c r="S92" i="1"/>
  <c r="U18" i="2" s="1"/>
  <c r="U17" i="2" s="1"/>
  <c r="S93" i="1"/>
  <c r="U31" i="2" s="1"/>
  <c r="S94" i="1"/>
  <c r="S108" i="1"/>
  <c r="U29" i="2" s="1"/>
  <c r="S95" i="1"/>
  <c r="S109" i="1"/>
  <c r="U33" i="2" s="1"/>
  <c r="S91" i="1"/>
  <c r="U13" i="2" s="1"/>
  <c r="U11" i="2" s="1"/>
  <c r="S104" i="1"/>
  <c r="U102" i="2" s="1"/>
  <c r="S100" i="1"/>
  <c r="U139" i="2" s="1"/>
  <c r="S102" i="1"/>
  <c r="S90" i="1"/>
  <c r="S111" i="1"/>
  <c r="U141" i="2" s="1"/>
  <c r="S101" i="1"/>
  <c r="S96" i="1"/>
  <c r="U138" i="2" s="1"/>
  <c r="U124" i="2" s="1"/>
  <c r="U147" i="2" s="1"/>
  <c r="S103" i="1"/>
  <c r="U27" i="2" s="1"/>
  <c r="U154" i="2" s="1"/>
  <c r="Q105" i="2"/>
  <c r="Q106" i="2"/>
  <c r="I123" i="1"/>
  <c r="I50" i="1"/>
  <c r="I52" i="1" s="1"/>
  <c r="I51" i="1" s="1"/>
  <c r="I45" i="1"/>
  <c r="I158" i="1" s="1"/>
  <c r="W112" i="1"/>
  <c r="W94" i="1"/>
  <c r="W95" i="1"/>
  <c r="W111" i="1"/>
  <c r="Y141" i="2" s="1"/>
  <c r="W97" i="1"/>
  <c r="Y32" i="2" s="1"/>
  <c r="W110" i="1"/>
  <c r="Y34" i="2" s="1"/>
  <c r="W96" i="1"/>
  <c r="Y138" i="2" s="1"/>
  <c r="W91" i="1"/>
  <c r="Y13" i="2" s="1"/>
  <c r="W109" i="1"/>
  <c r="Y33" i="2" s="1"/>
  <c r="W104" i="1"/>
  <c r="W101" i="1"/>
  <c r="W92" i="1"/>
  <c r="Y18" i="2" s="1"/>
  <c r="W108" i="1"/>
  <c r="Y29" i="2" s="1"/>
  <c r="W103" i="1"/>
  <c r="Y27" i="2" s="1"/>
  <c r="Y154" i="2" s="1"/>
  <c r="W100" i="1"/>
  <c r="Y139" i="2" s="1"/>
  <c r="W107" i="1"/>
  <c r="Y28" i="2" s="1"/>
  <c r="W99" i="1"/>
  <c r="Y70" i="2" s="1"/>
  <c r="W93" i="1"/>
  <c r="Y31" i="2" s="1"/>
  <c r="W105" i="1"/>
  <c r="W102" i="1"/>
  <c r="E157" i="1"/>
  <c r="Q52" i="1"/>
  <c r="Q51" i="1" s="1"/>
  <c r="Q109" i="1" s="1"/>
  <c r="S33" i="2" s="1"/>
  <c r="E28" i="6"/>
  <c r="E74" i="6" s="1"/>
  <c r="E61" i="6"/>
  <c r="AB115" i="2"/>
  <c r="S108" i="2"/>
  <c r="Q104" i="2"/>
  <c r="Q103" i="2"/>
  <c r="O99" i="1"/>
  <c r="Q70" i="2" s="1"/>
  <c r="O96" i="1"/>
  <c r="Q138" i="2" s="1"/>
  <c r="O107" i="1"/>
  <c r="Q28" i="2" s="1"/>
  <c r="O108" i="1"/>
  <c r="Q29" i="2" s="1"/>
  <c r="O101" i="1"/>
  <c r="O103" i="1"/>
  <c r="Q27" i="2" s="1"/>
  <c r="O100" i="1"/>
  <c r="Q139" i="2" s="1"/>
  <c r="O111" i="1"/>
  <c r="Q141" i="2" s="1"/>
  <c r="O110" i="1"/>
  <c r="Q34" i="2" s="1"/>
  <c r="O104" i="1"/>
  <c r="O93" i="1"/>
  <c r="Q31" i="2" s="1"/>
  <c r="O92" i="1"/>
  <c r="Q18" i="2" s="1"/>
  <c r="O97" i="1"/>
  <c r="Q32" i="2" s="1"/>
  <c r="O102" i="1"/>
  <c r="O112" i="1"/>
  <c r="O94" i="1"/>
  <c r="O91" i="1"/>
  <c r="Q13" i="2" s="1"/>
  <c r="O105" i="1"/>
  <c r="O95" i="1"/>
  <c r="O109" i="1"/>
  <c r="Q33" i="2" s="1"/>
  <c r="G63" i="1" l="1"/>
  <c r="C80" i="1"/>
  <c r="C72" i="1"/>
  <c r="C85" i="1"/>
  <c r="C112" i="1" s="1"/>
  <c r="C69" i="1"/>
  <c r="C94" i="1" s="1"/>
  <c r="C77" i="1"/>
  <c r="C103" i="1" s="1"/>
  <c r="E27" i="2" s="1"/>
  <c r="E154" i="2" s="1"/>
  <c r="C66" i="1"/>
  <c r="C70" i="1"/>
  <c r="C74" i="1"/>
  <c r="C78" i="1"/>
  <c r="C83" i="1"/>
  <c r="C110" i="1" s="1"/>
  <c r="E34" i="2" s="1"/>
  <c r="C67" i="1"/>
  <c r="C92" i="1" s="1"/>
  <c r="E18" i="2" s="1"/>
  <c r="C71" i="1"/>
  <c r="C96" i="1" s="1"/>
  <c r="E138" i="2" s="1"/>
  <c r="C75" i="1"/>
  <c r="C101" i="1" s="1"/>
  <c r="C79" i="1"/>
  <c r="C105" i="1" s="1"/>
  <c r="C84" i="1"/>
  <c r="C68" i="1"/>
  <c r="C76" i="1"/>
  <c r="C81" i="1"/>
  <c r="C108" i="1" s="1"/>
  <c r="E29" i="2" s="1"/>
  <c r="C65" i="1"/>
  <c r="C73" i="1"/>
  <c r="C82" i="1"/>
  <c r="E108" i="2"/>
  <c r="M10" i="2"/>
  <c r="O17" i="2"/>
  <c r="O158" i="2" s="1"/>
  <c r="M35" i="2"/>
  <c r="M83" i="2"/>
  <c r="M76" i="2" s="1"/>
  <c r="M148" i="2"/>
  <c r="G14" i="2"/>
  <c r="Y112" i="1"/>
  <c r="Y107" i="1"/>
  <c r="AA28" i="2" s="1"/>
  <c r="Y94" i="1"/>
  <c r="Y96" i="1"/>
  <c r="AA138" i="2" s="1"/>
  <c r="AA124" i="2" s="1"/>
  <c r="AA147" i="2" s="1"/>
  <c r="Y97" i="1"/>
  <c r="AA32" i="2" s="1"/>
  <c r="Y102" i="1"/>
  <c r="Y90" i="1"/>
  <c r="Y99" i="1"/>
  <c r="AA70" i="2" s="1"/>
  <c r="AA68" i="2" s="1"/>
  <c r="Y95" i="1"/>
  <c r="Y108" i="1"/>
  <c r="AA29" i="2" s="1"/>
  <c r="Y109" i="1"/>
  <c r="AA33" i="2" s="1"/>
  <c r="AB104" i="2"/>
  <c r="M69" i="2"/>
  <c r="O83" i="2"/>
  <c r="O73" i="2" s="1"/>
  <c r="O35" i="2"/>
  <c r="M67" i="2"/>
  <c r="M43" i="2" s="1"/>
  <c r="K113" i="1"/>
  <c r="M25" i="2" s="1"/>
  <c r="M21" i="2" s="1"/>
  <c r="M169" i="2" s="1"/>
  <c r="M102" i="2"/>
  <c r="M93" i="2" s="1"/>
  <c r="M153" i="2" s="1"/>
  <c r="Y103" i="1"/>
  <c r="AA27" i="2" s="1"/>
  <c r="AA154" i="2" s="1"/>
  <c r="Y110" i="1"/>
  <c r="AA34" i="2" s="1"/>
  <c r="Y101" i="1"/>
  <c r="AA83" i="2" s="1"/>
  <c r="AA73" i="2" s="1"/>
  <c r="Y104" i="1"/>
  <c r="Y111" i="1"/>
  <c r="AA141" i="2" s="1"/>
  <c r="Y92" i="1"/>
  <c r="AA18" i="2" s="1"/>
  <c r="AA17" i="2" s="1"/>
  <c r="Y91" i="1"/>
  <c r="AA13" i="2" s="1"/>
  <c r="Y93" i="1"/>
  <c r="AA31" i="2" s="1"/>
  <c r="Y100" i="1"/>
  <c r="AA139" i="2" s="1"/>
  <c r="Y105" i="1"/>
  <c r="M113" i="1"/>
  <c r="O25" i="2" s="1"/>
  <c r="O20" i="2" s="1"/>
  <c r="O168" i="2" s="1"/>
  <c r="O125" i="2"/>
  <c r="O148" i="2" s="1"/>
  <c r="O69" i="2"/>
  <c r="M91" i="2"/>
  <c r="O11" i="2"/>
  <c r="O93" i="2"/>
  <c r="O153" i="2" s="1"/>
  <c r="O91" i="2"/>
  <c r="O92" i="2"/>
  <c r="O152" i="2" s="1"/>
  <c r="M14" i="2"/>
  <c r="M17" i="2"/>
  <c r="G102" i="2"/>
  <c r="G92" i="2" s="1"/>
  <c r="G152" i="2" s="1"/>
  <c r="F42" i="6" s="1"/>
  <c r="C99" i="1"/>
  <c r="E70" i="2" s="1"/>
  <c r="U110" i="1"/>
  <c r="W34" i="2" s="1"/>
  <c r="G10" i="2"/>
  <c r="G158" i="2" s="1"/>
  <c r="G11" i="2"/>
  <c r="G35" i="2"/>
  <c r="F58" i="6" s="1"/>
  <c r="U105" i="1"/>
  <c r="U103" i="1"/>
  <c r="W27" i="2" s="1"/>
  <c r="W154" i="2" s="1"/>
  <c r="E64" i="1"/>
  <c r="G125" i="2"/>
  <c r="G148" i="2" s="1"/>
  <c r="F63" i="6" s="1"/>
  <c r="G83" i="2"/>
  <c r="G73" i="2" s="1"/>
  <c r="E87" i="1"/>
  <c r="E113" i="1"/>
  <c r="G25" i="2" s="1"/>
  <c r="G21" i="2" s="1"/>
  <c r="G169" i="2" s="1"/>
  <c r="F22" i="6" s="1"/>
  <c r="G68" i="2"/>
  <c r="F46" i="6" s="1"/>
  <c r="G69" i="2"/>
  <c r="F47" i="6" s="1"/>
  <c r="U90" i="1"/>
  <c r="U108" i="1"/>
  <c r="W29" i="2" s="1"/>
  <c r="U91" i="1"/>
  <c r="W13" i="2" s="1"/>
  <c r="W10" i="2" s="1"/>
  <c r="U107" i="1"/>
  <c r="W28" i="2" s="1"/>
  <c r="U109" i="1"/>
  <c r="W33" i="2" s="1"/>
  <c r="U95" i="1"/>
  <c r="U93" i="1"/>
  <c r="W31" i="2" s="1"/>
  <c r="U112" i="1"/>
  <c r="U102" i="1"/>
  <c r="U111" i="1"/>
  <c r="W141" i="2" s="1"/>
  <c r="U104" i="1"/>
  <c r="U99" i="1"/>
  <c r="W70" i="2" s="1"/>
  <c r="W69" i="2" s="1"/>
  <c r="U92" i="1"/>
  <c r="W18" i="2" s="1"/>
  <c r="W14" i="2" s="1"/>
  <c r="U101" i="1"/>
  <c r="U100" i="1"/>
  <c r="W139" i="2" s="1"/>
  <c r="U94" i="1"/>
  <c r="U96" i="1"/>
  <c r="W138" i="2" s="1"/>
  <c r="W125" i="2" s="1"/>
  <c r="W108" i="2"/>
  <c r="Y35" i="2"/>
  <c r="U69" i="2"/>
  <c r="U14" i="2"/>
  <c r="Q95" i="1"/>
  <c r="Q99" i="1"/>
  <c r="S70" i="2" s="1"/>
  <c r="S69" i="2" s="1"/>
  <c r="U35" i="2"/>
  <c r="U10" i="2"/>
  <c r="U158" i="2" s="1"/>
  <c r="Q91" i="1"/>
  <c r="S13" i="2" s="1"/>
  <c r="S11" i="2" s="1"/>
  <c r="U83" i="2"/>
  <c r="Q100" i="1"/>
  <c r="S139" i="2" s="1"/>
  <c r="Q94" i="1"/>
  <c r="U125" i="2"/>
  <c r="U148" i="2" s="1"/>
  <c r="Q101" i="1"/>
  <c r="Q96" i="1"/>
  <c r="S138" i="2" s="1"/>
  <c r="S124" i="2" s="1"/>
  <c r="S147" i="2" s="1"/>
  <c r="Q92" i="1"/>
  <c r="S18" i="2" s="1"/>
  <c r="S14" i="2" s="1"/>
  <c r="Q110" i="1"/>
  <c r="S34" i="2" s="1"/>
  <c r="S113" i="1"/>
  <c r="U25" i="2" s="1"/>
  <c r="U21" i="2" s="1"/>
  <c r="U169" i="2" s="1"/>
  <c r="Q105" i="1"/>
  <c r="Q104" i="1"/>
  <c r="Q90" i="1"/>
  <c r="Q103" i="1"/>
  <c r="S27" i="2" s="1"/>
  <c r="S154" i="2" s="1"/>
  <c r="Q102" i="1"/>
  <c r="Q107" i="1"/>
  <c r="S28" i="2" s="1"/>
  <c r="Q97" i="1"/>
  <c r="S32" i="2" s="1"/>
  <c r="Q108" i="1"/>
  <c r="S29" i="2" s="1"/>
  <c r="Q93" i="1"/>
  <c r="S31" i="2" s="1"/>
  <c r="Q112" i="1"/>
  <c r="Q111" i="1"/>
  <c r="S141" i="2" s="1"/>
  <c r="Y14" i="2"/>
  <c r="Y17" i="2"/>
  <c r="W90" i="1"/>
  <c r="W113" i="1"/>
  <c r="Y25" i="2" s="1"/>
  <c r="Y11" i="2"/>
  <c r="Y10" i="2"/>
  <c r="I102" i="1"/>
  <c r="I94" i="1"/>
  <c r="I100" i="1"/>
  <c r="K139" i="2" s="1"/>
  <c r="I109" i="1"/>
  <c r="K33" i="2" s="1"/>
  <c r="I93" i="1"/>
  <c r="K31" i="2" s="1"/>
  <c r="I97" i="1"/>
  <c r="K32" i="2" s="1"/>
  <c r="I111" i="1"/>
  <c r="K141" i="2" s="1"/>
  <c r="I99" i="1"/>
  <c r="K70" i="2" s="1"/>
  <c r="I112" i="1"/>
  <c r="I91" i="1"/>
  <c r="K13" i="2" s="1"/>
  <c r="I108" i="1"/>
  <c r="K29" i="2" s="1"/>
  <c r="I95" i="1"/>
  <c r="I110" i="1"/>
  <c r="K34" i="2" s="1"/>
  <c r="I104" i="1"/>
  <c r="I101" i="1"/>
  <c r="I103" i="1"/>
  <c r="K27" i="2" s="1"/>
  <c r="K154" i="2" s="1"/>
  <c r="I105" i="1"/>
  <c r="I96" i="1"/>
  <c r="K138" i="2" s="1"/>
  <c r="I92" i="1"/>
  <c r="K18" i="2" s="1"/>
  <c r="I107" i="1"/>
  <c r="K28" i="2" s="1"/>
  <c r="O67" i="2"/>
  <c r="G67" i="2"/>
  <c r="Y83" i="2"/>
  <c r="Y125" i="2"/>
  <c r="Y148" i="2" s="1"/>
  <c r="Y124" i="2"/>
  <c r="Y147" i="2" s="1"/>
  <c r="K106" i="2"/>
  <c r="AB106" i="2" s="1"/>
  <c r="K105" i="2"/>
  <c r="F157" i="1"/>
  <c r="E159" i="1"/>
  <c r="F159" i="1" s="1"/>
  <c r="Y68" i="2"/>
  <c r="Y69" i="2"/>
  <c r="Y102" i="2"/>
  <c r="U91" i="2"/>
  <c r="U92" i="2"/>
  <c r="U152" i="2" s="1"/>
  <c r="U93" i="2"/>
  <c r="U153" i="2" s="1"/>
  <c r="U67" i="2"/>
  <c r="AB103" i="2"/>
  <c r="Q108" i="2"/>
  <c r="Q102" i="2"/>
  <c r="Q124" i="2"/>
  <c r="Q125" i="2"/>
  <c r="Q11" i="2"/>
  <c r="Q10" i="2"/>
  <c r="O113" i="1"/>
  <c r="Q25" i="2" s="1"/>
  <c r="O90" i="1"/>
  <c r="Q35" i="2"/>
  <c r="Q154" i="2"/>
  <c r="Q83" i="2"/>
  <c r="Q14" i="2"/>
  <c r="Q17" i="2"/>
  <c r="Q69" i="2"/>
  <c r="Q68" i="2"/>
  <c r="G85" i="1" l="1"/>
  <c r="G112" i="1" s="1"/>
  <c r="G74" i="1"/>
  <c r="G100" i="1" s="1"/>
  <c r="I139" i="2" s="1"/>
  <c r="G66" i="1"/>
  <c r="G91" i="1" s="1"/>
  <c r="I13" i="2" s="1"/>
  <c r="I10" i="2" s="1"/>
  <c r="G70" i="1"/>
  <c r="G95" i="1" s="1"/>
  <c r="G78" i="1"/>
  <c r="G104" i="1" s="1"/>
  <c r="G82" i="1"/>
  <c r="G109" i="1" s="1"/>
  <c r="I33" i="2" s="1"/>
  <c r="G67" i="1"/>
  <c r="G92" i="1" s="1"/>
  <c r="I18" i="2" s="1"/>
  <c r="I14" i="2" s="1"/>
  <c r="G79" i="1"/>
  <c r="G105" i="1" s="1"/>
  <c r="G76" i="1"/>
  <c r="G102" i="1" s="1"/>
  <c r="G69" i="1"/>
  <c r="G94" i="1" s="1"/>
  <c r="G71" i="1"/>
  <c r="G96" i="1" s="1"/>
  <c r="I138" i="2" s="1"/>
  <c r="I125" i="2" s="1"/>
  <c r="G84" i="1"/>
  <c r="G111" i="1" s="1"/>
  <c r="I141" i="2" s="1"/>
  <c r="G75" i="1"/>
  <c r="G101" i="1" s="1"/>
  <c r="G65" i="1"/>
  <c r="G83" i="1"/>
  <c r="G110" i="1" s="1"/>
  <c r="I34" i="2" s="1"/>
  <c r="AB34" i="2" s="1"/>
  <c r="G80" i="1"/>
  <c r="G107" i="1" s="1"/>
  <c r="I28" i="2" s="1"/>
  <c r="G73" i="1"/>
  <c r="G99" i="1" s="1"/>
  <c r="I70" i="2" s="1"/>
  <c r="AB70" i="2" s="1"/>
  <c r="G68" i="1"/>
  <c r="G93" i="1" s="1"/>
  <c r="I31" i="2" s="1"/>
  <c r="G77" i="1"/>
  <c r="G103" i="1" s="1"/>
  <c r="I27" i="2" s="1"/>
  <c r="I154" i="2" s="1"/>
  <c r="AB154" i="2" s="1"/>
  <c r="G72" i="1"/>
  <c r="G97" i="1" s="1"/>
  <c r="I32" i="2" s="1"/>
  <c r="G81" i="1"/>
  <c r="G108" i="1" s="1"/>
  <c r="I29" i="2" s="1"/>
  <c r="AB29" i="2" s="1"/>
  <c r="M158" i="2"/>
  <c r="I11" i="2"/>
  <c r="M73" i="2"/>
  <c r="M74" i="2" s="1"/>
  <c r="O76" i="2"/>
  <c r="O74" i="2" s="1"/>
  <c r="O149" i="2" s="1"/>
  <c r="AA69" i="2"/>
  <c r="M92" i="2"/>
  <c r="M152" i="2" s="1"/>
  <c r="AA102" i="2"/>
  <c r="AA91" i="2" s="1"/>
  <c r="AA125" i="2"/>
  <c r="AA148" i="2" s="1"/>
  <c r="AA67" i="2"/>
  <c r="AA42" i="2" s="1"/>
  <c r="AA35" i="2"/>
  <c r="AA14" i="2"/>
  <c r="M20" i="2"/>
  <c r="M22" i="2" s="1"/>
  <c r="K132" i="1"/>
  <c r="O21" i="2"/>
  <c r="O169" i="2" s="1"/>
  <c r="M132" i="1"/>
  <c r="M134" i="1" s="1"/>
  <c r="M41" i="2"/>
  <c r="M42" i="2"/>
  <c r="E132" i="1"/>
  <c r="G2" i="2" s="1"/>
  <c r="F3" i="6" s="1"/>
  <c r="Y113" i="1"/>
  <c r="AA25" i="2" s="1"/>
  <c r="AA21" i="2" s="1"/>
  <c r="AA169" i="2" s="1"/>
  <c r="O94" i="2"/>
  <c r="O155" i="2" s="1"/>
  <c r="G91" i="2"/>
  <c r="F41" i="6" s="1"/>
  <c r="G93" i="2"/>
  <c r="G153" i="2" s="1"/>
  <c r="F43" i="6" s="1"/>
  <c r="G76" i="2"/>
  <c r="G74" i="2" s="1"/>
  <c r="G149" i="2" s="1"/>
  <c r="F28" i="6" s="1"/>
  <c r="C90" i="1"/>
  <c r="E125" i="2"/>
  <c r="E124" i="2"/>
  <c r="E147" i="2" s="1"/>
  <c r="D62" i="6" s="1"/>
  <c r="E14" i="2"/>
  <c r="E17" i="2"/>
  <c r="E68" i="2"/>
  <c r="D46" i="6" s="1"/>
  <c r="E69" i="2"/>
  <c r="D47" i="6" s="1"/>
  <c r="AA47" i="6" s="1"/>
  <c r="W17" i="2"/>
  <c r="W158" i="2" s="1"/>
  <c r="S10" i="2"/>
  <c r="W68" i="2"/>
  <c r="F34" i="6"/>
  <c r="F33" i="6"/>
  <c r="Q73" i="2"/>
  <c r="W102" i="2"/>
  <c r="W91" i="2" s="1"/>
  <c r="K35" i="2"/>
  <c r="K102" i="2"/>
  <c r="K93" i="2" s="1"/>
  <c r="K153" i="2" s="1"/>
  <c r="G20" i="2"/>
  <c r="G168" i="2" s="1"/>
  <c r="F21" i="6" s="1"/>
  <c r="F27" i="6"/>
  <c r="AA76" i="2"/>
  <c r="AA74" i="2" s="1"/>
  <c r="W83" i="2"/>
  <c r="W73" i="2" s="1"/>
  <c r="W67" i="2"/>
  <c r="W42" i="2" s="1"/>
  <c r="W11" i="2"/>
  <c r="W35" i="2"/>
  <c r="U113" i="1"/>
  <c r="W25" i="2" s="1"/>
  <c r="W21" i="2" s="1"/>
  <c r="W169" i="2" s="1"/>
  <c r="W148" i="2"/>
  <c r="W124" i="2"/>
  <c r="W147" i="2" s="1"/>
  <c r="Y76" i="2"/>
  <c r="Y73" i="2"/>
  <c r="U76" i="2"/>
  <c r="U73" i="2"/>
  <c r="S68" i="2"/>
  <c r="S102" i="2"/>
  <c r="S93" i="2" s="1"/>
  <c r="S153" i="2" s="1"/>
  <c r="S17" i="2"/>
  <c r="S83" i="2"/>
  <c r="U20" i="2"/>
  <c r="U168" i="2" s="1"/>
  <c r="S125" i="2"/>
  <c r="S148" i="2" s="1"/>
  <c r="S132" i="1"/>
  <c r="U2" i="2" s="1"/>
  <c r="S67" i="2"/>
  <c r="S41" i="2" s="1"/>
  <c r="S35" i="2"/>
  <c r="Q113" i="1"/>
  <c r="S25" i="2" s="1"/>
  <c r="S21" i="2" s="1"/>
  <c r="S169" i="2" s="1"/>
  <c r="Y158" i="2"/>
  <c r="AA10" i="2"/>
  <c r="AA158" i="2" s="1"/>
  <c r="AA11" i="2"/>
  <c r="K14" i="2"/>
  <c r="K149" i="2" s="1"/>
  <c r="K17" i="2"/>
  <c r="K83" i="2"/>
  <c r="K69" i="2"/>
  <c r="K68" i="2"/>
  <c r="G43" i="2"/>
  <c r="F60" i="6" s="1"/>
  <c r="G41" i="2"/>
  <c r="G42" i="2"/>
  <c r="F64" i="6" s="1"/>
  <c r="K125" i="2"/>
  <c r="K124" i="2"/>
  <c r="K147" i="2" s="1"/>
  <c r="K10" i="2"/>
  <c r="K11" i="2"/>
  <c r="Y20" i="2"/>
  <c r="Y168" i="2" s="1"/>
  <c r="Y21" i="2"/>
  <c r="Y169" i="2" s="1"/>
  <c r="Y91" i="2"/>
  <c r="Y92" i="2"/>
  <c r="Y152" i="2" s="1"/>
  <c r="Y93" i="2"/>
  <c r="Y153" i="2" s="1"/>
  <c r="K108" i="2"/>
  <c r="AB108" i="2" s="1"/>
  <c r="AB105" i="2"/>
  <c r="O42" i="2"/>
  <c r="O43" i="2"/>
  <c r="O41" i="2"/>
  <c r="I113" i="1"/>
  <c r="K25" i="2" s="1"/>
  <c r="I90" i="1"/>
  <c r="Y67" i="2"/>
  <c r="W132" i="1"/>
  <c r="U94" i="2"/>
  <c r="U155" i="2" s="1"/>
  <c r="U43" i="2"/>
  <c r="U41" i="2"/>
  <c r="U42" i="2"/>
  <c r="Q148" i="2"/>
  <c r="Q158" i="2"/>
  <c r="Q67" i="2"/>
  <c r="O132" i="1"/>
  <c r="Q147" i="2"/>
  <c r="Q21" i="2"/>
  <c r="Q20" i="2"/>
  <c r="Q92" i="2"/>
  <c r="Q93" i="2"/>
  <c r="Q91" i="2"/>
  <c r="AB27" i="2" l="1"/>
  <c r="AB18" i="2"/>
  <c r="I124" i="2"/>
  <c r="I147" i="2" s="1"/>
  <c r="AB138" i="2"/>
  <c r="I17" i="2"/>
  <c r="I158" i="2" s="1"/>
  <c r="I35" i="2"/>
  <c r="I148" i="2"/>
  <c r="G113" i="1"/>
  <c r="I25" i="2" s="1"/>
  <c r="I20" i="2" s="1"/>
  <c r="I168" i="2" s="1"/>
  <c r="I102" i="2"/>
  <c r="I92" i="2" s="1"/>
  <c r="I152" i="2" s="1"/>
  <c r="G87" i="1"/>
  <c r="G64" i="1"/>
  <c r="G90" i="1"/>
  <c r="I67" i="2" s="1"/>
  <c r="I41" i="2" s="1"/>
  <c r="I69" i="2"/>
  <c r="AB69" i="2" s="1"/>
  <c r="I68" i="2"/>
  <c r="AB68" i="2" s="1"/>
  <c r="I83" i="2"/>
  <c r="AA43" i="2"/>
  <c r="W93" i="2"/>
  <c r="W153" i="2" s="1"/>
  <c r="O2" i="2"/>
  <c r="O22" i="2"/>
  <c r="O170" i="2"/>
  <c r="W41" i="2"/>
  <c r="M94" i="2"/>
  <c r="M155" i="2" s="1"/>
  <c r="AA93" i="2"/>
  <c r="AA153" i="2" s="1"/>
  <c r="AA92" i="2"/>
  <c r="AA152" i="2" s="1"/>
  <c r="AA41" i="2"/>
  <c r="M66" i="2"/>
  <c r="M168" i="2"/>
  <c r="AA149" i="2"/>
  <c r="S158" i="2"/>
  <c r="M170" i="2"/>
  <c r="M2" i="2"/>
  <c r="K134" i="1"/>
  <c r="G170" i="2"/>
  <c r="F30" i="6" s="1"/>
  <c r="E134" i="1"/>
  <c r="Y132" i="1"/>
  <c r="AA2" i="2" s="1"/>
  <c r="AA20" i="2"/>
  <c r="AA22" i="2" s="1"/>
  <c r="W43" i="2"/>
  <c r="W92" i="2"/>
  <c r="W152" i="2" s="1"/>
  <c r="G94" i="2"/>
  <c r="G155" i="2" s="1"/>
  <c r="F44" i="6" s="1"/>
  <c r="U132" i="1"/>
  <c r="W2" i="2" s="1"/>
  <c r="S92" i="2"/>
  <c r="S152" i="2" s="1"/>
  <c r="K91" i="2"/>
  <c r="AA46" i="6"/>
  <c r="AB125" i="2"/>
  <c r="S73" i="2"/>
  <c r="S76" i="2"/>
  <c r="S170" i="2" s="1"/>
  <c r="W76" i="2"/>
  <c r="W74" i="2" s="1"/>
  <c r="W149" i="2" s="1"/>
  <c r="AB14" i="2"/>
  <c r="S20" i="2"/>
  <c r="S168" i="2" s="1"/>
  <c r="S91" i="2"/>
  <c r="K92" i="2"/>
  <c r="K152" i="2" s="1"/>
  <c r="K158" i="2"/>
  <c r="Q74" i="2"/>
  <c r="Q149" i="2" s="1"/>
  <c r="AA62" i="6"/>
  <c r="AB124" i="2"/>
  <c r="G22" i="2"/>
  <c r="F20" i="6" s="1"/>
  <c r="G66" i="2"/>
  <c r="F61" i="6" s="1"/>
  <c r="W20" i="2"/>
  <c r="W168" i="2" s="1"/>
  <c r="AB147" i="2"/>
  <c r="Y74" i="2"/>
  <c r="Y149" i="2" s="1"/>
  <c r="Y22" i="2"/>
  <c r="Y94" i="2"/>
  <c r="Y155" i="2" s="1"/>
  <c r="U170" i="2"/>
  <c r="U74" i="2"/>
  <c r="U149" i="2" s="1"/>
  <c r="Q132" i="1"/>
  <c r="Q134" i="1" s="1"/>
  <c r="S42" i="2"/>
  <c r="S43" i="2"/>
  <c r="U22" i="2"/>
  <c r="S134" i="1"/>
  <c r="W134" i="1"/>
  <c r="Y2" i="2"/>
  <c r="K148" i="2"/>
  <c r="AB17" i="2"/>
  <c r="Y41" i="2"/>
  <c r="Y170" i="2" s="1"/>
  <c r="Y43" i="2"/>
  <c r="Y42" i="2"/>
  <c r="I132" i="1"/>
  <c r="K67" i="2"/>
  <c r="O66" i="2"/>
  <c r="M149" i="2"/>
  <c r="K21" i="2"/>
  <c r="K169" i="2" s="1"/>
  <c r="K20" i="2"/>
  <c r="U66" i="2"/>
  <c r="Q168" i="2"/>
  <c r="O134" i="1"/>
  <c r="Q2" i="2"/>
  <c r="Q169" i="2"/>
  <c r="Q43" i="2"/>
  <c r="Q42" i="2"/>
  <c r="Q41" i="2"/>
  <c r="Q153" i="2"/>
  <c r="Q22" i="2"/>
  <c r="Q94" i="2"/>
  <c r="Q152" i="2"/>
  <c r="I93" i="2" l="1"/>
  <c r="I153" i="2" s="1"/>
  <c r="I91" i="2"/>
  <c r="I21" i="2"/>
  <c r="I169" i="2" s="1"/>
  <c r="G132" i="1"/>
  <c r="G134" i="1" s="1"/>
  <c r="I76" i="2"/>
  <c r="I170" i="2" s="1"/>
  <c r="I73" i="2"/>
  <c r="I43" i="2"/>
  <c r="I42" i="2"/>
  <c r="AA66" i="2"/>
  <c r="W94" i="2"/>
  <c r="W155" i="2" s="1"/>
  <c r="AA170" i="2"/>
  <c r="AA168" i="2"/>
  <c r="AA94" i="2"/>
  <c r="AA155" i="2" s="1"/>
  <c r="W66" i="2"/>
  <c r="Y134" i="1"/>
  <c r="F74" i="6"/>
  <c r="F76" i="6" s="1"/>
  <c r="W170" i="2"/>
  <c r="U134" i="1"/>
  <c r="S94" i="2"/>
  <c r="S155" i="2" s="1"/>
  <c r="S22" i="2"/>
  <c r="K94" i="2"/>
  <c r="K155" i="2" s="1"/>
  <c r="W22" i="2"/>
  <c r="S74" i="2"/>
  <c r="S149" i="2" s="1"/>
  <c r="S66" i="2"/>
  <c r="S2" i="2"/>
  <c r="I134" i="1"/>
  <c r="K2" i="2"/>
  <c r="Y66" i="2"/>
  <c r="K22" i="2"/>
  <c r="K168" i="2"/>
  <c r="K42" i="2"/>
  <c r="K41" i="2"/>
  <c r="K170" i="2" s="1"/>
  <c r="K43" i="2"/>
  <c r="Q66" i="2"/>
  <c r="Q155" i="2"/>
  <c r="Q170" i="2"/>
  <c r="I66" i="2" l="1"/>
  <c r="I2" i="2"/>
  <c r="I94" i="2"/>
  <c r="I155" i="2" s="1"/>
  <c r="I74" i="2"/>
  <c r="I149" i="2" s="1"/>
  <c r="I22" i="2"/>
  <c r="K66" i="2"/>
  <c r="C109" i="1" l="1"/>
  <c r="E33" i="2" s="1"/>
  <c r="AB33" i="2" s="1"/>
  <c r="C97" i="1"/>
  <c r="E32" i="2" s="1"/>
  <c r="AB32" i="2" s="1"/>
  <c r="C102" i="1"/>
  <c r="E83" i="2" s="1"/>
  <c r="C113" i="1"/>
  <c r="E25" i="2" s="1"/>
  <c r="C93" i="1"/>
  <c r="E31" i="2" s="1"/>
  <c r="C111" i="1"/>
  <c r="E141" i="2" s="1"/>
  <c r="D24" i="6" s="1"/>
  <c r="C100" i="1"/>
  <c r="E139" i="2" s="1"/>
  <c r="C104" i="1"/>
  <c r="E102" i="2" s="1"/>
  <c r="C91" i="1"/>
  <c r="E13" i="2" s="1"/>
  <c r="C64" i="1"/>
  <c r="C107" i="1" s="1"/>
  <c r="E28" i="2" s="1"/>
  <c r="C95" i="1"/>
  <c r="E67" i="2" s="1"/>
  <c r="C87" i="1" l="1"/>
  <c r="E43" i="2"/>
  <c r="AB67" i="2"/>
  <c r="E41" i="2"/>
  <c r="AB41" i="2" s="1"/>
  <c r="E42" i="2"/>
  <c r="AB13" i="2"/>
  <c r="E11" i="2"/>
  <c r="AB11" i="2" s="1"/>
  <c r="E10" i="2"/>
  <c r="E35" i="2"/>
  <c r="AB31" i="2"/>
  <c r="D36" i="6"/>
  <c r="AB28" i="2"/>
  <c r="E92" i="2"/>
  <c r="E91" i="2"/>
  <c r="E93" i="2"/>
  <c r="AB102" i="2"/>
  <c r="AA24" i="6"/>
  <c r="E21" i="2"/>
  <c r="AB25" i="2"/>
  <c r="E20" i="2"/>
  <c r="C132" i="1"/>
  <c r="AB139" i="2"/>
  <c r="E148" i="2"/>
  <c r="AB83" i="2"/>
  <c r="E73" i="2"/>
  <c r="E76" i="2"/>
  <c r="AB141" i="2"/>
  <c r="E22" i="2" l="1"/>
  <c r="D20" i="6" s="1"/>
  <c r="AB42" i="2"/>
  <c r="D64" i="6"/>
  <c r="D27" i="6"/>
  <c r="AB73" i="2"/>
  <c r="E169" i="2"/>
  <c r="AB21" i="2"/>
  <c r="AB10" i="2"/>
  <c r="E158" i="2"/>
  <c r="AB76" i="2"/>
  <c r="E170" i="2"/>
  <c r="E152" i="2"/>
  <c r="AB92" i="2"/>
  <c r="D58" i="6"/>
  <c r="AB35" i="2"/>
  <c r="E66" i="2"/>
  <c r="E2" i="2"/>
  <c r="C134" i="1"/>
  <c r="AB93" i="2"/>
  <c r="E153" i="2"/>
  <c r="AB20" i="2"/>
  <c r="E168" i="2"/>
  <c r="D41" i="6"/>
  <c r="AB91" i="2"/>
  <c r="AA36" i="6"/>
  <c r="E74" i="2"/>
  <c r="AB148" i="2"/>
  <c r="D63" i="6"/>
  <c r="E94" i="2"/>
  <c r="AB43" i="2"/>
  <c r="D60" i="6"/>
  <c r="AB22" i="2" l="1"/>
  <c r="D61" i="6"/>
  <c r="AB66" i="2"/>
  <c r="D42" i="6"/>
  <c r="AB152" i="2"/>
  <c r="AA60" i="6"/>
  <c r="AB153" i="2"/>
  <c r="D43" i="6"/>
  <c r="D22" i="6"/>
  <c r="AB169" i="2"/>
  <c r="AB74" i="2"/>
  <c r="E149" i="2"/>
  <c r="D34" i="6"/>
  <c r="D33" i="6"/>
  <c r="AB158" i="2"/>
  <c r="E155" i="2"/>
  <c r="AB94" i="2"/>
  <c r="D21" i="6"/>
  <c r="AB168" i="2"/>
  <c r="AA58" i="6"/>
  <c r="AA20" i="6"/>
  <c r="AA27" i="6"/>
  <c r="AA63" i="6"/>
  <c r="AB2" i="2"/>
  <c r="D3" i="6"/>
  <c r="AA3" i="6" s="1"/>
  <c r="D30" i="6"/>
  <c r="AB170" i="2"/>
  <c r="AA64" i="6"/>
  <c r="D28" i="6" l="1"/>
  <c r="AB149" i="2"/>
  <c r="AA34" i="6"/>
  <c r="AA22" i="6"/>
  <c r="AA61" i="6"/>
  <c r="AB155" i="2"/>
  <c r="D44" i="6"/>
  <c r="AA30" i="6"/>
  <c r="AA21" i="6"/>
  <c r="AA28" i="6" l="1"/>
  <c r="D74" i="6"/>
  <c r="AA44" i="6"/>
  <c r="AA74" i="6" l="1"/>
  <c r="D76" i="6"/>
</calcChain>
</file>

<file path=xl/comments1.xml><?xml version="1.0" encoding="utf-8"?>
<comments xmlns="http://schemas.openxmlformats.org/spreadsheetml/2006/main">
  <authors>
    <author>José Miguel Pardo</author>
    <author>abrito</author>
    <author>JMPardo</author>
    <author>Alvarez Guzman Victor  (Codelco-Ventanas)</author>
    <author>Pardo Torres Jose Miguel (Codelco-Ventanas)</author>
    <author>Pardo T. Jose M.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C. Termica # 3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COMANDO 1</t>
        </r>
      </text>
    </comment>
    <comment ref="B4" authorId="1">
      <text>
        <r>
          <rPr>
            <b/>
            <sz val="8"/>
            <color indexed="81"/>
            <rFont val="Tahoma"/>
            <family val="2"/>
          </rPr>
          <t>abrito:</t>
        </r>
        <r>
          <rPr>
            <sz val="8"/>
            <color indexed="81"/>
            <rFont val="Tahoma"/>
            <family val="2"/>
          </rPr>
          <t xml:space="preserve">
Valores en verde de PI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COMANDO 2</t>
        </r>
      </text>
    </comment>
    <comment ref="C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E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G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I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K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M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O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Q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S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U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W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Y5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=(B-030)-(B-180)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1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C. TERMICA # 1</t>
        </r>
      </text>
    </comment>
    <comment ref="A8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CENTRAL TERMICA # 2</t>
        </r>
      </text>
    </comment>
    <comment ref="A9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TORRE MARLEY SUR # 1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2</t>
        </r>
      </text>
    </comment>
    <comment ref="A11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FUNDICION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MARLEY SUR # 2</t>
        </r>
      </text>
    </comment>
    <comment ref="A13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RAF # 1</t>
        </r>
      </text>
    </comment>
    <comment ref="C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E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G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I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K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M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O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Q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R13" authorId="3">
      <text>
        <r>
          <rPr>
            <b/>
            <sz val="9"/>
            <color indexed="81"/>
            <rFont val="Tahoma"/>
            <family val="2"/>
          </rPr>
          <t>Alvarez Guzman Victor  (Codelco-Ventanas):</t>
        </r>
        <r>
          <rPr>
            <sz val="9"/>
            <color indexed="81"/>
            <rFont val="Tahoma"/>
            <family val="2"/>
          </rPr>
          <t xml:space="preserve">
93% del consumo del RAF # 2.
</t>
        </r>
      </text>
    </comment>
    <comment ref="S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U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W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Y13" authorId="2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93% del Consumo del RAF # 2</t>
        </r>
      </text>
    </comment>
    <comment ref="A14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RAF # 2</t>
        </r>
      </text>
    </comment>
    <comment ref="A15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PLANTA DE SULFATO</t>
        </r>
      </text>
    </comment>
    <comment ref="A16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NAVE ELECTROLITICA</t>
        </r>
      </text>
    </comment>
    <comment ref="A17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NAVE ELECTROLITICA</t>
        </r>
      </text>
    </comment>
    <comment ref="A18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PLANTA ED ACIDO</t>
        </r>
      </text>
    </comment>
    <comment ref="J18" authorId="4">
      <text>
        <r>
          <rPr>
            <b/>
            <sz val="8"/>
            <color indexed="81"/>
            <rFont val="Tahoma"/>
            <family val="2"/>
          </rPr>
          <t>Lectura directa del PML</t>
        </r>
      </text>
    </comment>
    <comment ref="A19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BOMBAS CIRCULACION NAVE ELECTROLITICA</t>
        </r>
      </text>
    </comment>
    <comment ref="A20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3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4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HORNO ELECTRICO</t>
        </r>
      </text>
    </comment>
    <comment ref="J22" authorId="4">
      <text>
        <r>
          <rPr>
            <b/>
            <sz val="8"/>
            <color indexed="81"/>
            <rFont val="Tahoma"/>
            <family val="2"/>
          </rPr>
          <t>Pegado del 28.04.2015 con 32765952</t>
        </r>
      </text>
    </comment>
    <comment ref="L22" authorId="4">
      <text>
        <r>
          <rPr>
            <sz val="8"/>
            <color indexed="81"/>
            <rFont val="Tahoma"/>
            <family val="2"/>
          </rPr>
          <t>Problema por desconfiguración</t>
        </r>
      </text>
    </comment>
    <comment ref="A23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CENTRAL TERMICA # 4</t>
        </r>
      </text>
    </comment>
    <comment ref="R23" authorId="3">
      <text>
        <r>
          <rPr>
            <b/>
            <sz val="9"/>
            <color indexed="81"/>
            <rFont val="Tahoma"/>
            <family val="2"/>
          </rPr>
          <t>Alvarez Guzman Victor  (Codelco-Ventanas):</t>
        </r>
        <r>
          <rPr>
            <sz val="9"/>
            <color indexed="81"/>
            <rFont val="Tahoma"/>
            <family val="2"/>
          </rPr>
          <t xml:space="preserve">
PML F/S 23/08/2014 por sismo, se realiza proyección para el mes.
</t>
        </r>
      </text>
    </comment>
    <comment ref="A27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WILSON # 2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WILSON # 1</t>
        </r>
      </text>
    </comment>
    <comment ref="A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U11 por U5 anterior</t>
        </r>
      </text>
    </comment>
    <comment ref="C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E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G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I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K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M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O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Q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S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U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W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Y3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Medicion mediante el U11
(Ex Rectificador # 2)</t>
        </r>
      </text>
    </comment>
    <comment ref="A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U16 por U11 anterior</t>
        </r>
      </text>
    </comment>
    <comment ref="C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E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G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I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K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M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O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Q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S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U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W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Y3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Medición mediante el U16
(ex T. Serv. R6)</t>
        </r>
      </text>
    </comment>
    <comment ref="A34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U112</t>
        </r>
      </text>
    </comment>
    <comment ref="A35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U13</t>
        </r>
      </text>
    </comment>
    <comment ref="A36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U2</t>
        </r>
      </text>
    </comment>
    <comment ref="A37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</t>
        </r>
      </text>
    </comment>
    <comment ref="A38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U15</t>
        </r>
      </text>
    </comment>
    <comment ref="A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|Sin PML
Anterior u16</t>
        </r>
      </text>
    </comment>
    <comment ref="C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E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G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I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K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M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O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Q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S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U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W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Y3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Estimativo ya que el PML esta siendo ocupado par nuevo Rectificador # 2</t>
        </r>
      </text>
    </comment>
    <comment ref="A65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C. Termica # 3</t>
        </r>
      </text>
    </comment>
    <comment ref="A66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COMANDO 1</t>
        </r>
      </text>
    </comment>
    <comment ref="A67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COMANDO 2</t>
        </r>
      </text>
    </comment>
    <comment ref="A68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1</t>
        </r>
      </text>
    </comment>
    <comment ref="A69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C. TERMICA # 1</t>
        </r>
      </text>
    </comment>
    <comment ref="A70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CENTRAL TERMICA # 2</t>
        </r>
      </text>
    </comment>
    <comment ref="A71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TORRE MARLEY SUR # 1</t>
        </r>
      </text>
    </comment>
    <comment ref="A72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2</t>
        </r>
      </text>
    </comment>
    <comment ref="A73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FUNDICION</t>
        </r>
      </text>
    </comment>
    <comment ref="A74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MARLEY SUR # 2</t>
        </r>
      </text>
    </comment>
    <comment ref="A75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RAF # 1</t>
        </r>
      </text>
    </comment>
    <comment ref="A76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RAF # 2</t>
        </r>
      </text>
    </comment>
    <comment ref="A77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PLANTA DE SULFATO</t>
        </r>
      </text>
    </comment>
    <comment ref="A78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NAVE ELECTROLITICA</t>
        </r>
      </text>
    </comment>
    <comment ref="A79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NAVE ELECTROLITICA</t>
        </r>
      </text>
    </comment>
    <comment ref="A80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PLANTA ED ACIDO</t>
        </r>
      </text>
    </comment>
    <comment ref="A81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BOMBAS CIRCULACION NAVE ELECTROLITICA</t>
        </r>
      </text>
    </comment>
    <comment ref="A82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3</t>
        </r>
      </text>
    </comment>
    <comment ref="A83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4</t>
        </r>
      </text>
    </comment>
    <comment ref="A84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HORNO ELECTRICO</t>
        </r>
      </text>
    </comment>
    <comment ref="A85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CENTRAL TERMICA # 4</t>
        </r>
      </text>
    </comment>
    <comment ref="A86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CENTRAL TERMICA # 4</t>
        </r>
      </text>
    </comment>
    <comment ref="A90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C. Termica # 3</t>
        </r>
      </text>
    </comment>
    <comment ref="A91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COMANDO 1</t>
        </r>
      </text>
    </comment>
    <comment ref="A92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COMANDO 2</t>
        </r>
      </text>
    </comment>
    <comment ref="A93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1</t>
        </r>
      </text>
    </comment>
    <comment ref="A94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C. TERMICA # 1</t>
        </r>
      </text>
    </comment>
    <comment ref="A95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CENTRAL TERMICA # 2</t>
        </r>
      </text>
    </comment>
    <comment ref="A96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TORRE MARLEY SUR # 1</t>
        </r>
      </text>
    </comment>
    <comment ref="A97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2</t>
        </r>
      </text>
    </comment>
    <comment ref="A99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FUNDICION</t>
        </r>
      </text>
    </comment>
    <comment ref="A100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MARLEY SUR # 2</t>
        </r>
      </text>
    </comment>
    <comment ref="A101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RAF # 1</t>
        </r>
      </text>
    </comment>
    <comment ref="A102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RAF # 2</t>
        </r>
      </text>
    </comment>
    <comment ref="A103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PLANTA DE SULFATO</t>
        </r>
      </text>
    </comment>
    <comment ref="A104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NAVE ELECTROLITICA</t>
        </r>
      </text>
    </comment>
    <comment ref="A105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NAVE ELECTROLITICA</t>
        </r>
      </text>
    </comment>
    <comment ref="A107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PLANTA ED ACIDO</t>
        </r>
      </text>
    </comment>
    <comment ref="A109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3</t>
        </r>
      </text>
    </comment>
    <comment ref="A110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ELECTROSOPLADOR # 4</t>
        </r>
      </text>
    </comment>
    <comment ref="A111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HORNO ELECTRICO</t>
        </r>
      </text>
    </comment>
    <comment ref="A112" authorId="0">
      <text>
        <r>
          <rPr>
            <b/>
            <sz val="8"/>
            <color indexed="81"/>
            <rFont val="Tahoma"/>
            <family val="2"/>
          </rPr>
          <t>José Miguel Pardo:</t>
        </r>
        <r>
          <rPr>
            <sz val="8"/>
            <color indexed="81"/>
            <rFont val="Tahoma"/>
            <family val="2"/>
          </rPr>
          <t xml:space="preserve">
CENTRAL TERMICA # 4</t>
        </r>
      </text>
    </comment>
    <comment ref="A116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U11 por U5 anterior</t>
        </r>
      </text>
    </comment>
    <comment ref="A117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U16 por U11 anterior</t>
        </r>
      </text>
    </comment>
    <comment ref="A118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U112</t>
        </r>
      </text>
    </comment>
    <comment ref="A119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U13</t>
        </r>
      </text>
    </comment>
    <comment ref="A120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U2</t>
        </r>
      </text>
    </comment>
    <comment ref="A121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</t>
        </r>
      </text>
    </comment>
    <comment ref="A122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U15</t>
        </r>
      </text>
    </comment>
    <comment ref="A123" authorId="5">
      <text>
        <r>
          <rPr>
            <b/>
            <sz val="8"/>
            <color indexed="81"/>
            <rFont val="Tahoma"/>
            <family val="2"/>
          </rPr>
          <t>Pardo T. Jose M.:</t>
        </r>
        <r>
          <rPr>
            <sz val="8"/>
            <color indexed="81"/>
            <rFont val="Tahoma"/>
            <family val="2"/>
          </rPr>
          <t xml:space="preserve">
|Sin PML
Anterior u16</t>
        </r>
      </text>
    </comment>
  </commentList>
</comments>
</file>

<file path=xl/comments2.xml><?xml version="1.0" encoding="utf-8"?>
<comments xmlns="http://schemas.openxmlformats.org/spreadsheetml/2006/main">
  <authors>
    <author>JPard003</author>
    <author>JMPardo</author>
  </authors>
  <commentList>
    <comment ref="C41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Se considera Bombas de agua alimentación Calderas RAF</t>
        </r>
      </text>
    </comment>
    <comment ref="C44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Volteo e iluminación
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Volteo e iluminación</t>
        </r>
      </text>
    </comment>
    <comment ref="C68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9 % del Variable</t>
        </r>
      </text>
    </comment>
    <comment ref="C69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6 % del Variable</t>
        </r>
      </text>
    </comment>
    <comment ref="D79" authorId="1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Se considera el consumo de acuerdo a lo presupuestado</t>
        </r>
      </text>
    </comment>
    <comment ref="C91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7 % del Variable</t>
        </r>
      </text>
    </comment>
    <comment ref="C92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5 % del Variable</t>
        </r>
      </text>
    </comment>
    <comment ref="C93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5 % del Variable</t>
        </r>
      </text>
    </comment>
    <comment ref="C94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b/>
            <sz val="12"/>
            <color indexed="81"/>
            <rFont val="Tahoma"/>
            <family val="2"/>
          </rPr>
          <t xml:space="preserve">
43 % del Variable</t>
        </r>
      </text>
    </comment>
    <comment ref="C103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Cambio solicitado por Sr. R. Abel
FR725 Cortocircuito - Antiguo 
FR723 Renovación - Nuevo
Trafo Servicio de Rectificador, alimenta Bombas de Circulación de Electrolíto y Gruas (renovación)</t>
        </r>
      </text>
    </comment>
    <comment ref="C104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Cambio solicitado por Sr. R. Abel
FR725 Cortocircuito - Antiguo 
FR724 Circulación - Nuevo
Trafo Servicio de Rectificador, alimenta Bombas de circulación de Electrolíto y Gruas (renovación)</t>
        </r>
      </text>
    </comment>
    <comment ref="C105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Cambio solicitado por Sr. R. Abel
FR725 Cortocircuito - Antiguo 
FR723 Renovación - Nuevo
Trafo Servicio de Rectificador, alimenta Bombas de Circulación de Electrolíto y Gruas (renovación)</t>
        </r>
      </text>
    </comment>
    <comment ref="C106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Cambio solicitado por Sr. R. Abel
FR725 Cortocircuito - Antiguo 
FR724 Circulación - Nuevo
Trafo Servicio de Rectificador, alimenta Bombas de circulación de Electrolíto y Gruas (renovación)</t>
        </r>
      </text>
    </comment>
    <comment ref="C107" authorId="0">
      <text>
        <r>
          <rPr>
            <b/>
            <sz val="8"/>
            <color indexed="81"/>
            <rFont val="Tahoma"/>
            <family val="2"/>
          </rPr>
          <t>JPard003:</t>
        </r>
        <r>
          <rPr>
            <sz val="8"/>
            <color indexed="81"/>
            <rFont val="Tahoma"/>
            <family val="2"/>
          </rPr>
          <t xml:space="preserve">
Cambio solicitado por Sr. R. Abel
FR725 Cortocircuito - Antiguo 
FR721 Pta. Trat. Electrolíto - Nuevo
Trafo Descobrización Total.</t>
        </r>
      </text>
    </comment>
  </commentList>
</comments>
</file>

<file path=xl/comments3.xml><?xml version="1.0" encoding="utf-8"?>
<comments xmlns="http://schemas.openxmlformats.org/spreadsheetml/2006/main">
  <authors>
    <author>JMPardo</author>
  </authors>
  <commentList>
    <comment ref="D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H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J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L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N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P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T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V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X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Z31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Cuidado verificar</t>
        </r>
      </text>
    </comment>
    <comment ref="C33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A solicitud del Sr. J.C. Quezada en Oct 2013
FF620, separarlo en FF621 y FF623 con el 50% a cada uno de la carga FF620.</t>
        </r>
      </text>
    </comment>
    <comment ref="C34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A solicitud del Sr. J.C. Quezada en Oct 2013
FF620, separarlo en FF621 y FF623 con el 50% a cada uno de la carga FF620.</t>
        </r>
      </text>
    </comment>
    <comment ref="C38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Por indicaciones de Srta. Fabiola Araya en Ene 2014, FR730 (ADM. PRODUCTOS METALURGICOS) cambiarlo por FR735 (PRODUCTOS FINALES)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Por indicaciones de Sr. N. Cornejo Oct 2013
Renovación cargar el 50% de la carga trafos de servicio # 5 y 6.
Por Indiccaciones del Sr. N. Cornejo Ene 2014
La carga de Pta. Trat. Electrolito (FR 721) cargarla al CeCo FR 723 RENOVACIÓN</t>
        </r>
      </text>
    </comment>
    <comment ref="C43" authorId="0">
      <text>
        <r>
          <rPr>
            <b/>
            <sz val="8"/>
            <color indexed="81"/>
            <rFont val="Tahoma"/>
            <family val="2"/>
          </rPr>
          <t>JMPardo:</t>
        </r>
        <r>
          <rPr>
            <sz val="8"/>
            <color indexed="81"/>
            <rFont val="Tahoma"/>
            <family val="2"/>
          </rPr>
          <t xml:space="preserve">
Por indicaciones de Sr. N. Cornejo Oct 2013
Circulación cargar el 50% de la carga trafos de servicio # 5 y 6</t>
        </r>
      </text>
    </comment>
  </commentList>
</comments>
</file>

<file path=xl/sharedStrings.xml><?xml version="1.0" encoding="utf-8"?>
<sst xmlns="http://schemas.openxmlformats.org/spreadsheetml/2006/main" count="761" uniqueCount="406">
  <si>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</si>
  <si>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</si>
  <si>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</si>
  <si>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</si>
  <si>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</si>
  <si>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</si>
  <si>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</si>
  <si>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</si>
  <si>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</si>
  <si>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</si>
  <si>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</si>
  <si>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</si>
  <si>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B-010</t>
  </si>
  <si>
    <t>B-020</t>
  </si>
  <si>
    <t>B-030</t>
  </si>
  <si>
    <t>B-040</t>
  </si>
  <si>
    <t>B-050</t>
  </si>
  <si>
    <t>SECADO</t>
  </si>
  <si>
    <t>H. ELECTRICO</t>
  </si>
  <si>
    <t>B-110</t>
  </si>
  <si>
    <t>B-120</t>
  </si>
  <si>
    <t>B-130</t>
  </si>
  <si>
    <t>B-140</t>
  </si>
  <si>
    <t>B-150</t>
  </si>
  <si>
    <t>B-180</t>
  </si>
  <si>
    <t>V10 - P. ACIDO</t>
  </si>
  <si>
    <t>DEM. MAX.</t>
  </si>
  <si>
    <t>T. SERV.R6</t>
  </si>
  <si>
    <t>DESC.TOTAL</t>
  </si>
  <si>
    <t>PTA. OXIG</t>
  </si>
  <si>
    <t>GEN.PROPIA</t>
  </si>
  <si>
    <t>TOTAL CONSUMO</t>
  </si>
  <si>
    <t xml:space="preserve"> </t>
  </si>
  <si>
    <t>BB-260</t>
  </si>
  <si>
    <t>BB-280</t>
  </si>
  <si>
    <t>BB-290</t>
  </si>
  <si>
    <t>BB-220</t>
  </si>
  <si>
    <t>BB-240</t>
  </si>
  <si>
    <t>Primer Ajuste</t>
  </si>
  <si>
    <t>Valor a Distribuir</t>
  </si>
  <si>
    <t>Definitivo</t>
  </si>
  <si>
    <t>MEDIDOR</t>
  </si>
  <si>
    <t>C.C.</t>
  </si>
  <si>
    <t>DESIGNACION</t>
  </si>
  <si>
    <t>TOTAL ANUAL</t>
  </si>
  <si>
    <t>ENERGIA ELECTRICA PARA SUMINISTRAR</t>
  </si>
  <si>
    <t>GENERADA POR DIESEL DE EMERGENCIA</t>
  </si>
  <si>
    <t>DEMANDA MAXIMA REGISTRADA</t>
  </si>
  <si>
    <t>CONSUMO DE ENERGIA ELECTRICA</t>
  </si>
  <si>
    <t>10.00</t>
  </si>
  <si>
    <t>CHANCADO</t>
  </si>
  <si>
    <t>SUB TOTAL</t>
  </si>
  <si>
    <t>AGUA POTABLE</t>
  </si>
  <si>
    <t>32.12</t>
  </si>
  <si>
    <t>MOLDEO</t>
  </si>
  <si>
    <t>32.13</t>
  </si>
  <si>
    <t>33.00</t>
  </si>
  <si>
    <t>CANCHA DE CONJUNTOS</t>
  </si>
  <si>
    <t>31.00</t>
  </si>
  <si>
    <t>31.12</t>
  </si>
  <si>
    <t>CONVERSION</t>
  </si>
  <si>
    <t>31.13</t>
  </si>
  <si>
    <t>PATIO FUNDICION</t>
  </si>
  <si>
    <t>PRODUCTOS RESIDUALES Y ESCORIAL</t>
  </si>
  <si>
    <t>U14</t>
  </si>
  <si>
    <t>45.03</t>
  </si>
  <si>
    <t>B-210</t>
  </si>
  <si>
    <t>BB-250/V10</t>
  </si>
  <si>
    <t>34.00</t>
  </si>
  <si>
    <t>PLANTA ACIDO SULFURICO</t>
  </si>
  <si>
    <t>35.25</t>
  </si>
  <si>
    <t>45.01</t>
  </si>
  <si>
    <t>45.00</t>
  </si>
  <si>
    <t>AGUA TRATADA</t>
  </si>
  <si>
    <t>45.05</t>
  </si>
  <si>
    <t>AIRE COMPRIMIDO</t>
  </si>
  <si>
    <t>40.00</t>
  </si>
  <si>
    <t>SUPERINT. MANTENCIÓN Y SERVICIOS</t>
  </si>
  <si>
    <t>MANTENCION INSTRUMENTOS</t>
  </si>
  <si>
    <t>MANTENCIÓN EQUIPOS SERVICIOS</t>
  </si>
  <si>
    <t>TALLER MECANICO</t>
  </si>
  <si>
    <t>MANTENCION GENERAL</t>
  </si>
  <si>
    <t>90.00</t>
  </si>
  <si>
    <t>43.00</t>
  </si>
  <si>
    <t>32.00</t>
  </si>
  <si>
    <t>32.11</t>
  </si>
  <si>
    <t>32.14</t>
  </si>
  <si>
    <t>CALDERAS NAVE HORNOS</t>
  </si>
  <si>
    <t>PRODUCTOS INTERMEDIOS</t>
  </si>
  <si>
    <t>B-200</t>
  </si>
  <si>
    <t>35.20</t>
  </si>
  <si>
    <t>PRODUCTOS FINALES</t>
  </si>
  <si>
    <t>41.00</t>
  </si>
  <si>
    <t>PREP. HOJAS MADRES Y CTDOS INICIAL</t>
  </si>
  <si>
    <t>RENOVACION</t>
  </si>
  <si>
    <t>CIRCULACION</t>
  </si>
  <si>
    <t>35.31</t>
  </si>
  <si>
    <t>LIXIVIACION PTA. METALES NOBLES</t>
  </si>
  <si>
    <t>35.32</t>
  </si>
  <si>
    <t>U15</t>
  </si>
  <si>
    <t>U16</t>
  </si>
  <si>
    <t>U3</t>
  </si>
  <si>
    <t>U5</t>
  </si>
  <si>
    <t>U11</t>
  </si>
  <si>
    <t>U12</t>
  </si>
  <si>
    <t>U13</t>
  </si>
  <si>
    <t>U2</t>
  </si>
  <si>
    <t>U1</t>
  </si>
  <si>
    <t>GERENCIA FUND. Y REF. VENTANAS</t>
  </si>
  <si>
    <t>12.00</t>
  </si>
  <si>
    <t>12.02</t>
  </si>
  <si>
    <t>AGUA INDUSTRIAL</t>
  </si>
  <si>
    <t>35.10</t>
  </si>
  <si>
    <t>PRODUCTOS METALURGICOS</t>
  </si>
  <si>
    <t>BB-160</t>
  </si>
  <si>
    <t>HORNO ELÉCTRICO</t>
  </si>
  <si>
    <t>CUADRO RESUMEN DE CENTROS DE COSTOS</t>
  </si>
  <si>
    <t>QUE TIENEN CONSUMO EN DIFERENTES MEDIDORES</t>
  </si>
  <si>
    <t>TOTAL</t>
  </si>
  <si>
    <t>31.25</t>
  </si>
  <si>
    <t>31.27</t>
  </si>
  <si>
    <t>MANT. GRAL.ELECTRICA E INSTRUM.</t>
  </si>
  <si>
    <t>MANTENCION ELÉCTRICA</t>
  </si>
  <si>
    <t>45.06</t>
  </si>
  <si>
    <t>45.07</t>
  </si>
  <si>
    <t>45.08</t>
  </si>
  <si>
    <t>45.09</t>
  </si>
  <si>
    <t>MEDIO AMBIENTE</t>
  </si>
  <si>
    <t xml:space="preserve">MUESTREO Y PREP. DE MUESTRAS </t>
  </si>
  <si>
    <t>Total Consumo de Energía Eléctrica</t>
  </si>
  <si>
    <t>ABASTECIMIENTO MINERO</t>
  </si>
  <si>
    <t>ADMINISTRACION VENTANAS</t>
  </si>
  <si>
    <t>FUNDICIÓN</t>
  </si>
  <si>
    <t>REFINO A FUEGO</t>
  </si>
  <si>
    <t>RECEPCION MEZCLA</t>
  </si>
  <si>
    <t>PLANTA DE ACIDO SULFURICO</t>
  </si>
  <si>
    <t>REFINERIA ELECTROLÍTICA</t>
  </si>
  <si>
    <t>PLANTA METALE NOBLES</t>
  </si>
  <si>
    <t>SUPERINTENDENCIA MANTENCIÓN Y SERVICIOS</t>
  </si>
  <si>
    <t>MANTENCIÓN MECÁNICA</t>
  </si>
  <si>
    <t>MANTENCIÓN ELÉCTRICA</t>
  </si>
  <si>
    <t>TALLERES, OBRAS Y EQUIPOS SERVICIO</t>
  </si>
  <si>
    <t>REFRACTARIOS</t>
  </si>
  <si>
    <t>CENTRAL TÉRMICA Y PLANTA DE OXÍGENO</t>
  </si>
  <si>
    <t>CONTROL Y ASEGURAMIENTO DE CALIDAD</t>
  </si>
  <si>
    <t>VENTAS-GASTOS COMERCIALIZACIÓN</t>
  </si>
  <si>
    <t>RECURSOS HUMANOS</t>
  </si>
  <si>
    <t>B-310</t>
  </si>
  <si>
    <t>Diferencia a distribuir</t>
  </si>
  <si>
    <t>C.C. SAP</t>
  </si>
  <si>
    <t>FS861</t>
  </si>
  <si>
    <t>FA 320</t>
  </si>
  <si>
    <t>SEGURIDAD INDUSTRIAL Y EMERGENCIA</t>
  </si>
  <si>
    <t>GERENCIA DE OPERACIONES</t>
  </si>
  <si>
    <t>CONTABILIDAD METALURGICA</t>
  </si>
  <si>
    <t>CONVERTIDOR TENIENTE</t>
  </si>
  <si>
    <t>SECADOR DE CONCENTRADOS</t>
  </si>
  <si>
    <t>HORNO BASCULANTE</t>
  </si>
  <si>
    <t>MANEJO Y PREPARACION DE MATERIALES</t>
  </si>
  <si>
    <t>ADM. REFINERIA ELECTROLITICA</t>
  </si>
  <si>
    <t>PLANTA TRATAMIENTO DE ELECTROLITO</t>
  </si>
  <si>
    <t>CORTOCIRCUITO</t>
  </si>
  <si>
    <t>RESIDUOS INDUST. SOLIDOS Y LIQUIDOS</t>
  </si>
  <si>
    <t>DEPTO. PLANIF. Y CONTROL DEL MANTENIM.</t>
  </si>
  <si>
    <t>LUBRICACION</t>
  </si>
  <si>
    <t>PLASTICOS Y ANTIACIDO</t>
  </si>
  <si>
    <t>TURBOSOPLADOR</t>
  </si>
  <si>
    <t>PLANTA DE OXIGENO</t>
  </si>
  <si>
    <t>CALDERAS CENTRAL TERMICA</t>
  </si>
  <si>
    <t>LABORATORIO ANALITICO</t>
  </si>
  <si>
    <t>CONTROL FISICO</t>
  </si>
  <si>
    <t>PLANIFICACION VENTAS</t>
  </si>
  <si>
    <t>DPTO. CONTROL DE CALIDAD</t>
  </si>
  <si>
    <t>DPTO. CONTRALORIA VENTANAS</t>
  </si>
  <si>
    <t>UNIDAD CONTABILIDAD VENTANAS</t>
  </si>
  <si>
    <t>UNIDAD SALUD OCUPACIONAL</t>
  </si>
  <si>
    <t>UNIDAD DE ADMINISTRACION OPERATIVA</t>
  </si>
  <si>
    <t>SERVICIO DE BIENESTAR</t>
  </si>
  <si>
    <t>UNIDAD DESARROLLO DE LAS PERSONAS</t>
  </si>
  <si>
    <t>S. I. C.</t>
  </si>
  <si>
    <t>PERDIDAS</t>
  </si>
  <si>
    <t>ENERGIA ELECTRICA CONSUMIDA</t>
  </si>
  <si>
    <t>TURBOSOPLADOR # 1</t>
  </si>
  <si>
    <t>TURBOSOPLADOR # 2</t>
  </si>
  <si>
    <t>TURBOSOPLADOR # 3</t>
  </si>
  <si>
    <t>TURBOSOPLADOR # 4</t>
  </si>
  <si>
    <t>RECEPCIONADA DE ENEL</t>
  </si>
  <si>
    <t>BB-220 (EX) - G3</t>
  </si>
  <si>
    <t>BB-230 (EX) - G3</t>
  </si>
  <si>
    <t>BB-180 (EX) - G4</t>
  </si>
  <si>
    <t>BB-200 (EX) - G4</t>
  </si>
  <si>
    <t>Consumo adicional 220/230</t>
  </si>
  <si>
    <t>Consumo adicional 180/200</t>
  </si>
  <si>
    <t>GENERADOR # 3 (LOCAL)</t>
  </si>
  <si>
    <t>GENERADOR # 4 (LOCAL)</t>
  </si>
  <si>
    <t>EQUIPOS SERVICIOS</t>
  </si>
  <si>
    <t>DEPARTAMENTO DE COMUNICACIONES</t>
  </si>
  <si>
    <t>UNIDAD DE GESTIÓN RIESGOS INTERNA</t>
  </si>
  <si>
    <t>FA260</t>
  </si>
  <si>
    <t>FA001</t>
  </si>
  <si>
    <t>FA130</t>
  </si>
  <si>
    <t>FA360</t>
  </si>
  <si>
    <t>DEPARTAMENTO ABASTECIMIENTO</t>
  </si>
  <si>
    <t>FA261</t>
  </si>
  <si>
    <t>BODEGA VENTANAS</t>
  </si>
  <si>
    <t>FC450</t>
  </si>
  <si>
    <t>FA220</t>
  </si>
  <si>
    <t>DIRECCIÓN DE PROYECTOS</t>
  </si>
  <si>
    <t>GERENCIA DE OPERACIONES FUND - REF</t>
  </si>
  <si>
    <t>FA230</t>
  </si>
  <si>
    <t>MS190</t>
  </si>
  <si>
    <t>FC425</t>
  </si>
  <si>
    <t>CENTRO COMPETENCIAS INFR. VENTANAS</t>
  </si>
  <si>
    <t>FF630</t>
  </si>
  <si>
    <t>FF632</t>
  </si>
  <si>
    <t>FF635</t>
  </si>
  <si>
    <t>FF631</t>
  </si>
  <si>
    <t>FF633</t>
  </si>
  <si>
    <t>FF634</t>
  </si>
  <si>
    <t>FF640</t>
  </si>
  <si>
    <t>FF641</t>
  </si>
  <si>
    <t>FF642</t>
  </si>
  <si>
    <t>FF643</t>
  </si>
  <si>
    <t>FF644</t>
  </si>
  <si>
    <t>FF620</t>
  </si>
  <si>
    <t>FF623</t>
  </si>
  <si>
    <t>FF621</t>
  </si>
  <si>
    <t>FF622</t>
  </si>
  <si>
    <t>FF651</t>
  </si>
  <si>
    <t>FR731</t>
  </si>
  <si>
    <t>FR735</t>
  </si>
  <si>
    <t>FR720</t>
  </si>
  <si>
    <t>FR721</t>
  </si>
  <si>
    <t>FR722</t>
  </si>
  <si>
    <t>FR723</t>
  </si>
  <si>
    <t>FR724</t>
  </si>
  <si>
    <t>FR725</t>
  </si>
  <si>
    <t>FR741</t>
  </si>
  <si>
    <t>FA351</t>
  </si>
  <si>
    <t>FS800</t>
  </si>
  <si>
    <t>FS810</t>
  </si>
  <si>
    <t>FS820</t>
  </si>
  <si>
    <t>FS821</t>
  </si>
  <si>
    <t>FS822</t>
  </si>
  <si>
    <t>FS823</t>
  </si>
  <si>
    <t>FS824</t>
  </si>
  <si>
    <t>FS825</t>
  </si>
  <si>
    <t>FS826</t>
  </si>
  <si>
    <t>FS827</t>
  </si>
  <si>
    <t>FS830</t>
  </si>
  <si>
    <t>FS831</t>
  </si>
  <si>
    <t>FS835</t>
  </si>
  <si>
    <t>FS840</t>
  </si>
  <si>
    <t>FS841</t>
  </si>
  <si>
    <t>FS842</t>
  </si>
  <si>
    <t>FS843</t>
  </si>
  <si>
    <t>FS844</t>
  </si>
  <si>
    <t>FS845</t>
  </si>
  <si>
    <t>FS850</t>
  </si>
  <si>
    <t>FS869</t>
  </si>
  <si>
    <t>FS862</t>
  </si>
  <si>
    <t>FS864</t>
  </si>
  <si>
    <t>FS865</t>
  </si>
  <si>
    <t>FS866</t>
  </si>
  <si>
    <t>FS868</t>
  </si>
  <si>
    <t>FS867</t>
  </si>
  <si>
    <t>FA350</t>
  </si>
  <si>
    <t>FC430</t>
  </si>
  <si>
    <t>FC445</t>
  </si>
  <si>
    <t>FC440</t>
  </si>
  <si>
    <t>FC435</t>
  </si>
  <si>
    <t>FC420</t>
  </si>
  <si>
    <t>FA315</t>
  </si>
  <si>
    <t>FA340</t>
  </si>
  <si>
    <t>FA330</t>
  </si>
  <si>
    <t>FA335</t>
  </si>
  <si>
    <t>MANTEN. MEC. C.TERMICA Y PTA. OXIG.</t>
  </si>
  <si>
    <t>MANTEN. MEC. SECADO Y H. ELECTRICO</t>
  </si>
  <si>
    <t>MANTEN. MEC. CONVERTIDORES</t>
  </si>
  <si>
    <t>MANTEN. MEC. PTA. ACIDO</t>
  </si>
  <si>
    <t>MANTEN. MEC. REFINO A FUEGO</t>
  </si>
  <si>
    <t>MANTEN. MEC. REFINERIA</t>
  </si>
  <si>
    <t>DEPARTAMENTO SERVICIOS A PRODUCCIÓN</t>
  </si>
  <si>
    <t>DEPARTAMENTO SUMINISTROS</t>
  </si>
  <si>
    <t>DEPARTAMENTO SUSTENTABILIDAD</t>
  </si>
  <si>
    <t>FA240</t>
  </si>
  <si>
    <t>FA244</t>
  </si>
  <si>
    <t>FA241</t>
  </si>
  <si>
    <t>UNIDAD TESORERIA</t>
  </si>
  <si>
    <t>DPTO. DESARROLLO ORGANIZACIONAL</t>
  </si>
  <si>
    <t>FO500</t>
  </si>
  <si>
    <t>DEPARTAMENTO FUNDICION</t>
  </si>
  <si>
    <t>CODELCO DIVISION VENTANAS</t>
  </si>
  <si>
    <t>ANEXO 6.3: PTO 004</t>
  </si>
  <si>
    <t>FA200</t>
  </si>
  <si>
    <t>FA300</t>
  </si>
  <si>
    <t>FA150</t>
  </si>
  <si>
    <t>FA900</t>
  </si>
  <si>
    <t>FA910</t>
  </si>
  <si>
    <t>FC400</t>
  </si>
  <si>
    <t>B-130 (E.S # 2)</t>
  </si>
  <si>
    <t>B-010 (C.T. # 3)</t>
  </si>
  <si>
    <t>B-020 (Comando 1)</t>
  </si>
  <si>
    <t>B-030 (Comando 2)</t>
  </si>
  <si>
    <t>B-040 (E.S. # 1)</t>
  </si>
  <si>
    <t>B-050 (C.T. # 1)</t>
  </si>
  <si>
    <t>B-110 (C.T. # 2)</t>
  </si>
  <si>
    <t>B-140 (W # 2)</t>
  </si>
  <si>
    <t>B-160 (TMS # 2)</t>
  </si>
  <si>
    <t>B-120 (TMS # 1)</t>
  </si>
  <si>
    <t>B-180 (RAF # 1)</t>
  </si>
  <si>
    <t>BB-200 (RAF # 2)</t>
  </si>
  <si>
    <t>BB-220 (N E # 1)</t>
  </si>
  <si>
    <t>BB-230 (N E # 2)</t>
  </si>
  <si>
    <t>BB-240 (W # 1)</t>
  </si>
  <si>
    <t>BB-250 (P. Acido)</t>
  </si>
  <si>
    <t>BB-280 (E. S. # 3)</t>
  </si>
  <si>
    <t>BB-290 (E. S. # 4)</t>
  </si>
  <si>
    <t>BB-300 (H. E.)</t>
  </si>
  <si>
    <t>BB-310 (C. T. # 4)</t>
  </si>
  <si>
    <t>RECT # 1 (U11)</t>
  </si>
  <si>
    <t>RECT # 2 (U16)</t>
  </si>
  <si>
    <t>RECT # 3 (U12)</t>
  </si>
  <si>
    <t>RECT # 4 (U13)</t>
  </si>
  <si>
    <t>RECT # 5 (U2)</t>
  </si>
  <si>
    <t>RECT # 6 (U1)</t>
  </si>
  <si>
    <t>T. SERV.R5 (U15)</t>
  </si>
  <si>
    <t>01 Marzo</t>
  </si>
  <si>
    <t>01 Enero</t>
  </si>
  <si>
    <t>01 FEBRERO</t>
  </si>
  <si>
    <t>01 ABRIL</t>
  </si>
  <si>
    <t>01 MAYO</t>
  </si>
  <si>
    <t>01 JUNIO</t>
  </si>
  <si>
    <t>01 JULIO</t>
  </si>
  <si>
    <t>01 AGOSTO</t>
  </si>
  <si>
    <t>01 SEPTIEMBRE</t>
  </si>
  <si>
    <t>01 OCTUBRE</t>
  </si>
  <si>
    <t>01 NOVIEMBRE</t>
  </si>
  <si>
    <t>01 DICIEMBRE</t>
  </si>
  <si>
    <t>01 ENERO</t>
  </si>
  <si>
    <t>B-150 (Plamen)</t>
  </si>
  <si>
    <t>B - 010 050 110 180 200 310</t>
  </si>
  <si>
    <t>Fundicion</t>
  </si>
  <si>
    <t>BB-150</t>
  </si>
  <si>
    <t>BB-220
BB 230</t>
  </si>
  <si>
    <t>FR743-747</t>
  </si>
  <si>
    <t>HORNO DORE - PTBA (Pta. Barro Anodico)</t>
  </si>
  <si>
    <t>PLANTA DE SELENIO  - PTBA (Pta. Barro Anodico)</t>
  </si>
  <si>
    <t>SIC Codelco</t>
  </si>
  <si>
    <t>FACTURACION COLBÚN</t>
  </si>
  <si>
    <t>RECEPCIONADA DE COLBUN (QUANTUM)</t>
  </si>
  <si>
    <t>BB-210 (N E # 3)</t>
  </si>
  <si>
    <t xml:space="preserve">BB-260 </t>
  </si>
  <si>
    <t>NO TOCAR</t>
  </si>
  <si>
    <t>BB-210  (N E # 3)</t>
  </si>
  <si>
    <t>Generación</t>
  </si>
  <si>
    <t>Total</t>
  </si>
  <si>
    <t>SSEE # 2</t>
  </si>
  <si>
    <t>SSEE # 1</t>
  </si>
  <si>
    <t>00:00 Hrs</t>
  </si>
  <si>
    <t>DESC.TOTAL (U3)</t>
  </si>
  <si>
    <t>FR747</t>
  </si>
  <si>
    <t>FF645</t>
  </si>
  <si>
    <r>
      <t xml:space="preserve">PATIO REFINACIÓN </t>
    </r>
    <r>
      <rPr>
        <b/>
        <i/>
        <sz val="11"/>
        <color indexed="10"/>
        <rFont val="Geneva"/>
      </rPr>
      <t>(Presupuesto)</t>
    </r>
  </si>
  <si>
    <r>
      <t>DEPARTAMENTO REFINO A FUEGO</t>
    </r>
    <r>
      <rPr>
        <b/>
        <i/>
        <sz val="11"/>
        <color indexed="10"/>
        <rFont val="Geneva"/>
      </rPr>
      <t xml:space="preserve">  (Presupuesto)</t>
    </r>
  </si>
  <si>
    <r>
      <t xml:space="preserve">PATIO REFINACIÓN </t>
    </r>
    <r>
      <rPr>
        <b/>
        <i/>
        <sz val="11"/>
        <color indexed="10"/>
        <rFont val="Geneva"/>
      </rPr>
      <t xml:space="preserve"> (Presupuesto)</t>
    </r>
  </si>
  <si>
    <r>
      <t xml:space="preserve">PATIO REFINACIÓN  </t>
    </r>
    <r>
      <rPr>
        <b/>
        <i/>
        <sz val="11"/>
        <color indexed="10"/>
        <rFont val="Geneva"/>
      </rPr>
      <t>(Presupuesto)</t>
    </r>
  </si>
  <si>
    <r>
      <t xml:space="preserve">DPTO REFINO FUEGO  </t>
    </r>
    <r>
      <rPr>
        <b/>
        <sz val="11"/>
        <color indexed="10"/>
        <rFont val="Geneva"/>
      </rPr>
      <t>(Presupuesto)</t>
    </r>
  </si>
  <si>
    <r>
      <t>FUNDICIÓN DE COBRE</t>
    </r>
    <r>
      <rPr>
        <b/>
        <sz val="11"/>
        <color indexed="10"/>
        <rFont val="Geneva"/>
      </rPr>
      <t xml:space="preserve">   (Presupuesto)</t>
    </r>
  </si>
  <si>
    <r>
      <t>GERENCIA FUND-REF. VENTANAS</t>
    </r>
    <r>
      <rPr>
        <b/>
        <sz val="8"/>
        <color indexed="10"/>
        <rFont val="Geneva"/>
      </rPr>
      <t xml:space="preserve"> (Presupuesto)</t>
    </r>
  </si>
  <si>
    <r>
      <t>Gerencia de Proyectos y Desarrollo</t>
    </r>
    <r>
      <rPr>
        <b/>
        <sz val="8"/>
        <color indexed="10"/>
        <rFont val="Geneva"/>
      </rPr>
      <t xml:space="preserve"> (Presupuesto)</t>
    </r>
  </si>
  <si>
    <r>
      <t>Gerencia Seg. y Salud Ocupacional</t>
    </r>
    <r>
      <rPr>
        <b/>
        <sz val="8"/>
        <color indexed="10"/>
        <rFont val="Geneva"/>
      </rPr>
      <t xml:space="preserve"> (Presupuesto)</t>
    </r>
  </si>
  <si>
    <r>
      <t>Gerencia de Administración</t>
    </r>
    <r>
      <rPr>
        <b/>
        <sz val="8"/>
        <color indexed="10"/>
        <rFont val="Geneva"/>
      </rPr>
      <t xml:space="preserve"> (Presupuesto)</t>
    </r>
  </si>
  <si>
    <r>
      <t>GERENCIA DE OPER. FUND-REF</t>
    </r>
    <r>
      <rPr>
        <b/>
        <sz val="8"/>
        <color indexed="10"/>
        <rFont val="Geneva"/>
      </rPr>
      <t xml:space="preserve"> (Presupuesto)</t>
    </r>
  </si>
  <si>
    <r>
      <t xml:space="preserve">PRODUCTOS FINALES </t>
    </r>
    <r>
      <rPr>
        <b/>
        <sz val="11"/>
        <color indexed="10"/>
        <rFont val="Geneva"/>
      </rPr>
      <t>(Presupuesto)</t>
    </r>
  </si>
  <si>
    <r>
      <t xml:space="preserve">PRODUCTOS FINALES </t>
    </r>
    <r>
      <rPr>
        <b/>
        <sz val="11"/>
        <color indexed="10"/>
        <rFont val="Geneva"/>
      </rPr>
      <t>(Presupuesto)</t>
    </r>
  </si>
  <si>
    <r>
      <t>SUPERINT. MANT Y SERVICIOS</t>
    </r>
    <r>
      <rPr>
        <b/>
        <sz val="8"/>
        <color indexed="10"/>
        <rFont val="Geneva"/>
      </rPr>
      <t xml:space="preserve"> (Presupuesto)</t>
    </r>
  </si>
  <si>
    <r>
      <t>Gerencia de  Sustentabilidad</t>
    </r>
    <r>
      <rPr>
        <b/>
        <sz val="11"/>
        <color indexed="10"/>
        <rFont val="Geneva"/>
      </rPr>
      <t xml:space="preserve"> (Presupuesto)</t>
    </r>
  </si>
  <si>
    <r>
      <t xml:space="preserve">DPTO. CONTROL DE CALIDAD </t>
    </r>
    <r>
      <rPr>
        <b/>
        <sz val="11"/>
        <color indexed="10"/>
        <rFont val="Geneva"/>
      </rPr>
      <t>(Presupuesto)</t>
    </r>
  </si>
  <si>
    <r>
      <t xml:space="preserve">Gerencia de  Desarrollo Humano </t>
    </r>
    <r>
      <rPr>
        <b/>
        <sz val="11"/>
        <color indexed="10"/>
        <rFont val="Geneva"/>
      </rPr>
      <t>(Presupuesto)</t>
    </r>
  </si>
  <si>
    <r>
      <t xml:space="preserve">Gerencia de  Servicios y Manten. </t>
    </r>
    <r>
      <rPr>
        <b/>
        <sz val="8"/>
        <color indexed="10"/>
        <rFont val="Geneva"/>
      </rPr>
      <t>(Presupuesto)</t>
    </r>
  </si>
  <si>
    <r>
      <t xml:space="preserve">DPTO. SUMINISTROS </t>
    </r>
    <r>
      <rPr>
        <b/>
        <sz val="11"/>
        <color indexed="10"/>
        <rFont val="Geneva"/>
      </rPr>
      <t>(Presupuesto)</t>
    </r>
  </si>
  <si>
    <r>
      <t xml:space="preserve">DPTO. MANT. MECANICO GRAL </t>
    </r>
    <r>
      <rPr>
        <b/>
        <sz val="8"/>
        <color indexed="10"/>
        <rFont val="Geneva"/>
      </rPr>
      <t>(Presupuesto)</t>
    </r>
  </si>
  <si>
    <r>
      <t>MANT. GRAL.ELECT. E INSTRUM.</t>
    </r>
    <r>
      <rPr>
        <b/>
        <sz val="8"/>
        <color indexed="10"/>
        <rFont val="Geneva"/>
      </rPr>
      <t>(Presupuesto)</t>
    </r>
  </si>
  <si>
    <r>
      <t xml:space="preserve">DPTO SERVICIOS A PRODUC. </t>
    </r>
    <r>
      <rPr>
        <b/>
        <sz val="8"/>
        <color indexed="10"/>
        <rFont val="Geneva"/>
      </rPr>
      <t>(Presupuesto)</t>
    </r>
  </si>
  <si>
    <t>B080</t>
  </si>
  <si>
    <t>BB270</t>
  </si>
  <si>
    <t>U7</t>
  </si>
  <si>
    <t>U10</t>
  </si>
  <si>
    <t>U19</t>
  </si>
  <si>
    <t>SSEE # 1 + 2</t>
  </si>
  <si>
    <t>S I C</t>
  </si>
  <si>
    <t>Diferencia</t>
  </si>
  <si>
    <t>Dif SSEE # 1</t>
  </si>
  <si>
    <t>Dif SSEE # 2</t>
  </si>
  <si>
    <t>Dif PML vs SIC</t>
  </si>
  <si>
    <t>Alimentador SE # 3 Fund</t>
  </si>
  <si>
    <t>% Error Medición SIC vs SE 1-2</t>
  </si>
  <si>
    <t>Suma de PMLs</t>
  </si>
  <si>
    <r>
      <t xml:space="preserve">PRODUCTOS FINALES </t>
    </r>
    <r>
      <rPr>
        <b/>
        <sz val="11"/>
        <color indexed="10"/>
        <rFont val="Geneva"/>
      </rPr>
      <t xml:space="preserve"> (Presupuesto)</t>
    </r>
  </si>
  <si>
    <r>
      <t xml:space="preserve">MANTEN. MEC. REFINERIA </t>
    </r>
    <r>
      <rPr>
        <b/>
        <sz val="11"/>
        <color indexed="10"/>
        <rFont val="Geneva"/>
      </rPr>
      <t>(Presupuesto)</t>
    </r>
  </si>
  <si>
    <r>
      <t>MANTEN. MEC. REFINERIA</t>
    </r>
    <r>
      <rPr>
        <b/>
        <sz val="11"/>
        <color indexed="10"/>
        <rFont val="Geneva"/>
      </rPr>
      <t xml:space="preserve"> (Presupuesto)</t>
    </r>
  </si>
  <si>
    <r>
      <t xml:space="preserve">DEPTO. MANTENCIÓN MECANICO GENERAL </t>
    </r>
    <r>
      <rPr>
        <b/>
        <sz val="11"/>
        <color indexed="10"/>
        <rFont val="Geneva"/>
      </rPr>
      <t xml:space="preserve"> (Presupuesto)</t>
    </r>
  </si>
  <si>
    <r>
      <t xml:space="preserve">% Error Medición SIC vs </t>
    </r>
    <r>
      <rPr>
        <b/>
        <sz val="8"/>
        <rFont val="Calibri"/>
        <family val="2"/>
      </rPr>
      <t>∑</t>
    </r>
    <r>
      <rPr>
        <b/>
        <sz val="8"/>
        <rFont val="Arial"/>
        <family val="2"/>
      </rPr>
      <t>PMLs</t>
    </r>
  </si>
  <si>
    <t>NO TOCAR
Promedio
2015</t>
  </si>
  <si>
    <r>
      <t>FUNDICIÓN DE COBRE</t>
    </r>
    <r>
      <rPr>
        <b/>
        <i/>
        <sz val="11"/>
        <color indexed="10"/>
        <rFont val="Geneva"/>
      </rPr>
      <t xml:space="preserve">  (Presupuesto)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</si>
</sst>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"/>
    <numFmt numFmtId="165" formatCode="#,##0.000"/>
    <numFmt numFmtId="166" formatCode="_-* #,##0_-;\-* #,##0_-;_-* &quot;-&quot;??_-;_-@_-"/>
    <numFmt numFmtId="167" formatCode="_-* #,##0_-;\-* #,##0_-;_-* &quot;-&quot;?_-;_-@_-"/>
  </numFmts>
  <fonts count="57">
    <font>
      <sz val="10"/>
      <name val="Arial"/>
    </font>
    <font>
      <sz val="10"/>
      <name val="Arial"/>
      <family val="2"/>
    </font>
    <font>
      <sz val="8"/>
      <color indexed="8"/>
      <name val="Geneva"/>
    </font>
    <font>
      <b/>
      <sz val="14"/>
      <color indexed="8"/>
      <name val="Geneva"/>
    </font>
    <font>
      <b/>
      <sz val="12"/>
      <color indexed="8"/>
      <name val="Geneva"/>
    </font>
    <font>
      <sz val="9"/>
      <color indexed="8"/>
      <name val="Geneva"/>
    </font>
    <font>
      <sz val="10"/>
      <color indexed="8"/>
      <name val="Geneva"/>
    </font>
    <font>
      <b/>
      <sz val="10"/>
      <color indexed="8"/>
      <name val="Geneva"/>
    </font>
    <font>
      <b/>
      <sz val="12"/>
      <color indexed="8"/>
      <name val="Arial"/>
      <family val="2"/>
    </font>
    <font>
      <b/>
      <sz val="13"/>
      <color indexed="8"/>
      <name val="Arial"/>
      <family val="2"/>
    </font>
    <font>
      <sz val="11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3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3"/>
      <color indexed="8"/>
      <name val="Geneva"/>
    </font>
    <font>
      <sz val="11"/>
      <color indexed="8"/>
      <name val="Geneva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color indexed="81"/>
      <name val="Tahoma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color indexed="10"/>
      <name val="Geneva"/>
    </font>
    <font>
      <b/>
      <i/>
      <sz val="11"/>
      <color indexed="10"/>
      <name val="Geneva"/>
    </font>
    <font>
      <b/>
      <sz val="8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Arial"/>
      <family val="2"/>
    </font>
    <font>
      <b/>
      <sz val="8"/>
      <name val="Calibri"/>
      <family val="2"/>
    </font>
    <font>
      <sz val="9"/>
      <color rgb="FFFF0000"/>
      <name val="Geneva"/>
    </font>
    <font>
      <sz val="11"/>
      <color rgb="FFFF0000"/>
      <name val="Geneva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1" applyNumberFormat="0" applyAlignment="0" applyProtection="0"/>
    <xf numFmtId="0" fontId="28" fillId="17" borderId="2" applyNumberFormat="0" applyAlignment="0" applyProtection="0"/>
    <xf numFmtId="0" fontId="29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31" fillId="7" borderId="1" applyNumberFormat="0" applyAlignment="0" applyProtection="0"/>
    <xf numFmtId="0" fontId="32" fillId="3" borderId="0" applyNumberFormat="0" applyBorder="0" applyAlignment="0" applyProtection="0"/>
    <xf numFmtId="43" fontId="1" fillId="0" borderId="0" applyFont="0" applyFill="0" applyBorder="0" applyAlignment="0" applyProtection="0"/>
    <xf numFmtId="0" fontId="33" fillId="22" borderId="0" applyNumberFormat="0" applyBorder="0" applyAlignment="0" applyProtection="0"/>
    <xf numFmtId="0" fontId="1" fillId="23" borderId="4" applyNumberFormat="0" applyFont="0" applyAlignment="0" applyProtection="0"/>
    <xf numFmtId="9" fontId="1" fillId="0" borderId="0" applyFont="0" applyFill="0" applyBorder="0" applyAlignment="0" applyProtection="0"/>
    <xf numFmtId="0" fontId="34" fillId="16" borderId="5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30" fillId="0" borderId="8" applyNumberFormat="0" applyFill="0" applyAlignment="0" applyProtection="0"/>
    <xf numFmtId="0" fontId="40" fillId="0" borderId="9" applyNumberFormat="0" applyFill="0" applyAlignment="0" applyProtection="0"/>
  </cellStyleXfs>
  <cellXfs count="249">
    <xf numFmtId="0" fontId="0" fillId="0" borderId="0" xfId="0"/>
    <xf numFmtId="3" fontId="3" fillId="0" borderId="10" xfId="0" applyNumberFormat="1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3" fontId="6" fillId="0" borderId="10" xfId="0" applyNumberFormat="1" applyFont="1" applyBorder="1" applyProtection="1"/>
    <xf numFmtId="3" fontId="5" fillId="0" borderId="10" xfId="0" applyNumberFormat="1" applyFont="1" applyBorder="1" applyProtection="1"/>
    <xf numFmtId="0" fontId="7" fillId="0" borderId="10" xfId="0" applyFont="1" applyBorder="1" applyProtection="1"/>
    <xf numFmtId="0" fontId="6" fillId="0" borderId="0" xfId="0" applyFont="1" applyProtection="1"/>
    <xf numFmtId="3" fontId="5" fillId="0" borderId="0" xfId="0" applyNumberFormat="1" applyFont="1" applyProtection="1"/>
    <xf numFmtId="15" fontId="2" fillId="0" borderId="11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3" fontId="5" fillId="0" borderId="12" xfId="0" applyNumberFormat="1" applyFont="1" applyBorder="1" applyProtection="1"/>
    <xf numFmtId="0" fontId="8" fillId="0" borderId="10" xfId="0" applyFont="1" applyBorder="1" applyProtection="1"/>
    <xf numFmtId="2" fontId="8" fillId="0" borderId="10" xfId="0" applyNumberFormat="1" applyFont="1" applyBorder="1" applyAlignment="1" applyProtection="1">
      <alignment horizontal="center"/>
    </xf>
    <xf numFmtId="0" fontId="9" fillId="0" borderId="10" xfId="0" applyFont="1" applyBorder="1" applyAlignment="1" applyProtection="1">
      <alignment horizontal="center"/>
    </xf>
    <xf numFmtId="3" fontId="9" fillId="0" borderId="10" xfId="0" applyNumberFormat="1" applyFont="1" applyBorder="1" applyAlignment="1" applyProtection="1">
      <alignment horizontal="center"/>
    </xf>
    <xf numFmtId="3" fontId="8" fillId="0" borderId="10" xfId="0" applyNumberFormat="1" applyFont="1" applyBorder="1" applyAlignment="1" applyProtection="1">
      <alignment horizontal="center"/>
    </xf>
    <xf numFmtId="0" fontId="8" fillId="0" borderId="0" xfId="0" applyFont="1" applyBorder="1" applyProtection="1"/>
    <xf numFmtId="2" fontId="8" fillId="0" borderId="0" xfId="0" applyNumberFormat="1" applyFont="1" applyBorder="1" applyAlignment="1" applyProtection="1">
      <alignment horizontal="center"/>
    </xf>
    <xf numFmtId="0" fontId="10" fillId="0" borderId="10" xfId="0" applyFont="1" applyBorder="1" applyProtection="1"/>
    <xf numFmtId="3" fontId="8" fillId="0" borderId="10" xfId="0" applyNumberFormat="1" applyFont="1" applyBorder="1" applyProtection="1"/>
    <xf numFmtId="3" fontId="11" fillId="0" borderId="10" xfId="0" applyNumberFormat="1" applyFont="1" applyBorder="1" applyProtection="1"/>
    <xf numFmtId="0" fontId="9" fillId="0" borderId="0" xfId="0" applyFont="1" applyBorder="1" applyProtection="1"/>
    <xf numFmtId="0" fontId="11" fillId="0" borderId="0" xfId="0" applyFont="1" applyBorder="1" applyProtection="1"/>
    <xf numFmtId="0" fontId="8" fillId="0" borderId="13" xfId="0" applyFont="1" applyBorder="1" applyProtection="1"/>
    <xf numFmtId="3" fontId="13" fillId="0" borderId="10" xfId="0" applyNumberFormat="1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1" xfId="0" applyFont="1" applyBorder="1" applyProtection="1"/>
    <xf numFmtId="0" fontId="8" fillId="0" borderId="14" xfId="0" applyFont="1" applyBorder="1" applyProtection="1"/>
    <xf numFmtId="0" fontId="8" fillId="0" borderId="12" xfId="0" applyFont="1" applyBorder="1" applyProtection="1"/>
    <xf numFmtId="0" fontId="8" fillId="0" borderId="15" xfId="0" applyFont="1" applyBorder="1" applyAlignment="1" applyProtection="1">
      <alignment horizontal="right"/>
    </xf>
    <xf numFmtId="0" fontId="8" fillId="0" borderId="16" xfId="0" applyFont="1" applyBorder="1" applyProtection="1"/>
    <xf numFmtId="2" fontId="8" fillId="0" borderId="12" xfId="0" applyNumberFormat="1" applyFon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0" fontId="8" fillId="0" borderId="17" xfId="0" applyFont="1" applyBorder="1" applyProtection="1"/>
    <xf numFmtId="0" fontId="8" fillId="0" borderId="18" xfId="0" applyFont="1" applyBorder="1" applyProtection="1"/>
    <xf numFmtId="3" fontId="8" fillId="0" borderId="0" xfId="0" applyNumberFormat="1" applyFont="1" applyBorder="1" applyProtection="1"/>
    <xf numFmtId="0" fontId="8" fillId="0" borderId="10" xfId="0" applyFont="1" applyBorder="1" applyAlignment="1" applyProtection="1">
      <alignment horizontal="center"/>
    </xf>
    <xf numFmtId="0" fontId="14" fillId="0" borderId="1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0" fillId="0" borderId="0" xfId="0" applyFont="1" applyBorder="1" applyProtection="1"/>
    <xf numFmtId="3" fontId="15" fillId="0" borderId="10" xfId="0" applyNumberFormat="1" applyFont="1" applyBorder="1" applyProtection="1"/>
    <xf numFmtId="0" fontId="8" fillId="0" borderId="0" xfId="0" applyFont="1" applyBorder="1" applyAlignment="1" applyProtection="1">
      <alignment horizontal="right"/>
    </xf>
    <xf numFmtId="3" fontId="9" fillId="0" borderId="10" xfId="0" applyNumberFormat="1" applyFont="1" applyBorder="1" applyProtection="1"/>
    <xf numFmtId="0" fontId="8" fillId="0" borderId="19" xfId="0" applyFont="1" applyBorder="1" applyProtection="1"/>
    <xf numFmtId="0" fontId="8" fillId="0" borderId="0" xfId="0" applyFont="1" applyProtection="1"/>
    <xf numFmtId="0" fontId="17" fillId="0" borderId="0" xfId="0" applyFont="1" applyProtection="1"/>
    <xf numFmtId="2" fontId="4" fillId="0" borderId="10" xfId="0" applyNumberFormat="1" applyFont="1" applyBorder="1" applyAlignment="1" applyProtection="1">
      <alignment horizontal="center"/>
    </xf>
    <xf numFmtId="0" fontId="18" fillId="0" borderId="10" xfId="0" applyFont="1" applyBorder="1" applyAlignment="1" applyProtection="1">
      <alignment horizontal="center"/>
    </xf>
    <xf numFmtId="3" fontId="18" fillId="0" borderId="10" xfId="0" applyNumberFormat="1" applyFont="1" applyBorder="1" applyAlignment="1" applyProtection="1">
      <alignment horizontal="center"/>
    </xf>
    <xf numFmtId="3" fontId="4" fillId="0" borderId="10" xfId="0" applyNumberFormat="1" applyFont="1" applyBorder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0" fontId="19" fillId="0" borderId="10" xfId="0" applyFont="1" applyBorder="1" applyProtection="1"/>
    <xf numFmtId="3" fontId="0" fillId="0" borderId="10" xfId="0" applyNumberFormat="1" applyBorder="1"/>
    <xf numFmtId="3" fontId="0" fillId="0" borderId="10" xfId="0" applyNumberFormat="1" applyBorder="1" applyProtection="1">
      <protection locked="0"/>
    </xf>
    <xf numFmtId="0" fontId="18" fillId="0" borderId="0" xfId="0" applyFont="1" applyBorder="1" applyProtection="1"/>
    <xf numFmtId="0" fontId="0" fillId="0" borderId="0" xfId="0" applyProtection="1">
      <protection locked="0"/>
    </xf>
    <xf numFmtId="0" fontId="19" fillId="0" borderId="20" xfId="0" applyFont="1" applyBorder="1" applyProtection="1"/>
    <xf numFmtId="2" fontId="4" fillId="24" borderId="10" xfId="0" applyNumberFormat="1" applyFont="1" applyFill="1" applyBorder="1" applyAlignment="1" applyProtection="1">
      <alignment horizontal="center"/>
    </xf>
    <xf numFmtId="3" fontId="0" fillId="24" borderId="10" xfId="0" applyNumberFormat="1" applyFill="1" applyBorder="1" applyProtection="1">
      <protection locked="0"/>
    </xf>
    <xf numFmtId="165" fontId="0" fillId="0" borderId="10" xfId="0" applyNumberFormat="1" applyBorder="1" applyProtection="1">
      <protection locked="0"/>
    </xf>
    <xf numFmtId="2" fontId="4" fillId="0" borderId="10" xfId="0" applyNumberFormat="1" applyFont="1" applyFill="1" applyBorder="1" applyAlignment="1" applyProtection="1">
      <alignment horizontal="center"/>
    </xf>
    <xf numFmtId="0" fontId="19" fillId="0" borderId="20" xfId="0" applyFont="1" applyFill="1" applyBorder="1" applyProtection="1"/>
    <xf numFmtId="3" fontId="0" fillId="0" borderId="10" xfId="0" applyNumberFormat="1" applyFill="1" applyBorder="1"/>
    <xf numFmtId="3" fontId="0" fillId="0" borderId="10" xfId="0" applyNumberFormat="1" applyFill="1" applyBorder="1" applyProtection="1">
      <protection locked="0"/>
    </xf>
    <xf numFmtId="2" fontId="0" fillId="0" borderId="0" xfId="0" applyNumberFormat="1"/>
    <xf numFmtId="3" fontId="0" fillId="0" borderId="0" xfId="0" applyNumberFormat="1"/>
    <xf numFmtId="0" fontId="20" fillId="0" borderId="0" xfId="0" applyFont="1" applyAlignment="1">
      <alignment horizontal="right" vertical="center"/>
    </xf>
    <xf numFmtId="0" fontId="18" fillId="0" borderId="21" xfId="0" applyFont="1" applyBorder="1" applyProtection="1"/>
    <xf numFmtId="3" fontId="0" fillId="0" borderId="12" xfId="0" applyNumberFormat="1" applyBorder="1"/>
    <xf numFmtId="3" fontId="0" fillId="0" borderId="12" xfId="0" applyNumberFormat="1" applyBorder="1" applyProtection="1">
      <protection locked="0"/>
    </xf>
    <xf numFmtId="2" fontId="4" fillId="0" borderId="12" xfId="0" applyNumberFormat="1" applyFont="1" applyBorder="1" applyAlignment="1" applyProtection="1">
      <alignment horizontal="center"/>
    </xf>
    <xf numFmtId="3" fontId="0" fillId="0" borderId="0" xfId="0" applyNumberFormat="1" applyProtection="1">
      <protection locked="0"/>
    </xf>
    <xf numFmtId="0" fontId="19" fillId="0" borderId="0" xfId="0" applyFont="1" applyBorder="1" applyProtection="1"/>
    <xf numFmtId="3" fontId="0" fillId="0" borderId="0" xfId="0" applyNumberFormat="1" applyBorder="1"/>
    <xf numFmtId="3" fontId="0" fillId="0" borderId="0" xfId="0" applyNumberFormat="1" applyBorder="1" applyProtection="1">
      <protection locked="0"/>
    </xf>
    <xf numFmtId="2" fontId="4" fillId="24" borderId="0" xfId="0" applyNumberFormat="1" applyFont="1" applyFill="1" applyBorder="1" applyAlignment="1" applyProtection="1">
      <alignment horizontal="center"/>
    </xf>
    <xf numFmtId="3" fontId="0" fillId="24" borderId="0" xfId="0" applyNumberFormat="1" applyFill="1" applyBorder="1" applyProtection="1">
      <protection locked="0"/>
    </xf>
    <xf numFmtId="3" fontId="0" fillId="24" borderId="15" xfId="0" applyNumberFormat="1" applyFill="1" applyBorder="1"/>
    <xf numFmtId="0" fontId="19" fillId="24" borderId="21" xfId="0" applyFont="1" applyFill="1" applyBorder="1" applyProtection="1"/>
    <xf numFmtId="3" fontId="0" fillId="0" borderId="15" xfId="0" applyNumberFormat="1" applyBorder="1"/>
    <xf numFmtId="0" fontId="19" fillId="0" borderId="21" xfId="0" applyFont="1" applyFill="1" applyBorder="1" applyProtection="1"/>
    <xf numFmtId="0" fontId="19" fillId="0" borderId="21" xfId="0" applyFont="1" applyBorder="1" applyProtection="1"/>
    <xf numFmtId="3" fontId="5" fillId="0" borderId="0" xfId="0" applyNumberFormat="1" applyFont="1" applyFill="1" applyProtection="1"/>
    <xf numFmtId="3" fontId="0" fillId="0" borderId="15" xfId="0" applyNumberFormat="1" applyBorder="1" applyProtection="1">
      <protection locked="0"/>
    </xf>
    <xf numFmtId="3" fontId="0" fillId="24" borderId="15" xfId="0" applyNumberFormat="1" applyFill="1" applyBorder="1" applyProtection="1">
      <protection locked="0"/>
    </xf>
    <xf numFmtId="3" fontId="5" fillId="0" borderId="0" xfId="0" applyNumberFormat="1" applyFont="1" applyAlignment="1" applyProtection="1">
      <alignment wrapText="1"/>
    </xf>
    <xf numFmtId="3" fontId="6" fillId="25" borderId="10" xfId="0" applyNumberFormat="1" applyFont="1" applyFill="1" applyBorder="1" applyProtection="1"/>
    <xf numFmtId="3" fontId="6" fillId="26" borderId="10" xfId="0" applyNumberFormat="1" applyFont="1" applyFill="1" applyBorder="1" applyProtection="1"/>
    <xf numFmtId="3" fontId="6" fillId="25" borderId="13" xfId="0" applyNumberFormat="1" applyFont="1" applyFill="1" applyBorder="1" applyProtection="1"/>
    <xf numFmtId="3" fontId="6" fillId="26" borderId="21" xfId="0" applyNumberFormat="1" applyFont="1" applyFill="1" applyBorder="1" applyProtection="1"/>
    <xf numFmtId="0" fontId="4" fillId="0" borderId="13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3" fontId="5" fillId="0" borderId="13" xfId="0" applyNumberFormat="1" applyFont="1" applyBorder="1" applyProtection="1"/>
    <xf numFmtId="3" fontId="5" fillId="0" borderId="14" xfId="0" applyNumberFormat="1" applyFont="1" applyBorder="1" applyProtection="1"/>
    <xf numFmtId="3" fontId="5" fillId="26" borderId="21" xfId="0" applyNumberFormat="1" applyFont="1" applyFill="1" applyBorder="1" applyProtection="1"/>
    <xf numFmtId="3" fontId="23" fillId="26" borderId="21" xfId="0" applyNumberFormat="1" applyFont="1" applyFill="1" applyBorder="1" applyProtection="1"/>
    <xf numFmtId="0" fontId="7" fillId="27" borderId="22" xfId="0" applyFont="1" applyFill="1" applyBorder="1" applyProtection="1"/>
    <xf numFmtId="0" fontId="7" fillId="27" borderId="23" xfId="0" applyFont="1" applyFill="1" applyBorder="1" applyProtection="1"/>
    <xf numFmtId="0" fontId="7" fillId="27" borderId="24" xfId="0" applyFont="1" applyFill="1" applyBorder="1" applyProtection="1"/>
    <xf numFmtId="3" fontId="7" fillId="28" borderId="10" xfId="0" applyNumberFormat="1" applyFont="1" applyFill="1" applyBorder="1" applyProtection="1"/>
    <xf numFmtId="3" fontId="13" fillId="26" borderId="10" xfId="0" applyNumberFormat="1" applyFont="1" applyFill="1" applyBorder="1" applyProtection="1"/>
    <xf numFmtId="0" fontId="19" fillId="0" borderId="18" xfId="0" applyFont="1" applyFill="1" applyBorder="1" applyProtection="1"/>
    <xf numFmtId="0" fontId="19" fillId="0" borderId="25" xfId="0" applyFont="1" applyFill="1" applyBorder="1" applyProtection="1"/>
    <xf numFmtId="2" fontId="4" fillId="0" borderId="12" xfId="0" applyNumberFormat="1" applyFont="1" applyFill="1" applyBorder="1" applyAlignment="1" applyProtection="1">
      <alignment horizontal="center"/>
    </xf>
    <xf numFmtId="0" fontId="18" fillId="0" borderId="21" xfId="0" applyFont="1" applyFill="1" applyBorder="1" applyProtection="1"/>
    <xf numFmtId="0" fontId="19" fillId="0" borderId="10" xfId="0" applyFont="1" applyFill="1" applyBorder="1" applyProtection="1"/>
    <xf numFmtId="3" fontId="13" fillId="0" borderId="10" xfId="0" applyNumberFormat="1" applyFont="1" applyFill="1" applyBorder="1" applyProtection="1"/>
    <xf numFmtId="3" fontId="8" fillId="0" borderId="10" xfId="0" applyNumberFormat="1" applyFont="1" applyFill="1" applyBorder="1" applyProtection="1"/>
    <xf numFmtId="3" fontId="15" fillId="0" borderId="10" xfId="0" applyNumberFormat="1" applyFont="1" applyFill="1" applyBorder="1" applyProtection="1"/>
    <xf numFmtId="2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right"/>
    </xf>
    <xf numFmtId="3" fontId="9" fillId="0" borderId="10" xfId="0" applyNumberFormat="1" applyFont="1" applyFill="1" applyBorder="1" applyProtection="1"/>
    <xf numFmtId="2" fontId="4" fillId="29" borderId="10" xfId="0" applyNumberFormat="1" applyFont="1" applyFill="1" applyBorder="1" applyAlignment="1" applyProtection="1">
      <alignment horizontal="center"/>
    </xf>
    <xf numFmtId="0" fontId="19" fillId="29" borderId="20" xfId="0" applyFont="1" applyFill="1" applyBorder="1" applyProtection="1"/>
    <xf numFmtId="2" fontId="4" fillId="30" borderId="10" xfId="0" applyNumberFormat="1" applyFont="1" applyFill="1" applyBorder="1" applyAlignment="1" applyProtection="1">
      <alignment horizontal="center"/>
    </xf>
    <xf numFmtId="0" fontId="19" fillId="30" borderId="20" xfId="0" applyFont="1" applyFill="1" applyBorder="1" applyProtection="1"/>
    <xf numFmtId="2" fontId="44" fillId="0" borderId="0" xfId="0" applyNumberFormat="1" applyFont="1" applyBorder="1"/>
    <xf numFmtId="0" fontId="45" fillId="0" borderId="0" xfId="0" applyFont="1" applyBorder="1" applyAlignment="1">
      <alignment vertical="center"/>
    </xf>
    <xf numFmtId="3" fontId="6" fillId="31" borderId="10" xfId="0" applyNumberFormat="1" applyFont="1" applyFill="1" applyBorder="1" applyProtection="1"/>
    <xf numFmtId="49" fontId="2" fillId="0" borderId="10" xfId="0" applyNumberFormat="1" applyFont="1" applyBorder="1" applyAlignment="1" applyProtection="1">
      <alignment horizontal="center"/>
    </xf>
    <xf numFmtId="49" fontId="0" fillId="0" borderId="0" xfId="0" applyNumberFormat="1" applyProtection="1"/>
    <xf numFmtId="49" fontId="3" fillId="0" borderId="10" xfId="0" applyNumberFormat="1" applyFont="1" applyBorder="1" applyAlignment="1" applyProtection="1">
      <alignment horizontal="center"/>
    </xf>
    <xf numFmtId="0" fontId="14" fillId="0" borderId="17" xfId="0" applyFont="1" applyBorder="1" applyAlignment="1" applyProtection="1">
      <alignment horizontal="center"/>
    </xf>
    <xf numFmtId="0" fontId="14" fillId="0" borderId="10" xfId="0" applyFont="1" applyBorder="1" applyProtection="1"/>
    <xf numFmtId="0" fontId="14" fillId="0" borderId="0" xfId="0" applyFont="1" applyBorder="1" applyProtection="1"/>
    <xf numFmtId="0" fontId="14" fillId="0" borderId="13" xfId="0" applyFont="1" applyBorder="1" applyProtection="1"/>
    <xf numFmtId="0" fontId="14" fillId="0" borderId="11" xfId="0" applyFont="1" applyBorder="1" applyAlignment="1" applyProtection="1">
      <alignment horizontal="center"/>
    </xf>
    <xf numFmtId="0" fontId="14" fillId="0" borderId="11" xfId="0" applyFont="1" applyBorder="1" applyProtection="1"/>
    <xf numFmtId="0" fontId="14" fillId="0" borderId="14" xfId="0" applyFont="1" applyBorder="1" applyProtection="1"/>
    <xf numFmtId="0" fontId="14" fillId="0" borderId="16" xfId="0" applyFont="1" applyBorder="1" applyProtection="1"/>
    <xf numFmtId="0" fontId="14" fillId="0" borderId="17" xfId="0" applyFont="1" applyBorder="1" applyProtection="1"/>
    <xf numFmtId="0" fontId="14" fillId="0" borderId="18" xfId="0" applyFont="1" applyBorder="1" applyProtection="1"/>
    <xf numFmtId="3" fontId="14" fillId="0" borderId="0" xfId="0" applyNumberFormat="1" applyFont="1" applyBorder="1" applyProtection="1"/>
    <xf numFmtId="0" fontId="14" fillId="0" borderId="0" xfId="0" applyFont="1" applyBorder="1" applyAlignment="1" applyProtection="1">
      <alignment horizontal="center"/>
    </xf>
    <xf numFmtId="0" fontId="14" fillId="0" borderId="19" xfId="0" applyFont="1" applyBorder="1" applyProtection="1"/>
    <xf numFmtId="0" fontId="14" fillId="32" borderId="11" xfId="0" applyFont="1" applyFill="1" applyBorder="1" applyAlignment="1" applyProtection="1">
      <alignment horizontal="center"/>
    </xf>
    <xf numFmtId="0" fontId="14" fillId="32" borderId="17" xfId="0" applyFont="1" applyFill="1" applyBorder="1" applyAlignment="1" applyProtection="1">
      <alignment horizontal="center"/>
    </xf>
    <xf numFmtId="0" fontId="14" fillId="32" borderId="10" xfId="0" applyFont="1" applyFill="1" applyBorder="1" applyAlignment="1" applyProtection="1">
      <alignment horizontal="center"/>
    </xf>
    <xf numFmtId="3" fontId="13" fillId="33" borderId="10" xfId="0" applyNumberFormat="1" applyFont="1" applyFill="1" applyBorder="1" applyProtection="1"/>
    <xf numFmtId="3" fontId="5" fillId="34" borderId="0" xfId="0" applyNumberFormat="1" applyFont="1" applyFill="1" applyProtection="1"/>
    <xf numFmtId="3" fontId="5" fillId="33" borderId="0" xfId="0" applyNumberFormat="1" applyFont="1" applyFill="1" applyProtection="1"/>
    <xf numFmtId="2" fontId="4" fillId="0" borderId="15" xfId="0" applyNumberFormat="1" applyFont="1" applyFill="1" applyBorder="1" applyAlignment="1" applyProtection="1">
      <alignment horizontal="center"/>
    </xf>
    <xf numFmtId="0" fontId="8" fillId="0" borderId="25" xfId="0" applyFont="1" applyBorder="1" applyProtection="1"/>
    <xf numFmtId="0" fontId="14" fillId="35" borderId="21" xfId="0" applyFont="1" applyFill="1" applyBorder="1" applyAlignment="1" applyProtection="1">
      <alignment horizontal="center"/>
    </xf>
    <xf numFmtId="3" fontId="13" fillId="35" borderId="10" xfId="0" applyNumberFormat="1" applyFont="1" applyFill="1" applyBorder="1" applyProtection="1"/>
    <xf numFmtId="2" fontId="7" fillId="36" borderId="15" xfId="0" applyNumberFormat="1" applyFont="1" applyFill="1" applyBorder="1" applyAlignment="1" applyProtection="1">
      <alignment horizontal="center"/>
    </xf>
    <xf numFmtId="0" fontId="19" fillId="36" borderId="20" xfId="0" applyFont="1" applyFill="1" applyBorder="1" applyProtection="1"/>
    <xf numFmtId="165" fontId="5" fillId="0" borderId="0" xfId="0" applyNumberFormat="1" applyFont="1" applyProtection="1"/>
    <xf numFmtId="0" fontId="7" fillId="0" borderId="10" xfId="0" applyFont="1" applyBorder="1" applyAlignment="1" applyProtection="1">
      <alignment horizontal="center" wrapText="1"/>
    </xf>
    <xf numFmtId="3" fontId="3" fillId="0" borderId="20" xfId="0" applyNumberFormat="1" applyFont="1" applyBorder="1" applyAlignment="1" applyProtection="1">
      <alignment horizontal="center"/>
    </xf>
    <xf numFmtId="3" fontId="3" fillId="0" borderId="15" xfId="0" applyNumberFormat="1" applyFont="1" applyBorder="1" applyAlignment="1" applyProtection="1">
      <alignment horizontal="center"/>
    </xf>
    <xf numFmtId="3" fontId="5" fillId="38" borderId="10" xfId="0" applyNumberFormat="1" applyFont="1" applyFill="1" applyBorder="1" applyProtection="1"/>
    <xf numFmtId="3" fontId="7" fillId="38" borderId="10" xfId="0" applyNumberFormat="1" applyFont="1" applyFill="1" applyBorder="1" applyProtection="1"/>
    <xf numFmtId="0" fontId="4" fillId="38" borderId="10" xfId="0" applyFont="1" applyFill="1" applyBorder="1" applyAlignment="1" applyProtection="1">
      <alignment horizontal="center"/>
    </xf>
    <xf numFmtId="0" fontId="4" fillId="35" borderId="21" xfId="0" applyFont="1" applyFill="1" applyBorder="1" applyAlignment="1" applyProtection="1">
      <alignment horizontal="center"/>
    </xf>
    <xf numFmtId="0" fontId="4" fillId="39" borderId="10" xfId="0" applyFont="1" applyFill="1" applyBorder="1" applyAlignment="1" applyProtection="1">
      <alignment horizontal="right" vertical="center"/>
    </xf>
    <xf numFmtId="3" fontId="5" fillId="40" borderId="21" xfId="0" applyNumberFormat="1" applyFont="1" applyFill="1" applyBorder="1" applyProtection="1"/>
    <xf numFmtId="3" fontId="23" fillId="41" borderId="21" xfId="0" applyNumberFormat="1" applyFont="1" applyFill="1" applyBorder="1" applyProtection="1"/>
    <xf numFmtId="0" fontId="4" fillId="42" borderId="21" xfId="0" applyFont="1" applyFill="1" applyBorder="1" applyAlignment="1" applyProtection="1">
      <alignment horizontal="center"/>
    </xf>
    <xf numFmtId="0" fontId="4" fillId="39" borderId="10" xfId="0" applyFont="1" applyFill="1" applyBorder="1" applyAlignment="1" applyProtection="1">
      <alignment horizontal="center"/>
    </xf>
    <xf numFmtId="3" fontId="7" fillId="26" borderId="10" xfId="0" applyNumberFormat="1" applyFont="1" applyFill="1" applyBorder="1" applyAlignment="1" applyProtection="1">
      <alignment wrapText="1"/>
    </xf>
    <xf numFmtId="3" fontId="8" fillId="39" borderId="10" xfId="0" applyNumberFormat="1" applyFont="1" applyFill="1" applyBorder="1" applyProtection="1"/>
    <xf numFmtId="3" fontId="15" fillId="39" borderId="10" xfId="0" applyNumberFormat="1" applyFont="1" applyFill="1" applyBorder="1" applyProtection="1"/>
    <xf numFmtId="3" fontId="6" fillId="38" borderId="20" xfId="0" applyNumberFormat="1" applyFont="1" applyFill="1" applyBorder="1" applyProtection="1"/>
    <xf numFmtId="3" fontId="7" fillId="38" borderId="29" xfId="0" applyNumberFormat="1" applyFont="1" applyFill="1" applyBorder="1" applyAlignment="1" applyProtection="1">
      <alignment wrapText="1"/>
    </xf>
    <xf numFmtId="3" fontId="5" fillId="38" borderId="20" xfId="0" applyNumberFormat="1" applyFont="1" applyFill="1" applyBorder="1" applyProtection="1"/>
    <xf numFmtId="0" fontId="0" fillId="0" borderId="0" xfId="0" applyProtection="1"/>
    <xf numFmtId="166" fontId="5" fillId="33" borderId="10" xfId="32" applyNumberFormat="1" applyFont="1" applyFill="1" applyBorder="1" applyProtection="1"/>
    <xf numFmtId="3" fontId="20" fillId="39" borderId="10" xfId="0" applyNumberFormat="1" applyFont="1" applyFill="1" applyBorder="1" applyProtection="1"/>
    <xf numFmtId="0" fontId="5" fillId="0" borderId="10" xfId="0" applyFont="1" applyBorder="1" applyProtection="1"/>
    <xf numFmtId="164" fontId="5" fillId="0" borderId="10" xfId="0" applyNumberFormat="1" applyFont="1" applyBorder="1" applyProtection="1"/>
    <xf numFmtId="3" fontId="5" fillId="40" borderId="10" xfId="0" applyNumberFormat="1" applyFont="1" applyFill="1" applyBorder="1" applyProtection="1"/>
    <xf numFmtId="0" fontId="0" fillId="0" borderId="0" xfId="0" applyAlignment="1" applyProtection="1">
      <alignment wrapText="1"/>
    </xf>
    <xf numFmtId="3" fontId="19" fillId="36" borderId="10" xfId="0" applyNumberFormat="1" applyFont="1" applyFill="1" applyBorder="1" applyProtection="1">
      <protection locked="0"/>
    </xf>
    <xf numFmtId="0" fontId="16" fillId="0" borderId="0" xfId="0" applyFont="1" applyAlignment="1" applyProtection="1">
      <alignment horizontal="center" vertical="center"/>
    </xf>
    <xf numFmtId="3" fontId="5" fillId="32" borderId="10" xfId="0" applyNumberFormat="1" applyFont="1" applyFill="1" applyBorder="1" applyProtection="1">
      <protection locked="0"/>
    </xf>
    <xf numFmtId="3" fontId="19" fillId="32" borderId="10" xfId="0" applyNumberFormat="1" applyFont="1" applyFill="1" applyBorder="1" applyProtection="1">
      <protection locked="0"/>
    </xf>
    <xf numFmtId="3" fontId="19" fillId="43" borderId="10" xfId="0" applyNumberFormat="1" applyFont="1" applyFill="1" applyBorder="1" applyProtection="1">
      <protection locked="0"/>
    </xf>
    <xf numFmtId="2" fontId="4" fillId="37" borderId="10" xfId="0" applyNumberFormat="1" applyFont="1" applyFill="1" applyBorder="1" applyAlignment="1" applyProtection="1">
      <alignment horizontal="center"/>
    </xf>
    <xf numFmtId="0" fontId="19" fillId="37" borderId="20" xfId="0" applyFont="1" applyFill="1" applyBorder="1" applyProtection="1"/>
    <xf numFmtId="0" fontId="19" fillId="41" borderId="20" xfId="0" applyFont="1" applyFill="1" applyBorder="1" applyProtection="1"/>
    <xf numFmtId="3" fontId="0" fillId="0" borderId="12" xfId="0" applyNumberFormat="1" applyFill="1" applyBorder="1"/>
    <xf numFmtId="3" fontId="0" fillId="35" borderId="10" xfId="0" applyNumberFormat="1" applyFill="1" applyBorder="1"/>
    <xf numFmtId="3" fontId="0" fillId="35" borderId="10" xfId="0" applyNumberFormat="1" applyFill="1" applyBorder="1" applyProtection="1">
      <protection locked="0"/>
    </xf>
    <xf numFmtId="3" fontId="13" fillId="38" borderId="10" xfId="0" applyNumberFormat="1" applyFont="1" applyFill="1" applyBorder="1" applyProtection="1"/>
    <xf numFmtId="3" fontId="4" fillId="35" borderId="21" xfId="0" applyNumberFormat="1" applyFont="1" applyFill="1" applyBorder="1" applyProtection="1"/>
    <xf numFmtId="3" fontId="0" fillId="0" borderId="0" xfId="0" applyNumberFormat="1" applyProtection="1"/>
    <xf numFmtId="3" fontId="4" fillId="37" borderId="21" xfId="0" applyNumberFormat="1" applyFont="1" applyFill="1" applyBorder="1" applyProtection="1"/>
    <xf numFmtId="3" fontId="4" fillId="39" borderId="21" xfId="0" applyNumberFormat="1" applyFont="1" applyFill="1" applyBorder="1" applyProtection="1"/>
    <xf numFmtId="10" fontId="0" fillId="0" borderId="0" xfId="35" applyNumberFormat="1" applyFont="1" applyProtection="1"/>
    <xf numFmtId="10" fontId="49" fillId="42" borderId="21" xfId="35" applyNumberFormat="1" applyFont="1" applyFill="1" applyBorder="1" applyProtection="1"/>
    <xf numFmtId="0" fontId="16" fillId="0" borderId="0" xfId="0" applyFont="1" applyProtection="1"/>
    <xf numFmtId="3" fontId="23" fillId="0" borderId="0" xfId="0" applyNumberFormat="1" applyFont="1" applyProtection="1"/>
    <xf numFmtId="0" fontId="50" fillId="0" borderId="0" xfId="0" applyFont="1" applyProtection="1"/>
    <xf numFmtId="3" fontId="23" fillId="42" borderId="10" xfId="0" applyNumberFormat="1" applyFont="1" applyFill="1" applyBorder="1" applyProtection="1"/>
    <xf numFmtId="3" fontId="23" fillId="42" borderId="0" xfId="0" applyNumberFormat="1" applyFont="1" applyFill="1" applyProtection="1"/>
    <xf numFmtId="3" fontId="0" fillId="38" borderId="21" xfId="0" applyNumberFormat="1" applyFill="1" applyBorder="1" applyProtection="1"/>
    <xf numFmtId="0" fontId="20" fillId="38" borderId="21" xfId="0" applyFont="1" applyFill="1" applyBorder="1" applyProtection="1"/>
    <xf numFmtId="3" fontId="5" fillId="0" borderId="0" xfId="0" applyNumberFormat="1" applyFont="1" applyProtection="1">
      <protection locked="0"/>
    </xf>
    <xf numFmtId="3" fontId="19" fillId="44" borderId="10" xfId="0" applyNumberFormat="1" applyFont="1" applyFill="1" applyBorder="1" applyProtection="1">
      <protection locked="0"/>
    </xf>
    <xf numFmtId="0" fontId="4" fillId="42" borderId="14" xfId="0" applyFont="1" applyFill="1" applyBorder="1" applyAlignment="1" applyProtection="1">
      <alignment horizontal="center"/>
    </xf>
    <xf numFmtId="0" fontId="4" fillId="42" borderId="10" xfId="0" applyFont="1" applyFill="1" applyBorder="1" applyAlignment="1" applyProtection="1">
      <alignment horizontal="center"/>
    </xf>
    <xf numFmtId="3" fontId="23" fillId="0" borderId="0" xfId="0" applyNumberFormat="1" applyFont="1" applyFill="1" applyProtection="1"/>
    <xf numFmtId="3" fontId="4" fillId="0" borderId="0" xfId="0" applyNumberFormat="1" applyFont="1" applyFill="1" applyBorder="1" applyProtection="1"/>
    <xf numFmtId="0" fontId="0" fillId="0" borderId="0" xfId="0" applyFill="1" applyProtection="1"/>
    <xf numFmtId="0" fontId="53" fillId="0" borderId="0" xfId="0" applyFont="1" applyProtection="1"/>
    <xf numFmtId="3" fontId="19" fillId="38" borderId="10" xfId="0" applyNumberFormat="1" applyFont="1" applyFill="1" applyBorder="1" applyProtection="1">
      <protection locked="0"/>
    </xf>
    <xf numFmtId="3" fontId="12" fillId="0" borderId="0" xfId="0" applyNumberFormat="1" applyFont="1" applyBorder="1" applyProtection="1"/>
    <xf numFmtId="3" fontId="41" fillId="26" borderId="10" xfId="0" applyNumberFormat="1" applyFont="1" applyFill="1" applyBorder="1" applyProtection="1"/>
    <xf numFmtId="3" fontId="13" fillId="0" borderId="0" xfId="0" applyNumberFormat="1" applyFont="1" applyBorder="1" applyProtection="1"/>
    <xf numFmtId="3" fontId="16" fillId="0" borderId="0" xfId="0" applyNumberFormat="1" applyFont="1" applyProtection="1"/>
    <xf numFmtId="3" fontId="0" fillId="0" borderId="10" xfId="0" applyNumberFormat="1" applyBorder="1" applyProtection="1"/>
    <xf numFmtId="3" fontId="0" fillId="0" borderId="15" xfId="0" applyNumberFormat="1" applyBorder="1" applyProtection="1"/>
    <xf numFmtId="3" fontId="0" fillId="24" borderId="15" xfId="0" applyNumberFormat="1" applyFill="1" applyBorder="1" applyProtection="1"/>
    <xf numFmtId="3" fontId="0" fillId="0" borderId="0" xfId="0" applyNumberFormat="1" applyBorder="1" applyProtection="1"/>
    <xf numFmtId="3" fontId="0" fillId="35" borderId="10" xfId="0" applyNumberFormat="1" applyFill="1" applyBorder="1" applyProtection="1"/>
    <xf numFmtId="3" fontId="0" fillId="0" borderId="12" xfId="0" applyNumberFormat="1" applyBorder="1" applyProtection="1"/>
    <xf numFmtId="3" fontId="0" fillId="43" borderId="10" xfId="0" applyNumberFormat="1" applyFill="1" applyBorder="1" applyProtection="1"/>
    <xf numFmtId="0" fontId="42" fillId="26" borderId="10" xfId="0" applyFont="1" applyFill="1" applyBorder="1" applyAlignment="1" applyProtection="1">
      <alignment horizontal="center"/>
      <protection locked="0"/>
    </xf>
    <xf numFmtId="3" fontId="0" fillId="43" borderId="10" xfId="0" applyNumberFormat="1" applyFill="1" applyBorder="1" applyProtection="1">
      <protection locked="0"/>
    </xf>
    <xf numFmtId="3" fontId="0" fillId="0" borderId="12" xfId="0" applyNumberFormat="1" applyFill="1" applyBorder="1" applyProtection="1">
      <protection locked="0"/>
    </xf>
    <xf numFmtId="20" fontId="0" fillId="0" borderId="0" xfId="0" applyNumberFormat="1" applyProtection="1"/>
    <xf numFmtId="9" fontId="0" fillId="0" borderId="0" xfId="35" applyFont="1" applyProtection="1"/>
    <xf numFmtId="3" fontId="19" fillId="0" borderId="10" xfId="0" applyNumberFormat="1" applyFont="1" applyFill="1" applyBorder="1" applyProtection="1">
      <protection locked="0"/>
    </xf>
    <xf numFmtId="167" fontId="0" fillId="0" borderId="0" xfId="0" applyNumberFormat="1"/>
    <xf numFmtId="166" fontId="0" fillId="0" borderId="0" xfId="32" applyNumberFormat="1" applyFont="1" applyProtection="1"/>
    <xf numFmtId="166" fontId="0" fillId="0" borderId="0" xfId="0" applyNumberFormat="1" applyProtection="1"/>
    <xf numFmtId="3" fontId="5" fillId="36" borderId="10" xfId="0" applyNumberFormat="1" applyFont="1" applyFill="1" applyBorder="1" applyProtection="1">
      <protection locked="0"/>
    </xf>
    <xf numFmtId="9" fontId="5" fillId="38" borderId="29" xfId="35" applyNumberFormat="1" applyFont="1" applyFill="1" applyBorder="1" applyProtection="1"/>
    <xf numFmtId="9" fontId="5" fillId="38" borderId="26" xfId="35" applyNumberFormat="1" applyFont="1" applyFill="1" applyBorder="1" applyProtection="1"/>
    <xf numFmtId="9" fontId="5" fillId="38" borderId="27" xfId="35" applyNumberFormat="1" applyFont="1" applyFill="1" applyBorder="1" applyProtection="1"/>
    <xf numFmtId="9" fontId="5" fillId="38" borderId="28" xfId="35" applyNumberFormat="1" applyFont="1" applyFill="1" applyBorder="1" applyProtection="1"/>
    <xf numFmtId="0" fontId="19" fillId="34" borderId="20" xfId="0" applyFont="1" applyFill="1" applyBorder="1" applyProtection="1"/>
    <xf numFmtId="2" fontId="4" fillId="34" borderId="10" xfId="0" applyNumberFormat="1" applyFont="1" applyFill="1" applyBorder="1" applyAlignment="1" applyProtection="1">
      <alignment horizontal="center"/>
    </xf>
    <xf numFmtId="0" fontId="19" fillId="34" borderId="25" xfId="0" applyFont="1" applyFill="1" applyBorder="1" applyProtection="1"/>
    <xf numFmtId="0" fontId="19" fillId="34" borderId="18" xfId="0" applyFont="1" applyFill="1" applyBorder="1" applyProtection="1"/>
    <xf numFmtId="3" fontId="5" fillId="45" borderId="10" xfId="0" applyNumberFormat="1" applyFont="1" applyFill="1" applyBorder="1" applyProtection="1">
      <protection locked="0"/>
    </xf>
    <xf numFmtId="3" fontId="19" fillId="45" borderId="10" xfId="0" applyNumberFormat="1" applyFont="1" applyFill="1" applyBorder="1" applyProtection="1">
      <protection locked="0"/>
    </xf>
    <xf numFmtId="3" fontId="55" fillId="46" borderId="10" xfId="0" applyNumberFormat="1" applyFont="1" applyFill="1" applyBorder="1" applyProtection="1">
      <protection locked="0"/>
    </xf>
    <xf numFmtId="3" fontId="56" fillId="46" borderId="10" xfId="0" applyNumberFormat="1" applyFont="1" applyFill="1" applyBorder="1" applyProtection="1">
      <protection locked="0"/>
    </xf>
    <xf numFmtId="3" fontId="23" fillId="38" borderId="22" xfId="0" applyNumberFormat="1" applyFont="1" applyFill="1" applyBorder="1" applyAlignment="1" applyProtection="1">
      <alignment horizontal="center" vertical="center" wrapText="1"/>
    </xf>
    <xf numFmtId="3" fontId="23" fillId="38" borderId="27" xfId="0" applyNumberFormat="1" applyFont="1" applyFill="1" applyBorder="1" applyAlignment="1" applyProtection="1">
      <alignment horizontal="center" vertical="center" wrapText="1"/>
    </xf>
    <xf numFmtId="3" fontId="23" fillId="38" borderId="28" xfId="0" applyNumberFormat="1" applyFont="1" applyFill="1" applyBorder="1" applyAlignment="1" applyProtection="1">
      <alignment horizontal="center" vertical="center" wrapText="1"/>
    </xf>
    <xf numFmtId="3" fontId="23" fillId="38" borderId="23" xfId="0" applyNumberFormat="1" applyFont="1" applyFill="1" applyBorder="1" applyAlignment="1" applyProtection="1">
      <alignment horizontal="center" vertical="center" wrapText="1"/>
    </xf>
    <xf numFmtId="3" fontId="23" fillId="38" borderId="24" xfId="0" applyNumberFormat="1" applyFont="1" applyFill="1" applyBorder="1" applyAlignment="1" applyProtection="1">
      <alignment horizontal="center" vertical="center" wrapText="1"/>
    </xf>
    <xf numFmtId="0" fontId="14" fillId="0" borderId="22" xfId="0" applyFont="1" applyBorder="1" applyAlignment="1" applyProtection="1">
      <alignment horizontal="center" vertical="center" wrapText="1"/>
    </xf>
    <xf numFmtId="0" fontId="14" fillId="0" borderId="23" xfId="0" applyFont="1" applyBorder="1" applyAlignment="1" applyProtection="1">
      <alignment horizontal="center" vertical="center" wrapText="1"/>
    </xf>
    <xf numFmtId="0" fontId="14" fillId="0" borderId="24" xfId="0" applyFont="1" applyBorder="1" applyAlignment="1" applyProtection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tas" xfId="34" builtinId="10" customBuiltin="1"/>
    <cellStyle name="Porcentaje" xfId="35" builtinId="5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gome009\AppData\Local\Microsoft\Windows\Temporary%20Internet%20Files\Content.Outlook\1NBALHDC\Extraccion%20data%20con%20el%20P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efe_de_Seccion\Consumos%20Suministros\Consumos%202016\EE%20Enero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dores"/>
      <sheetName val="Hoja1"/>
    </sheetNames>
    <sheetDataSet>
      <sheetData sheetId="0">
        <row r="6">
          <cell r="E6">
            <v>4834688</v>
          </cell>
        </row>
        <row r="7">
          <cell r="E7">
            <v>4313600</v>
          </cell>
        </row>
        <row r="8">
          <cell r="E8">
            <v>3874368</v>
          </cell>
        </row>
        <row r="11">
          <cell r="E11">
            <v>10122240</v>
          </cell>
        </row>
        <row r="12">
          <cell r="E12">
            <v>9398784</v>
          </cell>
        </row>
        <row r="19">
          <cell r="E19">
            <v>10107136</v>
          </cell>
        </row>
        <row r="20">
          <cell r="E20">
            <v>12001536</v>
          </cell>
        </row>
        <row r="21">
          <cell r="E21">
            <v>11526912</v>
          </cell>
        </row>
        <row r="23">
          <cell r="E23">
            <v>14479616</v>
          </cell>
        </row>
        <row r="25">
          <cell r="E25">
            <v>5748992</v>
          </cell>
        </row>
        <row r="26">
          <cell r="E26">
            <v>36848640</v>
          </cell>
        </row>
        <row r="27">
          <cell r="E27">
            <v>6376832</v>
          </cell>
        </row>
        <row r="29">
          <cell r="E29">
            <v>1983456</v>
          </cell>
        </row>
        <row r="30">
          <cell r="E30">
            <v>2902208</v>
          </cell>
        </row>
        <row r="31">
          <cell r="E31">
            <v>2672000</v>
          </cell>
        </row>
        <row r="32">
          <cell r="E32">
            <v>4341888</v>
          </cell>
        </row>
        <row r="33">
          <cell r="E33">
            <v>2878912</v>
          </cell>
        </row>
        <row r="34">
          <cell r="E34">
            <v>2930944</v>
          </cell>
        </row>
        <row r="35">
          <cell r="E35">
            <v>6674447</v>
          </cell>
        </row>
        <row r="37">
          <cell r="E37">
            <v>20994560</v>
          </cell>
        </row>
        <row r="38">
          <cell r="E38">
            <v>39880396</v>
          </cell>
        </row>
        <row r="39">
          <cell r="E39">
            <v>10712171</v>
          </cell>
        </row>
        <row r="40">
          <cell r="E40">
            <v>58714320</v>
          </cell>
        </row>
        <row r="41">
          <cell r="E41">
            <v>42894444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3013">
          <cell r="B3013">
            <v>28281009.87555594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A159"/>
  <sheetViews>
    <sheetView tabSelected="1" zoomScale="115" zoomScaleNormal="115" workbookViewId="0">
      <pane xSplit="1" ySplit="1" topLeftCell="B38" activePane="bottomRight" state="frozenSplit"/>
      <selection pane="topRight"/>
      <selection pane="bottomLeft"/>
      <selection pane="bottomRight" activeCell="B53" sqref="B53"/>
    </sheetView>
  </sheetViews>
  <sheetFormatPr baseColWidth="10" defaultRowHeight="12.75"/>
  <cols>
    <col min="1" max="1" width="27" style="167" customWidth="1"/>
    <col min="2" max="2" width="14.7109375" style="167" customWidth="1"/>
    <col min="3" max="3" width="15.28515625" style="167" customWidth="1"/>
    <col min="4" max="26" width="14.7109375" style="167" customWidth="1"/>
    <col min="27" max="27" width="15.42578125" style="167" customWidth="1"/>
    <col min="28" max="16384" width="11.42578125" style="167"/>
  </cols>
  <sheetData>
    <row r="1" spans="1:26" s="121" customFormat="1" ht="18.75" thickBot="1">
      <c r="B1" s="120" t="s">
        <v>328</v>
      </c>
      <c r="C1" s="122" t="s">
        <v>0</v>
      </c>
      <c r="D1" s="120" t="s">
        <v>329</v>
      </c>
      <c r="E1" s="122" t="s">
        <v>1</v>
      </c>
      <c r="F1" s="120" t="s">
        <v>327</v>
      </c>
      <c r="G1" s="122" t="s">
        <v>2</v>
      </c>
      <c r="H1" s="120" t="s">
        <v>330</v>
      </c>
      <c r="I1" s="122" t="s">
        <v>3</v>
      </c>
      <c r="J1" s="120" t="s">
        <v>331</v>
      </c>
      <c r="K1" s="122" t="s">
        <v>4</v>
      </c>
      <c r="L1" s="120" t="s">
        <v>332</v>
      </c>
      <c r="M1" s="122" t="s">
        <v>5</v>
      </c>
      <c r="N1" s="120" t="s">
        <v>333</v>
      </c>
      <c r="O1" s="122" t="s">
        <v>6</v>
      </c>
      <c r="P1" s="120" t="s">
        <v>334</v>
      </c>
      <c r="Q1" s="122" t="s">
        <v>7</v>
      </c>
      <c r="R1" s="120" t="s">
        <v>335</v>
      </c>
      <c r="S1" s="122" t="s">
        <v>8</v>
      </c>
      <c r="T1" s="120" t="s">
        <v>336</v>
      </c>
      <c r="U1" s="122" t="s">
        <v>9</v>
      </c>
      <c r="V1" s="120" t="s">
        <v>337</v>
      </c>
      <c r="W1" s="122" t="s">
        <v>10</v>
      </c>
      <c r="X1" s="120" t="s">
        <v>338</v>
      </c>
      <c r="Y1" s="122" t="s">
        <v>11</v>
      </c>
      <c r="Z1" s="120" t="s">
        <v>339</v>
      </c>
    </row>
    <row r="2" spans="1:26" ht="16.5" thickBot="1">
      <c r="A2" s="155" t="s">
        <v>358</v>
      </c>
      <c r="B2" s="175" t="s">
        <v>359</v>
      </c>
      <c r="D2" s="175" t="s">
        <v>359</v>
      </c>
      <c r="F2" s="175" t="s">
        <v>359</v>
      </c>
      <c r="H2" s="175" t="s">
        <v>359</v>
      </c>
      <c r="J2" s="175" t="s">
        <v>359</v>
      </c>
      <c r="L2" s="175" t="s">
        <v>359</v>
      </c>
      <c r="N2" s="175" t="s">
        <v>359</v>
      </c>
      <c r="P2" s="175" t="s">
        <v>359</v>
      </c>
      <c r="R2" s="175" t="s">
        <v>359</v>
      </c>
      <c r="T2" s="175" t="s">
        <v>359</v>
      </c>
      <c r="V2" s="175" t="s">
        <v>359</v>
      </c>
      <c r="X2" s="175" t="s">
        <v>359</v>
      </c>
      <c r="Z2" s="175" t="s">
        <v>359</v>
      </c>
    </row>
    <row r="3" spans="1:26" ht="15.75">
      <c r="A3" s="2" t="s">
        <v>301</v>
      </c>
      <c r="B3" s="174">
        <v>9239883</v>
      </c>
      <c r="C3" s="87">
        <f>(D3-B3)</f>
        <v>278503</v>
      </c>
      <c r="D3" s="240">
        <v>9518386</v>
      </c>
      <c r="E3" s="87">
        <f>(F3-D3)</f>
        <v>80000</v>
      </c>
      <c r="F3" s="174">
        <f>D3+80000</f>
        <v>9598386</v>
      </c>
      <c r="G3" s="87">
        <f>(H3-F3)</f>
        <v>-9598386</v>
      </c>
      <c r="H3" s="174"/>
      <c r="I3" s="87">
        <f>(J3-H3)</f>
        <v>0</v>
      </c>
      <c r="J3" s="174"/>
      <c r="K3" s="87">
        <f>(L3-J3)</f>
        <v>0</v>
      </c>
      <c r="L3" s="174"/>
      <c r="M3" s="87">
        <f>(N3-L3)</f>
        <v>0</v>
      </c>
      <c r="N3" s="174"/>
      <c r="O3" s="87">
        <f>(P3-N3)</f>
        <v>0</v>
      </c>
      <c r="P3" s="174"/>
      <c r="Q3" s="87">
        <f>(R3-P3)</f>
        <v>0</v>
      </c>
      <c r="R3" s="174"/>
      <c r="S3" s="87">
        <f>(T3-R3)</f>
        <v>0</v>
      </c>
      <c r="T3" s="174"/>
      <c r="U3" s="87">
        <f>(V3-T3)</f>
        <v>0</v>
      </c>
      <c r="V3" s="174"/>
      <c r="W3" s="87">
        <f>(X3-V3)</f>
        <v>0</v>
      </c>
      <c r="X3" s="174"/>
      <c r="Y3" s="87">
        <f>(Z3-X3)</f>
        <v>0</v>
      </c>
      <c r="Z3" s="174"/>
    </row>
    <row r="4" spans="1:26" ht="15.75">
      <c r="A4" s="2" t="s">
        <v>302</v>
      </c>
      <c r="B4" s="176">
        <v>4756608</v>
      </c>
      <c r="C4" s="87">
        <f>(D4-B4)</f>
        <v>78080</v>
      </c>
      <c r="D4" s="237">
        <f>[1]Medidores!E6</f>
        <v>4834688</v>
      </c>
      <c r="E4" s="87">
        <f>(F4-D4)</f>
        <v>80000</v>
      </c>
      <c r="F4" s="174">
        <f t="shared" ref="F4:F23" si="0">D4+80000</f>
        <v>4914688</v>
      </c>
      <c r="G4" s="87">
        <f>(H4-F4)</f>
        <v>-4914688</v>
      </c>
      <c r="H4" s="176"/>
      <c r="I4" s="87">
        <f>(J4-H4)</f>
        <v>0</v>
      </c>
      <c r="J4" s="176"/>
      <c r="K4" s="87">
        <f>(L4-J4)</f>
        <v>0</v>
      </c>
      <c r="L4" s="176"/>
      <c r="M4" s="87">
        <f>(N4-L4)</f>
        <v>0</v>
      </c>
      <c r="N4" s="176"/>
      <c r="O4" s="87">
        <f>(P4-N4)</f>
        <v>0</v>
      </c>
      <c r="P4" s="176"/>
      <c r="Q4" s="87">
        <f>(R4-P4)</f>
        <v>0</v>
      </c>
      <c r="R4" s="176"/>
      <c r="S4" s="87">
        <f>(T4-R4)</f>
        <v>0</v>
      </c>
      <c r="T4" s="176"/>
      <c r="U4" s="87">
        <f>(V4-T4)</f>
        <v>0</v>
      </c>
      <c r="V4" s="176"/>
      <c r="W4" s="87">
        <f>(X4-V4)</f>
        <v>0</v>
      </c>
      <c r="X4" s="176"/>
      <c r="Y4" s="87">
        <f>(Z4-X4)</f>
        <v>0</v>
      </c>
      <c r="Z4" s="176"/>
    </row>
    <row r="5" spans="1:26" ht="15.75">
      <c r="A5" s="2" t="s">
        <v>303</v>
      </c>
      <c r="B5" s="176">
        <v>4145600</v>
      </c>
      <c r="C5" s="87">
        <f>(D5-B5)-C13</f>
        <v>41297.729999999996</v>
      </c>
      <c r="D5" s="237">
        <f>[1]Medidores!E7</f>
        <v>4313600</v>
      </c>
      <c r="E5" s="87">
        <f>(F5-D5)-E13</f>
        <v>5600</v>
      </c>
      <c r="F5" s="174">
        <f t="shared" si="0"/>
        <v>4393600</v>
      </c>
      <c r="G5" s="87">
        <f>(H5-F5)-G13</f>
        <v>2443002.9800000004</v>
      </c>
      <c r="H5" s="176"/>
      <c r="I5" s="87">
        <f>(J5-H5)-I13</f>
        <v>0</v>
      </c>
      <c r="J5" s="176"/>
      <c r="K5" s="87">
        <f>(L5-J5)-K13</f>
        <v>0</v>
      </c>
      <c r="L5" s="176"/>
      <c r="M5" s="87">
        <f>(N5-L5)-M13</f>
        <v>0</v>
      </c>
      <c r="N5" s="176"/>
      <c r="O5" s="87">
        <f>(P5-N5)-O13</f>
        <v>0</v>
      </c>
      <c r="P5" s="176"/>
      <c r="Q5" s="87">
        <f>(R5-P5)-Q13</f>
        <v>0</v>
      </c>
      <c r="R5" s="176"/>
      <c r="S5" s="87">
        <f>(T5-R5)-S13</f>
        <v>0</v>
      </c>
      <c r="T5" s="176"/>
      <c r="U5" s="87">
        <f>(V5-T5)-U13</f>
        <v>0</v>
      </c>
      <c r="V5" s="176"/>
      <c r="W5" s="87">
        <f>(X5-V5)-W13</f>
        <v>0</v>
      </c>
      <c r="X5" s="176"/>
      <c r="Y5" s="87">
        <f>(Z5-X5)-Y13</f>
        <v>0</v>
      </c>
      <c r="Z5" s="176"/>
    </row>
    <row r="6" spans="1:26" ht="15.75">
      <c r="A6" s="2" t="s">
        <v>304</v>
      </c>
      <c r="B6" s="176">
        <v>3621504</v>
      </c>
      <c r="C6" s="87">
        <f t="shared" ref="C6:Y12" si="1">(D6-B6)</f>
        <v>252864</v>
      </c>
      <c r="D6" s="237">
        <f>[1]Medidores!E8</f>
        <v>3874368</v>
      </c>
      <c r="E6" s="87">
        <f t="shared" si="1"/>
        <v>80000</v>
      </c>
      <c r="F6" s="174">
        <f t="shared" si="0"/>
        <v>3954368</v>
      </c>
      <c r="G6" s="87">
        <f t="shared" si="1"/>
        <v>-3954368</v>
      </c>
      <c r="H6" s="176"/>
      <c r="I6" s="87">
        <f t="shared" si="1"/>
        <v>0</v>
      </c>
      <c r="J6" s="176"/>
      <c r="K6" s="87">
        <f t="shared" si="1"/>
        <v>0</v>
      </c>
      <c r="L6" s="176"/>
      <c r="M6" s="87">
        <f t="shared" si="1"/>
        <v>0</v>
      </c>
      <c r="N6" s="176"/>
      <c r="O6" s="87">
        <f t="shared" si="1"/>
        <v>0</v>
      </c>
      <c r="P6" s="176"/>
      <c r="Q6" s="87">
        <f t="shared" si="1"/>
        <v>0</v>
      </c>
      <c r="R6" s="176"/>
      <c r="S6" s="87">
        <f t="shared" si="1"/>
        <v>0</v>
      </c>
      <c r="T6" s="176"/>
      <c r="U6" s="87">
        <f t="shared" si="1"/>
        <v>0</v>
      </c>
      <c r="V6" s="176"/>
      <c r="W6" s="87">
        <f t="shared" si="1"/>
        <v>0</v>
      </c>
      <c r="X6" s="176"/>
      <c r="Y6" s="87">
        <f t="shared" si="1"/>
        <v>0</v>
      </c>
      <c r="Z6" s="176"/>
    </row>
    <row r="7" spans="1:26" ht="15.75">
      <c r="A7" s="2" t="s">
        <v>305</v>
      </c>
      <c r="B7" s="174">
        <v>13069281</v>
      </c>
      <c r="C7" s="87">
        <f t="shared" si="1"/>
        <v>280776</v>
      </c>
      <c r="D7" s="240">
        <v>13350057</v>
      </c>
      <c r="E7" s="87">
        <f t="shared" si="1"/>
        <v>80000</v>
      </c>
      <c r="F7" s="174">
        <f t="shared" si="0"/>
        <v>13430057</v>
      </c>
      <c r="G7" s="87">
        <f t="shared" si="1"/>
        <v>-13430057</v>
      </c>
      <c r="H7" s="174"/>
      <c r="I7" s="87">
        <f t="shared" si="1"/>
        <v>0</v>
      </c>
      <c r="J7" s="174"/>
      <c r="K7" s="87">
        <f t="shared" si="1"/>
        <v>0</v>
      </c>
      <c r="L7" s="174"/>
      <c r="M7" s="87">
        <f t="shared" si="1"/>
        <v>0</v>
      </c>
      <c r="N7" s="174"/>
      <c r="O7" s="87">
        <f t="shared" si="1"/>
        <v>0</v>
      </c>
      <c r="P7" s="174"/>
      <c r="Q7" s="87">
        <f t="shared" si="1"/>
        <v>0</v>
      </c>
      <c r="R7" s="174"/>
      <c r="S7" s="87">
        <f t="shared" si="1"/>
        <v>0</v>
      </c>
      <c r="T7" s="174"/>
      <c r="U7" s="87">
        <f t="shared" si="1"/>
        <v>0</v>
      </c>
      <c r="V7" s="174"/>
      <c r="W7" s="87">
        <f t="shared" si="1"/>
        <v>0</v>
      </c>
      <c r="X7" s="174"/>
      <c r="Y7" s="87">
        <f t="shared" si="1"/>
        <v>0</v>
      </c>
      <c r="Z7" s="174"/>
    </row>
    <row r="8" spans="1:26" ht="15.75">
      <c r="A8" s="2" t="s">
        <v>306</v>
      </c>
      <c r="B8" s="174">
        <v>1206063</v>
      </c>
      <c r="C8" s="87">
        <f t="shared" si="1"/>
        <v>251610</v>
      </c>
      <c r="D8" s="240">
        <v>1457673</v>
      </c>
      <c r="E8" s="87">
        <f t="shared" si="1"/>
        <v>80000</v>
      </c>
      <c r="F8" s="174">
        <f t="shared" si="0"/>
        <v>1537673</v>
      </c>
      <c r="G8" s="87">
        <f t="shared" si="1"/>
        <v>-1537673</v>
      </c>
      <c r="H8" s="174"/>
      <c r="I8" s="87">
        <f t="shared" si="1"/>
        <v>0</v>
      </c>
      <c r="J8" s="174"/>
      <c r="K8" s="87">
        <f t="shared" si="1"/>
        <v>0</v>
      </c>
      <c r="L8" s="174"/>
      <c r="M8" s="87">
        <f t="shared" si="1"/>
        <v>0</v>
      </c>
      <c r="N8" s="174"/>
      <c r="O8" s="87">
        <f t="shared" si="1"/>
        <v>0</v>
      </c>
      <c r="P8" s="174"/>
      <c r="Q8" s="87">
        <f t="shared" si="1"/>
        <v>0</v>
      </c>
      <c r="R8" s="174"/>
      <c r="S8" s="87">
        <f t="shared" si="1"/>
        <v>0</v>
      </c>
      <c r="T8" s="174"/>
      <c r="U8" s="87">
        <f t="shared" si="1"/>
        <v>0</v>
      </c>
      <c r="V8" s="174"/>
      <c r="W8" s="87">
        <f t="shared" si="1"/>
        <v>0</v>
      </c>
      <c r="X8" s="174"/>
      <c r="Y8" s="87">
        <f t="shared" si="1"/>
        <v>0</v>
      </c>
      <c r="Z8" s="174"/>
    </row>
    <row r="9" spans="1:26" ht="15.75">
      <c r="A9" s="2" t="s">
        <v>309</v>
      </c>
      <c r="B9" s="176">
        <v>9929984</v>
      </c>
      <c r="C9" s="87">
        <f t="shared" si="1"/>
        <v>192256</v>
      </c>
      <c r="D9" s="237">
        <f>[1]Medidores!E11</f>
        <v>10122240</v>
      </c>
      <c r="E9" s="87">
        <f t="shared" si="1"/>
        <v>80000</v>
      </c>
      <c r="F9" s="174">
        <f t="shared" si="0"/>
        <v>10202240</v>
      </c>
      <c r="G9" s="87">
        <f t="shared" si="1"/>
        <v>-10202240</v>
      </c>
      <c r="H9" s="176"/>
      <c r="I9" s="87">
        <f t="shared" si="1"/>
        <v>0</v>
      </c>
      <c r="J9" s="176"/>
      <c r="K9" s="87">
        <f t="shared" si="1"/>
        <v>0</v>
      </c>
      <c r="L9" s="176"/>
      <c r="M9" s="87">
        <f t="shared" si="1"/>
        <v>0</v>
      </c>
      <c r="N9" s="176"/>
      <c r="O9" s="87">
        <f t="shared" si="1"/>
        <v>0</v>
      </c>
      <c r="P9" s="176"/>
      <c r="Q9" s="87">
        <f t="shared" si="1"/>
        <v>0</v>
      </c>
      <c r="R9" s="176"/>
      <c r="S9" s="87">
        <f t="shared" si="1"/>
        <v>0</v>
      </c>
      <c r="T9" s="176"/>
      <c r="U9" s="87">
        <f t="shared" si="1"/>
        <v>0</v>
      </c>
      <c r="V9" s="176"/>
      <c r="W9" s="87">
        <f t="shared" si="1"/>
        <v>0</v>
      </c>
      <c r="X9" s="176"/>
      <c r="Y9" s="87">
        <f t="shared" si="1"/>
        <v>0</v>
      </c>
      <c r="Z9" s="176"/>
    </row>
    <row r="10" spans="1:26" ht="15.75">
      <c r="A10" s="2" t="s">
        <v>300</v>
      </c>
      <c r="B10" s="176">
        <v>9279232</v>
      </c>
      <c r="C10" s="87">
        <f t="shared" si="1"/>
        <v>119552</v>
      </c>
      <c r="D10" s="237">
        <f>[1]Medidores!E12</f>
        <v>9398784</v>
      </c>
      <c r="E10" s="87">
        <f t="shared" si="1"/>
        <v>80000</v>
      </c>
      <c r="F10" s="174">
        <f t="shared" si="0"/>
        <v>9478784</v>
      </c>
      <c r="G10" s="87">
        <f t="shared" si="1"/>
        <v>-9478784</v>
      </c>
      <c r="H10" s="176"/>
      <c r="I10" s="87">
        <f t="shared" si="1"/>
        <v>0</v>
      </c>
      <c r="J10" s="176"/>
      <c r="K10" s="87">
        <f t="shared" si="1"/>
        <v>0</v>
      </c>
      <c r="L10" s="176"/>
      <c r="M10" s="87">
        <f t="shared" si="1"/>
        <v>0</v>
      </c>
      <c r="N10" s="176"/>
      <c r="O10" s="87">
        <f t="shared" si="1"/>
        <v>0</v>
      </c>
      <c r="P10" s="176"/>
      <c r="Q10" s="87">
        <f t="shared" si="1"/>
        <v>0</v>
      </c>
      <c r="R10" s="176"/>
      <c r="S10" s="87">
        <f t="shared" si="1"/>
        <v>0</v>
      </c>
      <c r="T10" s="176"/>
      <c r="U10" s="87">
        <f t="shared" si="1"/>
        <v>0</v>
      </c>
      <c r="V10" s="176"/>
      <c r="W10" s="87">
        <f t="shared" si="1"/>
        <v>0</v>
      </c>
      <c r="X10" s="176"/>
      <c r="Y10" s="87">
        <f t="shared" si="1"/>
        <v>0</v>
      </c>
      <c r="Z10" s="176"/>
    </row>
    <row r="11" spans="1:26" ht="15.75">
      <c r="A11" s="2" t="s">
        <v>340</v>
      </c>
      <c r="B11" s="174">
        <v>3968853</v>
      </c>
      <c r="C11" s="87">
        <f t="shared" si="1"/>
        <v>64378</v>
      </c>
      <c r="D11" s="240">
        <v>4033231</v>
      </c>
      <c r="E11" s="87">
        <f t="shared" si="1"/>
        <v>80000</v>
      </c>
      <c r="F11" s="174">
        <f t="shared" si="0"/>
        <v>4113231</v>
      </c>
      <c r="G11" s="87">
        <f t="shared" si="1"/>
        <v>-4113231</v>
      </c>
      <c r="H11" s="174"/>
      <c r="I11" s="87">
        <f t="shared" si="1"/>
        <v>0</v>
      </c>
      <c r="J11" s="174"/>
      <c r="K11" s="87">
        <f t="shared" si="1"/>
        <v>0</v>
      </c>
      <c r="L11" s="174"/>
      <c r="M11" s="87">
        <f t="shared" si="1"/>
        <v>0</v>
      </c>
      <c r="N11" s="174"/>
      <c r="O11" s="87">
        <f t="shared" si="1"/>
        <v>0</v>
      </c>
      <c r="P11" s="174"/>
      <c r="Q11" s="87">
        <f t="shared" si="1"/>
        <v>0</v>
      </c>
      <c r="R11" s="174"/>
      <c r="S11" s="87">
        <f t="shared" si="1"/>
        <v>0</v>
      </c>
      <c r="T11" s="174"/>
      <c r="U11" s="87">
        <f t="shared" si="1"/>
        <v>0</v>
      </c>
      <c r="V11" s="174"/>
      <c r="W11" s="87">
        <f t="shared" si="1"/>
        <v>0</v>
      </c>
      <c r="X11" s="174"/>
      <c r="Y11" s="87">
        <f t="shared" si="1"/>
        <v>0</v>
      </c>
      <c r="Z11" s="174"/>
    </row>
    <row r="12" spans="1:26" ht="16.5" thickBot="1">
      <c r="A12" s="2" t="s">
        <v>308</v>
      </c>
      <c r="B12" s="174">
        <v>5377938</v>
      </c>
      <c r="C12" s="87">
        <f t="shared" si="1"/>
        <v>133833</v>
      </c>
      <c r="D12" s="240">
        <v>5511771</v>
      </c>
      <c r="E12" s="87">
        <f t="shared" si="1"/>
        <v>80000</v>
      </c>
      <c r="F12" s="174">
        <f t="shared" si="0"/>
        <v>5591771</v>
      </c>
      <c r="G12" s="87">
        <f t="shared" si="1"/>
        <v>-5591771</v>
      </c>
      <c r="H12" s="174"/>
      <c r="I12" s="87">
        <f t="shared" si="1"/>
        <v>0</v>
      </c>
      <c r="J12" s="174"/>
      <c r="K12" s="87">
        <f t="shared" si="1"/>
        <v>0</v>
      </c>
      <c r="L12" s="174"/>
      <c r="M12" s="87">
        <f t="shared" si="1"/>
        <v>0</v>
      </c>
      <c r="N12" s="174"/>
      <c r="O12" s="87">
        <f t="shared" si="1"/>
        <v>0</v>
      </c>
      <c r="P12" s="174"/>
      <c r="Q12" s="87">
        <f t="shared" si="1"/>
        <v>0</v>
      </c>
      <c r="R12" s="174"/>
      <c r="S12" s="87">
        <f t="shared" si="1"/>
        <v>0</v>
      </c>
      <c r="T12" s="174"/>
      <c r="U12" s="87">
        <f t="shared" si="1"/>
        <v>0</v>
      </c>
      <c r="V12" s="174"/>
      <c r="W12" s="87">
        <f t="shared" si="1"/>
        <v>0</v>
      </c>
      <c r="X12" s="174"/>
      <c r="Y12" s="87">
        <f t="shared" si="1"/>
        <v>0</v>
      </c>
      <c r="Z12" s="174"/>
    </row>
    <row r="13" spans="1:26" ht="16.5" thickBot="1">
      <c r="A13" s="2" t="s">
        <v>310</v>
      </c>
      <c r="B13" s="207"/>
      <c r="C13" s="90">
        <f>C14*0.93</f>
        <v>126702.27</v>
      </c>
      <c r="D13" s="207">
        <v>80080</v>
      </c>
      <c r="E13" s="90">
        <f>E14*0.93</f>
        <v>74400</v>
      </c>
      <c r="F13" s="174">
        <f t="shared" si="0"/>
        <v>160080</v>
      </c>
      <c r="G13" s="90">
        <f>G14*0.93</f>
        <v>-6836602.9800000004</v>
      </c>
      <c r="H13" s="207"/>
      <c r="I13" s="90">
        <f>I14*0.93</f>
        <v>0</v>
      </c>
      <c r="J13" s="207"/>
      <c r="K13" s="90">
        <f>K14*0.93</f>
        <v>0</v>
      </c>
      <c r="L13" s="207"/>
      <c r="M13" s="90">
        <f>M14*0.93</f>
        <v>0</v>
      </c>
      <c r="N13" s="207"/>
      <c r="O13" s="90">
        <f>O14*0.93</f>
        <v>0</v>
      </c>
      <c r="P13" s="207"/>
      <c r="Q13" s="90">
        <f>Q14*0.93</f>
        <v>0</v>
      </c>
      <c r="R13" s="200"/>
      <c r="S13" s="90">
        <f>S14*0.93</f>
        <v>0</v>
      </c>
      <c r="T13" s="200"/>
      <c r="U13" s="90">
        <f>U14*0.93</f>
        <v>0</v>
      </c>
      <c r="V13" s="200"/>
      <c r="W13" s="90">
        <f>W14*0.93</f>
        <v>0</v>
      </c>
      <c r="X13" s="200"/>
      <c r="Y13" s="90">
        <f>Y14*0.93</f>
        <v>0</v>
      </c>
      <c r="Z13" s="200"/>
    </row>
    <row r="14" spans="1:26" ht="16.5" thickBot="1">
      <c r="A14" s="2" t="s">
        <v>311</v>
      </c>
      <c r="B14" s="176">
        <v>7134947</v>
      </c>
      <c r="C14" s="90">
        <f>(D14-B14)+0.5*C60</f>
        <v>136239</v>
      </c>
      <c r="D14" s="239">
        <v>7271186</v>
      </c>
      <c r="E14" s="90">
        <f>(F14-D14)+0.5*E60</f>
        <v>80000</v>
      </c>
      <c r="F14" s="174">
        <f t="shared" si="0"/>
        <v>7351186</v>
      </c>
      <c r="G14" s="90">
        <f>(H14-F14)+0.5*G60</f>
        <v>-7351186</v>
      </c>
      <c r="H14" s="177"/>
      <c r="I14" s="90">
        <f>(J14-H14)+0.5*I60</f>
        <v>0</v>
      </c>
      <c r="J14" s="177"/>
      <c r="K14" s="90">
        <f>(L14-J14)+0.5*K60</f>
        <v>0</v>
      </c>
      <c r="L14" s="177"/>
      <c r="M14" s="90">
        <f>(N14-L14)+0.5*M60</f>
        <v>0</v>
      </c>
      <c r="N14" s="177"/>
      <c r="O14" s="90">
        <f>(P14-N14)+0.5*O60</f>
        <v>0</v>
      </c>
      <c r="P14" s="177"/>
      <c r="Q14" s="90">
        <f>(R14-P14)+0.5*Q60</f>
        <v>0</v>
      </c>
      <c r="R14" s="176"/>
      <c r="S14" s="90">
        <f>(T14-R14)+0.5*S60</f>
        <v>0</v>
      </c>
      <c r="T14" s="176"/>
      <c r="U14" s="90">
        <f>(V14-T14)+0.5*U60</f>
        <v>0</v>
      </c>
      <c r="V14" s="176"/>
      <c r="W14" s="90">
        <f>(X14-V14)+0.5*W60</f>
        <v>0</v>
      </c>
      <c r="X14" s="228"/>
      <c r="Y14" s="90">
        <f>(Z14-X14)+0.5*Y60</f>
        <v>0</v>
      </c>
      <c r="Z14" s="228"/>
    </row>
    <row r="15" spans="1:26" ht="16.5" thickBot="1">
      <c r="A15" s="2" t="s">
        <v>354</v>
      </c>
      <c r="B15" s="176">
        <v>10096128</v>
      </c>
      <c r="C15" s="89">
        <f>(D15-B15)</f>
        <v>11008</v>
      </c>
      <c r="D15" s="237">
        <f>[1]Medidores!E19</f>
        <v>10107136</v>
      </c>
      <c r="E15" s="89">
        <f>(F15-D15)</f>
        <v>80000</v>
      </c>
      <c r="F15" s="174">
        <f t="shared" si="0"/>
        <v>10187136</v>
      </c>
      <c r="G15" s="89">
        <f>(H15-F15)</f>
        <v>-10187136</v>
      </c>
      <c r="H15" s="177"/>
      <c r="I15" s="89">
        <f>(J15-H15)</f>
        <v>0</v>
      </c>
      <c r="J15" s="177"/>
      <c r="K15" s="89">
        <f>(L15-J15)</f>
        <v>0</v>
      </c>
      <c r="L15" s="177"/>
      <c r="M15" s="89">
        <f>(N15-L15)</f>
        <v>0</v>
      </c>
      <c r="N15" s="177"/>
      <c r="O15" s="89">
        <f>(P15-N15)</f>
        <v>0</v>
      </c>
      <c r="P15" s="177"/>
      <c r="Q15" s="89">
        <f>(R15-P15)</f>
        <v>0</v>
      </c>
      <c r="R15" s="176"/>
      <c r="S15" s="89">
        <f>(T15-R15)</f>
        <v>0</v>
      </c>
      <c r="T15" s="176"/>
      <c r="U15" s="89">
        <f>(V15-T15)</f>
        <v>0</v>
      </c>
      <c r="V15" s="176"/>
      <c r="W15" s="89">
        <f>(X15-V15)</f>
        <v>0</v>
      </c>
      <c r="X15" s="176"/>
      <c r="Y15" s="89">
        <f>(Z15-X15)</f>
        <v>0</v>
      </c>
      <c r="Z15" s="176"/>
    </row>
    <row r="16" spans="1:26" ht="16.5" thickBot="1">
      <c r="A16" s="2" t="s">
        <v>312</v>
      </c>
      <c r="B16" s="176">
        <v>11753728</v>
      </c>
      <c r="C16" s="90">
        <f>(D16-B16)+0.5*C56</f>
        <v>247808</v>
      </c>
      <c r="D16" s="237">
        <f>[1]Medidores!E20</f>
        <v>12001536</v>
      </c>
      <c r="E16" s="90">
        <f>(F16-D16)+0.5*E56</f>
        <v>80000</v>
      </c>
      <c r="F16" s="174">
        <f t="shared" si="0"/>
        <v>12081536</v>
      </c>
      <c r="G16" s="90">
        <f>(H16-F16)+0.5*G56</f>
        <v>-12081536</v>
      </c>
      <c r="H16" s="177"/>
      <c r="I16" s="90">
        <f>(J16-H16)+0.5*I56</f>
        <v>0</v>
      </c>
      <c r="J16" s="177"/>
      <c r="K16" s="90">
        <f>(L16-J16)+0.5*K56</f>
        <v>0</v>
      </c>
      <c r="L16" s="177"/>
      <c r="M16" s="90">
        <f>(N16-L16)+0.5*M56</f>
        <v>0</v>
      </c>
      <c r="N16" s="177"/>
      <c r="O16" s="90">
        <f>(P16-N16)+0.5*O56</f>
        <v>0</v>
      </c>
      <c r="P16" s="177"/>
      <c r="Q16" s="90">
        <f>(R16-P16)+0.5*Q56</f>
        <v>0</v>
      </c>
      <c r="R16" s="176"/>
      <c r="S16" s="90">
        <f>(T16-R16)+0.5*S56</f>
        <v>0</v>
      </c>
      <c r="T16" s="176"/>
      <c r="U16" s="90">
        <f>(V16-T16)+0.5*U56</f>
        <v>0</v>
      </c>
      <c r="V16" s="176"/>
      <c r="W16" s="90">
        <f>(X16-V16)+0.5*W56</f>
        <v>0</v>
      </c>
      <c r="X16" s="176"/>
      <c r="Y16" s="90">
        <f>(Z16-X16)+0.5*Y56</f>
        <v>0</v>
      </c>
      <c r="Z16" s="176"/>
    </row>
    <row r="17" spans="1:27" ht="16.5" thickBot="1">
      <c r="A17" s="2" t="s">
        <v>313</v>
      </c>
      <c r="B17" s="176">
        <v>11293440</v>
      </c>
      <c r="C17" s="90">
        <f>(D17-B17)+0.5*C56</f>
        <v>233472</v>
      </c>
      <c r="D17" s="237">
        <f>[1]Medidores!E21</f>
        <v>11526912</v>
      </c>
      <c r="E17" s="90">
        <f>(F17-D17)+0.5*E56</f>
        <v>80000</v>
      </c>
      <c r="F17" s="174">
        <f t="shared" si="0"/>
        <v>11606912</v>
      </c>
      <c r="G17" s="90">
        <f>(H17-F17)+0.5*G56</f>
        <v>-11606912</v>
      </c>
      <c r="H17" s="177"/>
      <c r="I17" s="90">
        <f>(J17-H17)+0.5*I56</f>
        <v>0</v>
      </c>
      <c r="J17" s="177"/>
      <c r="K17" s="90">
        <f>(L17-J17)+0.5*K56</f>
        <v>0</v>
      </c>
      <c r="L17" s="177"/>
      <c r="M17" s="90">
        <f>(N17-L17)+0.5*M56</f>
        <v>0</v>
      </c>
      <c r="N17" s="177"/>
      <c r="O17" s="90">
        <f>(P17-N17)+0.5*O56</f>
        <v>0</v>
      </c>
      <c r="P17" s="177"/>
      <c r="Q17" s="90">
        <f>(R17-P17)+0.5*Q56</f>
        <v>0</v>
      </c>
      <c r="R17" s="176"/>
      <c r="S17" s="90">
        <f>(T17-R17)+0.5*S56</f>
        <v>0</v>
      </c>
      <c r="T17" s="176"/>
      <c r="U17" s="90">
        <f>(V17-T17)+0.5*U56</f>
        <v>0</v>
      </c>
      <c r="V17" s="176"/>
      <c r="W17" s="90">
        <f>(X17-V17)+0.5*W56</f>
        <v>0</v>
      </c>
      <c r="X17" s="176"/>
      <c r="Y17" s="90">
        <f>(Z17-X17)+0.5*Y56</f>
        <v>0</v>
      </c>
      <c r="Z17" s="176"/>
    </row>
    <row r="18" spans="1:27" ht="15.75">
      <c r="A18" s="2" t="s">
        <v>315</v>
      </c>
      <c r="B18" s="176">
        <v>12680704</v>
      </c>
      <c r="C18" s="87">
        <f t="shared" ref="C18:Y23" si="2">(D18-B18)</f>
        <v>1798912</v>
      </c>
      <c r="D18" s="237">
        <f>[1]Medidores!$E$23</f>
        <v>14479616</v>
      </c>
      <c r="E18" s="87">
        <f t="shared" si="2"/>
        <v>80000</v>
      </c>
      <c r="F18" s="174">
        <f t="shared" si="0"/>
        <v>14559616</v>
      </c>
      <c r="G18" s="87">
        <f t="shared" si="2"/>
        <v>-14559616</v>
      </c>
      <c r="H18" s="177"/>
      <c r="I18" s="87">
        <f t="shared" si="2"/>
        <v>0</v>
      </c>
      <c r="J18" s="174"/>
      <c r="K18" s="87">
        <f t="shared" si="2"/>
        <v>0</v>
      </c>
      <c r="L18" s="177"/>
      <c r="M18" s="87">
        <f t="shared" si="2"/>
        <v>0</v>
      </c>
      <c r="N18" s="177"/>
      <c r="O18" s="87">
        <f t="shared" si="2"/>
        <v>0</v>
      </c>
      <c r="P18" s="177"/>
      <c r="Q18" s="87">
        <f t="shared" si="2"/>
        <v>0</v>
      </c>
      <c r="R18" s="176"/>
      <c r="S18" s="87">
        <f t="shared" si="2"/>
        <v>0</v>
      </c>
      <c r="T18" s="176"/>
      <c r="U18" s="87">
        <f t="shared" si="2"/>
        <v>0</v>
      </c>
      <c r="V18" s="176"/>
      <c r="W18" s="87">
        <f t="shared" si="2"/>
        <v>0</v>
      </c>
      <c r="X18" s="176"/>
      <c r="Y18" s="87">
        <f t="shared" si="2"/>
        <v>0</v>
      </c>
      <c r="Z18" s="176"/>
    </row>
    <row r="19" spans="1:27" ht="15.75">
      <c r="A19" s="154" t="s">
        <v>33</v>
      </c>
      <c r="B19" s="178">
        <v>3170162</v>
      </c>
      <c r="C19" s="87">
        <f t="shared" si="2"/>
        <v>0</v>
      </c>
      <c r="D19" s="178">
        <v>3170162</v>
      </c>
      <c r="E19" s="87">
        <f t="shared" si="2"/>
        <v>0</v>
      </c>
      <c r="F19" s="178">
        <v>3170162</v>
      </c>
      <c r="G19" s="87">
        <f t="shared" si="2"/>
        <v>0</v>
      </c>
      <c r="H19" s="178">
        <v>3170162</v>
      </c>
      <c r="I19" s="87">
        <f t="shared" si="2"/>
        <v>0</v>
      </c>
      <c r="J19" s="178">
        <v>3170162</v>
      </c>
      <c r="K19" s="87">
        <f t="shared" si="2"/>
        <v>0</v>
      </c>
      <c r="L19" s="178">
        <v>3170162</v>
      </c>
      <c r="M19" s="87">
        <f t="shared" si="2"/>
        <v>0</v>
      </c>
      <c r="N19" s="178">
        <v>3170162</v>
      </c>
      <c r="O19" s="87">
        <f t="shared" si="2"/>
        <v>0</v>
      </c>
      <c r="P19" s="178">
        <v>3170162</v>
      </c>
      <c r="Q19" s="87">
        <f t="shared" si="2"/>
        <v>0</v>
      </c>
      <c r="R19" s="178">
        <v>3170162</v>
      </c>
      <c r="S19" s="87">
        <f t="shared" si="2"/>
        <v>0</v>
      </c>
      <c r="T19" s="178">
        <v>3170162</v>
      </c>
      <c r="U19" s="87">
        <f t="shared" si="2"/>
        <v>0</v>
      </c>
      <c r="V19" s="178">
        <v>3170162</v>
      </c>
      <c r="W19" s="87">
        <f t="shared" si="2"/>
        <v>0</v>
      </c>
      <c r="X19" s="178">
        <v>3170162</v>
      </c>
      <c r="Y19" s="87">
        <f t="shared" si="2"/>
        <v>0</v>
      </c>
      <c r="Z19" s="178">
        <v>3170162</v>
      </c>
    </row>
    <row r="20" spans="1:27" ht="15.75">
      <c r="A20" s="2" t="s">
        <v>316</v>
      </c>
      <c r="B20" s="176">
        <v>5712000</v>
      </c>
      <c r="C20" s="87">
        <f t="shared" si="2"/>
        <v>36992</v>
      </c>
      <c r="D20" s="237">
        <f>[1]Medidores!$E$25</f>
        <v>5748992</v>
      </c>
      <c r="E20" s="87">
        <f t="shared" si="2"/>
        <v>80000</v>
      </c>
      <c r="F20" s="174">
        <f t="shared" si="0"/>
        <v>5828992</v>
      </c>
      <c r="G20" s="87">
        <f t="shared" si="2"/>
        <v>-5828992</v>
      </c>
      <c r="H20" s="177"/>
      <c r="I20" s="87">
        <f t="shared" si="2"/>
        <v>0</v>
      </c>
      <c r="J20" s="177"/>
      <c r="K20" s="87">
        <f t="shared" si="2"/>
        <v>0</v>
      </c>
      <c r="L20" s="177"/>
      <c r="M20" s="87">
        <f t="shared" si="2"/>
        <v>0</v>
      </c>
      <c r="N20" s="177"/>
      <c r="O20" s="87">
        <f t="shared" si="2"/>
        <v>0</v>
      </c>
      <c r="P20" s="177"/>
      <c r="Q20" s="87">
        <f t="shared" si="2"/>
        <v>0</v>
      </c>
      <c r="R20" s="176"/>
      <c r="S20" s="87">
        <f t="shared" si="2"/>
        <v>0</v>
      </c>
      <c r="T20" s="176"/>
      <c r="U20" s="87">
        <f t="shared" si="2"/>
        <v>0</v>
      </c>
      <c r="V20" s="176"/>
      <c r="W20" s="87">
        <f t="shared" si="2"/>
        <v>0</v>
      </c>
      <c r="X20" s="176"/>
      <c r="Y20" s="87">
        <f t="shared" si="2"/>
        <v>0</v>
      </c>
      <c r="Z20" s="176"/>
    </row>
    <row r="21" spans="1:27" ht="15.75">
      <c r="A21" s="2" t="s">
        <v>317</v>
      </c>
      <c r="B21" s="176">
        <v>35951616</v>
      </c>
      <c r="C21" s="87">
        <f t="shared" si="2"/>
        <v>897024</v>
      </c>
      <c r="D21" s="237">
        <f>[1]Medidores!$E$26</f>
        <v>36848640</v>
      </c>
      <c r="E21" s="87">
        <f t="shared" si="2"/>
        <v>80000</v>
      </c>
      <c r="F21" s="174">
        <f t="shared" si="0"/>
        <v>36928640</v>
      </c>
      <c r="G21" s="87">
        <f t="shared" si="2"/>
        <v>-36928640</v>
      </c>
      <c r="H21" s="177"/>
      <c r="I21" s="87">
        <f t="shared" si="2"/>
        <v>0</v>
      </c>
      <c r="J21" s="177"/>
      <c r="K21" s="87">
        <f t="shared" si="2"/>
        <v>0</v>
      </c>
      <c r="L21" s="177"/>
      <c r="M21" s="87">
        <f t="shared" si="2"/>
        <v>0</v>
      </c>
      <c r="N21" s="177"/>
      <c r="O21" s="87">
        <f t="shared" si="2"/>
        <v>0</v>
      </c>
      <c r="P21" s="177"/>
      <c r="Q21" s="87">
        <f t="shared" si="2"/>
        <v>0</v>
      </c>
      <c r="R21" s="176"/>
      <c r="S21" s="87">
        <f t="shared" si="2"/>
        <v>0</v>
      </c>
      <c r="T21" s="176"/>
      <c r="U21" s="87">
        <f t="shared" si="2"/>
        <v>0</v>
      </c>
      <c r="V21" s="176"/>
      <c r="W21" s="87">
        <f t="shared" si="2"/>
        <v>0</v>
      </c>
      <c r="X21" s="176"/>
      <c r="Y21" s="87">
        <f t="shared" si="2"/>
        <v>0</v>
      </c>
      <c r="Z21" s="176"/>
    </row>
    <row r="22" spans="1:27" ht="15.75">
      <c r="A22" s="2" t="s">
        <v>318</v>
      </c>
      <c r="B22" s="176">
        <v>5686144</v>
      </c>
      <c r="C22" s="87">
        <f t="shared" si="2"/>
        <v>690688</v>
      </c>
      <c r="D22" s="237">
        <f>[1]Medidores!$E$27</f>
        <v>6376832</v>
      </c>
      <c r="E22" s="87">
        <f t="shared" si="2"/>
        <v>80000</v>
      </c>
      <c r="F22" s="174">
        <f t="shared" si="0"/>
        <v>6456832</v>
      </c>
      <c r="G22" s="87">
        <f t="shared" si="2"/>
        <v>-6456832</v>
      </c>
      <c r="H22" s="177"/>
      <c r="I22" s="87">
        <f t="shared" si="2"/>
        <v>0</v>
      </c>
      <c r="J22" s="177"/>
      <c r="K22" s="87">
        <f t="shared" si="2"/>
        <v>0</v>
      </c>
      <c r="L22" s="224"/>
      <c r="M22" s="87">
        <f t="shared" si="2"/>
        <v>0</v>
      </c>
      <c r="N22" s="177"/>
      <c r="O22" s="87">
        <f t="shared" si="2"/>
        <v>0</v>
      </c>
      <c r="P22" s="177"/>
      <c r="Q22" s="87">
        <f t="shared" si="2"/>
        <v>0</v>
      </c>
      <c r="R22" s="176"/>
      <c r="S22" s="87">
        <f t="shared" si="2"/>
        <v>0</v>
      </c>
      <c r="T22" s="176"/>
      <c r="U22" s="87">
        <f t="shared" si="2"/>
        <v>0</v>
      </c>
      <c r="V22" s="176"/>
      <c r="W22" s="87">
        <f t="shared" si="2"/>
        <v>0</v>
      </c>
      <c r="X22" s="176"/>
      <c r="Y22" s="87">
        <f t="shared" si="2"/>
        <v>0</v>
      </c>
      <c r="Z22" s="176"/>
    </row>
    <row r="23" spans="1:27" ht="15.75">
      <c r="A23" s="202" t="s">
        <v>319</v>
      </c>
      <c r="B23" s="174">
        <v>2719170</v>
      </c>
      <c r="C23" s="87">
        <f t="shared" si="2"/>
        <v>210398</v>
      </c>
      <c r="D23" s="174">
        <v>2929568</v>
      </c>
      <c r="E23" s="87">
        <f t="shared" si="2"/>
        <v>80000</v>
      </c>
      <c r="F23" s="174">
        <f t="shared" si="0"/>
        <v>3009568</v>
      </c>
      <c r="G23" s="87">
        <f t="shared" si="2"/>
        <v>-3009568</v>
      </c>
      <c r="H23" s="174"/>
      <c r="I23" s="87">
        <f t="shared" si="2"/>
        <v>0</v>
      </c>
      <c r="J23" s="174"/>
      <c r="K23" s="87">
        <f t="shared" si="2"/>
        <v>0</v>
      </c>
      <c r="L23" s="174"/>
      <c r="M23" s="87">
        <f t="shared" si="2"/>
        <v>0</v>
      </c>
      <c r="N23" s="174"/>
      <c r="O23" s="87">
        <f t="shared" si="2"/>
        <v>0</v>
      </c>
      <c r="P23" s="174"/>
      <c r="Q23" s="87">
        <f t="shared" si="2"/>
        <v>0</v>
      </c>
      <c r="R23" s="174"/>
      <c r="S23" s="87">
        <f t="shared" si="2"/>
        <v>0</v>
      </c>
      <c r="T23" s="174"/>
      <c r="U23" s="87">
        <f t="shared" si="2"/>
        <v>0</v>
      </c>
      <c r="V23" s="174"/>
      <c r="W23" s="87">
        <f t="shared" si="2"/>
        <v>0</v>
      </c>
      <c r="X23" s="174"/>
      <c r="Y23" s="87">
        <f t="shared" si="2"/>
        <v>0</v>
      </c>
      <c r="Z23" s="174"/>
    </row>
    <row r="24" spans="1:27" ht="15.75">
      <c r="A24" s="156" t="s">
        <v>356</v>
      </c>
      <c r="C24" s="169">
        <f>SUM(C3:C23)</f>
        <v>6082393</v>
      </c>
      <c r="E24" s="169">
        <f>SUM(E3:E23)</f>
        <v>1520000</v>
      </c>
      <c r="F24" s="222"/>
      <c r="G24" s="169">
        <f>SUM(G3:G23)</f>
        <v>-175225216</v>
      </c>
      <c r="H24" s="222"/>
      <c r="I24" s="169">
        <f>SUM(I3:I23)</f>
        <v>0</v>
      </c>
      <c r="K24" s="169">
        <f>SUM(K3:K23)</f>
        <v>0</v>
      </c>
      <c r="M24" s="169">
        <f>SUM(M3:M23)</f>
        <v>0</v>
      </c>
      <c r="O24" s="169">
        <f>SUM(O3:O23)</f>
        <v>0</v>
      </c>
      <c r="Q24" s="169">
        <f>SUM(Q3:Q23)</f>
        <v>0</v>
      </c>
      <c r="S24" s="169">
        <f>SUM(S3:S23)</f>
        <v>0</v>
      </c>
      <c r="U24" s="169">
        <f>SUM(U3:U23)</f>
        <v>0</v>
      </c>
      <c r="W24" s="169">
        <f>SUM(W3:W23)</f>
        <v>0</v>
      </c>
      <c r="Y24" s="169">
        <f>SUM(Y3:Y23)</f>
        <v>0</v>
      </c>
    </row>
    <row r="25" spans="1:27" ht="13.5" thickBot="1">
      <c r="J25" s="187"/>
      <c r="O25" s="187"/>
      <c r="Q25" s="167">
        <v>6386176</v>
      </c>
      <c r="S25" s="167">
        <v>5820416</v>
      </c>
      <c r="U25" s="167">
        <v>2967064</v>
      </c>
    </row>
    <row r="26" spans="1:27" ht="16.5" thickBot="1">
      <c r="A26" s="155" t="s">
        <v>355</v>
      </c>
      <c r="M26" s="225"/>
      <c r="O26" s="187"/>
      <c r="Q26" s="187">
        <f>Q24-Q25</f>
        <v>-6386176</v>
      </c>
      <c r="S26" s="187">
        <f>S25-S24</f>
        <v>5820416</v>
      </c>
      <c r="U26" s="187">
        <f>U25-U24</f>
        <v>2967064</v>
      </c>
    </row>
    <row r="27" spans="1:27" ht="15.75">
      <c r="A27" s="201" t="s">
        <v>307</v>
      </c>
      <c r="B27" s="174">
        <v>277992</v>
      </c>
      <c r="C27" s="87">
        <f>(D27-B27)*10</f>
        <v>350</v>
      </c>
      <c r="D27" s="240">
        <v>278027</v>
      </c>
      <c r="E27" s="87">
        <f>(F27-D27)*10</f>
        <v>19650</v>
      </c>
      <c r="F27" s="174">
        <v>279992</v>
      </c>
      <c r="G27" s="87">
        <f>(H27-F27)*10</f>
        <v>-2799920</v>
      </c>
      <c r="H27" s="174"/>
      <c r="I27" s="87">
        <f>(J27-H27)*10</f>
        <v>0</v>
      </c>
      <c r="J27" s="174"/>
      <c r="K27" s="87">
        <f>(L27-J27)*10</f>
        <v>0</v>
      </c>
      <c r="L27" s="174"/>
      <c r="M27" s="87">
        <f>(N27-L27)*10</f>
        <v>0</v>
      </c>
      <c r="N27" s="174"/>
      <c r="O27" s="87">
        <f>(P27-N27)*10</f>
        <v>0</v>
      </c>
      <c r="P27" s="174"/>
      <c r="Q27" s="87">
        <f>(R27-P27)*10</f>
        <v>0</v>
      </c>
      <c r="R27" s="174"/>
      <c r="S27" s="87">
        <f>(T27-R27)*10</f>
        <v>0</v>
      </c>
      <c r="T27" s="174"/>
      <c r="U27" s="87">
        <f>(V27-T27)*10</f>
        <v>0</v>
      </c>
      <c r="V27" s="174"/>
      <c r="W27" s="87">
        <f>(X27-V27)*10</f>
        <v>0</v>
      </c>
      <c r="X27" s="174"/>
      <c r="Y27" s="87">
        <f>(Z27-X27)*10</f>
        <v>0</v>
      </c>
      <c r="Z27" s="174"/>
    </row>
    <row r="28" spans="1:27" ht="15.75">
      <c r="A28" s="2" t="s">
        <v>314</v>
      </c>
      <c r="B28" s="174">
        <v>246127</v>
      </c>
      <c r="C28" s="87">
        <f>(D28-B28)*10</f>
        <v>330</v>
      </c>
      <c r="D28" s="240">
        <v>246160</v>
      </c>
      <c r="E28" s="87">
        <f>(F28-D28)*10</f>
        <v>14670</v>
      </c>
      <c r="F28" s="174">
        <v>247627</v>
      </c>
      <c r="G28" s="87">
        <f>(H28-F28)*10</f>
        <v>-2476270</v>
      </c>
      <c r="H28" s="174"/>
      <c r="I28" s="87">
        <f>(J28-H28)*10</f>
        <v>0</v>
      </c>
      <c r="J28" s="174"/>
      <c r="K28" s="87">
        <f>(L28-J28)*10</f>
        <v>0</v>
      </c>
      <c r="L28" s="174"/>
      <c r="M28" s="87">
        <f>(N28-L28)*10</f>
        <v>0</v>
      </c>
      <c r="N28" s="174"/>
      <c r="O28" s="87">
        <f>(P28-N28)*10</f>
        <v>0</v>
      </c>
      <c r="P28" s="174"/>
      <c r="Q28" s="87">
        <f>(R28-P28)*10</f>
        <v>0</v>
      </c>
      <c r="R28" s="174"/>
      <c r="S28" s="87">
        <f>(T28-R28)*10</f>
        <v>0</v>
      </c>
      <c r="T28" s="174"/>
      <c r="U28" s="87">
        <f>(V28-T28)*10</f>
        <v>0</v>
      </c>
      <c r="V28" s="174"/>
      <c r="W28" s="87">
        <f>(X28-V28)*10</f>
        <v>0</v>
      </c>
      <c r="X28" s="174"/>
      <c r="Y28" s="87">
        <f>(Z28-X28)*10</f>
        <v>0</v>
      </c>
      <c r="Z28" s="174"/>
    </row>
    <row r="29" spans="1:27" ht="15.75">
      <c r="A29" s="156" t="s">
        <v>356</v>
      </c>
      <c r="C29" s="169">
        <f>SUM(C27:C28)</f>
        <v>680</v>
      </c>
      <c r="E29" s="169">
        <f>SUM(E27:E28)</f>
        <v>34320</v>
      </c>
      <c r="G29" s="169">
        <f>SUM(G27:G28)</f>
        <v>-5276190</v>
      </c>
      <c r="I29" s="169">
        <f>SUM(I27:I28)</f>
        <v>0</v>
      </c>
      <c r="K29" s="169">
        <f>SUM(K27:K28)</f>
        <v>0</v>
      </c>
      <c r="M29" s="169">
        <f>SUM(M27:M28)</f>
        <v>0</v>
      </c>
      <c r="O29" s="169">
        <f>SUM(O27:O28)</f>
        <v>0</v>
      </c>
      <c r="Q29" s="169">
        <f>SUM(Q27:Q28)</f>
        <v>0</v>
      </c>
      <c r="S29" s="169">
        <f>SUM(S27:S28)</f>
        <v>0</v>
      </c>
      <c r="U29" s="169">
        <f>SUM(U27:U28)</f>
        <v>0</v>
      </c>
      <c r="W29" s="169">
        <f>SUM(W27:W28)</f>
        <v>0</v>
      </c>
      <c r="Y29" s="169">
        <f>SUM(Y27:Y28)</f>
        <v>0</v>
      </c>
    </row>
    <row r="30" spans="1:27" ht="13.5" thickBot="1">
      <c r="O30" s="187"/>
    </row>
    <row r="31" spans="1:27" ht="16.5" thickBot="1">
      <c r="A31" s="155" t="s">
        <v>357</v>
      </c>
      <c r="C31" s="223"/>
      <c r="E31" s="223"/>
      <c r="G31" s="223"/>
      <c r="I31" s="223"/>
      <c r="K31" s="223"/>
    </row>
    <row r="32" spans="1:27" ht="15.75">
      <c r="A32" s="2" t="s">
        <v>320</v>
      </c>
      <c r="B32" s="176">
        <v>558752</v>
      </c>
      <c r="C32" s="87">
        <f t="shared" ref="C32:Y38" si="3">(D32-B32)</f>
        <v>1424704</v>
      </c>
      <c r="D32" s="238">
        <f>[1]Medidores!$E$29</f>
        <v>1983456</v>
      </c>
      <c r="E32" s="87">
        <f t="shared" si="3"/>
        <v>100000</v>
      </c>
      <c r="F32" s="177">
        <f>D32+100000</f>
        <v>2083456</v>
      </c>
      <c r="G32" s="87">
        <f t="shared" si="3"/>
        <v>-2083456</v>
      </c>
      <c r="H32" s="177"/>
      <c r="I32" s="87">
        <f t="shared" si="3"/>
        <v>0</v>
      </c>
      <c r="J32" s="177"/>
      <c r="K32" s="87">
        <f t="shared" si="3"/>
        <v>0</v>
      </c>
      <c r="L32" s="177"/>
      <c r="M32" s="87">
        <f t="shared" si="3"/>
        <v>0</v>
      </c>
      <c r="N32" s="177"/>
      <c r="O32" s="87">
        <f t="shared" si="3"/>
        <v>0</v>
      </c>
      <c r="P32" s="177"/>
      <c r="Q32" s="87">
        <f t="shared" si="3"/>
        <v>0</v>
      </c>
      <c r="R32" s="177"/>
      <c r="S32" s="87">
        <f t="shared" si="3"/>
        <v>0</v>
      </c>
      <c r="T32" s="177"/>
      <c r="U32" s="87">
        <f t="shared" si="3"/>
        <v>0</v>
      </c>
      <c r="V32" s="177"/>
      <c r="W32" s="87">
        <f t="shared" si="3"/>
        <v>0</v>
      </c>
      <c r="X32" s="177"/>
      <c r="Y32" s="87">
        <f t="shared" si="3"/>
        <v>0</v>
      </c>
      <c r="Z32" s="177"/>
      <c r="AA32" s="173"/>
    </row>
    <row r="33" spans="1:27" ht="15.75">
      <c r="A33" s="2" t="s">
        <v>321</v>
      </c>
      <c r="B33" s="176">
        <v>896912</v>
      </c>
      <c r="C33" s="87">
        <f t="shared" si="3"/>
        <v>2005296</v>
      </c>
      <c r="D33" s="238">
        <f>[1]Medidores!$E$30</f>
        <v>2902208</v>
      </c>
      <c r="E33" s="87">
        <f t="shared" si="3"/>
        <v>100000</v>
      </c>
      <c r="F33" s="177">
        <f t="shared" ref="F33:F44" si="4">D33+100000</f>
        <v>3002208</v>
      </c>
      <c r="G33" s="87">
        <f t="shared" si="3"/>
        <v>-3002208</v>
      </c>
      <c r="H33" s="177"/>
      <c r="I33" s="87">
        <f t="shared" si="3"/>
        <v>0</v>
      </c>
      <c r="J33" s="177"/>
      <c r="K33" s="87">
        <f t="shared" si="3"/>
        <v>0</v>
      </c>
      <c r="L33" s="177"/>
      <c r="M33" s="87">
        <f t="shared" si="3"/>
        <v>0</v>
      </c>
      <c r="N33" s="177"/>
      <c r="O33" s="87">
        <f t="shared" si="3"/>
        <v>0</v>
      </c>
      <c r="P33" s="177"/>
      <c r="Q33" s="87">
        <f t="shared" si="3"/>
        <v>0</v>
      </c>
      <c r="R33" s="177"/>
      <c r="S33" s="87">
        <f t="shared" si="3"/>
        <v>0</v>
      </c>
      <c r="T33" s="177"/>
      <c r="U33" s="87">
        <f t="shared" si="3"/>
        <v>0</v>
      </c>
      <c r="V33" s="177"/>
      <c r="W33" s="87">
        <f t="shared" si="3"/>
        <v>0</v>
      </c>
      <c r="X33" s="177"/>
      <c r="Y33" s="87">
        <f t="shared" si="3"/>
        <v>0</v>
      </c>
      <c r="Z33" s="177"/>
      <c r="AA33" s="173"/>
    </row>
    <row r="34" spans="1:27" ht="15.75">
      <c r="A34" s="2" t="s">
        <v>322</v>
      </c>
      <c r="B34" s="176">
        <v>825632</v>
      </c>
      <c r="C34" s="87">
        <f t="shared" si="3"/>
        <v>1846368</v>
      </c>
      <c r="D34" s="238">
        <f>[1]Medidores!$E$31</f>
        <v>2672000</v>
      </c>
      <c r="E34" s="87">
        <f t="shared" si="3"/>
        <v>100000</v>
      </c>
      <c r="F34" s="177">
        <f t="shared" si="4"/>
        <v>2772000</v>
      </c>
      <c r="G34" s="87">
        <f t="shared" si="3"/>
        <v>-2772000</v>
      </c>
      <c r="H34" s="177"/>
      <c r="I34" s="87">
        <f t="shared" si="3"/>
        <v>0</v>
      </c>
      <c r="J34" s="177"/>
      <c r="K34" s="87">
        <f t="shared" si="3"/>
        <v>0</v>
      </c>
      <c r="L34" s="177"/>
      <c r="M34" s="87">
        <f t="shared" si="3"/>
        <v>0</v>
      </c>
      <c r="N34" s="177"/>
      <c r="O34" s="87">
        <f t="shared" si="3"/>
        <v>0</v>
      </c>
      <c r="P34" s="177"/>
      <c r="Q34" s="87">
        <f t="shared" si="3"/>
        <v>0</v>
      </c>
      <c r="R34" s="177"/>
      <c r="S34" s="87">
        <f t="shared" si="3"/>
        <v>0</v>
      </c>
      <c r="T34" s="177"/>
      <c r="U34" s="87">
        <f t="shared" si="3"/>
        <v>0</v>
      </c>
      <c r="V34" s="177"/>
      <c r="W34" s="87">
        <f t="shared" si="3"/>
        <v>0</v>
      </c>
      <c r="X34" s="177"/>
      <c r="Y34" s="87">
        <f t="shared" si="3"/>
        <v>0</v>
      </c>
      <c r="Z34" s="177"/>
      <c r="AA34" s="173"/>
    </row>
    <row r="35" spans="1:27" ht="15.75">
      <c r="A35" s="2" t="s">
        <v>323</v>
      </c>
      <c r="B35" s="176">
        <v>1331392</v>
      </c>
      <c r="C35" s="87">
        <f t="shared" si="3"/>
        <v>3010496</v>
      </c>
      <c r="D35" s="238">
        <f>[1]Medidores!$E$32</f>
        <v>4341888</v>
      </c>
      <c r="E35" s="87">
        <f t="shared" si="3"/>
        <v>100000</v>
      </c>
      <c r="F35" s="177">
        <f t="shared" si="4"/>
        <v>4441888</v>
      </c>
      <c r="G35" s="87">
        <f t="shared" si="3"/>
        <v>-4441888</v>
      </c>
      <c r="H35" s="177"/>
      <c r="I35" s="87">
        <f t="shared" si="3"/>
        <v>0</v>
      </c>
      <c r="J35" s="177"/>
      <c r="K35" s="87">
        <f t="shared" si="3"/>
        <v>0</v>
      </c>
      <c r="L35" s="177"/>
      <c r="M35" s="87">
        <f t="shared" si="3"/>
        <v>0</v>
      </c>
      <c r="N35" s="177"/>
      <c r="O35" s="87">
        <f t="shared" si="3"/>
        <v>0</v>
      </c>
      <c r="P35" s="177"/>
      <c r="Q35" s="87">
        <f t="shared" si="3"/>
        <v>0</v>
      </c>
      <c r="R35" s="177"/>
      <c r="S35" s="87">
        <f t="shared" si="3"/>
        <v>0</v>
      </c>
      <c r="T35" s="177"/>
      <c r="U35" s="87">
        <f t="shared" si="3"/>
        <v>0</v>
      </c>
      <c r="V35" s="177"/>
      <c r="W35" s="87">
        <f t="shared" si="3"/>
        <v>0</v>
      </c>
      <c r="X35" s="177"/>
      <c r="Y35" s="87">
        <f t="shared" si="3"/>
        <v>0</v>
      </c>
      <c r="Z35" s="177"/>
    </row>
    <row r="36" spans="1:27" ht="15.75">
      <c r="A36" s="2" t="s">
        <v>324</v>
      </c>
      <c r="B36" s="176">
        <v>896592</v>
      </c>
      <c r="C36" s="87">
        <f t="shared" si="3"/>
        <v>1982320</v>
      </c>
      <c r="D36" s="238">
        <f>[1]Medidores!$E$33</f>
        <v>2878912</v>
      </c>
      <c r="E36" s="87">
        <f t="shared" si="3"/>
        <v>100000</v>
      </c>
      <c r="F36" s="177">
        <f t="shared" si="4"/>
        <v>2978912</v>
      </c>
      <c r="G36" s="87">
        <f t="shared" si="3"/>
        <v>-2978912</v>
      </c>
      <c r="H36" s="177"/>
      <c r="I36" s="87">
        <f t="shared" si="3"/>
        <v>0</v>
      </c>
      <c r="J36" s="177"/>
      <c r="K36" s="87">
        <f t="shared" si="3"/>
        <v>0</v>
      </c>
      <c r="L36" s="177"/>
      <c r="M36" s="87">
        <f t="shared" si="3"/>
        <v>0</v>
      </c>
      <c r="N36" s="177"/>
      <c r="O36" s="87">
        <f t="shared" si="3"/>
        <v>0</v>
      </c>
      <c r="P36" s="177"/>
      <c r="Q36" s="87">
        <f t="shared" si="3"/>
        <v>0</v>
      </c>
      <c r="R36" s="177"/>
      <c r="S36" s="87">
        <f t="shared" si="3"/>
        <v>0</v>
      </c>
      <c r="T36" s="177"/>
      <c r="U36" s="87">
        <f t="shared" si="3"/>
        <v>0</v>
      </c>
      <c r="V36" s="177"/>
      <c r="W36" s="87">
        <f t="shared" si="3"/>
        <v>0</v>
      </c>
      <c r="X36" s="177"/>
      <c r="Y36" s="87">
        <f t="shared" si="3"/>
        <v>0</v>
      </c>
      <c r="Z36" s="177"/>
    </row>
    <row r="37" spans="1:27" ht="15.75">
      <c r="A37" s="2" t="s">
        <v>325</v>
      </c>
      <c r="B37" s="176">
        <v>911152</v>
      </c>
      <c r="C37" s="87">
        <f t="shared" si="3"/>
        <v>2019792</v>
      </c>
      <c r="D37" s="238">
        <f>[1]Medidores!$E$34</f>
        <v>2930944</v>
      </c>
      <c r="E37" s="87">
        <f t="shared" si="3"/>
        <v>100000</v>
      </c>
      <c r="F37" s="177">
        <f t="shared" si="4"/>
        <v>3030944</v>
      </c>
      <c r="G37" s="87">
        <f t="shared" si="3"/>
        <v>-3030944</v>
      </c>
      <c r="H37" s="177"/>
      <c r="I37" s="87">
        <f t="shared" si="3"/>
        <v>0</v>
      </c>
      <c r="J37" s="177"/>
      <c r="K37" s="87">
        <f t="shared" si="3"/>
        <v>0</v>
      </c>
      <c r="L37" s="177"/>
      <c r="M37" s="87">
        <f t="shared" si="3"/>
        <v>0</v>
      </c>
      <c r="N37" s="177"/>
      <c r="O37" s="87">
        <f t="shared" si="3"/>
        <v>0</v>
      </c>
      <c r="P37" s="177"/>
      <c r="Q37" s="87">
        <f t="shared" si="3"/>
        <v>0</v>
      </c>
      <c r="R37" s="177"/>
      <c r="S37" s="87">
        <f t="shared" si="3"/>
        <v>0</v>
      </c>
      <c r="T37" s="177"/>
      <c r="U37" s="87">
        <f t="shared" si="3"/>
        <v>0</v>
      </c>
      <c r="V37" s="177"/>
      <c r="W37" s="87">
        <f t="shared" si="3"/>
        <v>0</v>
      </c>
      <c r="X37" s="177"/>
      <c r="Y37" s="87">
        <f t="shared" si="3"/>
        <v>0</v>
      </c>
      <c r="Z37" s="177"/>
    </row>
    <row r="38" spans="1:27" ht="15.75">
      <c r="A38" s="2" t="s">
        <v>326</v>
      </c>
      <c r="B38" s="176">
        <v>6529536</v>
      </c>
      <c r="C38" s="87">
        <f t="shared" si="3"/>
        <v>144911</v>
      </c>
      <c r="D38" s="238">
        <f>[1]Medidores!$E$35</f>
        <v>6674447</v>
      </c>
      <c r="E38" s="87">
        <f t="shared" si="3"/>
        <v>100000</v>
      </c>
      <c r="F38" s="177">
        <f t="shared" si="4"/>
        <v>6774447</v>
      </c>
      <c r="G38" s="87">
        <f t="shared" si="3"/>
        <v>-6774447</v>
      </c>
      <c r="H38" s="177"/>
      <c r="I38" s="87">
        <f t="shared" si="3"/>
        <v>0</v>
      </c>
      <c r="J38" s="177"/>
      <c r="K38" s="87">
        <f t="shared" si="3"/>
        <v>0</v>
      </c>
      <c r="L38" s="177"/>
      <c r="M38" s="87">
        <f t="shared" si="3"/>
        <v>0</v>
      </c>
      <c r="N38" s="177"/>
      <c r="O38" s="87">
        <f t="shared" si="3"/>
        <v>0</v>
      </c>
      <c r="P38" s="177"/>
      <c r="Q38" s="87">
        <f t="shared" si="3"/>
        <v>0</v>
      </c>
      <c r="R38" s="177"/>
      <c r="S38" s="87">
        <f t="shared" si="3"/>
        <v>0</v>
      </c>
      <c r="T38" s="177"/>
      <c r="U38" s="87">
        <f t="shared" si="3"/>
        <v>0</v>
      </c>
      <c r="V38" s="177"/>
      <c r="W38" s="87">
        <f t="shared" si="3"/>
        <v>0</v>
      </c>
      <c r="X38" s="177"/>
      <c r="Y38" s="87">
        <f t="shared" si="3"/>
        <v>0</v>
      </c>
      <c r="Z38" s="177"/>
    </row>
    <row r="39" spans="1:27" ht="15.75">
      <c r="A39" s="2" t="s">
        <v>27</v>
      </c>
      <c r="B39" s="174"/>
      <c r="C39" s="119">
        <f>C38</f>
        <v>144911</v>
      </c>
      <c r="D39" s="174"/>
      <c r="E39" s="119">
        <f>E38</f>
        <v>100000</v>
      </c>
      <c r="F39" s="177">
        <f t="shared" si="4"/>
        <v>100000</v>
      </c>
      <c r="G39" s="119">
        <f>G38</f>
        <v>-6774447</v>
      </c>
      <c r="H39" s="174"/>
      <c r="I39" s="119">
        <f>I38</f>
        <v>0</v>
      </c>
      <c r="J39" s="174"/>
      <c r="K39" s="119">
        <f>K38</f>
        <v>0</v>
      </c>
      <c r="L39" s="174"/>
      <c r="M39" s="119">
        <f>M38</f>
        <v>0</v>
      </c>
      <c r="N39" s="174"/>
      <c r="O39" s="119">
        <f>O38</f>
        <v>0</v>
      </c>
      <c r="P39" s="174"/>
      <c r="Q39" s="119">
        <f>Q38</f>
        <v>0</v>
      </c>
      <c r="R39" s="174"/>
      <c r="S39" s="119">
        <f>S38</f>
        <v>0</v>
      </c>
      <c r="T39" s="174"/>
      <c r="U39" s="119">
        <f>U38</f>
        <v>0</v>
      </c>
      <c r="V39" s="174"/>
      <c r="W39" s="119">
        <f>W38</f>
        <v>0</v>
      </c>
      <c r="X39" s="174"/>
      <c r="Y39" s="119">
        <f>Y38</f>
        <v>0</v>
      </c>
      <c r="Z39" s="174"/>
    </row>
    <row r="40" spans="1:27" ht="15.75">
      <c r="A40" s="2" t="s">
        <v>360</v>
      </c>
      <c r="B40" s="176">
        <v>20152832</v>
      </c>
      <c r="C40" s="87">
        <f>(D40-B40)</f>
        <v>841728</v>
      </c>
      <c r="D40" s="238">
        <f>[1]Medidores!$E$37</f>
        <v>20994560</v>
      </c>
      <c r="E40" s="87">
        <f>(F40-D40)</f>
        <v>100000</v>
      </c>
      <c r="F40" s="177">
        <f t="shared" si="4"/>
        <v>21094560</v>
      </c>
      <c r="G40" s="87">
        <f>(H40-F40)</f>
        <v>-21094560</v>
      </c>
      <c r="H40" s="177"/>
      <c r="I40" s="87">
        <f>(J40-H40)</f>
        <v>0</v>
      </c>
      <c r="J40" s="177"/>
      <c r="K40" s="87">
        <f>(L40-J40)</f>
        <v>0</v>
      </c>
      <c r="L40" s="177"/>
      <c r="M40" s="87">
        <f>(N40-L40)</f>
        <v>0</v>
      </c>
      <c r="N40" s="177"/>
      <c r="O40" s="87">
        <f>(P40-N40)</f>
        <v>0</v>
      </c>
      <c r="P40" s="177"/>
      <c r="Q40" s="87">
        <f>(R40-P40)</f>
        <v>0</v>
      </c>
      <c r="R40" s="177"/>
      <c r="S40" s="87">
        <f>(T40-R40)</f>
        <v>0</v>
      </c>
      <c r="T40" s="177"/>
      <c r="U40" s="87">
        <f>(V40-T40)</f>
        <v>0</v>
      </c>
      <c r="V40" s="177"/>
      <c r="W40" s="87">
        <f>(X40-V40)</f>
        <v>0</v>
      </c>
      <c r="X40" s="177"/>
      <c r="Y40" s="87">
        <f>(Z40-X40)</f>
        <v>0</v>
      </c>
      <c r="Z40" s="177"/>
    </row>
    <row r="41" spans="1:27" ht="15.75">
      <c r="A41" s="2" t="s">
        <v>29</v>
      </c>
      <c r="B41" s="176">
        <v>37116704</v>
      </c>
      <c r="C41" s="87">
        <f>(D41-B41)</f>
        <v>2763692</v>
      </c>
      <c r="D41" s="238">
        <f>[1]Medidores!$E$38</f>
        <v>39880396</v>
      </c>
      <c r="E41" s="87">
        <f>(F41-D41)</f>
        <v>100000</v>
      </c>
      <c r="F41" s="177">
        <f t="shared" si="4"/>
        <v>39980396</v>
      </c>
      <c r="G41" s="87">
        <f>(H41-F41)</f>
        <v>-39980396</v>
      </c>
      <c r="H41" s="177"/>
      <c r="I41" s="87">
        <f>(J41-H41)</f>
        <v>0</v>
      </c>
      <c r="J41" s="177"/>
      <c r="K41" s="87">
        <f>(L41-J41)</f>
        <v>0</v>
      </c>
      <c r="L41" s="177"/>
      <c r="M41" s="87">
        <f>(N41-L41)</f>
        <v>0</v>
      </c>
      <c r="N41" s="177"/>
      <c r="O41" s="87">
        <f>(P41-N41)</f>
        <v>0</v>
      </c>
      <c r="P41" s="177"/>
      <c r="Q41" s="87">
        <f>(R41-P41)</f>
        <v>0</v>
      </c>
      <c r="R41" s="177"/>
      <c r="S41" s="87">
        <f>(T41-R41)</f>
        <v>0</v>
      </c>
      <c r="T41" s="177"/>
      <c r="U41" s="87">
        <f>(V41-T41)</f>
        <v>0</v>
      </c>
      <c r="V41" s="177"/>
      <c r="W41" s="87">
        <f>(X41-V41)</f>
        <v>0</v>
      </c>
      <c r="X41" s="177"/>
      <c r="Y41" s="87">
        <f>(Z41-X41)</f>
        <v>0</v>
      </c>
      <c r="Z41" s="177"/>
    </row>
    <row r="42" spans="1:27" ht="15.75">
      <c r="A42" s="2" t="s">
        <v>17</v>
      </c>
      <c r="B42" s="176">
        <v>10387843</v>
      </c>
      <c r="C42" s="87">
        <f>(D42-B42)</f>
        <v>324328</v>
      </c>
      <c r="D42" s="238">
        <f>[1]Medidores!$E$39</f>
        <v>10712171</v>
      </c>
      <c r="E42" s="87">
        <f>(F42-D42)</f>
        <v>100000</v>
      </c>
      <c r="F42" s="177">
        <f t="shared" si="4"/>
        <v>10812171</v>
      </c>
      <c r="G42" s="87">
        <f>(H42-F42)</f>
        <v>-10812171</v>
      </c>
      <c r="H42" s="177"/>
      <c r="I42" s="87">
        <f>(J42-H42)</f>
        <v>0</v>
      </c>
      <c r="J42" s="177"/>
      <c r="K42" s="87">
        <f>(L42-J42)</f>
        <v>0</v>
      </c>
      <c r="L42" s="177"/>
      <c r="M42" s="87">
        <f>(N42-L42)</f>
        <v>0</v>
      </c>
      <c r="N42" s="177"/>
      <c r="O42" s="87">
        <f>(P42-N42)</f>
        <v>0</v>
      </c>
      <c r="P42" s="177"/>
      <c r="Q42" s="87">
        <f>(R42-P42)</f>
        <v>0</v>
      </c>
      <c r="R42" s="177"/>
      <c r="S42" s="87">
        <f>(T42-R42)</f>
        <v>0</v>
      </c>
      <c r="T42" s="177"/>
      <c r="U42" s="87">
        <f>(V42-T42)</f>
        <v>0</v>
      </c>
      <c r="V42" s="174"/>
      <c r="W42" s="87">
        <f>(X42-V42)</f>
        <v>0</v>
      </c>
      <c r="X42" s="177"/>
      <c r="Y42" s="87">
        <f>(Z42-X42)</f>
        <v>0</v>
      </c>
      <c r="Z42" s="177"/>
    </row>
    <row r="43" spans="1:27" ht="15.75">
      <c r="A43" s="2" t="s">
        <v>18</v>
      </c>
      <c r="B43" s="176">
        <v>54480932</v>
      </c>
      <c r="C43" s="87">
        <f>(D43-B43)</f>
        <v>4233388</v>
      </c>
      <c r="D43" s="238">
        <f>[1]Medidores!$E$40</f>
        <v>58714320</v>
      </c>
      <c r="E43" s="87">
        <f>(F43-D43)</f>
        <v>100000</v>
      </c>
      <c r="F43" s="177">
        <f t="shared" si="4"/>
        <v>58814320</v>
      </c>
      <c r="G43" s="87">
        <f>(H43-F43)</f>
        <v>-58814320</v>
      </c>
      <c r="H43" s="177"/>
      <c r="I43" s="87">
        <f>(J43-H43)</f>
        <v>0</v>
      </c>
      <c r="J43" s="177"/>
      <c r="K43" s="87">
        <f>(L43-J43)</f>
        <v>0</v>
      </c>
      <c r="L43" s="177"/>
      <c r="M43" s="87">
        <f>(N43-L43)</f>
        <v>0</v>
      </c>
      <c r="N43" s="177"/>
      <c r="O43" s="87">
        <f>(P43-N43)</f>
        <v>0</v>
      </c>
      <c r="P43" s="177"/>
      <c r="Q43" s="87">
        <f>(R43-P43)</f>
        <v>0</v>
      </c>
      <c r="R43" s="177"/>
      <c r="S43" s="87">
        <f>(T43-R43)</f>
        <v>0</v>
      </c>
      <c r="T43" s="177"/>
      <c r="U43" s="87">
        <f>(V43-T43)</f>
        <v>0</v>
      </c>
      <c r="V43" s="174"/>
      <c r="W43" s="87">
        <f>(X43-V43)</f>
        <v>0</v>
      </c>
      <c r="X43" s="177"/>
      <c r="Y43" s="87">
        <f>(Z43-X43)</f>
        <v>0</v>
      </c>
      <c r="Z43" s="177"/>
    </row>
    <row r="44" spans="1:27" ht="15.75">
      <c r="A44" s="2" t="s">
        <v>25</v>
      </c>
      <c r="B44" s="176">
        <v>41680504</v>
      </c>
      <c r="C44" s="87">
        <f>(D44-B44)</f>
        <v>1213940</v>
      </c>
      <c r="D44" s="238">
        <f>[1]Medidores!$E$41</f>
        <v>42894444</v>
      </c>
      <c r="E44" s="87">
        <f>(F44-D44)</f>
        <v>100000</v>
      </c>
      <c r="F44" s="177">
        <f t="shared" si="4"/>
        <v>42994444</v>
      </c>
      <c r="G44" s="87">
        <f>(H44-F44)</f>
        <v>-42994444</v>
      </c>
      <c r="H44" s="177"/>
      <c r="I44" s="87">
        <f>(J44-H44)</f>
        <v>0</v>
      </c>
      <c r="J44" s="177"/>
      <c r="K44" s="87">
        <f>(L44-J44)</f>
        <v>0</v>
      </c>
      <c r="L44" s="177"/>
      <c r="M44" s="87">
        <f>(N44-L44)</f>
        <v>0</v>
      </c>
      <c r="N44" s="177"/>
      <c r="O44" s="87">
        <f>(P44-N44)</f>
        <v>0</v>
      </c>
      <c r="P44" s="177"/>
      <c r="Q44" s="87">
        <f>(R44-P44)</f>
        <v>0</v>
      </c>
      <c r="R44" s="177"/>
      <c r="S44" s="87">
        <f>(T44-R44)</f>
        <v>0</v>
      </c>
      <c r="T44" s="177"/>
      <c r="U44" s="87">
        <f>(V44-T44)</f>
        <v>0</v>
      </c>
      <c r="V44" s="174"/>
      <c r="W44" s="87">
        <f>(X44-V44)</f>
        <v>0</v>
      </c>
      <c r="X44" s="177"/>
      <c r="Y44" s="87">
        <f>(Z44-X44)</f>
        <v>0</v>
      </c>
      <c r="Z44" s="177"/>
    </row>
    <row r="45" spans="1:27" ht="15.75">
      <c r="A45" s="156" t="s">
        <v>356</v>
      </c>
      <c r="C45" s="169">
        <f>SUM(C32:C44)</f>
        <v>21955874</v>
      </c>
      <c r="E45" s="169">
        <f>SUM(E32:E44)</f>
        <v>1300000</v>
      </c>
      <c r="G45" s="169">
        <f>SUM(G32:G44)</f>
        <v>-205554193</v>
      </c>
      <c r="I45" s="169">
        <f>SUM(I32:I44)</f>
        <v>0</v>
      </c>
      <c r="K45" s="169">
        <f>SUM(K32:K44)</f>
        <v>0</v>
      </c>
      <c r="M45" s="169">
        <f>SUM(M32:M44)</f>
        <v>0</v>
      </c>
      <c r="O45" s="169">
        <f>SUM(O32:O44)</f>
        <v>0</v>
      </c>
      <c r="Q45" s="169">
        <f>SUM(Q32:Q44)</f>
        <v>0</v>
      </c>
      <c r="S45" s="169">
        <f>SUM(S32:S44)</f>
        <v>0</v>
      </c>
      <c r="U45" s="169">
        <f>SUM(U32:U44)</f>
        <v>0</v>
      </c>
      <c r="W45" s="169">
        <f>SUM(W32:W44)</f>
        <v>0</v>
      </c>
      <c r="Y45" s="169">
        <f>SUM(Y32:Y44)</f>
        <v>0</v>
      </c>
    </row>
    <row r="46" spans="1:27">
      <c r="O46" s="226">
        <v>21515264</v>
      </c>
      <c r="P46" s="227"/>
      <c r="V46" s="187"/>
    </row>
    <row r="47" spans="1:27" ht="15.75">
      <c r="A47" s="2" t="s">
        <v>26</v>
      </c>
      <c r="B47" s="172"/>
      <c r="C47" s="87">
        <f>D47</f>
        <v>0</v>
      </c>
      <c r="D47" s="172"/>
      <c r="E47" s="87">
        <f>F47</f>
        <v>0</v>
      </c>
      <c r="F47" s="172"/>
      <c r="G47" s="87">
        <f>H47</f>
        <v>0</v>
      </c>
      <c r="H47" s="172"/>
      <c r="I47" s="87">
        <f>J47</f>
        <v>0</v>
      </c>
      <c r="J47" s="172"/>
      <c r="K47" s="87">
        <f>L47</f>
        <v>0</v>
      </c>
      <c r="L47" s="172"/>
      <c r="M47" s="87">
        <f>N47</f>
        <v>0</v>
      </c>
      <c r="N47" s="172"/>
      <c r="O47" s="87">
        <f>P47</f>
        <v>0</v>
      </c>
      <c r="P47" s="172"/>
      <c r="Q47" s="87">
        <f>R47</f>
        <v>0</v>
      </c>
      <c r="R47" s="172"/>
      <c r="S47" s="87">
        <f>T47</f>
        <v>0</v>
      </c>
      <c r="T47" s="172"/>
      <c r="U47" s="87">
        <f>V47</f>
        <v>0</v>
      </c>
      <c r="V47" s="172"/>
      <c r="W47" s="87">
        <f>X47</f>
        <v>0</v>
      </c>
      <c r="X47" s="172"/>
      <c r="Y47" s="87">
        <f>Z47</f>
        <v>0</v>
      </c>
      <c r="Z47" s="172"/>
    </row>
    <row r="48" spans="1:27" ht="15.75">
      <c r="A48" s="2" t="s">
        <v>30</v>
      </c>
      <c r="B48" s="172"/>
      <c r="C48" s="87">
        <f>C27+C28</f>
        <v>680</v>
      </c>
      <c r="D48" s="172"/>
      <c r="E48" s="87">
        <f>E27+E28</f>
        <v>34320</v>
      </c>
      <c r="F48" s="172"/>
      <c r="G48" s="87">
        <f>G27+G28</f>
        <v>-5276190</v>
      </c>
      <c r="H48" s="172"/>
      <c r="I48" s="87">
        <f>I27+I28</f>
        <v>0</v>
      </c>
      <c r="J48" s="172"/>
      <c r="K48" s="87">
        <f>K27+K28</f>
        <v>0</v>
      </c>
      <c r="L48" s="172"/>
      <c r="M48" s="87">
        <f>M27+M28</f>
        <v>0</v>
      </c>
      <c r="N48" s="172"/>
      <c r="O48" s="87">
        <f>O27+O28</f>
        <v>0</v>
      </c>
      <c r="P48" s="172"/>
      <c r="Q48" s="87">
        <f>Q27+Q28</f>
        <v>0</v>
      </c>
      <c r="R48" s="172"/>
      <c r="S48" s="87">
        <f>S27+S28</f>
        <v>0</v>
      </c>
      <c r="T48" s="172"/>
      <c r="U48" s="87">
        <f>U27+U28</f>
        <v>0</v>
      </c>
      <c r="V48" s="172"/>
      <c r="W48" s="87">
        <f>W27+W28</f>
        <v>0</v>
      </c>
      <c r="X48" s="172"/>
      <c r="Y48" s="87">
        <f>Y27+Y28</f>
        <v>0</v>
      </c>
      <c r="Z48" s="172"/>
    </row>
    <row r="49" spans="1:26" ht="15.75">
      <c r="A49" s="2" t="s">
        <v>179</v>
      </c>
      <c r="B49" s="172"/>
      <c r="C49" s="87">
        <f>D49</f>
        <v>28281009.87555594</v>
      </c>
      <c r="D49" s="172">
        <f>[2]DATOS!$B$3013</f>
        <v>28281009.87555594</v>
      </c>
      <c r="E49" s="87">
        <f>F49</f>
        <v>3000000</v>
      </c>
      <c r="F49" s="172">
        <v>3000000</v>
      </c>
      <c r="G49" s="87">
        <f>H49</f>
        <v>0</v>
      </c>
      <c r="H49" s="172"/>
      <c r="I49" s="87">
        <f>J49</f>
        <v>0</v>
      </c>
      <c r="J49" s="172"/>
      <c r="K49" s="87">
        <f>L49</f>
        <v>0</v>
      </c>
      <c r="L49" s="172"/>
      <c r="M49" s="87">
        <f>N49</f>
        <v>0</v>
      </c>
      <c r="N49" s="172"/>
      <c r="O49" s="87">
        <f>P49</f>
        <v>0</v>
      </c>
      <c r="P49" s="172"/>
      <c r="Q49" s="87">
        <f>R49</f>
        <v>0</v>
      </c>
      <c r="R49" s="172"/>
      <c r="S49" s="87">
        <f>T49</f>
        <v>0</v>
      </c>
      <c r="T49" s="172"/>
      <c r="U49" s="87">
        <f>V49</f>
        <v>0</v>
      </c>
      <c r="V49" s="172"/>
      <c r="W49" s="87">
        <f>X49</f>
        <v>0</v>
      </c>
      <c r="X49" s="172"/>
      <c r="Y49" s="87">
        <f>Z49</f>
        <v>0</v>
      </c>
      <c r="Z49" s="172"/>
    </row>
    <row r="50" spans="1:26">
      <c r="A50" s="5" t="s">
        <v>31</v>
      </c>
      <c r="B50" s="170"/>
      <c r="C50" s="87">
        <f>SUM(C3:C23)+SUM(C32:C44)</f>
        <v>28038267</v>
      </c>
      <c r="D50" s="4"/>
      <c r="E50" s="87">
        <f>SUM(E3:E23)+SUM(E32:E44)</f>
        <v>2820000</v>
      </c>
      <c r="F50" s="168"/>
      <c r="G50" s="87">
        <f>SUM(G3:G23)+SUM(G32:G44)</f>
        <v>-380779409</v>
      </c>
      <c r="H50" s="4"/>
      <c r="I50" s="87">
        <f>SUM(I3:I23)+SUM(I32:I44)</f>
        <v>0</v>
      </c>
      <c r="J50" s="170"/>
      <c r="K50" s="87">
        <f>SUM(K3:K23)+SUM(K32:K44)</f>
        <v>0</v>
      </c>
      <c r="L50" s="170"/>
      <c r="M50" s="87">
        <f>SUM(M3:M23)+SUM(M32:M44)</f>
        <v>0</v>
      </c>
      <c r="N50" s="170"/>
      <c r="O50" s="87">
        <f>SUM(O3:O23)+SUM(O32:O44)</f>
        <v>0</v>
      </c>
      <c r="P50" s="170"/>
      <c r="Q50" s="87">
        <f>SUM(Q3:Q23)+SUM(Q32:Q44)</f>
        <v>0</v>
      </c>
      <c r="R50" s="171"/>
      <c r="S50" s="87">
        <f>SUM(S3:S23)+SUM(S32:S44)</f>
        <v>0</v>
      </c>
      <c r="T50" s="171"/>
      <c r="U50" s="87">
        <f>SUM(U3:U23)+SUM(U32:U44)</f>
        <v>0</v>
      </c>
      <c r="V50" s="170"/>
      <c r="W50" s="87">
        <f>SUM(W3:W23)+SUM(W32:W44)</f>
        <v>0</v>
      </c>
      <c r="X50" s="3"/>
      <c r="Y50" s="87">
        <f>SUM(Y3:Y23)+SUM(Y32:Y44)</f>
        <v>0</v>
      </c>
      <c r="Z50" s="170"/>
    </row>
    <row r="51" spans="1:26">
      <c r="A51" s="6" t="s">
        <v>148</v>
      </c>
      <c r="B51" s="6"/>
      <c r="C51" s="7">
        <f>C49-C52</f>
        <v>243422.87555593997</v>
      </c>
      <c r="D51" s="7"/>
      <c r="E51" s="7">
        <f>E49-E52</f>
        <v>214320</v>
      </c>
      <c r="F51" s="7"/>
      <c r="G51" s="7">
        <f>G49-G52</f>
        <v>375503219</v>
      </c>
      <c r="H51" s="7" t="s">
        <v>32</v>
      </c>
      <c r="I51" s="7">
        <f>I49-I52</f>
        <v>0</v>
      </c>
      <c r="J51" s="7"/>
      <c r="K51" s="7">
        <f>K49-K52</f>
        <v>0</v>
      </c>
      <c r="L51" s="7"/>
      <c r="M51" s="7">
        <f>M49-M52</f>
        <v>0</v>
      </c>
      <c r="N51" s="7"/>
      <c r="O51" s="7">
        <f>O49-O52</f>
        <v>0</v>
      </c>
      <c r="P51" s="7"/>
      <c r="Q51" s="7">
        <f>Q49-Q52</f>
        <v>0</v>
      </c>
      <c r="R51" s="7"/>
      <c r="S51" s="7">
        <f>S49-S52</f>
        <v>0</v>
      </c>
      <c r="T51" s="7"/>
      <c r="U51" s="7">
        <f>U49-U52</f>
        <v>0</v>
      </c>
      <c r="V51" s="7"/>
      <c r="W51" s="7">
        <f>W49-W52</f>
        <v>0</v>
      </c>
      <c r="X51" s="7"/>
      <c r="Y51" s="7">
        <f>Y49-Y52</f>
        <v>0</v>
      </c>
      <c r="Z51" s="7"/>
    </row>
    <row r="52" spans="1:26" ht="13.5" thickBot="1">
      <c r="A52" s="6" t="s">
        <v>348</v>
      </c>
      <c r="B52" s="6"/>
      <c r="C52" s="7">
        <f>C50-C48</f>
        <v>28037587</v>
      </c>
      <c r="D52" s="7"/>
      <c r="E52" s="7">
        <f>E50-E48</f>
        <v>2785680</v>
      </c>
      <c r="F52" s="7"/>
      <c r="G52" s="7">
        <f>G50-G48</f>
        <v>-375503219</v>
      </c>
      <c r="I52" s="7">
        <f>I50-I48</f>
        <v>0</v>
      </c>
      <c r="J52" s="7"/>
      <c r="K52" s="7">
        <f>K50-K48</f>
        <v>0</v>
      </c>
      <c r="L52" s="7"/>
      <c r="M52" s="7">
        <f>M50-M48</f>
        <v>0</v>
      </c>
      <c r="N52" s="7"/>
      <c r="O52" s="7">
        <f>O50-O48</f>
        <v>0</v>
      </c>
      <c r="P52" s="7"/>
      <c r="Q52" s="7">
        <f>Q50-Q48</f>
        <v>0</v>
      </c>
      <c r="R52" s="7"/>
      <c r="S52" s="7">
        <f>S50-S48</f>
        <v>0</v>
      </c>
      <c r="T52" s="7"/>
      <c r="U52" s="7">
        <f>U50-U48</f>
        <v>0</v>
      </c>
      <c r="V52" s="7"/>
      <c r="W52" s="7">
        <f>W50-W48</f>
        <v>0</v>
      </c>
      <c r="X52" s="7"/>
      <c r="Y52" s="7">
        <f>Y50-Y48</f>
        <v>0</v>
      </c>
      <c r="Z52" s="7"/>
    </row>
    <row r="53" spans="1:26">
      <c r="A53" s="97" t="s">
        <v>187</v>
      </c>
      <c r="B53" s="7"/>
      <c r="C53" s="88">
        <f>(D53-B53)</f>
        <v>0</v>
      </c>
      <c r="D53" s="7"/>
      <c r="E53" s="88">
        <f>(F53-D53)</f>
        <v>0</v>
      </c>
      <c r="F53" s="7"/>
      <c r="G53" s="88">
        <f>(H53-F53)</f>
        <v>0</v>
      </c>
      <c r="H53" s="7"/>
      <c r="I53" s="88">
        <f>(J53-H53)</f>
        <v>0</v>
      </c>
      <c r="J53" s="7"/>
      <c r="K53" s="88">
        <f>(L53-J53)</f>
        <v>0</v>
      </c>
      <c r="L53" s="7"/>
      <c r="M53" s="88">
        <f>(N53-L53)</f>
        <v>0</v>
      </c>
      <c r="N53" s="7"/>
      <c r="O53" s="88">
        <f>(P53-N53)</f>
        <v>0</v>
      </c>
      <c r="P53" s="7"/>
      <c r="Q53" s="88">
        <f>(R53-P53)</f>
        <v>0</v>
      </c>
      <c r="R53" s="7"/>
      <c r="S53" s="88">
        <f>(T53-R53)</f>
        <v>0</v>
      </c>
      <c r="T53" s="7"/>
      <c r="U53" s="88">
        <f>(V53-T53)</f>
        <v>0</v>
      </c>
      <c r="V53" s="7"/>
      <c r="W53" s="88">
        <f>(X53-V53)</f>
        <v>0</v>
      </c>
      <c r="X53" s="7"/>
      <c r="Y53" s="88">
        <f>(Z53-X53)</f>
        <v>0</v>
      </c>
      <c r="Z53" s="7"/>
    </row>
    <row r="54" spans="1:26">
      <c r="A54" s="98" t="s">
        <v>188</v>
      </c>
      <c r="B54" s="7"/>
      <c r="C54" s="88">
        <f>(D54-B54)</f>
        <v>0</v>
      </c>
      <c r="D54" s="7"/>
      <c r="E54" s="88">
        <f>(F54-D54)</f>
        <v>0</v>
      </c>
      <c r="F54" s="7"/>
      <c r="G54" s="88">
        <f>(H54-F54)</f>
        <v>0</v>
      </c>
      <c r="H54" s="7"/>
      <c r="I54" s="88">
        <f>(J54-H54)</f>
        <v>0</v>
      </c>
      <c r="J54" s="7"/>
      <c r="K54" s="88">
        <f>(L54-J54)</f>
        <v>0</v>
      </c>
      <c r="L54" s="7"/>
      <c r="M54" s="88">
        <f>(N54-L54)</f>
        <v>0</v>
      </c>
      <c r="N54" s="7"/>
      <c r="O54" s="88">
        <f>(P54-N54)</f>
        <v>0</v>
      </c>
      <c r="P54" s="148"/>
      <c r="Q54" s="88">
        <f>(R54-P54)</f>
        <v>0</v>
      </c>
      <c r="R54" s="7"/>
      <c r="S54" s="88">
        <f>(T54-R54)</f>
        <v>0</v>
      </c>
      <c r="T54" s="7"/>
      <c r="U54" s="88">
        <f>(V54-T54)</f>
        <v>0</v>
      </c>
      <c r="V54" s="7"/>
      <c r="W54" s="88">
        <f>(X54-V54)</f>
        <v>0</v>
      </c>
      <c r="X54" s="7"/>
      <c r="Y54" s="88">
        <f>(Z54-X54)</f>
        <v>0</v>
      </c>
      <c r="Z54" s="7"/>
    </row>
    <row r="55" spans="1:26">
      <c r="A55" s="98" t="s">
        <v>193</v>
      </c>
      <c r="B55" s="7"/>
      <c r="C55" s="88">
        <f>(D55-B55)</f>
        <v>0</v>
      </c>
      <c r="D55" s="7"/>
      <c r="E55" s="88">
        <f>(F55-D55)</f>
        <v>0</v>
      </c>
      <c r="F55" s="7"/>
      <c r="G55" s="88">
        <f>(H55-F55)</f>
        <v>0</v>
      </c>
      <c r="H55" s="7"/>
      <c r="I55" s="88">
        <f>(J55-H55)</f>
        <v>0</v>
      </c>
      <c r="J55" s="7"/>
      <c r="K55" s="88">
        <f>(L55-J55)</f>
        <v>0</v>
      </c>
      <c r="L55" s="7"/>
      <c r="M55" s="88">
        <f>(N55-L55)</f>
        <v>0</v>
      </c>
      <c r="N55" s="7"/>
      <c r="O55" s="88">
        <f>(P55-N55)</f>
        <v>0</v>
      </c>
      <c r="P55" s="7"/>
      <c r="Q55" s="88">
        <f>(R55-P55)</f>
        <v>0</v>
      </c>
      <c r="R55" s="7"/>
      <c r="S55" s="88">
        <f>(T55-R55)</f>
        <v>0</v>
      </c>
      <c r="T55" s="7"/>
      <c r="U55" s="88">
        <f>(V55-T55)</f>
        <v>0</v>
      </c>
      <c r="V55" s="7"/>
      <c r="W55" s="88">
        <f>(X55-V55)</f>
        <v>0</v>
      </c>
      <c r="X55" s="7"/>
      <c r="Y55" s="88">
        <f>(Z55-X55)</f>
        <v>0</v>
      </c>
      <c r="Z55" s="7"/>
    </row>
    <row r="56" spans="1:26">
      <c r="A56" s="98" t="s">
        <v>191</v>
      </c>
      <c r="B56" s="7"/>
      <c r="C56" s="100">
        <f>C55-C54-C53</f>
        <v>0</v>
      </c>
      <c r="D56" s="7"/>
      <c r="E56" s="100">
        <f>E55-E54-E53</f>
        <v>0</v>
      </c>
      <c r="F56" s="7"/>
      <c r="G56" s="100">
        <f>G55-G54-G53</f>
        <v>0</v>
      </c>
      <c r="H56" s="7"/>
      <c r="I56" s="100">
        <f>I55-I54-I53</f>
        <v>0</v>
      </c>
      <c r="J56" s="7"/>
      <c r="K56" s="100">
        <f>K55-K54-K53</f>
        <v>0</v>
      </c>
      <c r="L56" s="7"/>
      <c r="M56" s="100">
        <f>M55-M54-M53</f>
        <v>0</v>
      </c>
      <c r="N56" s="7"/>
      <c r="O56" s="100">
        <f>O55-O54-O53</f>
        <v>0</v>
      </c>
      <c r="P56" s="7"/>
      <c r="Q56" s="100">
        <f>Q55-Q54-Q53</f>
        <v>0</v>
      </c>
      <c r="R56" s="7"/>
      <c r="S56" s="100">
        <f>S55-S54-S53</f>
        <v>0</v>
      </c>
      <c r="T56" s="7"/>
      <c r="U56" s="100">
        <f>U55-U54-U53</f>
        <v>0</v>
      </c>
      <c r="V56" s="7"/>
      <c r="W56" s="100">
        <f>W55-W54-W53</f>
        <v>0</v>
      </c>
      <c r="X56" s="7"/>
      <c r="Y56" s="100">
        <f>Y55-Y54-Y53</f>
        <v>0</v>
      </c>
      <c r="Z56" s="7"/>
    </row>
    <row r="57" spans="1:26">
      <c r="A57" s="98" t="s">
        <v>189</v>
      </c>
      <c r="B57" s="7"/>
      <c r="C57" s="88">
        <f>(D57-B57)</f>
        <v>0</v>
      </c>
      <c r="D57" s="7"/>
      <c r="E57" s="88">
        <f>(F57-D57)</f>
        <v>0</v>
      </c>
      <c r="F57" s="7"/>
      <c r="G57" s="88">
        <f>(H57-F57)</f>
        <v>0</v>
      </c>
      <c r="H57" s="7"/>
      <c r="I57" s="88">
        <f>(J57-H57)</f>
        <v>0</v>
      </c>
      <c r="J57" s="7"/>
      <c r="K57" s="88">
        <f>(L57-J57)</f>
        <v>0</v>
      </c>
      <c r="L57" s="7"/>
      <c r="M57" s="88">
        <f>(N57-L57)</f>
        <v>0</v>
      </c>
      <c r="N57" s="7"/>
      <c r="O57" s="88">
        <f>(P57-N57)</f>
        <v>0</v>
      </c>
      <c r="P57" s="7"/>
      <c r="Q57" s="88">
        <f>(R57-P57)</f>
        <v>0</v>
      </c>
      <c r="R57" s="7"/>
      <c r="S57" s="88">
        <f>(T57-R57)</f>
        <v>0</v>
      </c>
      <c r="T57" s="7"/>
      <c r="U57" s="88">
        <f>(V57-T57)</f>
        <v>0</v>
      </c>
      <c r="V57" s="7"/>
      <c r="W57" s="88">
        <f>(X57-V57)</f>
        <v>0</v>
      </c>
      <c r="X57" s="7"/>
      <c r="Y57" s="88">
        <f>(Z57-X57)</f>
        <v>0</v>
      </c>
      <c r="Z57" s="7"/>
    </row>
    <row r="58" spans="1:26">
      <c r="A58" s="98" t="s">
        <v>190</v>
      </c>
      <c r="B58" s="7"/>
      <c r="C58" s="88">
        <f>(D58-B58)</f>
        <v>0</v>
      </c>
      <c r="D58" s="7"/>
      <c r="E58" s="88">
        <f>(F58-D58)</f>
        <v>0</v>
      </c>
      <c r="F58" s="7"/>
      <c r="G58" s="88">
        <f>(H58-F58)</f>
        <v>0</v>
      </c>
      <c r="H58" s="7"/>
      <c r="I58" s="88">
        <f>(J58-H58)</f>
        <v>0</v>
      </c>
      <c r="J58" s="7"/>
      <c r="K58" s="88">
        <f>(L58-J58)</f>
        <v>0</v>
      </c>
      <c r="L58" s="7"/>
      <c r="M58" s="88">
        <f>(N58-L58)</f>
        <v>0</v>
      </c>
      <c r="N58" s="7"/>
      <c r="O58" s="88">
        <f>(P58-N58)</f>
        <v>0</v>
      </c>
      <c r="P58" s="7"/>
      <c r="Q58" s="88">
        <f>(R58-P58)</f>
        <v>0</v>
      </c>
      <c r="R58" s="7"/>
      <c r="S58" s="88">
        <f>(T58-R58)</f>
        <v>0</v>
      </c>
      <c r="T58" s="7"/>
      <c r="U58" s="88">
        <f>(V58-T58)</f>
        <v>0</v>
      </c>
      <c r="V58" s="7"/>
      <c r="W58" s="88">
        <f>(X58-V58)</f>
        <v>0</v>
      </c>
      <c r="X58" s="7"/>
      <c r="Y58" s="88">
        <f>(Z58-X58)</f>
        <v>0</v>
      </c>
      <c r="Z58" s="7"/>
    </row>
    <row r="59" spans="1:26">
      <c r="A59" s="98" t="s">
        <v>194</v>
      </c>
      <c r="B59" s="7"/>
      <c r="C59" s="88">
        <f>(D59-B59)</f>
        <v>0</v>
      </c>
      <c r="D59" s="7"/>
      <c r="E59" s="88">
        <f>(F59-D59)</f>
        <v>0</v>
      </c>
      <c r="F59" s="7"/>
      <c r="G59" s="88">
        <f>(H59-F59)</f>
        <v>0</v>
      </c>
      <c r="H59" s="7"/>
      <c r="I59" s="88">
        <f>(J59-H59)</f>
        <v>0</v>
      </c>
      <c r="J59" s="7"/>
      <c r="K59" s="88">
        <f>(L59-J59)</f>
        <v>0</v>
      </c>
      <c r="L59" s="7"/>
      <c r="M59" s="88">
        <f>(N59-L59)</f>
        <v>0</v>
      </c>
      <c r="N59" s="7"/>
      <c r="O59" s="88">
        <f>(P59-N59)</f>
        <v>0</v>
      </c>
      <c r="P59" s="7"/>
      <c r="Q59" s="88">
        <f>(R59-P59)</f>
        <v>0</v>
      </c>
      <c r="R59" s="7"/>
      <c r="S59" s="88">
        <f>(T59-R59)</f>
        <v>0</v>
      </c>
      <c r="T59" s="7"/>
      <c r="U59" s="88">
        <f>(V59-T59)</f>
        <v>0</v>
      </c>
      <c r="V59" s="7"/>
      <c r="W59" s="88">
        <f>(X59-V59)</f>
        <v>0</v>
      </c>
      <c r="X59" s="7"/>
      <c r="Y59" s="88">
        <f>(Z59-X59)</f>
        <v>0</v>
      </c>
      <c r="Z59" s="7"/>
    </row>
    <row r="60" spans="1:26" ht="13.5" thickBot="1">
      <c r="A60" s="99" t="s">
        <v>192</v>
      </c>
      <c r="B60" s="6"/>
      <c r="C60" s="100">
        <f>C59-C58-C57</f>
        <v>0</v>
      </c>
      <c r="D60" s="7"/>
      <c r="E60" s="100">
        <f>E59-E58-E57</f>
        <v>0</v>
      </c>
      <c r="F60" s="7"/>
      <c r="G60" s="100">
        <f>G59-G58-G57</f>
        <v>0</v>
      </c>
      <c r="H60" s="7"/>
      <c r="I60" s="100">
        <f>I59-I58-I57</f>
        <v>0</v>
      </c>
      <c r="J60" s="7"/>
      <c r="K60" s="100">
        <f>K59-K58-K57</f>
        <v>0</v>
      </c>
      <c r="L60" s="7"/>
      <c r="M60" s="100">
        <f>M59-M58-M57</f>
        <v>0</v>
      </c>
      <c r="N60" s="7"/>
      <c r="O60" s="100">
        <f>O59-O58-O57</f>
        <v>0</v>
      </c>
      <c r="P60" s="7"/>
      <c r="Q60" s="100">
        <f>Q59-Q58-Q57</f>
        <v>0</v>
      </c>
      <c r="R60" s="7"/>
      <c r="S60" s="100">
        <f>S59-S58-S57</f>
        <v>0</v>
      </c>
      <c r="T60" s="7"/>
      <c r="U60" s="100">
        <f>U59-U58-U57</f>
        <v>0</v>
      </c>
      <c r="V60" s="7"/>
      <c r="W60" s="100">
        <f>W59-W58-W57</f>
        <v>0</v>
      </c>
      <c r="X60" s="7"/>
      <c r="Y60" s="100">
        <f>Y59-Y58-Y57</f>
        <v>0</v>
      </c>
      <c r="Z60" s="7"/>
    </row>
    <row r="61" spans="1:26" ht="13.5" thickBo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8">
      <c r="A62" s="2" t="s">
        <v>38</v>
      </c>
      <c r="B62" s="241" t="s">
        <v>404</v>
      </c>
      <c r="C62" s="150" t="s">
        <v>0</v>
      </c>
      <c r="D62" s="241" t="s">
        <v>353</v>
      </c>
      <c r="E62" s="151" t="s">
        <v>1</v>
      </c>
      <c r="F62" s="8"/>
      <c r="G62" s="151" t="s">
        <v>2</v>
      </c>
      <c r="H62" s="8"/>
      <c r="I62" s="151" t="s">
        <v>3</v>
      </c>
      <c r="J62" s="8"/>
      <c r="K62" s="151" t="s">
        <v>4</v>
      </c>
      <c r="L62" s="8"/>
      <c r="M62" s="151" t="s">
        <v>5</v>
      </c>
      <c r="N62" s="8"/>
      <c r="O62" s="151" t="s">
        <v>6</v>
      </c>
      <c r="P62" s="8"/>
      <c r="Q62" s="151" t="s">
        <v>7</v>
      </c>
      <c r="R62" s="8"/>
      <c r="S62" s="151" t="s">
        <v>8</v>
      </c>
      <c r="T62" s="8"/>
      <c r="U62" s="151" t="s">
        <v>9</v>
      </c>
      <c r="V62" s="8"/>
      <c r="W62" s="151" t="s">
        <v>10</v>
      </c>
      <c r="X62" s="7"/>
      <c r="Y62" s="1" t="s">
        <v>11</v>
      </c>
      <c r="Z62" s="7"/>
    </row>
    <row r="63" spans="1:26" ht="16.5" thickBot="1">
      <c r="A63" s="2" t="s">
        <v>39</v>
      </c>
      <c r="B63" s="244"/>
      <c r="C63" s="164">
        <f>C51</f>
        <v>243422.87555593997</v>
      </c>
      <c r="D63" s="242"/>
      <c r="E63" s="3">
        <f>E51</f>
        <v>214320</v>
      </c>
      <c r="F63" s="7"/>
      <c r="G63" s="3">
        <f>G51</f>
        <v>375503219</v>
      </c>
      <c r="H63" s="7"/>
      <c r="I63" s="3">
        <f>I51</f>
        <v>0</v>
      </c>
      <c r="J63" s="7"/>
      <c r="K63" s="3">
        <f>K51</f>
        <v>0</v>
      </c>
      <c r="L63" s="7"/>
      <c r="M63" s="3">
        <f>M51</f>
        <v>0</v>
      </c>
      <c r="N63" s="7"/>
      <c r="O63" s="3">
        <f>O51</f>
        <v>0</v>
      </c>
      <c r="P63" s="7"/>
      <c r="Q63" s="3">
        <f>Q51</f>
        <v>0</v>
      </c>
      <c r="R63" s="7"/>
      <c r="S63" s="3">
        <f>S51</f>
        <v>0</v>
      </c>
      <c r="T63" s="7"/>
      <c r="U63" s="3">
        <f>U51</f>
        <v>0</v>
      </c>
      <c r="V63" s="7"/>
      <c r="W63" s="3">
        <f>W51</f>
        <v>0</v>
      </c>
      <c r="X63" s="7"/>
      <c r="Y63" s="3">
        <f>Y51</f>
        <v>0</v>
      </c>
      <c r="Z63" s="7"/>
    </row>
    <row r="64" spans="1:26" s="173" customFormat="1" ht="13.5" thickBot="1">
      <c r="A64" s="149" t="s">
        <v>341</v>
      </c>
      <c r="B64" s="245"/>
      <c r="C64" s="165">
        <f>C65+C69+C70+C75+C76+C85</f>
        <v>1357255.132666782</v>
      </c>
      <c r="D64" s="243"/>
      <c r="E64" s="161">
        <f>E65+E69+E70+E75+E76+E85</f>
        <v>538695.99999999988</v>
      </c>
      <c r="F64" s="86"/>
      <c r="G64" s="161">
        <f>G65+G69+G70+G75+G76+G85</f>
        <v>70887492.719999999</v>
      </c>
      <c r="H64" s="86"/>
      <c r="I64" s="161">
        <f>I65+I69+I70+I75+I76+I85</f>
        <v>0</v>
      </c>
      <c r="J64" s="86"/>
      <c r="K64" s="161">
        <f>K65+K69+K70+K75+K76+K85</f>
        <v>0</v>
      </c>
      <c r="L64" s="86"/>
      <c r="M64" s="161">
        <f>M65+M69+M70+M75+M76+M85</f>
        <v>0</v>
      </c>
      <c r="N64" s="86"/>
      <c r="O64" s="161">
        <f>O65+O69+O70+O75+O76+O85</f>
        <v>0</v>
      </c>
      <c r="P64" s="86"/>
      <c r="Q64" s="161">
        <f>Q65+Q69+Q70+Q75+Q76+Q85</f>
        <v>0</v>
      </c>
      <c r="R64" s="86"/>
      <c r="S64" s="161">
        <f>S65+S69+S70+S75+S76+S85</f>
        <v>0</v>
      </c>
      <c r="T64" s="86"/>
      <c r="U64" s="161">
        <f>U65+U69+U70+U75+U76+U85</f>
        <v>0</v>
      </c>
      <c r="V64" s="86"/>
      <c r="W64" s="161">
        <f>W65+W69+W70+W75+W76+W85</f>
        <v>0</v>
      </c>
      <c r="X64" s="7"/>
      <c r="Y64" s="161">
        <f>Y65+Y69+Y70+Y75+Y76+Y85</f>
        <v>0</v>
      </c>
      <c r="Z64" s="86"/>
    </row>
    <row r="65" spans="1:27" ht="15.75">
      <c r="A65" s="2" t="s">
        <v>301</v>
      </c>
      <c r="B65" s="152">
        <v>258618</v>
      </c>
      <c r="C65" s="166">
        <f>C3+C63*$D$65</f>
        <v>293108.37253335642</v>
      </c>
      <c r="D65" s="230">
        <v>0.06</v>
      </c>
      <c r="E65" s="4">
        <f>E3+E63*$D$65</f>
        <v>92859.199999999997</v>
      </c>
      <c r="F65" s="86"/>
      <c r="G65" s="4">
        <f>G3+G63*$D$65</f>
        <v>12931807.140000001</v>
      </c>
      <c r="H65" s="7"/>
      <c r="I65" s="4">
        <f>I3+I63*$D$65</f>
        <v>0</v>
      </c>
      <c r="J65" s="7"/>
      <c r="K65" s="4">
        <f>K3+K63*$D$65</f>
        <v>0</v>
      </c>
      <c r="L65" s="7"/>
      <c r="M65" s="4">
        <f>M3+M63*$D$65</f>
        <v>0</v>
      </c>
      <c r="N65" s="7"/>
      <c r="O65" s="4">
        <f>O3+O63*$D$65</f>
        <v>0</v>
      </c>
      <c r="P65" s="7"/>
      <c r="Q65" s="4">
        <f>Q3+Q63*$D$65</f>
        <v>0</v>
      </c>
      <c r="R65" s="7"/>
      <c r="S65" s="4">
        <f>S3+S63*$D$65</f>
        <v>0</v>
      </c>
      <c r="T65" s="7"/>
      <c r="U65" s="4">
        <f>U3+U63*$D$65</f>
        <v>0</v>
      </c>
      <c r="V65" s="7"/>
      <c r="W65" s="4">
        <f>W3+W63*$D$65</f>
        <v>0</v>
      </c>
      <c r="X65" s="7"/>
      <c r="Y65" s="4">
        <f>Y3+Y63*$D$65</f>
        <v>0</v>
      </c>
      <c r="Z65" s="7"/>
      <c r="AA65" s="173"/>
    </row>
    <row r="66" spans="1:27" ht="15.75">
      <c r="A66" s="2" t="s">
        <v>302</v>
      </c>
      <c r="B66" s="152">
        <v>90448</v>
      </c>
      <c r="C66" s="166">
        <f>C4+C63*$D$66</f>
        <v>82948.457511118802</v>
      </c>
      <c r="D66" s="231">
        <v>0.02</v>
      </c>
      <c r="E66" s="4">
        <f>E4+E63*$D$66</f>
        <v>84286.399999999994</v>
      </c>
      <c r="F66" s="86"/>
      <c r="G66" s="4">
        <f>G4+G63*$D$66</f>
        <v>2595376.38</v>
      </c>
      <c r="H66" s="7"/>
      <c r="I66" s="4">
        <f>I4+I63*$D$66</f>
        <v>0</v>
      </c>
      <c r="J66" s="7"/>
      <c r="K66" s="4">
        <f>K4+K63*$D$66</f>
        <v>0</v>
      </c>
      <c r="L66" s="7"/>
      <c r="M66" s="4">
        <f>M4+M63*$D$66</f>
        <v>0</v>
      </c>
      <c r="N66" s="7"/>
      <c r="O66" s="4">
        <f>O4+O63*$D$66</f>
        <v>0</v>
      </c>
      <c r="P66" s="7"/>
      <c r="Q66" s="4">
        <f>Q4+Q63*$D$66</f>
        <v>0</v>
      </c>
      <c r="R66" s="7"/>
      <c r="S66" s="4">
        <f>S4+S63*$D$66</f>
        <v>0</v>
      </c>
      <c r="T66" s="7"/>
      <c r="U66" s="4">
        <f>U4+U63*$D$66</f>
        <v>0</v>
      </c>
      <c r="V66" s="7"/>
      <c r="W66" s="4">
        <f>W4+W63*$D$66</f>
        <v>0</v>
      </c>
      <c r="X66" s="7"/>
      <c r="Y66" s="4">
        <f>Y4+Y63*$D$66</f>
        <v>0</v>
      </c>
      <c r="Z66" s="7"/>
      <c r="AA66" s="173"/>
    </row>
    <row r="67" spans="1:27" ht="15.75">
      <c r="A67" s="2" t="s">
        <v>303</v>
      </c>
      <c r="B67" s="152">
        <v>58485.447499999987</v>
      </c>
      <c r="C67" s="166">
        <f>C5+C63*$D$67</f>
        <v>46166.187511118798</v>
      </c>
      <c r="D67" s="231">
        <v>0.02</v>
      </c>
      <c r="E67" s="4">
        <f>E5+E63*$D$67</f>
        <v>9886.4</v>
      </c>
      <c r="F67" s="86"/>
      <c r="G67" s="4">
        <f>G5+G63*$D$67</f>
        <v>9953067.3599999994</v>
      </c>
      <c r="H67" s="7"/>
      <c r="I67" s="4">
        <f>I5+I63*$D$67</f>
        <v>0</v>
      </c>
      <c r="J67" s="7"/>
      <c r="K67" s="4">
        <f>K5+K63*$D$67</f>
        <v>0</v>
      </c>
      <c r="L67" s="7"/>
      <c r="M67" s="4">
        <f>M5+M63*$D$67</f>
        <v>0</v>
      </c>
      <c r="N67" s="7"/>
      <c r="O67" s="4">
        <f>O5+O63*$D$67</f>
        <v>0</v>
      </c>
      <c r="P67" s="7"/>
      <c r="Q67" s="4">
        <f>Q5+Q63*$D$67</f>
        <v>0</v>
      </c>
      <c r="R67" s="7"/>
      <c r="S67" s="4">
        <f>S5+S63*$D$67</f>
        <v>0</v>
      </c>
      <c r="T67" s="7"/>
      <c r="U67" s="4">
        <f>U5+U63*$D$67</f>
        <v>0</v>
      </c>
      <c r="V67" s="7"/>
      <c r="W67" s="4">
        <f>W5+W63*$D$67</f>
        <v>0</v>
      </c>
      <c r="X67" s="7"/>
      <c r="Y67" s="4">
        <f>Y5+Y63*$D$67</f>
        <v>0</v>
      </c>
      <c r="Z67" s="7"/>
      <c r="AA67" s="173"/>
    </row>
    <row r="68" spans="1:27" ht="15.75">
      <c r="A68" s="2" t="s">
        <v>304</v>
      </c>
      <c r="B68" s="152"/>
      <c r="C68" s="166">
        <f>C6+C63*$D$68</f>
        <v>252864</v>
      </c>
      <c r="D68" s="231">
        <v>0</v>
      </c>
      <c r="E68" s="4">
        <f>E6+E63*$D$68</f>
        <v>80000</v>
      </c>
      <c r="F68" s="86"/>
      <c r="G68" s="4">
        <f>G6+G63*$D$68</f>
        <v>-3954368</v>
      </c>
      <c r="H68" s="7"/>
      <c r="I68" s="4">
        <f>I6+I63*$D$68</f>
        <v>0</v>
      </c>
      <c r="J68" s="7"/>
      <c r="K68" s="4">
        <f>K6+K63*$D$68</f>
        <v>0</v>
      </c>
      <c r="L68" s="7"/>
      <c r="M68" s="4">
        <f>M6+M63*$D$68</f>
        <v>0</v>
      </c>
      <c r="N68" s="7"/>
      <c r="O68" s="4">
        <f>O6+O63*$D$68</f>
        <v>0</v>
      </c>
      <c r="P68" s="7"/>
      <c r="Q68" s="4">
        <f>Q6+Q63*$D$68</f>
        <v>0</v>
      </c>
      <c r="R68" s="7"/>
      <c r="S68" s="4">
        <f>S6+S63*$D$68</f>
        <v>0</v>
      </c>
      <c r="T68" s="7"/>
      <c r="U68" s="4">
        <f>U6+U63*$D$68</f>
        <v>0</v>
      </c>
      <c r="V68" s="7"/>
      <c r="W68" s="4">
        <f>W6+W63*$D$68</f>
        <v>0</v>
      </c>
      <c r="X68" s="7"/>
      <c r="Y68" s="4">
        <f>Y6+Y63*$D$68</f>
        <v>0</v>
      </c>
      <c r="Z68" s="7"/>
      <c r="AA68" s="173"/>
    </row>
    <row r="69" spans="1:27" ht="15.75">
      <c r="A69" s="2" t="s">
        <v>305</v>
      </c>
      <c r="B69" s="152">
        <v>268355</v>
      </c>
      <c r="C69" s="166">
        <f>C7+C63*$D$69</f>
        <v>295381.37253335642</v>
      </c>
      <c r="D69" s="231">
        <v>0.06</v>
      </c>
      <c r="E69" s="4">
        <f>E7+E63*$D$69</f>
        <v>92859.199999999997</v>
      </c>
      <c r="F69" s="86"/>
      <c r="G69" s="4">
        <f>G7+G63*$D$69</f>
        <v>9100136.1400000006</v>
      </c>
      <c r="H69" s="7"/>
      <c r="I69" s="4">
        <f>I7+I63*$D$69</f>
        <v>0</v>
      </c>
      <c r="J69" s="7"/>
      <c r="K69" s="4">
        <f>K7+K63*$D$69</f>
        <v>0</v>
      </c>
      <c r="L69" s="7"/>
      <c r="M69" s="4">
        <f>M7+M63*$D$69</f>
        <v>0</v>
      </c>
      <c r="N69" s="7"/>
      <c r="O69" s="4">
        <f>O7+O63*$D$69</f>
        <v>0</v>
      </c>
      <c r="P69" s="7"/>
      <c r="Q69" s="4">
        <f>Q7+Q63*$D$69</f>
        <v>0</v>
      </c>
      <c r="R69" s="7"/>
      <c r="S69" s="4">
        <f>S7+S63*$D$69</f>
        <v>0</v>
      </c>
      <c r="T69" s="7"/>
      <c r="U69" s="4">
        <f>U7+U63*$D$69</f>
        <v>0</v>
      </c>
      <c r="V69" s="7"/>
      <c r="W69" s="4">
        <f>W7+W63*$D$69</f>
        <v>0</v>
      </c>
      <c r="X69" s="7"/>
      <c r="Y69" s="4">
        <f>Y7+Y63*$D$69</f>
        <v>0</v>
      </c>
      <c r="Z69" s="7"/>
      <c r="AA69" s="173"/>
    </row>
    <row r="70" spans="1:27" ht="15.75">
      <c r="A70" s="2" t="s">
        <v>306</v>
      </c>
      <c r="B70" s="152">
        <v>245486.83333333334</v>
      </c>
      <c r="C70" s="166">
        <f>C8+C63*$D$70</f>
        <v>266215.37253335642</v>
      </c>
      <c r="D70" s="231">
        <v>0.06</v>
      </c>
      <c r="E70" s="4">
        <f>E8+E63*$D$70</f>
        <v>92859.199999999997</v>
      </c>
      <c r="F70" s="86"/>
      <c r="G70" s="4">
        <f>G8+G63*$D$70</f>
        <v>20992520.140000001</v>
      </c>
      <c r="H70" s="7"/>
      <c r="I70" s="4">
        <f>I8+I63*$D$70</f>
        <v>0</v>
      </c>
      <c r="J70" s="7"/>
      <c r="K70" s="4">
        <f>K8+K63*$D$70</f>
        <v>0</v>
      </c>
      <c r="L70" s="7"/>
      <c r="M70" s="4">
        <f>M8+M63*$D$70</f>
        <v>0</v>
      </c>
      <c r="N70" s="7"/>
      <c r="O70" s="4">
        <f>O8+O63*$D$70</f>
        <v>0</v>
      </c>
      <c r="P70" s="7"/>
      <c r="Q70" s="4">
        <f>Q8+Q63*$D$70</f>
        <v>0</v>
      </c>
      <c r="R70" s="7"/>
      <c r="S70" s="4">
        <f>S8+S63*$D$70</f>
        <v>0</v>
      </c>
      <c r="T70" s="7"/>
      <c r="U70" s="4">
        <f>U8+U63*$D$70</f>
        <v>0</v>
      </c>
      <c r="V70" s="7"/>
      <c r="W70" s="4">
        <f>W8+W63*$D$70</f>
        <v>0</v>
      </c>
      <c r="X70" s="7"/>
      <c r="Y70" s="4">
        <f>Y8+Y63*$D$70</f>
        <v>0</v>
      </c>
      <c r="Z70" s="7"/>
      <c r="AA70" s="173"/>
    </row>
    <row r="71" spans="1:27" ht="15.75">
      <c r="A71" s="2" t="s">
        <v>309</v>
      </c>
      <c r="B71" s="152">
        <v>220755.33333333334</v>
      </c>
      <c r="C71" s="166">
        <f>C9+C63*$D$71</f>
        <v>206861.37253335639</v>
      </c>
      <c r="D71" s="231">
        <v>0.06</v>
      </c>
      <c r="E71" s="4">
        <f>E9+E63*$D$71</f>
        <v>92859.199999999997</v>
      </c>
      <c r="F71" s="86"/>
      <c r="G71" s="4">
        <f>G9+G63*$D$71</f>
        <v>12327953.140000001</v>
      </c>
      <c r="H71" s="7"/>
      <c r="I71" s="4">
        <f>I9+I63*$D$71</f>
        <v>0</v>
      </c>
      <c r="J71" s="7"/>
      <c r="K71" s="4">
        <f>K9+K63*$D$71</f>
        <v>0</v>
      </c>
      <c r="L71" s="7"/>
      <c r="M71" s="4">
        <f>M9+M63*$D$71</f>
        <v>0</v>
      </c>
      <c r="N71" s="7"/>
      <c r="O71" s="4">
        <f>O9+O63*$D$71</f>
        <v>0</v>
      </c>
      <c r="P71" s="7"/>
      <c r="Q71" s="4">
        <f>Q9+Q63*$D$71</f>
        <v>0</v>
      </c>
      <c r="R71" s="7"/>
      <c r="S71" s="4">
        <f>S9+S63*$D$71</f>
        <v>0</v>
      </c>
      <c r="T71" s="7"/>
      <c r="U71" s="4">
        <f>U9+U63*$D$71</f>
        <v>0</v>
      </c>
      <c r="V71" s="7"/>
      <c r="W71" s="4">
        <f>W9+W63*$D$71</f>
        <v>0</v>
      </c>
      <c r="X71" s="7"/>
      <c r="Y71" s="4">
        <f>Y9+Y63*$D$71</f>
        <v>0</v>
      </c>
      <c r="Z71" s="7"/>
      <c r="AA71" s="173"/>
    </row>
    <row r="72" spans="1:27" ht="15.75">
      <c r="A72" s="2" t="s">
        <v>300</v>
      </c>
      <c r="B72" s="152"/>
      <c r="C72" s="166">
        <f>C10+C63*$D$72</f>
        <v>119552</v>
      </c>
      <c r="D72" s="231">
        <v>0</v>
      </c>
      <c r="E72" s="4">
        <f>E10+E63*$D$72</f>
        <v>80000</v>
      </c>
      <c r="F72" s="86"/>
      <c r="G72" s="4">
        <f>G10+G63*$D$72</f>
        <v>-9478784</v>
      </c>
      <c r="H72" s="7"/>
      <c r="I72" s="4">
        <f>I10+I63*$D$72</f>
        <v>0</v>
      </c>
      <c r="J72" s="7"/>
      <c r="K72" s="4">
        <f>K10+K63*$D$72</f>
        <v>0</v>
      </c>
      <c r="L72" s="7"/>
      <c r="M72" s="4">
        <f>M10+M63*$D$72</f>
        <v>0</v>
      </c>
      <c r="N72" s="7"/>
      <c r="O72" s="4">
        <f>O10+O63*$D$72</f>
        <v>0</v>
      </c>
      <c r="P72" s="7"/>
      <c r="Q72" s="4">
        <f>Q10+Q63*$D$72</f>
        <v>0</v>
      </c>
      <c r="R72" s="7"/>
      <c r="S72" s="4">
        <f>S10+S63*$D$72</f>
        <v>0</v>
      </c>
      <c r="T72" s="7"/>
      <c r="U72" s="4">
        <f>U10+U63*$D$72</f>
        <v>0</v>
      </c>
      <c r="V72" s="7"/>
      <c r="W72" s="4">
        <f>W10+W63*$D$72</f>
        <v>0</v>
      </c>
      <c r="X72" s="7"/>
      <c r="Y72" s="4">
        <f>Y10+Y63*$D$72</f>
        <v>0</v>
      </c>
      <c r="Z72" s="7"/>
      <c r="AA72" s="173"/>
    </row>
    <row r="73" spans="1:27" ht="15.75">
      <c r="A73" s="2" t="s">
        <v>340</v>
      </c>
      <c r="B73" s="152">
        <v>58482.583333333336</v>
      </c>
      <c r="C73" s="166">
        <f>C11+C63*$D$73</f>
        <v>71680.686266678196</v>
      </c>
      <c r="D73" s="231">
        <v>0.03</v>
      </c>
      <c r="E73" s="4">
        <f>E11+E63*$D$73</f>
        <v>86429.6</v>
      </c>
      <c r="F73" s="86"/>
      <c r="G73" s="4">
        <f>G11+G63*$D$73</f>
        <v>7151865.5700000003</v>
      </c>
      <c r="H73" s="7"/>
      <c r="I73" s="4">
        <f>I11+I63*$D$73</f>
        <v>0</v>
      </c>
      <c r="J73" s="7"/>
      <c r="K73" s="4">
        <f>K11+K63*$D$73</f>
        <v>0</v>
      </c>
      <c r="L73" s="7"/>
      <c r="M73" s="4">
        <f>M11+M63*$D$73</f>
        <v>0</v>
      </c>
      <c r="N73" s="7"/>
      <c r="O73" s="4">
        <f>O11+O63*$D$73</f>
        <v>0</v>
      </c>
      <c r="P73" s="7"/>
      <c r="Q73" s="4">
        <f>Q11+Q63*$D$73</f>
        <v>0</v>
      </c>
      <c r="R73" s="7"/>
      <c r="S73" s="4">
        <f>S11+S63*$D$73</f>
        <v>0</v>
      </c>
      <c r="T73" s="7"/>
      <c r="U73" s="4">
        <f>U11+U63*$D$73</f>
        <v>0</v>
      </c>
      <c r="V73" s="7"/>
      <c r="W73" s="4">
        <f>W11+W63*$D$73</f>
        <v>0</v>
      </c>
      <c r="X73" s="7"/>
      <c r="Y73" s="4">
        <f>Y11+Y63*$D$73</f>
        <v>0</v>
      </c>
      <c r="Z73" s="7"/>
      <c r="AA73" s="173"/>
    </row>
    <row r="74" spans="1:27" ht="15.75">
      <c r="A74" s="2" t="s">
        <v>308</v>
      </c>
      <c r="B74" s="152">
        <v>106403.83333333333</v>
      </c>
      <c r="C74" s="166">
        <f>C12+C63*$D$74</f>
        <v>141135.68626667821</v>
      </c>
      <c r="D74" s="231">
        <v>0.03</v>
      </c>
      <c r="E74" s="4">
        <f>E12+E63*$D$74</f>
        <v>86429.6</v>
      </c>
      <c r="F74" s="86"/>
      <c r="G74" s="4">
        <f>G12+G63*$D$74</f>
        <v>5673325.5700000003</v>
      </c>
      <c r="H74" s="7"/>
      <c r="I74" s="4">
        <f>I12+I63*$D$74</f>
        <v>0</v>
      </c>
      <c r="J74" s="7"/>
      <c r="K74" s="4">
        <f>K12+K63*$D$74</f>
        <v>0</v>
      </c>
      <c r="L74" s="7"/>
      <c r="M74" s="4">
        <f>M12+M63*$D$74</f>
        <v>0</v>
      </c>
      <c r="N74" s="7"/>
      <c r="O74" s="4">
        <f>O12+O63*$D$74</f>
        <v>0</v>
      </c>
      <c r="P74" s="7"/>
      <c r="Q74" s="4">
        <f>Q12+Q63*$D$74</f>
        <v>0</v>
      </c>
      <c r="R74" s="7"/>
      <c r="S74" s="4">
        <f>S12+S63*$D$74</f>
        <v>0</v>
      </c>
      <c r="T74" s="7"/>
      <c r="U74" s="4">
        <f>U12+U63*$D$74</f>
        <v>0</v>
      </c>
      <c r="V74" s="7"/>
      <c r="W74" s="4">
        <f>W12+W63*$D$74</f>
        <v>0</v>
      </c>
      <c r="X74" s="7"/>
      <c r="Y74" s="4">
        <f>Y12+Y63*$D$74</f>
        <v>0</v>
      </c>
      <c r="Z74" s="7"/>
      <c r="AA74" s="173"/>
    </row>
    <row r="75" spans="1:27" ht="15.75">
      <c r="A75" s="2" t="s">
        <v>310</v>
      </c>
      <c r="B75" s="152">
        <v>119682.55250000001</v>
      </c>
      <c r="C75" s="166">
        <f>C13+C63*$D$75</f>
        <v>134004.9562666782</v>
      </c>
      <c r="D75" s="231">
        <v>0.03</v>
      </c>
      <c r="E75" s="4">
        <f>E13+E63*$D$75</f>
        <v>80829.600000000006</v>
      </c>
      <c r="F75" s="86"/>
      <c r="G75" s="4">
        <f>G13+G63*$D$75</f>
        <v>4428493.59</v>
      </c>
      <c r="H75" s="7"/>
      <c r="I75" s="4">
        <f>I13+I63*$D$75</f>
        <v>0</v>
      </c>
      <c r="J75" s="7"/>
      <c r="K75" s="4">
        <f>K13+K63*$D$75</f>
        <v>0</v>
      </c>
      <c r="L75" s="7"/>
      <c r="M75" s="4">
        <f>M13+M63*$D$75</f>
        <v>0</v>
      </c>
      <c r="N75" s="7"/>
      <c r="O75" s="4">
        <f>O13+O63*$D$75</f>
        <v>0</v>
      </c>
      <c r="P75" s="7"/>
      <c r="Q75" s="4">
        <f>Q13+Q63*$D$75</f>
        <v>0</v>
      </c>
      <c r="R75" s="7"/>
      <c r="S75" s="4">
        <f>S13+S63*$D$75</f>
        <v>0</v>
      </c>
      <c r="T75" s="7"/>
      <c r="U75" s="4">
        <f>U13+U63*$D$75</f>
        <v>0</v>
      </c>
      <c r="V75" s="7"/>
      <c r="W75" s="4">
        <f>W13+W63*$D$75</f>
        <v>0</v>
      </c>
      <c r="X75" s="7"/>
      <c r="Y75" s="4">
        <f>Y13+Y63*$D$75</f>
        <v>0</v>
      </c>
      <c r="Z75" s="7"/>
      <c r="AA75" s="173"/>
    </row>
    <row r="76" spans="1:27" ht="15.75">
      <c r="A76" s="2" t="s">
        <v>311</v>
      </c>
      <c r="B76" s="152">
        <v>144114.91666666666</v>
      </c>
      <c r="C76" s="166">
        <f>C14+C63*$D$76</f>
        <v>143541.68626667821</v>
      </c>
      <c r="D76" s="231">
        <v>0.03</v>
      </c>
      <c r="E76" s="4">
        <f>E14+E63*$D$76</f>
        <v>86429.6</v>
      </c>
      <c r="F76" s="86"/>
      <c r="G76" s="4">
        <f>G14+G63*$D$76</f>
        <v>3913910.5700000003</v>
      </c>
      <c r="H76" s="7"/>
      <c r="I76" s="4">
        <f>I14+I63*$D$76</f>
        <v>0</v>
      </c>
      <c r="J76" s="7"/>
      <c r="K76" s="4">
        <f>K14+K63*$D$76</f>
        <v>0</v>
      </c>
      <c r="L76" s="7"/>
      <c r="M76" s="4">
        <f>M14+M63*$D$76</f>
        <v>0</v>
      </c>
      <c r="N76" s="7"/>
      <c r="O76" s="4">
        <f>O14+O63*$D$76</f>
        <v>0</v>
      </c>
      <c r="P76" s="7"/>
      <c r="Q76" s="4">
        <f>Q14+Q63*$D$76</f>
        <v>0</v>
      </c>
      <c r="R76" s="7"/>
      <c r="S76" s="4">
        <f>S14+S63*$D$76</f>
        <v>0</v>
      </c>
      <c r="T76" s="7"/>
      <c r="U76" s="4">
        <f>U14+U63*$D$76</f>
        <v>0</v>
      </c>
      <c r="V76" s="7"/>
      <c r="W76" s="4">
        <f>W14+W63*$D$76</f>
        <v>0</v>
      </c>
      <c r="X76" s="7"/>
      <c r="Y76" s="4">
        <f>Y14+Y63*$D$76</f>
        <v>0</v>
      </c>
      <c r="Z76" s="7"/>
      <c r="AA76" s="173"/>
    </row>
    <row r="77" spans="1:27" ht="15.75">
      <c r="A77" s="2" t="s">
        <v>351</v>
      </c>
      <c r="B77" s="152">
        <v>11613.09090909091</v>
      </c>
      <c r="C77" s="166">
        <f>C15+C63*$D$77</f>
        <v>15876.457511118799</v>
      </c>
      <c r="D77" s="231">
        <v>0.02</v>
      </c>
      <c r="E77" s="4">
        <f>E15+E63*$D$77</f>
        <v>84286.399999999994</v>
      </c>
      <c r="F77" s="86"/>
      <c r="G77" s="4">
        <f>G15+G63*$D$77</f>
        <v>-2677071.62</v>
      </c>
      <c r="H77" s="7"/>
      <c r="I77" s="4">
        <f>I15+I63*$D$77</f>
        <v>0</v>
      </c>
      <c r="J77" s="7"/>
      <c r="K77" s="4">
        <f>K15+K63*$D$77</f>
        <v>0</v>
      </c>
      <c r="L77" s="7"/>
      <c r="M77" s="4">
        <f>M15+M63*$D$77</f>
        <v>0</v>
      </c>
      <c r="N77" s="7"/>
      <c r="O77" s="4">
        <f>O15+O63*$D$77</f>
        <v>0</v>
      </c>
      <c r="P77" s="7"/>
      <c r="Q77" s="4">
        <f>Q15+Q63*$D$77</f>
        <v>0</v>
      </c>
      <c r="R77" s="7"/>
      <c r="S77" s="4">
        <f>S15+S63*$D$77</f>
        <v>0</v>
      </c>
      <c r="T77" s="7"/>
      <c r="U77" s="4">
        <f>U15+U63*$D$77</f>
        <v>0</v>
      </c>
      <c r="V77" s="7"/>
      <c r="W77" s="4">
        <f>W15+W63*$D$77</f>
        <v>0</v>
      </c>
      <c r="X77" s="7"/>
      <c r="Y77" s="4">
        <f>Y15+Y63*$D$77</f>
        <v>0</v>
      </c>
      <c r="Z77" s="7"/>
      <c r="AA77" s="173"/>
    </row>
    <row r="78" spans="1:27" ht="15.75">
      <c r="A78" s="2" t="s">
        <v>312</v>
      </c>
      <c r="B78" s="152">
        <v>243882.66666666666</v>
      </c>
      <c r="C78" s="166">
        <f>C16+C63*$D$78</f>
        <v>262413.37253335642</v>
      </c>
      <c r="D78" s="231">
        <v>0.06</v>
      </c>
      <c r="E78" s="4">
        <f>E16+E63*$D$78</f>
        <v>92859.199999999997</v>
      </c>
      <c r="F78" s="86"/>
      <c r="G78" s="4">
        <f>G16+G63*$D$78</f>
        <v>10448657.140000001</v>
      </c>
      <c r="H78" s="7"/>
      <c r="I78" s="4">
        <f>I16+I63*$D$78</f>
        <v>0</v>
      </c>
      <c r="J78" s="7"/>
      <c r="K78" s="4">
        <f>K16+K63*$D$78</f>
        <v>0</v>
      </c>
      <c r="L78" s="7"/>
      <c r="M78" s="4">
        <f>M16+M63*$D$78</f>
        <v>0</v>
      </c>
      <c r="N78" s="7"/>
      <c r="O78" s="4">
        <f>O16+O63*$D$78</f>
        <v>0</v>
      </c>
      <c r="P78" s="7"/>
      <c r="Q78" s="4">
        <f>Q16+Q63*$D$78</f>
        <v>0</v>
      </c>
      <c r="R78" s="7"/>
      <c r="S78" s="4">
        <f>S16+S63*$D$78</f>
        <v>0</v>
      </c>
      <c r="T78" s="7"/>
      <c r="U78" s="4">
        <f>U16+U63*$D$78</f>
        <v>0</v>
      </c>
      <c r="V78" s="7"/>
      <c r="W78" s="4">
        <f>W16+W63*$D$78</f>
        <v>0</v>
      </c>
      <c r="X78" s="7"/>
      <c r="Y78" s="4">
        <f>Y16+Y63*$D$78</f>
        <v>0</v>
      </c>
      <c r="Z78" s="7"/>
      <c r="AA78" s="173"/>
    </row>
    <row r="79" spans="1:27" ht="15.75">
      <c r="A79" s="2" t="s">
        <v>313</v>
      </c>
      <c r="B79" s="152">
        <v>232128</v>
      </c>
      <c r="C79" s="166">
        <f>C17+C63*$D$79</f>
        <v>248077.37253335639</v>
      </c>
      <c r="D79" s="231">
        <v>0.06</v>
      </c>
      <c r="E79" s="4">
        <f>E17+E63*$D$79</f>
        <v>92859.199999999997</v>
      </c>
      <c r="F79" s="86"/>
      <c r="G79" s="4">
        <f>G17+G63*$D$79</f>
        <v>10923281.140000001</v>
      </c>
      <c r="H79" s="7"/>
      <c r="I79" s="4">
        <f>I17+I63*$D$79</f>
        <v>0</v>
      </c>
      <c r="J79" s="7"/>
      <c r="K79" s="4">
        <f>K17+K63*$D$79</f>
        <v>0</v>
      </c>
      <c r="L79" s="7"/>
      <c r="M79" s="4">
        <f>M17+M63*$D$79</f>
        <v>0</v>
      </c>
      <c r="N79" s="7"/>
      <c r="O79" s="4">
        <f>O17+O63*$D$79</f>
        <v>0</v>
      </c>
      <c r="P79" s="7"/>
      <c r="Q79" s="4">
        <f>Q17+Q63*$D$79</f>
        <v>0</v>
      </c>
      <c r="R79" s="7"/>
      <c r="S79" s="4">
        <f>S17+S63*$D$79</f>
        <v>0</v>
      </c>
      <c r="T79" s="7"/>
      <c r="U79" s="4">
        <f>U17+U63*$D$79</f>
        <v>0</v>
      </c>
      <c r="V79" s="7"/>
      <c r="W79" s="4">
        <f>W17+W63*$D$79</f>
        <v>0</v>
      </c>
      <c r="X79" s="7"/>
      <c r="Y79" s="4">
        <f>Y17+Y63*$D$79</f>
        <v>0</v>
      </c>
      <c r="Z79" s="7"/>
      <c r="AA79" s="173"/>
    </row>
    <row r="80" spans="1:27" ht="15.75">
      <c r="A80" s="2" t="s">
        <v>315</v>
      </c>
      <c r="B80" s="152">
        <v>1620776</v>
      </c>
      <c r="C80" s="166">
        <f>C18+C63*$D$80</f>
        <v>1857333.4901334257</v>
      </c>
      <c r="D80" s="231">
        <v>0.24</v>
      </c>
      <c r="E80" s="4">
        <f>E18+E63*$D$80</f>
        <v>131436.79999999999</v>
      </c>
      <c r="F80" s="86"/>
      <c r="G80" s="4">
        <f>G18+G63*$D$80</f>
        <v>75561156.560000002</v>
      </c>
      <c r="H80" s="7"/>
      <c r="I80" s="4">
        <f>I18+I63*$D$80</f>
        <v>0</v>
      </c>
      <c r="J80" s="7"/>
      <c r="K80" s="4">
        <f>K18+K63*$D$80</f>
        <v>0</v>
      </c>
      <c r="L80" s="7"/>
      <c r="M80" s="4">
        <f>M18+M63*$D$80</f>
        <v>0</v>
      </c>
      <c r="N80" s="7"/>
      <c r="O80" s="4">
        <f>O18+O63*$D$80</f>
        <v>0</v>
      </c>
      <c r="P80" s="7"/>
      <c r="Q80" s="4">
        <f>Q18+Q63*$D$80</f>
        <v>0</v>
      </c>
      <c r="R80" s="7"/>
      <c r="S80" s="4">
        <f>S18+S63*$D$80</f>
        <v>0</v>
      </c>
      <c r="T80" s="7"/>
      <c r="U80" s="4">
        <f>U18+U63*$D$80</f>
        <v>0</v>
      </c>
      <c r="V80" s="7"/>
      <c r="W80" s="4">
        <f>W18+W63*$D$80</f>
        <v>0</v>
      </c>
      <c r="X80" s="7"/>
      <c r="Y80" s="4">
        <f>Y18+Y63*$D$80</f>
        <v>0</v>
      </c>
      <c r="Z80" s="7"/>
      <c r="AA80" s="173"/>
    </row>
    <row r="81" spans="1:27" ht="15.75">
      <c r="A81" s="2" t="s">
        <v>352</v>
      </c>
      <c r="B81" s="152">
        <v>0</v>
      </c>
      <c r="C81" s="166">
        <f>C19+C63*$D$81</f>
        <v>0</v>
      </c>
      <c r="D81" s="231">
        <v>0</v>
      </c>
      <c r="E81" s="4">
        <f>E19+E63*$D$81</f>
        <v>0</v>
      </c>
      <c r="F81" s="86"/>
      <c r="G81" s="4">
        <f>G19+G63*$D$81</f>
        <v>0</v>
      </c>
      <c r="H81" s="7"/>
      <c r="I81" s="4">
        <f>I19+I63*$D$81</f>
        <v>0</v>
      </c>
      <c r="J81" s="7"/>
      <c r="K81" s="4">
        <f>K19+K63*$D$81</f>
        <v>0</v>
      </c>
      <c r="L81" s="7"/>
      <c r="M81" s="4">
        <f>M19+M63*$D$81</f>
        <v>0</v>
      </c>
      <c r="N81" s="7"/>
      <c r="O81" s="4">
        <f>O19+O63*$D$81</f>
        <v>0</v>
      </c>
      <c r="P81" s="7"/>
      <c r="Q81" s="4">
        <f>Q19+Q63*$D$81</f>
        <v>0</v>
      </c>
      <c r="R81" s="7"/>
      <c r="S81" s="4">
        <f>S19+S63*$D$81</f>
        <v>0</v>
      </c>
      <c r="T81" s="7"/>
      <c r="U81" s="4">
        <f>U19+U63*$D$81</f>
        <v>0</v>
      </c>
      <c r="V81" s="7"/>
      <c r="W81" s="4">
        <f>W19+W63*$D$81</f>
        <v>0</v>
      </c>
      <c r="X81" s="7"/>
      <c r="Y81" s="4">
        <f>Y19+Y63*$D$81</f>
        <v>0</v>
      </c>
      <c r="Z81" s="7"/>
      <c r="AA81" s="173"/>
    </row>
    <row r="82" spans="1:27" ht="15.75">
      <c r="A82" s="2" t="s">
        <v>316</v>
      </c>
      <c r="B82" s="152"/>
      <c r="C82" s="166">
        <f>C20+C63*$D$82</f>
        <v>36992</v>
      </c>
      <c r="D82" s="231">
        <v>0</v>
      </c>
      <c r="E82" s="4">
        <f>E20+E63*$D$82</f>
        <v>80000</v>
      </c>
      <c r="F82" s="86"/>
      <c r="G82" s="4">
        <f>G20+G63*$D$82</f>
        <v>-5828992</v>
      </c>
      <c r="H82" s="7"/>
      <c r="I82" s="4">
        <f>I20+I63*$D$82</f>
        <v>0</v>
      </c>
      <c r="J82" s="7"/>
      <c r="K82" s="4">
        <f>K20+K63*$D$82</f>
        <v>0</v>
      </c>
      <c r="L82" s="7"/>
      <c r="M82" s="4">
        <f>M20+M63*$D$82</f>
        <v>0</v>
      </c>
      <c r="N82" s="7"/>
      <c r="O82" s="4">
        <f>O20+O63*$D$82</f>
        <v>0</v>
      </c>
      <c r="P82" s="7"/>
      <c r="Q82" s="4">
        <f>Q20+Q63*$D$82</f>
        <v>0</v>
      </c>
      <c r="R82" s="7"/>
      <c r="S82" s="4">
        <f>S20+S63*$D$82</f>
        <v>0</v>
      </c>
      <c r="T82" s="7"/>
      <c r="U82" s="4">
        <f>U20+U63*$D$82</f>
        <v>0</v>
      </c>
      <c r="V82" s="7"/>
      <c r="W82" s="4">
        <f>W20+W63*$D$82</f>
        <v>0</v>
      </c>
      <c r="X82" s="7"/>
      <c r="Y82" s="4">
        <f>Y20+Y63*$D$82</f>
        <v>0</v>
      </c>
      <c r="Z82" s="7"/>
      <c r="AA82" s="173"/>
    </row>
    <row r="83" spans="1:27" ht="15.75">
      <c r="A83" s="2" t="s">
        <v>317</v>
      </c>
      <c r="B83" s="152"/>
      <c r="C83" s="166">
        <f>C21+C63*$D$83</f>
        <v>897024</v>
      </c>
      <c r="D83" s="231">
        <v>0</v>
      </c>
      <c r="E83" s="4">
        <f>E21+E63*$D$83</f>
        <v>80000</v>
      </c>
      <c r="F83" s="86"/>
      <c r="G83" s="4">
        <f>G21+G63*$D$83</f>
        <v>-36928640</v>
      </c>
      <c r="H83" s="7"/>
      <c r="I83" s="4">
        <f>I21+I63*$D$83</f>
        <v>0</v>
      </c>
      <c r="J83" s="7"/>
      <c r="K83" s="4">
        <f>K21+K63*$D$83</f>
        <v>0</v>
      </c>
      <c r="L83" s="7"/>
      <c r="M83" s="4">
        <f>M21+M63*$D$83</f>
        <v>0</v>
      </c>
      <c r="N83" s="7"/>
      <c r="O83" s="4">
        <f>O21+O63*$D$83</f>
        <v>0</v>
      </c>
      <c r="P83" s="7"/>
      <c r="Q83" s="4">
        <f>Q21+Q63*$D$83</f>
        <v>0</v>
      </c>
      <c r="R83" s="7"/>
      <c r="S83" s="4">
        <f>S21+S63*$D$83</f>
        <v>0</v>
      </c>
      <c r="T83" s="7"/>
      <c r="U83" s="4">
        <f>U21+U63*$D$83</f>
        <v>0</v>
      </c>
      <c r="V83" s="7"/>
      <c r="W83" s="4">
        <f>W21+W63*$D$83</f>
        <v>0</v>
      </c>
      <c r="X83" s="7"/>
      <c r="Y83" s="4">
        <f>Y21+Y63*$D$83</f>
        <v>0</v>
      </c>
      <c r="Z83" s="7"/>
      <c r="AA83" s="173"/>
    </row>
    <row r="84" spans="1:27" ht="15.75">
      <c r="A84" s="2" t="s">
        <v>318</v>
      </c>
      <c r="B84" s="152">
        <v>749948.08333333337</v>
      </c>
      <c r="C84" s="166">
        <f>C22+C63*$D$84</f>
        <v>729635.66008895042</v>
      </c>
      <c r="D84" s="231">
        <v>0.16</v>
      </c>
      <c r="E84" s="4">
        <f>E22+E63*$D$84</f>
        <v>114291.2</v>
      </c>
      <c r="F84" s="86"/>
      <c r="G84" s="4">
        <f>G22+G63*$D$84</f>
        <v>53623683.039999999</v>
      </c>
      <c r="H84" s="7"/>
      <c r="I84" s="4">
        <f>I22+I63*$D$84</f>
        <v>0</v>
      </c>
      <c r="J84" s="7"/>
      <c r="K84" s="4">
        <f>K22+K63*$D$84</f>
        <v>0</v>
      </c>
      <c r="L84" s="7"/>
      <c r="M84" s="4">
        <f>M22+M63*$D$84</f>
        <v>0</v>
      </c>
      <c r="N84" s="7"/>
      <c r="O84" s="4">
        <f>O22+O63*$D$84</f>
        <v>0</v>
      </c>
      <c r="P84" s="7"/>
      <c r="Q84" s="4">
        <f>Q22+Q63*$D$84</f>
        <v>0</v>
      </c>
      <c r="R84" s="7"/>
      <c r="S84" s="4">
        <f>S22+S63*$D$84</f>
        <v>0</v>
      </c>
      <c r="T84" s="7"/>
      <c r="U84" s="4">
        <f>U22+U63*$D$84</f>
        <v>0</v>
      </c>
      <c r="V84" s="7"/>
      <c r="W84" s="4">
        <f>W22+W63*$D$84</f>
        <v>0</v>
      </c>
      <c r="X84" s="7"/>
      <c r="Y84" s="4">
        <f>Y22+Y63*$D$84</f>
        <v>0</v>
      </c>
      <c r="Z84" s="7"/>
      <c r="AA84" s="173"/>
    </row>
    <row r="85" spans="1:27" ht="16.5" thickBot="1">
      <c r="A85" s="2" t="s">
        <v>319</v>
      </c>
      <c r="B85" s="152">
        <v>196685.75</v>
      </c>
      <c r="C85" s="166">
        <f>C23+C63*$D$85</f>
        <v>225003.37253335639</v>
      </c>
      <c r="D85" s="232">
        <v>0.06</v>
      </c>
      <c r="E85" s="4">
        <f>E23+E63*$D$85</f>
        <v>92859.199999999997</v>
      </c>
      <c r="F85" s="86"/>
      <c r="G85" s="4">
        <f>G23+G63*$D$85</f>
        <v>19520625.140000001</v>
      </c>
      <c r="H85" s="7"/>
      <c r="I85" s="4">
        <f>I23+I63*$D$85</f>
        <v>0</v>
      </c>
      <c r="J85" s="7"/>
      <c r="K85" s="4">
        <f>K23+K63*$D$85</f>
        <v>0</v>
      </c>
      <c r="L85" s="7"/>
      <c r="M85" s="4">
        <f>M23+M63*$D$85</f>
        <v>0</v>
      </c>
      <c r="N85" s="7"/>
      <c r="O85" s="4">
        <f>O23+O63*$D$85</f>
        <v>0</v>
      </c>
      <c r="P85" s="7"/>
      <c r="Q85" s="4">
        <f>Q23+Q63*$D$85</f>
        <v>0</v>
      </c>
      <c r="R85" s="7"/>
      <c r="S85" s="4">
        <f>S23+S63*$D$85</f>
        <v>0</v>
      </c>
      <c r="T85" s="7"/>
      <c r="U85" s="4">
        <f>U23+U63*$D$85</f>
        <v>0</v>
      </c>
      <c r="V85" s="7"/>
      <c r="W85" s="4">
        <f>W23+W63*$D$85</f>
        <v>0</v>
      </c>
      <c r="X85" s="7"/>
      <c r="Y85" s="4">
        <f>Y23+Y63*$D$85</f>
        <v>0</v>
      </c>
      <c r="Z85" s="7"/>
      <c r="AA85" s="173"/>
    </row>
    <row r="86" spans="1:27" ht="16.5" thickBo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7"/>
      <c r="W86" s="9"/>
      <c r="X86" s="7"/>
      <c r="Y86" s="9"/>
      <c r="Z86" s="9"/>
      <c r="AA86" s="173"/>
    </row>
    <row r="87" spans="1:27" ht="16.5" thickBot="1">
      <c r="A87" s="9"/>
      <c r="B87" s="153">
        <f>SUM(B65:B85)</f>
        <v>4625866.0909090908</v>
      </c>
      <c r="C87" s="166">
        <f>SUM(C65:C85)</f>
        <v>6325815.87555594</v>
      </c>
      <c r="D87" s="229">
        <f>SUM(D65:D85)</f>
        <v>1.0000000000000002</v>
      </c>
      <c r="E87" s="4">
        <f>SUM(E65:E85)</f>
        <v>1734319.9999999998</v>
      </c>
      <c r="F87" s="86"/>
      <c r="G87" s="4">
        <f>SUM(G65:G85)</f>
        <v>200278003</v>
      </c>
      <c r="H87" s="86"/>
      <c r="I87" s="4">
        <f>SUM(I65:I85)</f>
        <v>0</v>
      </c>
      <c r="J87" s="86"/>
      <c r="K87" s="4">
        <f>SUM(K65:K85)</f>
        <v>0</v>
      </c>
      <c r="L87" s="86"/>
      <c r="M87" s="4">
        <f>SUM(M65:M85)</f>
        <v>0</v>
      </c>
      <c r="N87" s="86"/>
      <c r="O87" s="4">
        <f>SUM(O65:O85)</f>
        <v>0</v>
      </c>
      <c r="P87" s="86"/>
      <c r="Q87" s="4">
        <f>SUM(Q65:Q85)</f>
        <v>0</v>
      </c>
      <c r="R87" s="86"/>
      <c r="S87" s="4">
        <f>SUM(S65:S85)</f>
        <v>0</v>
      </c>
      <c r="T87" s="86"/>
      <c r="U87" s="4">
        <f>SUM(U65:U85)</f>
        <v>0</v>
      </c>
      <c r="V87" s="86"/>
      <c r="W87" s="4">
        <f>SUM(W65:W85)</f>
        <v>0</v>
      </c>
      <c r="X87" s="7"/>
      <c r="Y87" s="4">
        <f>SUM(Y65:Y85)</f>
        <v>0</v>
      </c>
      <c r="Z87" s="86"/>
      <c r="AA87" s="173"/>
    </row>
    <row r="88" spans="1:27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7" ht="18.75" thickBot="1">
      <c r="A89" s="160" t="s">
        <v>40</v>
      </c>
      <c r="B89" s="6"/>
      <c r="C89" s="1" t="str">
        <f>C62</f>
        <v>ENE</v>
      </c>
      <c r="D89" s="7"/>
      <c r="E89" s="1" t="str">
        <f>E62</f>
        <v>FEB</v>
      </c>
      <c r="F89" s="8"/>
      <c r="G89" s="1" t="str">
        <f>G62</f>
        <v>MAR</v>
      </c>
      <c r="H89" s="8"/>
      <c r="I89" s="1" t="str">
        <f>I62</f>
        <v>ABR</v>
      </c>
      <c r="J89" s="8"/>
      <c r="K89" s="1" t="str">
        <f>K62</f>
        <v>MAY</v>
      </c>
      <c r="L89" s="8"/>
      <c r="M89" s="1" t="str">
        <f>M62</f>
        <v>JUN</v>
      </c>
      <c r="N89" s="8"/>
      <c r="O89" s="1" t="str">
        <f>O62</f>
        <v>JUL</v>
      </c>
      <c r="P89" s="8"/>
      <c r="Q89" s="1" t="str">
        <f>Q62</f>
        <v>AGO</v>
      </c>
      <c r="R89" s="8"/>
      <c r="S89" s="1" t="str">
        <f>S62</f>
        <v>SEP</v>
      </c>
      <c r="T89" s="8"/>
      <c r="U89" s="1" t="s">
        <v>9</v>
      </c>
      <c r="V89" s="8"/>
      <c r="W89" s="1" t="s">
        <v>10</v>
      </c>
      <c r="X89" s="8"/>
      <c r="Y89" s="1" t="s">
        <v>11</v>
      </c>
      <c r="Z89" s="7"/>
    </row>
    <row r="90" spans="1:27" ht="16.5" thickBot="1">
      <c r="A90" s="2" t="s">
        <v>301</v>
      </c>
      <c r="B90" s="6"/>
      <c r="C90" s="96">
        <f>C65*0.82</f>
        <v>240348.86547735226</v>
      </c>
      <c r="D90" s="83"/>
      <c r="E90" s="96">
        <f>E65*0.82</f>
        <v>76144.543999999994</v>
      </c>
      <c r="F90" s="7"/>
      <c r="G90" s="96">
        <f>G65*0.82</f>
        <v>10604081.854800001</v>
      </c>
      <c r="H90" s="141"/>
      <c r="I90" s="96">
        <f>I65*0.82</f>
        <v>0</v>
      </c>
      <c r="J90" s="7"/>
      <c r="K90" s="96">
        <f>K65*0.82</f>
        <v>0</v>
      </c>
      <c r="L90" s="7"/>
      <c r="M90" s="96">
        <f>M65*0.82</f>
        <v>0</v>
      </c>
      <c r="N90" s="7"/>
      <c r="O90" s="96">
        <f>O65*0.82</f>
        <v>0</v>
      </c>
      <c r="P90" s="7"/>
      <c r="Q90" s="96">
        <f>Q65*0.82</f>
        <v>0</v>
      </c>
      <c r="R90" s="7"/>
      <c r="S90" s="96">
        <f>S65*0.82</f>
        <v>0</v>
      </c>
      <c r="T90" s="7"/>
      <c r="U90" s="96">
        <f>U65*0.82</f>
        <v>0</v>
      </c>
      <c r="V90" s="7"/>
      <c r="W90" s="96">
        <f>W65*0.82</f>
        <v>0</v>
      </c>
      <c r="X90" s="7"/>
      <c r="Y90" s="96">
        <f>Y65*0.82</f>
        <v>0</v>
      </c>
      <c r="Z90" s="7"/>
    </row>
    <row r="91" spans="1:27" ht="15.75">
      <c r="A91" s="2" t="s">
        <v>302</v>
      </c>
      <c r="B91" s="6"/>
      <c r="C91" s="94">
        <f>C66</f>
        <v>82948.457511118802</v>
      </c>
      <c r="D91" s="83"/>
      <c r="E91" s="94">
        <f>E66</f>
        <v>84286.399999999994</v>
      </c>
      <c r="F91" s="7"/>
      <c r="G91" s="94">
        <f>G66</f>
        <v>2595376.38</v>
      </c>
      <c r="H91" s="141"/>
      <c r="I91" s="94">
        <f>I66</f>
        <v>0</v>
      </c>
      <c r="J91" s="7"/>
      <c r="K91" s="94">
        <f>K66</f>
        <v>0</v>
      </c>
      <c r="L91" s="7"/>
      <c r="M91" s="94">
        <f>M66</f>
        <v>0</v>
      </c>
      <c r="N91" s="7"/>
      <c r="O91" s="94">
        <f>O66</f>
        <v>0</v>
      </c>
      <c r="P91" s="7"/>
      <c r="Q91" s="94">
        <f>Q66</f>
        <v>0</v>
      </c>
      <c r="R91" s="7"/>
      <c r="S91" s="94">
        <f>S66</f>
        <v>0</v>
      </c>
      <c r="T91" s="7"/>
      <c r="U91" s="94">
        <f>U66</f>
        <v>0</v>
      </c>
      <c r="V91" s="7"/>
      <c r="W91" s="94">
        <f>W66</f>
        <v>0</v>
      </c>
      <c r="X91" s="7"/>
      <c r="Y91" s="94">
        <f>Y66</f>
        <v>0</v>
      </c>
      <c r="Z91" s="7"/>
    </row>
    <row r="92" spans="1:27" ht="15.75">
      <c r="A92" s="2" t="s">
        <v>303</v>
      </c>
      <c r="B92" s="6"/>
      <c r="C92" s="4">
        <f>C67</f>
        <v>46166.187511118798</v>
      </c>
      <c r="D92" s="83"/>
      <c r="E92" s="4">
        <f>E67</f>
        <v>9886.4</v>
      </c>
      <c r="F92" s="7"/>
      <c r="G92" s="4">
        <f>G67</f>
        <v>9953067.3599999994</v>
      </c>
      <c r="H92" s="141"/>
      <c r="I92" s="4">
        <f>I67</f>
        <v>0</v>
      </c>
      <c r="J92" s="7"/>
      <c r="K92" s="4">
        <f>K67</f>
        <v>0</v>
      </c>
      <c r="L92" s="7"/>
      <c r="M92" s="4">
        <f>M67</f>
        <v>0</v>
      </c>
      <c r="N92" s="7"/>
      <c r="O92" s="4">
        <f>O67</f>
        <v>0</v>
      </c>
      <c r="P92" s="7"/>
      <c r="Q92" s="4">
        <f>Q67</f>
        <v>0</v>
      </c>
      <c r="R92" s="7"/>
      <c r="S92" s="4">
        <f>S67</f>
        <v>0</v>
      </c>
      <c r="T92" s="7"/>
      <c r="U92" s="4">
        <f>U67</f>
        <v>0</v>
      </c>
      <c r="V92" s="7"/>
      <c r="W92" s="4">
        <f>W67</f>
        <v>0</v>
      </c>
      <c r="X92" s="7"/>
      <c r="Y92" s="4">
        <f>Y67</f>
        <v>0</v>
      </c>
      <c r="Z92" s="7"/>
    </row>
    <row r="93" spans="1:27" ht="16.5" thickBot="1">
      <c r="A93" s="2" t="s">
        <v>304</v>
      </c>
      <c r="B93" s="6"/>
      <c r="C93" s="4">
        <f>C68</f>
        <v>252864</v>
      </c>
      <c r="D93" s="83"/>
      <c r="E93" s="4">
        <f>E68</f>
        <v>80000</v>
      </c>
      <c r="F93" s="7"/>
      <c r="G93" s="4">
        <f>G68</f>
        <v>-3954368</v>
      </c>
      <c r="H93" s="141"/>
      <c r="I93" s="4">
        <f>I68</f>
        <v>0</v>
      </c>
      <c r="J93" s="7"/>
      <c r="K93" s="4">
        <f>K68</f>
        <v>0</v>
      </c>
      <c r="L93" s="7"/>
      <c r="M93" s="4">
        <f>M68</f>
        <v>0</v>
      </c>
      <c r="N93" s="7"/>
      <c r="O93" s="4">
        <f>O68</f>
        <v>0</v>
      </c>
      <c r="P93" s="7"/>
      <c r="Q93" s="4">
        <f>Q68</f>
        <v>0</v>
      </c>
      <c r="R93" s="7"/>
      <c r="S93" s="4">
        <f>S68</f>
        <v>0</v>
      </c>
      <c r="T93" s="7"/>
      <c r="U93" s="4">
        <f>U68</f>
        <v>0</v>
      </c>
      <c r="V93" s="7"/>
      <c r="W93" s="4">
        <f>W68</f>
        <v>0</v>
      </c>
      <c r="X93" s="7"/>
      <c r="Y93" s="4">
        <f>Y68</f>
        <v>0</v>
      </c>
      <c r="Z93" s="7"/>
    </row>
    <row r="94" spans="1:27" ht="16.5" thickBot="1">
      <c r="A94" s="2" t="s">
        <v>305</v>
      </c>
      <c r="B94" s="6"/>
      <c r="C94" s="96">
        <f>C69*0.82</f>
        <v>242212.72547735224</v>
      </c>
      <c r="D94" s="83"/>
      <c r="E94" s="96">
        <f>E69*0.82</f>
        <v>76144.543999999994</v>
      </c>
      <c r="F94" s="7"/>
      <c r="G94" s="96">
        <f>G69*0.82</f>
        <v>7462111.6348000001</v>
      </c>
      <c r="H94" s="141"/>
      <c r="I94" s="96">
        <f>I69*0.82</f>
        <v>0</v>
      </c>
      <c r="J94" s="7"/>
      <c r="K94" s="96">
        <f>K69*0.82</f>
        <v>0</v>
      </c>
      <c r="L94" s="7"/>
      <c r="M94" s="96">
        <f>M69*0.82</f>
        <v>0</v>
      </c>
      <c r="N94" s="7"/>
      <c r="O94" s="96">
        <f>O69*0.82</f>
        <v>0</v>
      </c>
      <c r="P94" s="7"/>
      <c r="Q94" s="96">
        <f>Q69*0.82</f>
        <v>0</v>
      </c>
      <c r="R94" s="7"/>
      <c r="S94" s="96">
        <f>S69*0.82</f>
        <v>0</v>
      </c>
      <c r="T94" s="7"/>
      <c r="U94" s="96">
        <f>U69*0.82</f>
        <v>0</v>
      </c>
      <c r="V94" s="7"/>
      <c r="W94" s="96">
        <f>W69*0.82</f>
        <v>0</v>
      </c>
      <c r="X94" s="7"/>
      <c r="Y94" s="96">
        <f>Y69*0.82</f>
        <v>0</v>
      </c>
      <c r="Z94" s="7"/>
    </row>
    <row r="95" spans="1:27" ht="16.5" thickBot="1">
      <c r="A95" s="2" t="s">
        <v>306</v>
      </c>
      <c r="B95" s="6"/>
      <c r="C95" s="96">
        <f>C70*0.82</f>
        <v>218296.60547735225</v>
      </c>
      <c r="D95" s="83"/>
      <c r="E95" s="96">
        <f>E70*0.82</f>
        <v>76144.543999999994</v>
      </c>
      <c r="F95" s="7"/>
      <c r="G95" s="96">
        <f>G70*0.82</f>
        <v>17213866.514800001</v>
      </c>
      <c r="H95" s="141"/>
      <c r="I95" s="96">
        <f>I70*0.82</f>
        <v>0</v>
      </c>
      <c r="J95" s="7"/>
      <c r="K95" s="96">
        <f>K70*0.82</f>
        <v>0</v>
      </c>
      <c r="L95" s="7"/>
      <c r="M95" s="96">
        <f>M70*0.82</f>
        <v>0</v>
      </c>
      <c r="N95" s="7"/>
      <c r="O95" s="96">
        <f>O70*0.82</f>
        <v>0</v>
      </c>
      <c r="P95" s="7"/>
      <c r="Q95" s="96">
        <f>Q70*0.82</f>
        <v>0</v>
      </c>
      <c r="R95" s="7"/>
      <c r="S95" s="96">
        <f>S70*0.82</f>
        <v>0</v>
      </c>
      <c r="T95" s="7"/>
      <c r="U95" s="96">
        <f>U70*0.82</f>
        <v>0</v>
      </c>
      <c r="V95" s="7"/>
      <c r="W95" s="96">
        <f>W70*0.82</f>
        <v>0</v>
      </c>
      <c r="X95" s="7"/>
      <c r="Y95" s="96">
        <f>Y70*0.82</f>
        <v>0</v>
      </c>
      <c r="Z95" s="7"/>
    </row>
    <row r="96" spans="1:27" ht="15.75">
      <c r="A96" s="2" t="s">
        <v>309</v>
      </c>
      <c r="B96" s="6"/>
      <c r="C96" s="4">
        <f>C71</f>
        <v>206861.37253335639</v>
      </c>
      <c r="D96" s="83"/>
      <c r="E96" s="4">
        <f>E71</f>
        <v>92859.199999999997</v>
      </c>
      <c r="F96" s="7"/>
      <c r="G96" s="4">
        <f>G71</f>
        <v>12327953.140000001</v>
      </c>
      <c r="H96" s="141"/>
      <c r="I96" s="4">
        <f>I71</f>
        <v>0</v>
      </c>
      <c r="J96" s="7"/>
      <c r="K96" s="4">
        <f>K71</f>
        <v>0</v>
      </c>
      <c r="L96" s="7"/>
      <c r="M96" s="4">
        <f>M71</f>
        <v>0</v>
      </c>
      <c r="N96" s="7"/>
      <c r="O96" s="4">
        <f>O71</f>
        <v>0</v>
      </c>
      <c r="P96" s="7"/>
      <c r="Q96" s="4">
        <f>Q71</f>
        <v>0</v>
      </c>
      <c r="R96" s="7"/>
      <c r="S96" s="4">
        <f>S71</f>
        <v>0</v>
      </c>
      <c r="T96" s="7"/>
      <c r="U96" s="4">
        <f>U71</f>
        <v>0</v>
      </c>
      <c r="V96" s="7"/>
      <c r="W96" s="4">
        <f>W71</f>
        <v>0</v>
      </c>
      <c r="X96" s="7"/>
      <c r="Y96" s="4">
        <f>Y71</f>
        <v>0</v>
      </c>
      <c r="Z96" s="7"/>
    </row>
    <row r="97" spans="1:26" ht="15.75">
      <c r="A97" s="2" t="s">
        <v>300</v>
      </c>
      <c r="B97" s="6"/>
      <c r="C97" s="4">
        <f>C72</f>
        <v>119552</v>
      </c>
      <c r="D97" s="83"/>
      <c r="E97" s="4">
        <f>E72</f>
        <v>80000</v>
      </c>
      <c r="F97" s="7"/>
      <c r="G97" s="4">
        <f>G72</f>
        <v>-9478784</v>
      </c>
      <c r="H97" s="141"/>
      <c r="I97" s="4">
        <f>I72</f>
        <v>0</v>
      </c>
      <c r="J97" s="7"/>
      <c r="K97" s="4">
        <f>K72</f>
        <v>0</v>
      </c>
      <c r="L97" s="7"/>
      <c r="M97" s="4">
        <f>M72</f>
        <v>0</v>
      </c>
      <c r="N97" s="7"/>
      <c r="O97" s="4">
        <f>O72</f>
        <v>0</v>
      </c>
      <c r="P97" s="7"/>
      <c r="Q97" s="4">
        <f>Q72</f>
        <v>0</v>
      </c>
      <c r="R97" s="7"/>
      <c r="S97" s="4">
        <f>S72</f>
        <v>0</v>
      </c>
      <c r="T97" s="7"/>
      <c r="U97" s="4">
        <f>U72</f>
        <v>0</v>
      </c>
      <c r="V97" s="7"/>
      <c r="W97" s="4">
        <f>W72</f>
        <v>0</v>
      </c>
      <c r="X97" s="7"/>
      <c r="Y97" s="4">
        <f>Y72</f>
        <v>0</v>
      </c>
      <c r="Z97" s="7"/>
    </row>
    <row r="98" spans="1:26" ht="15.75">
      <c r="A98" s="2" t="s">
        <v>22</v>
      </c>
      <c r="B98" s="6"/>
      <c r="C98" s="4">
        <f>C27</f>
        <v>350</v>
      </c>
      <c r="D98" s="83"/>
      <c r="E98" s="4">
        <f>E27</f>
        <v>19650</v>
      </c>
      <c r="F98" s="7"/>
      <c r="G98" s="4">
        <f>G27</f>
        <v>-2799920</v>
      </c>
      <c r="H98" s="141"/>
      <c r="I98" s="4">
        <f>I27</f>
        <v>0</v>
      </c>
      <c r="J98" s="7"/>
      <c r="K98" s="4">
        <f>K27</f>
        <v>0</v>
      </c>
      <c r="L98" s="7"/>
      <c r="M98" s="4">
        <f>M27</f>
        <v>0</v>
      </c>
      <c r="N98" s="7"/>
      <c r="O98" s="4">
        <f>O27</f>
        <v>0</v>
      </c>
      <c r="P98" s="7"/>
      <c r="Q98" s="4">
        <f>Q27</f>
        <v>0</v>
      </c>
      <c r="R98" s="7"/>
      <c r="S98" s="4">
        <f>S27</f>
        <v>0</v>
      </c>
      <c r="T98" s="7"/>
      <c r="U98" s="4">
        <f>U27</f>
        <v>0</v>
      </c>
      <c r="V98" s="7"/>
      <c r="W98" s="4">
        <f>W27</f>
        <v>0</v>
      </c>
      <c r="X98" s="7"/>
      <c r="Y98" s="4">
        <f>Y27</f>
        <v>0</v>
      </c>
      <c r="Z98" s="7"/>
    </row>
    <row r="99" spans="1:26" ht="15.75">
      <c r="A99" s="2" t="s">
        <v>340</v>
      </c>
      <c r="B99" s="6"/>
      <c r="C99" s="4">
        <f>C73</f>
        <v>71680.686266678196</v>
      </c>
      <c r="D99" s="83"/>
      <c r="E99" s="4">
        <f>E73</f>
        <v>86429.6</v>
      </c>
      <c r="F99" s="7"/>
      <c r="G99" s="4">
        <f>G73</f>
        <v>7151865.5700000003</v>
      </c>
      <c r="H99" s="141"/>
      <c r="I99" s="4">
        <f>I73</f>
        <v>0</v>
      </c>
      <c r="J99" s="7"/>
      <c r="K99" s="4">
        <f>K73</f>
        <v>0</v>
      </c>
      <c r="L99" s="7"/>
      <c r="M99" s="4">
        <f>M73</f>
        <v>0</v>
      </c>
      <c r="N99" s="7"/>
      <c r="O99" s="4">
        <f>O73</f>
        <v>0</v>
      </c>
      <c r="P99" s="7"/>
      <c r="Q99" s="4">
        <f>Q73</f>
        <v>0</v>
      </c>
      <c r="R99" s="140"/>
      <c r="S99" s="4">
        <f>S73</f>
        <v>0</v>
      </c>
      <c r="T99" s="140"/>
      <c r="U99" s="4">
        <f>U73</f>
        <v>0</v>
      </c>
      <c r="V99" s="140"/>
      <c r="W99" s="4">
        <f>W73</f>
        <v>0</v>
      </c>
      <c r="X99" s="140"/>
      <c r="Y99" s="4">
        <f>Y73</f>
        <v>0</v>
      </c>
      <c r="Z99" s="7"/>
    </row>
    <row r="100" spans="1:26" ht="16.5" thickBot="1">
      <c r="A100" s="2" t="s">
        <v>308</v>
      </c>
      <c r="B100" s="6"/>
      <c r="C100" s="4">
        <f>C74</f>
        <v>141135.68626667821</v>
      </c>
      <c r="D100" s="83"/>
      <c r="E100" s="4">
        <f>E74</f>
        <v>86429.6</v>
      </c>
      <c r="F100" s="7"/>
      <c r="G100" s="4">
        <f>G74</f>
        <v>5673325.5700000003</v>
      </c>
      <c r="H100" s="141"/>
      <c r="I100" s="4">
        <f>I74</f>
        <v>0</v>
      </c>
      <c r="J100" s="7"/>
      <c r="K100" s="4">
        <f>K74</f>
        <v>0</v>
      </c>
      <c r="L100" s="7"/>
      <c r="M100" s="4">
        <f>M74</f>
        <v>0</v>
      </c>
      <c r="N100" s="7"/>
      <c r="O100" s="4">
        <f>O74</f>
        <v>0</v>
      </c>
      <c r="P100" s="7"/>
      <c r="Q100" s="4">
        <f>Q74</f>
        <v>0</v>
      </c>
      <c r="R100" s="7"/>
      <c r="S100" s="4">
        <f>S74</f>
        <v>0</v>
      </c>
      <c r="T100" s="7"/>
      <c r="U100" s="4">
        <f>U74</f>
        <v>0</v>
      </c>
      <c r="V100" s="7"/>
      <c r="W100" s="4">
        <f>W74</f>
        <v>0</v>
      </c>
      <c r="X100" s="7"/>
      <c r="Y100" s="4">
        <f>Y74</f>
        <v>0</v>
      </c>
      <c r="Z100" s="7"/>
    </row>
    <row r="101" spans="1:26" ht="16.5" thickBot="1">
      <c r="A101" s="2" t="s">
        <v>310</v>
      </c>
      <c r="B101" s="6"/>
      <c r="C101" s="158">
        <f>C75*0.95</f>
        <v>127304.70845334428</v>
      </c>
      <c r="D101" s="83"/>
      <c r="E101" s="158">
        <f>E75*0.95</f>
        <v>76788.12</v>
      </c>
      <c r="F101" s="7"/>
      <c r="G101" s="158">
        <f>G75*0.95</f>
        <v>4207068.9104999993</v>
      </c>
      <c r="H101" s="141"/>
      <c r="I101" s="158">
        <f>I75*0.95</f>
        <v>0</v>
      </c>
      <c r="J101" s="7"/>
      <c r="K101" s="158">
        <f>K75*0.95</f>
        <v>0</v>
      </c>
      <c r="L101" s="7"/>
      <c r="M101" s="158">
        <f>M75*0.95</f>
        <v>0</v>
      </c>
      <c r="N101" s="7"/>
      <c r="O101" s="158">
        <f>O75*0.95</f>
        <v>0</v>
      </c>
      <c r="P101" s="7"/>
      <c r="Q101" s="158">
        <f>Q75*0.95</f>
        <v>0</v>
      </c>
      <c r="R101" s="7"/>
      <c r="S101" s="158">
        <f>S75*0.95</f>
        <v>0</v>
      </c>
      <c r="T101" s="7"/>
      <c r="U101" s="158">
        <f>U75*0.95</f>
        <v>0</v>
      </c>
      <c r="V101" s="7"/>
      <c r="W101" s="158">
        <f>W75*0.95</f>
        <v>0</v>
      </c>
      <c r="X101" s="7"/>
      <c r="Y101" s="158">
        <f>Y75*0.95</f>
        <v>0</v>
      </c>
      <c r="Z101" s="7"/>
    </row>
    <row r="102" spans="1:26" ht="16.5" thickBot="1">
      <c r="A102" s="2" t="s">
        <v>311</v>
      </c>
      <c r="B102" s="6"/>
      <c r="C102" s="158">
        <f>C76*0.95</f>
        <v>136364.6019533443</v>
      </c>
      <c r="D102" s="83"/>
      <c r="E102" s="158">
        <f>E76*0.95</f>
        <v>82108.12</v>
      </c>
      <c r="F102" s="7"/>
      <c r="G102" s="158">
        <f>G76*0.95</f>
        <v>3718215.0415000003</v>
      </c>
      <c r="H102" s="141"/>
      <c r="I102" s="158">
        <f>I76*0.95</f>
        <v>0</v>
      </c>
      <c r="J102" s="7"/>
      <c r="K102" s="158">
        <f>K76*0.95</f>
        <v>0</v>
      </c>
      <c r="L102" s="7"/>
      <c r="M102" s="158">
        <f>M76*0.95</f>
        <v>0</v>
      </c>
      <c r="N102" s="7"/>
      <c r="O102" s="158">
        <f>O76*0.95</f>
        <v>0</v>
      </c>
      <c r="P102" s="7"/>
      <c r="Q102" s="158">
        <f>Q76*0.95</f>
        <v>0</v>
      </c>
      <c r="R102" s="7"/>
      <c r="S102" s="158">
        <f>S76*0.95</f>
        <v>0</v>
      </c>
      <c r="T102" s="7"/>
      <c r="U102" s="158">
        <f>U76*0.95</f>
        <v>0</v>
      </c>
      <c r="V102" s="7"/>
      <c r="W102" s="158">
        <f>W76*0.95</f>
        <v>0</v>
      </c>
      <c r="X102" s="7"/>
      <c r="Y102" s="158">
        <f>Y76*0.95</f>
        <v>0</v>
      </c>
      <c r="Z102" s="7"/>
    </row>
    <row r="103" spans="1:26" ht="15.75">
      <c r="A103" s="2" t="s">
        <v>351</v>
      </c>
      <c r="B103" s="6"/>
      <c r="C103" s="4">
        <f>C77</f>
        <v>15876.457511118799</v>
      </c>
      <c r="D103" s="83"/>
      <c r="E103" s="4">
        <f>E77</f>
        <v>84286.399999999994</v>
      </c>
      <c r="F103" s="7"/>
      <c r="G103" s="4">
        <f>G77</f>
        <v>-2677071.62</v>
      </c>
      <c r="H103" s="141"/>
      <c r="I103" s="4">
        <f>I77</f>
        <v>0</v>
      </c>
      <c r="J103" s="7"/>
      <c r="K103" s="4">
        <f>K77</f>
        <v>0</v>
      </c>
      <c r="L103" s="7"/>
      <c r="M103" s="4">
        <f>M77</f>
        <v>0</v>
      </c>
      <c r="N103" s="7"/>
      <c r="O103" s="4">
        <f>O77</f>
        <v>0</v>
      </c>
      <c r="P103" s="7"/>
      <c r="Q103" s="4">
        <f>Q77</f>
        <v>0</v>
      </c>
      <c r="R103" s="7"/>
      <c r="S103" s="4">
        <f>S77</f>
        <v>0</v>
      </c>
      <c r="T103" s="7"/>
      <c r="U103" s="4">
        <f>U77</f>
        <v>0</v>
      </c>
      <c r="V103" s="7"/>
      <c r="W103" s="4">
        <f>W77</f>
        <v>0</v>
      </c>
      <c r="X103" s="7"/>
      <c r="Y103" s="4">
        <f>Y77</f>
        <v>0</v>
      </c>
      <c r="Z103" s="7"/>
    </row>
    <row r="104" spans="1:26" ht="15.75">
      <c r="A104" s="2" t="s">
        <v>312</v>
      </c>
      <c r="B104" s="6"/>
      <c r="C104" s="4">
        <f>C78</f>
        <v>262413.37253335642</v>
      </c>
      <c r="D104" s="83"/>
      <c r="E104" s="4">
        <f>E78</f>
        <v>92859.199999999997</v>
      </c>
      <c r="F104" s="7"/>
      <c r="G104" s="4">
        <f>G78</f>
        <v>10448657.140000001</v>
      </c>
      <c r="H104" s="141"/>
      <c r="I104" s="4">
        <f>I78</f>
        <v>0</v>
      </c>
      <c r="J104" s="7"/>
      <c r="K104" s="4">
        <f>K78</f>
        <v>0</v>
      </c>
      <c r="L104" s="7"/>
      <c r="M104" s="4">
        <f>M78</f>
        <v>0</v>
      </c>
      <c r="N104" s="7"/>
      <c r="O104" s="4">
        <f>O78</f>
        <v>0</v>
      </c>
      <c r="P104" s="7"/>
      <c r="Q104" s="4">
        <f>Q78</f>
        <v>0</v>
      </c>
      <c r="R104" s="7"/>
      <c r="S104" s="4">
        <f>S78</f>
        <v>0</v>
      </c>
      <c r="T104" s="7"/>
      <c r="U104" s="4">
        <f>U78</f>
        <v>0</v>
      </c>
      <c r="V104" s="7"/>
      <c r="W104" s="4">
        <f>W78</f>
        <v>0</v>
      </c>
      <c r="X104" s="7"/>
      <c r="Y104" s="4">
        <f>Y78</f>
        <v>0</v>
      </c>
      <c r="Z104" s="7"/>
    </row>
    <row r="105" spans="1:26" ht="15.75">
      <c r="A105" s="2" t="s">
        <v>313</v>
      </c>
      <c r="B105" s="6"/>
      <c r="C105" s="4">
        <f>C79</f>
        <v>248077.37253335639</v>
      </c>
      <c r="D105" s="83"/>
      <c r="E105" s="4">
        <f>E79</f>
        <v>92859.199999999997</v>
      </c>
      <c r="F105" s="7"/>
      <c r="G105" s="4">
        <f>G79</f>
        <v>10923281.140000001</v>
      </c>
      <c r="H105" s="141"/>
      <c r="I105" s="4">
        <f>I79</f>
        <v>0</v>
      </c>
      <c r="J105" s="7"/>
      <c r="K105" s="4">
        <f>K79</f>
        <v>0</v>
      </c>
      <c r="L105" s="7"/>
      <c r="M105" s="4">
        <f>M79</f>
        <v>0</v>
      </c>
      <c r="N105" s="7"/>
      <c r="O105" s="4">
        <f>O79</f>
        <v>0</v>
      </c>
      <c r="P105" s="7"/>
      <c r="Q105" s="4">
        <f>Q79</f>
        <v>0</v>
      </c>
      <c r="R105" s="7"/>
      <c r="S105" s="4">
        <f>S79</f>
        <v>0</v>
      </c>
      <c r="T105" s="7"/>
      <c r="U105" s="4">
        <f>U79</f>
        <v>0</v>
      </c>
      <c r="V105" s="7"/>
      <c r="W105" s="4">
        <f>W79</f>
        <v>0</v>
      </c>
      <c r="X105" s="7"/>
      <c r="Y105" s="4">
        <f>Y79</f>
        <v>0</v>
      </c>
      <c r="Z105" s="7"/>
    </row>
    <row r="106" spans="1:26" ht="15.75">
      <c r="A106" s="2" t="s">
        <v>37</v>
      </c>
      <c r="B106" s="6"/>
      <c r="C106" s="4">
        <f>C28</f>
        <v>330</v>
      </c>
      <c r="D106" s="83"/>
      <c r="E106" s="4">
        <f>E28</f>
        <v>14670</v>
      </c>
      <c r="F106" s="7"/>
      <c r="G106" s="4">
        <f>G28</f>
        <v>-2476270</v>
      </c>
      <c r="H106" s="141"/>
      <c r="I106" s="4">
        <f>I28</f>
        <v>0</v>
      </c>
      <c r="J106" s="7"/>
      <c r="K106" s="4">
        <f>K28</f>
        <v>0</v>
      </c>
      <c r="L106" s="7"/>
      <c r="M106" s="4">
        <f>M28</f>
        <v>0</v>
      </c>
      <c r="N106" s="7"/>
      <c r="O106" s="4">
        <f>O28</f>
        <v>0</v>
      </c>
      <c r="P106" s="7"/>
      <c r="Q106" s="4">
        <f>Q28</f>
        <v>0</v>
      </c>
      <c r="R106" s="7"/>
      <c r="S106" s="4">
        <f>S28</f>
        <v>0</v>
      </c>
      <c r="T106" s="7"/>
      <c r="U106" s="4">
        <f>U28</f>
        <v>0</v>
      </c>
      <c r="V106" s="7"/>
      <c r="W106" s="4">
        <f>W28</f>
        <v>0</v>
      </c>
      <c r="X106" s="7"/>
      <c r="Y106" s="4">
        <f>Y28</f>
        <v>0</v>
      </c>
      <c r="Z106" s="7"/>
    </row>
    <row r="107" spans="1:26" ht="15.75">
      <c r="A107" s="2" t="s">
        <v>315</v>
      </c>
      <c r="B107" s="6"/>
      <c r="C107" s="4">
        <f>C80</f>
        <v>1857333.4901334257</v>
      </c>
      <c r="D107" s="83"/>
      <c r="E107" s="4">
        <f>E80</f>
        <v>131436.79999999999</v>
      </c>
      <c r="F107" s="7"/>
      <c r="G107" s="4">
        <f>G80</f>
        <v>75561156.560000002</v>
      </c>
      <c r="H107" s="141"/>
      <c r="I107" s="4">
        <f>I80</f>
        <v>0</v>
      </c>
      <c r="J107" s="7"/>
      <c r="K107" s="4">
        <f>K80</f>
        <v>0</v>
      </c>
      <c r="L107" s="7"/>
      <c r="M107" s="4">
        <f>M80</f>
        <v>0</v>
      </c>
      <c r="N107" s="7"/>
      <c r="O107" s="4">
        <f>O80</f>
        <v>0</v>
      </c>
      <c r="P107" s="7"/>
      <c r="Q107" s="4">
        <f>Q80</f>
        <v>0</v>
      </c>
      <c r="R107" s="7"/>
      <c r="S107" s="4">
        <f>S80</f>
        <v>0</v>
      </c>
      <c r="T107" s="7"/>
      <c r="U107" s="4">
        <f>U80</f>
        <v>0</v>
      </c>
      <c r="V107" s="7"/>
      <c r="W107" s="4">
        <f>W80</f>
        <v>0</v>
      </c>
      <c r="X107" s="7"/>
      <c r="Y107" s="4">
        <f>Y80</f>
        <v>0</v>
      </c>
      <c r="Z107" s="7"/>
    </row>
    <row r="108" spans="1:26" ht="15.75">
      <c r="A108" s="2" t="s">
        <v>33</v>
      </c>
      <c r="B108" s="6"/>
      <c r="C108" s="4">
        <f>C81</f>
        <v>0</v>
      </c>
      <c r="D108" s="83"/>
      <c r="E108" s="4">
        <f>E81</f>
        <v>0</v>
      </c>
      <c r="F108" s="7"/>
      <c r="G108" s="4">
        <f>G81</f>
        <v>0</v>
      </c>
      <c r="H108" s="141"/>
      <c r="I108" s="4">
        <f>I81</f>
        <v>0</v>
      </c>
      <c r="J108" s="7"/>
      <c r="K108" s="4">
        <f>K81</f>
        <v>0</v>
      </c>
      <c r="L108" s="7"/>
      <c r="M108" s="4">
        <f>M81</f>
        <v>0</v>
      </c>
      <c r="N108" s="7"/>
      <c r="O108" s="4">
        <f>O81</f>
        <v>0</v>
      </c>
      <c r="P108" s="7"/>
      <c r="Q108" s="4">
        <f>Q81</f>
        <v>0</v>
      </c>
      <c r="R108" s="7"/>
      <c r="S108" s="4">
        <f>S81</f>
        <v>0</v>
      </c>
      <c r="T108" s="7"/>
      <c r="U108" s="4">
        <f>U81</f>
        <v>0</v>
      </c>
      <c r="V108" s="7"/>
      <c r="W108" s="4">
        <f>W81</f>
        <v>0</v>
      </c>
      <c r="X108" s="7"/>
      <c r="Y108" s="4">
        <f>Y81</f>
        <v>0</v>
      </c>
      <c r="Z108" s="7"/>
    </row>
    <row r="109" spans="1:26" ht="15.75">
      <c r="A109" s="2" t="s">
        <v>316</v>
      </c>
      <c r="B109" s="6"/>
      <c r="C109" s="4">
        <f t="shared" ref="C109:E111" si="5">C82</f>
        <v>36992</v>
      </c>
      <c r="D109" s="83"/>
      <c r="E109" s="4">
        <f t="shared" si="5"/>
        <v>80000</v>
      </c>
      <c r="F109" s="7"/>
      <c r="G109" s="4">
        <f>G82</f>
        <v>-5828992</v>
      </c>
      <c r="H109" s="141"/>
      <c r="I109" s="4">
        <f>I82</f>
        <v>0</v>
      </c>
      <c r="J109" s="7"/>
      <c r="K109" s="4">
        <f>K82</f>
        <v>0</v>
      </c>
      <c r="L109" s="7"/>
      <c r="M109" s="4">
        <f>M82</f>
        <v>0</v>
      </c>
      <c r="N109" s="7"/>
      <c r="O109" s="4">
        <f>O82</f>
        <v>0</v>
      </c>
      <c r="P109" s="7"/>
      <c r="Q109" s="4">
        <f>Q82</f>
        <v>0</v>
      </c>
      <c r="R109" s="7"/>
      <c r="S109" s="4">
        <f>S82</f>
        <v>0</v>
      </c>
      <c r="T109" s="7"/>
      <c r="U109" s="4">
        <f>U82</f>
        <v>0</v>
      </c>
      <c r="V109" s="7"/>
      <c r="W109" s="4">
        <f>W82</f>
        <v>0</v>
      </c>
      <c r="X109" s="7"/>
      <c r="Y109" s="4">
        <f>Y82</f>
        <v>0</v>
      </c>
      <c r="Z109" s="7"/>
    </row>
    <row r="110" spans="1:26" ht="15.75">
      <c r="A110" s="2" t="s">
        <v>317</v>
      </c>
      <c r="B110" s="6"/>
      <c r="C110" s="4">
        <f t="shared" si="5"/>
        <v>897024</v>
      </c>
      <c r="D110" s="83"/>
      <c r="E110" s="4">
        <f t="shared" si="5"/>
        <v>80000</v>
      </c>
      <c r="F110" s="7"/>
      <c r="G110" s="4">
        <f>G83</f>
        <v>-36928640</v>
      </c>
      <c r="H110" s="141"/>
      <c r="I110" s="4">
        <f>I83</f>
        <v>0</v>
      </c>
      <c r="J110" s="7"/>
      <c r="K110" s="4">
        <f>K83</f>
        <v>0</v>
      </c>
      <c r="L110" s="7"/>
      <c r="M110" s="4">
        <f>M83</f>
        <v>0</v>
      </c>
      <c r="N110" s="7"/>
      <c r="O110" s="4">
        <f>O83</f>
        <v>0</v>
      </c>
      <c r="P110" s="7"/>
      <c r="Q110" s="4">
        <f>Q83</f>
        <v>0</v>
      </c>
      <c r="R110" s="7"/>
      <c r="S110" s="4">
        <f>S83</f>
        <v>0</v>
      </c>
      <c r="T110" s="7"/>
      <c r="U110" s="4">
        <f>U83</f>
        <v>0</v>
      </c>
      <c r="V110" s="7"/>
      <c r="W110" s="4">
        <f>W83</f>
        <v>0</v>
      </c>
      <c r="X110" s="7"/>
      <c r="Y110" s="4">
        <f>Y83</f>
        <v>0</v>
      </c>
      <c r="Z110" s="7"/>
    </row>
    <row r="111" spans="1:26" ht="16.5" thickBot="1">
      <c r="A111" s="2" t="s">
        <v>318</v>
      </c>
      <c r="B111" s="6"/>
      <c r="C111" s="4">
        <f t="shared" si="5"/>
        <v>729635.66008895042</v>
      </c>
      <c r="D111" s="83"/>
      <c r="E111" s="4">
        <f t="shared" si="5"/>
        <v>114291.2</v>
      </c>
      <c r="F111" s="7"/>
      <c r="G111" s="4">
        <f>G84</f>
        <v>53623683.039999999</v>
      </c>
      <c r="H111" s="141"/>
      <c r="I111" s="4">
        <f>I84</f>
        <v>0</v>
      </c>
      <c r="J111" s="7"/>
      <c r="K111" s="4">
        <f>K84</f>
        <v>0</v>
      </c>
      <c r="L111" s="7"/>
      <c r="M111" s="4">
        <f>M84</f>
        <v>0</v>
      </c>
      <c r="N111" s="7"/>
      <c r="O111" s="4">
        <f>O84</f>
        <v>0</v>
      </c>
      <c r="P111" s="7"/>
      <c r="Q111" s="4">
        <f>Q84</f>
        <v>0</v>
      </c>
      <c r="R111" s="7"/>
      <c r="S111" s="4">
        <f>S84</f>
        <v>0</v>
      </c>
      <c r="T111" s="7"/>
      <c r="U111" s="4">
        <f>U84</f>
        <v>0</v>
      </c>
      <c r="V111" s="7"/>
      <c r="W111" s="4">
        <f>W84</f>
        <v>0</v>
      </c>
      <c r="X111" s="7"/>
      <c r="Y111" s="4">
        <f>Y84</f>
        <v>0</v>
      </c>
      <c r="Z111" s="7"/>
    </row>
    <row r="112" spans="1:26" ht="16.5" thickBot="1">
      <c r="A112" s="2" t="s">
        <v>319</v>
      </c>
      <c r="B112" s="6"/>
      <c r="C112" s="96">
        <f>C85*0.82</f>
        <v>184502.76547735222</v>
      </c>
      <c r="D112" s="83"/>
      <c r="E112" s="96">
        <f>E85*0.82</f>
        <v>76144.543999999994</v>
      </c>
      <c r="F112" s="7"/>
      <c r="G112" s="96">
        <f>G85*0.82</f>
        <v>16006912.614799999</v>
      </c>
      <c r="H112" s="141"/>
      <c r="I112" s="96">
        <f>I85*0.82</f>
        <v>0</v>
      </c>
      <c r="J112" s="7"/>
      <c r="K112" s="96">
        <f>K85*0.82</f>
        <v>0</v>
      </c>
      <c r="L112" s="7"/>
      <c r="M112" s="96">
        <f>M85*0.82</f>
        <v>0</v>
      </c>
      <c r="N112" s="7"/>
      <c r="O112" s="96">
        <f>O85*0.82</f>
        <v>0</v>
      </c>
      <c r="P112" s="7"/>
      <c r="Q112" s="96">
        <f>Q85*0.82</f>
        <v>0</v>
      </c>
      <c r="R112" s="7"/>
      <c r="S112" s="96">
        <f>S85*0.82</f>
        <v>0</v>
      </c>
      <c r="T112" s="7"/>
      <c r="U112" s="96">
        <f>U85*0.82</f>
        <v>0</v>
      </c>
      <c r="V112" s="7"/>
      <c r="W112" s="96">
        <f>W85*0.82</f>
        <v>0</v>
      </c>
      <c r="X112" s="7"/>
      <c r="Y112" s="96">
        <f>Y85*0.82</f>
        <v>0</v>
      </c>
      <c r="Z112" s="7"/>
    </row>
    <row r="113" spans="1:26" ht="16.5" thickBot="1">
      <c r="A113" s="159" t="s">
        <v>132</v>
      </c>
      <c r="B113" s="6"/>
      <c r="C113" s="157">
        <f>0.18*(C65+C69+C70+C85)+0.05*(C75+C76)</f>
        <v>208224.86035068444</v>
      </c>
      <c r="D113" s="83"/>
      <c r="E113" s="157">
        <f>0.18*(E65+E69+E70+E85)+0.05*(E75+E76)</f>
        <v>75221.584000000003</v>
      </c>
      <c r="F113" s="7"/>
      <c r="G113" s="157">
        <f>0.18*(G65+G69+G70+G85)+0.05*(G75+G76)</f>
        <v>11675236.148800001</v>
      </c>
      <c r="H113" s="141"/>
      <c r="I113" s="157">
        <f>0.18*(I65+I69+I70+I85)+0.05*(I75+I76)</f>
        <v>0</v>
      </c>
      <c r="J113" s="7"/>
      <c r="K113" s="157">
        <f>0.18*(K65+K69+K70+K85)+0.05*(K75+K76)</f>
        <v>0</v>
      </c>
      <c r="L113" s="7"/>
      <c r="M113" s="157">
        <f>0.18*(M65+M69+M70+M85)+0.05*(M75+M76)</f>
        <v>0</v>
      </c>
      <c r="N113" s="7"/>
      <c r="O113" s="157">
        <f>0.18*(O65+O69+O70+O85)+0.05*(O75+O76)</f>
        <v>0</v>
      </c>
      <c r="P113" s="7"/>
      <c r="Q113" s="157">
        <f>0.18*(Q65+Q69+Q70+Q85)+0.05*(Q75+Q76)</f>
        <v>0</v>
      </c>
      <c r="R113" s="7"/>
      <c r="S113" s="157">
        <f>0.18*(S65+S69+S70+S85)+0.05*(S75+S76)</f>
        <v>0</v>
      </c>
      <c r="T113" s="7"/>
      <c r="U113" s="157">
        <f>0.18*(U65+U69+U70+U85)+0.05*(U75+U76)</f>
        <v>0</v>
      </c>
      <c r="V113" s="7"/>
      <c r="W113" s="157">
        <f>0.18*(W65+W69+W70+W85)+0.05*(W75+W76)</f>
        <v>0</v>
      </c>
      <c r="X113" s="7"/>
      <c r="Y113" s="157">
        <f>0.18*(Y65+Y69+Y70+Y85)+0.05*(Y75+Y76)</f>
        <v>0</v>
      </c>
      <c r="Z113" s="7"/>
    </row>
    <row r="116" spans="1:26" ht="15.75">
      <c r="A116" s="2" t="s">
        <v>320</v>
      </c>
      <c r="B116" s="6"/>
      <c r="C116" s="4">
        <f t="shared" ref="C116:C128" si="6">C32</f>
        <v>1424704</v>
      </c>
      <c r="D116" s="83"/>
      <c r="E116" s="4">
        <f t="shared" ref="E116:E128" si="7">E32</f>
        <v>100000</v>
      </c>
      <c r="F116" s="7"/>
      <c r="G116" s="4">
        <f t="shared" ref="G116:G128" si="8">G32</f>
        <v>-2083456</v>
      </c>
      <c r="H116" s="141"/>
      <c r="I116" s="4">
        <f t="shared" ref="I116:I128" si="9">I32</f>
        <v>0</v>
      </c>
      <c r="J116" s="7"/>
      <c r="K116" s="4">
        <f t="shared" ref="K116:K128" si="10">K32</f>
        <v>0</v>
      </c>
      <c r="L116" s="7"/>
      <c r="M116" s="4">
        <f t="shared" ref="M116:M128" si="11">M32</f>
        <v>0</v>
      </c>
      <c r="N116" s="7"/>
      <c r="O116" s="4">
        <f t="shared" ref="O116:O128" si="12">O32</f>
        <v>0</v>
      </c>
      <c r="P116" s="7"/>
      <c r="Q116" s="4">
        <f t="shared" ref="Q116:Q128" si="13">Q32</f>
        <v>0</v>
      </c>
      <c r="R116" s="7"/>
      <c r="S116" s="4">
        <f t="shared" ref="S116:S128" si="14">S32</f>
        <v>0</v>
      </c>
      <c r="T116" s="7"/>
      <c r="U116" s="4">
        <f t="shared" ref="U116:U128" si="15">U32</f>
        <v>0</v>
      </c>
      <c r="V116" s="7"/>
      <c r="W116" s="4">
        <f t="shared" ref="W116:W128" si="16">W32</f>
        <v>0</v>
      </c>
      <c r="X116" s="7"/>
      <c r="Y116" s="4">
        <f t="shared" ref="Y116:Y128" si="17">Y32</f>
        <v>0</v>
      </c>
      <c r="Z116" s="7"/>
    </row>
    <row r="117" spans="1:26" ht="15.75">
      <c r="A117" s="2" t="s">
        <v>321</v>
      </c>
      <c r="B117" s="6"/>
      <c r="C117" s="4">
        <f t="shared" si="6"/>
        <v>2005296</v>
      </c>
      <c r="D117" s="83"/>
      <c r="E117" s="4">
        <f t="shared" si="7"/>
        <v>100000</v>
      </c>
      <c r="F117" s="7"/>
      <c r="G117" s="4">
        <f t="shared" si="8"/>
        <v>-3002208</v>
      </c>
      <c r="H117" s="141"/>
      <c r="I117" s="4">
        <f t="shared" si="9"/>
        <v>0</v>
      </c>
      <c r="J117" s="7"/>
      <c r="K117" s="4">
        <f t="shared" si="10"/>
        <v>0</v>
      </c>
      <c r="L117" s="7"/>
      <c r="M117" s="4">
        <f t="shared" si="11"/>
        <v>0</v>
      </c>
      <c r="N117" s="7"/>
      <c r="O117" s="4">
        <f t="shared" si="12"/>
        <v>0</v>
      </c>
      <c r="P117" s="7"/>
      <c r="Q117" s="4">
        <f t="shared" si="13"/>
        <v>0</v>
      </c>
      <c r="R117" s="7"/>
      <c r="S117" s="4">
        <f t="shared" si="14"/>
        <v>0</v>
      </c>
      <c r="T117" s="7"/>
      <c r="U117" s="4">
        <f t="shared" si="15"/>
        <v>0</v>
      </c>
      <c r="V117" s="7"/>
      <c r="W117" s="4">
        <f t="shared" si="16"/>
        <v>0</v>
      </c>
      <c r="X117" s="7"/>
      <c r="Y117" s="4">
        <f t="shared" si="17"/>
        <v>0</v>
      </c>
      <c r="Z117" s="7"/>
    </row>
    <row r="118" spans="1:26" ht="15.75">
      <c r="A118" s="2" t="s">
        <v>322</v>
      </c>
      <c r="B118" s="6"/>
      <c r="C118" s="4">
        <f t="shared" si="6"/>
        <v>1846368</v>
      </c>
      <c r="D118" s="83"/>
      <c r="E118" s="4">
        <f t="shared" si="7"/>
        <v>100000</v>
      </c>
      <c r="F118" s="7"/>
      <c r="G118" s="4">
        <f t="shared" si="8"/>
        <v>-2772000</v>
      </c>
      <c r="H118" s="141"/>
      <c r="I118" s="4">
        <f t="shared" si="9"/>
        <v>0</v>
      </c>
      <c r="J118" s="7"/>
      <c r="K118" s="4">
        <f t="shared" si="10"/>
        <v>0</v>
      </c>
      <c r="L118" s="7"/>
      <c r="M118" s="4">
        <f t="shared" si="11"/>
        <v>0</v>
      </c>
      <c r="N118" s="7"/>
      <c r="O118" s="4">
        <f t="shared" si="12"/>
        <v>0</v>
      </c>
      <c r="P118" s="7"/>
      <c r="Q118" s="4">
        <f t="shared" si="13"/>
        <v>0</v>
      </c>
      <c r="R118" s="7"/>
      <c r="S118" s="4">
        <f t="shared" si="14"/>
        <v>0</v>
      </c>
      <c r="T118" s="7"/>
      <c r="U118" s="4">
        <f t="shared" si="15"/>
        <v>0</v>
      </c>
      <c r="V118" s="7"/>
      <c r="W118" s="4">
        <f t="shared" si="16"/>
        <v>0</v>
      </c>
      <c r="X118" s="7"/>
      <c r="Y118" s="4">
        <f t="shared" si="17"/>
        <v>0</v>
      </c>
      <c r="Z118" s="7"/>
    </row>
    <row r="119" spans="1:26" ht="15.75">
      <c r="A119" s="2" t="s">
        <v>323</v>
      </c>
      <c r="B119" s="6"/>
      <c r="C119" s="4">
        <f t="shared" si="6"/>
        <v>3010496</v>
      </c>
      <c r="D119" s="83"/>
      <c r="E119" s="4">
        <f t="shared" si="7"/>
        <v>100000</v>
      </c>
      <c r="F119" s="7"/>
      <c r="G119" s="4">
        <f t="shared" si="8"/>
        <v>-4441888</v>
      </c>
      <c r="H119" s="141"/>
      <c r="I119" s="4">
        <f t="shared" si="9"/>
        <v>0</v>
      </c>
      <c r="J119" s="7"/>
      <c r="K119" s="4">
        <f t="shared" si="10"/>
        <v>0</v>
      </c>
      <c r="L119" s="7"/>
      <c r="M119" s="4">
        <f t="shared" si="11"/>
        <v>0</v>
      </c>
      <c r="N119" s="7"/>
      <c r="O119" s="4">
        <f t="shared" si="12"/>
        <v>0</v>
      </c>
      <c r="P119" s="7"/>
      <c r="Q119" s="4">
        <f t="shared" si="13"/>
        <v>0</v>
      </c>
      <c r="R119" s="7"/>
      <c r="S119" s="4">
        <f t="shared" si="14"/>
        <v>0</v>
      </c>
      <c r="T119" s="7"/>
      <c r="U119" s="4">
        <f t="shared" si="15"/>
        <v>0</v>
      </c>
      <c r="V119" s="7"/>
      <c r="W119" s="4">
        <f t="shared" si="16"/>
        <v>0</v>
      </c>
      <c r="X119" s="7"/>
      <c r="Y119" s="4">
        <f t="shared" si="17"/>
        <v>0</v>
      </c>
      <c r="Z119" s="7"/>
    </row>
    <row r="120" spans="1:26" ht="15.75">
      <c r="A120" s="2" t="s">
        <v>324</v>
      </c>
      <c r="B120" s="6"/>
      <c r="C120" s="4">
        <f t="shared" si="6"/>
        <v>1982320</v>
      </c>
      <c r="D120" s="83"/>
      <c r="E120" s="4">
        <f t="shared" si="7"/>
        <v>100000</v>
      </c>
      <c r="F120" s="7"/>
      <c r="G120" s="4">
        <f t="shared" si="8"/>
        <v>-2978912</v>
      </c>
      <c r="H120" s="141"/>
      <c r="I120" s="4">
        <f t="shared" si="9"/>
        <v>0</v>
      </c>
      <c r="J120" s="7"/>
      <c r="K120" s="4">
        <f t="shared" si="10"/>
        <v>0</v>
      </c>
      <c r="L120" s="7"/>
      <c r="M120" s="4">
        <f t="shared" si="11"/>
        <v>0</v>
      </c>
      <c r="N120" s="7"/>
      <c r="O120" s="4">
        <f t="shared" si="12"/>
        <v>0</v>
      </c>
      <c r="P120" s="7"/>
      <c r="Q120" s="4">
        <f t="shared" si="13"/>
        <v>0</v>
      </c>
      <c r="R120" s="7"/>
      <c r="S120" s="4">
        <f t="shared" si="14"/>
        <v>0</v>
      </c>
      <c r="T120" s="7"/>
      <c r="U120" s="4">
        <f t="shared" si="15"/>
        <v>0</v>
      </c>
      <c r="V120" s="7"/>
      <c r="W120" s="4">
        <f t="shared" si="16"/>
        <v>0</v>
      </c>
      <c r="X120" s="7"/>
      <c r="Y120" s="4">
        <f t="shared" si="17"/>
        <v>0</v>
      </c>
      <c r="Z120" s="7"/>
    </row>
    <row r="121" spans="1:26" ht="15.75">
      <c r="A121" s="2" t="s">
        <v>325</v>
      </c>
      <c r="B121" s="6"/>
      <c r="C121" s="4">
        <f t="shared" si="6"/>
        <v>2019792</v>
      </c>
      <c r="D121" s="83"/>
      <c r="E121" s="4">
        <f t="shared" si="7"/>
        <v>100000</v>
      </c>
      <c r="F121" s="7"/>
      <c r="G121" s="4">
        <f t="shared" si="8"/>
        <v>-3030944</v>
      </c>
      <c r="H121" s="141"/>
      <c r="I121" s="4">
        <f t="shared" si="9"/>
        <v>0</v>
      </c>
      <c r="J121" s="7"/>
      <c r="K121" s="4">
        <f t="shared" si="10"/>
        <v>0</v>
      </c>
      <c r="L121" s="7"/>
      <c r="M121" s="4">
        <f t="shared" si="11"/>
        <v>0</v>
      </c>
      <c r="N121" s="7"/>
      <c r="O121" s="4">
        <f t="shared" si="12"/>
        <v>0</v>
      </c>
      <c r="P121" s="7"/>
      <c r="Q121" s="4">
        <f t="shared" si="13"/>
        <v>0</v>
      </c>
      <c r="R121" s="7"/>
      <c r="S121" s="4">
        <f t="shared" si="14"/>
        <v>0</v>
      </c>
      <c r="T121" s="7"/>
      <c r="U121" s="4">
        <f t="shared" si="15"/>
        <v>0</v>
      </c>
      <c r="V121" s="7"/>
      <c r="W121" s="4">
        <f t="shared" si="16"/>
        <v>0</v>
      </c>
      <c r="X121" s="7"/>
      <c r="Y121" s="4">
        <f t="shared" si="17"/>
        <v>0</v>
      </c>
      <c r="Z121" s="7"/>
    </row>
    <row r="122" spans="1:26" ht="15.75">
      <c r="A122" s="2" t="s">
        <v>326</v>
      </c>
      <c r="B122" s="6"/>
      <c r="C122" s="4">
        <f t="shared" si="6"/>
        <v>144911</v>
      </c>
      <c r="D122" s="83"/>
      <c r="E122" s="4">
        <f t="shared" si="7"/>
        <v>100000</v>
      </c>
      <c r="F122" s="7"/>
      <c r="G122" s="4">
        <f t="shared" si="8"/>
        <v>-6774447</v>
      </c>
      <c r="H122" s="141"/>
      <c r="I122" s="4">
        <f t="shared" si="9"/>
        <v>0</v>
      </c>
      <c r="J122" s="7"/>
      <c r="K122" s="4">
        <f t="shared" si="10"/>
        <v>0</v>
      </c>
      <c r="L122" s="7"/>
      <c r="M122" s="4">
        <f t="shared" si="11"/>
        <v>0</v>
      </c>
      <c r="N122" s="7"/>
      <c r="O122" s="4">
        <f t="shared" si="12"/>
        <v>0</v>
      </c>
      <c r="P122" s="7"/>
      <c r="Q122" s="4">
        <f t="shared" si="13"/>
        <v>0</v>
      </c>
      <c r="R122" s="7"/>
      <c r="S122" s="4">
        <f t="shared" si="14"/>
        <v>0</v>
      </c>
      <c r="T122" s="7"/>
      <c r="U122" s="4">
        <f t="shared" si="15"/>
        <v>0</v>
      </c>
      <c r="V122" s="7"/>
      <c r="W122" s="4">
        <f t="shared" si="16"/>
        <v>0</v>
      </c>
      <c r="X122" s="7"/>
      <c r="Y122" s="4">
        <f t="shared" si="17"/>
        <v>0</v>
      </c>
      <c r="Z122" s="7"/>
    </row>
    <row r="123" spans="1:26" ht="15.75">
      <c r="A123" s="2" t="s">
        <v>27</v>
      </c>
      <c r="B123" s="6"/>
      <c r="C123" s="4">
        <f t="shared" si="6"/>
        <v>144911</v>
      </c>
      <c r="D123" s="83"/>
      <c r="E123" s="4">
        <f t="shared" si="7"/>
        <v>100000</v>
      </c>
      <c r="F123" s="7"/>
      <c r="G123" s="4">
        <f t="shared" si="8"/>
        <v>-6774447</v>
      </c>
      <c r="H123" s="141"/>
      <c r="I123" s="4">
        <f t="shared" si="9"/>
        <v>0</v>
      </c>
      <c r="J123" s="7"/>
      <c r="K123" s="4">
        <f t="shared" si="10"/>
        <v>0</v>
      </c>
      <c r="L123" s="7"/>
      <c r="M123" s="4">
        <f t="shared" si="11"/>
        <v>0</v>
      </c>
      <c r="N123" s="7"/>
      <c r="O123" s="4">
        <f t="shared" si="12"/>
        <v>0</v>
      </c>
      <c r="P123" s="7"/>
      <c r="Q123" s="4">
        <f t="shared" si="13"/>
        <v>0</v>
      </c>
      <c r="R123" s="7"/>
      <c r="S123" s="4">
        <f t="shared" si="14"/>
        <v>0</v>
      </c>
      <c r="T123" s="7"/>
      <c r="U123" s="4">
        <f t="shared" si="15"/>
        <v>0</v>
      </c>
      <c r="V123" s="7"/>
      <c r="W123" s="4">
        <f t="shared" si="16"/>
        <v>0</v>
      </c>
      <c r="X123" s="7"/>
      <c r="Y123" s="4">
        <f t="shared" si="17"/>
        <v>0</v>
      </c>
      <c r="Z123" s="7"/>
    </row>
    <row r="124" spans="1:26" ht="15.75">
      <c r="A124" s="2" t="s">
        <v>28</v>
      </c>
      <c r="B124" s="6"/>
      <c r="C124" s="4">
        <f t="shared" si="6"/>
        <v>841728</v>
      </c>
      <c r="D124" s="83"/>
      <c r="E124" s="4">
        <f t="shared" si="7"/>
        <v>100000</v>
      </c>
      <c r="F124" s="7"/>
      <c r="G124" s="4">
        <f t="shared" si="8"/>
        <v>-21094560</v>
      </c>
      <c r="H124" s="141"/>
      <c r="I124" s="4">
        <f t="shared" si="9"/>
        <v>0</v>
      </c>
      <c r="J124" s="7"/>
      <c r="K124" s="4">
        <f t="shared" si="10"/>
        <v>0</v>
      </c>
      <c r="L124" s="7"/>
      <c r="M124" s="4">
        <f t="shared" si="11"/>
        <v>0</v>
      </c>
      <c r="N124" s="7"/>
      <c r="O124" s="4">
        <f t="shared" si="12"/>
        <v>0</v>
      </c>
      <c r="P124" s="7"/>
      <c r="Q124" s="4">
        <f t="shared" si="13"/>
        <v>0</v>
      </c>
      <c r="R124" s="7"/>
      <c r="S124" s="4">
        <f t="shared" si="14"/>
        <v>0</v>
      </c>
      <c r="T124" s="7"/>
      <c r="U124" s="4">
        <f t="shared" si="15"/>
        <v>0</v>
      </c>
      <c r="V124" s="7"/>
      <c r="W124" s="4">
        <f t="shared" si="16"/>
        <v>0</v>
      </c>
      <c r="X124" s="7"/>
      <c r="Y124" s="4">
        <f t="shared" si="17"/>
        <v>0</v>
      </c>
      <c r="Z124" s="7"/>
    </row>
    <row r="125" spans="1:26" ht="15.75">
      <c r="A125" s="2" t="s">
        <v>29</v>
      </c>
      <c r="B125" s="6"/>
      <c r="C125" s="4">
        <f t="shared" si="6"/>
        <v>2763692</v>
      </c>
      <c r="D125" s="83"/>
      <c r="E125" s="4">
        <f t="shared" si="7"/>
        <v>100000</v>
      </c>
      <c r="F125" s="7"/>
      <c r="G125" s="4">
        <f t="shared" si="8"/>
        <v>-39980396</v>
      </c>
      <c r="H125" s="141"/>
      <c r="I125" s="4">
        <f t="shared" si="9"/>
        <v>0</v>
      </c>
      <c r="J125" s="7"/>
      <c r="K125" s="4">
        <f t="shared" si="10"/>
        <v>0</v>
      </c>
      <c r="L125" s="7"/>
      <c r="M125" s="4">
        <f t="shared" si="11"/>
        <v>0</v>
      </c>
      <c r="N125" s="7"/>
      <c r="O125" s="4">
        <f t="shared" si="12"/>
        <v>0</v>
      </c>
      <c r="P125" s="7"/>
      <c r="Q125" s="4">
        <f t="shared" si="13"/>
        <v>0</v>
      </c>
      <c r="R125" s="7"/>
      <c r="S125" s="4">
        <f t="shared" si="14"/>
        <v>0</v>
      </c>
      <c r="T125" s="7"/>
      <c r="U125" s="4">
        <f t="shared" si="15"/>
        <v>0</v>
      </c>
      <c r="V125" s="7"/>
      <c r="W125" s="4">
        <f t="shared" si="16"/>
        <v>0</v>
      </c>
      <c r="X125" s="7"/>
      <c r="Y125" s="4">
        <f t="shared" si="17"/>
        <v>0</v>
      </c>
      <c r="Z125" s="7"/>
    </row>
    <row r="126" spans="1:26" ht="15.75">
      <c r="A126" s="2" t="s">
        <v>17</v>
      </c>
      <c r="B126" s="6"/>
      <c r="C126" s="4">
        <f t="shared" si="6"/>
        <v>324328</v>
      </c>
      <c r="D126" s="83"/>
      <c r="E126" s="4">
        <f t="shared" si="7"/>
        <v>100000</v>
      </c>
      <c r="F126" s="7"/>
      <c r="G126" s="4">
        <f t="shared" si="8"/>
        <v>-10812171</v>
      </c>
      <c r="H126" s="141"/>
      <c r="I126" s="4">
        <f t="shared" si="9"/>
        <v>0</v>
      </c>
      <c r="J126" s="7"/>
      <c r="K126" s="4">
        <f t="shared" si="10"/>
        <v>0</v>
      </c>
      <c r="L126" s="7"/>
      <c r="M126" s="4">
        <f t="shared" si="11"/>
        <v>0</v>
      </c>
      <c r="N126" s="7"/>
      <c r="O126" s="4">
        <f t="shared" si="12"/>
        <v>0</v>
      </c>
      <c r="P126" s="7"/>
      <c r="Q126" s="4">
        <f t="shared" si="13"/>
        <v>0</v>
      </c>
      <c r="R126" s="7"/>
      <c r="S126" s="4">
        <f t="shared" si="14"/>
        <v>0</v>
      </c>
      <c r="T126" s="7"/>
      <c r="U126" s="4">
        <f t="shared" si="15"/>
        <v>0</v>
      </c>
      <c r="V126" s="7"/>
      <c r="W126" s="4">
        <f t="shared" si="16"/>
        <v>0</v>
      </c>
      <c r="X126" s="7"/>
      <c r="Y126" s="4">
        <f t="shared" si="17"/>
        <v>0</v>
      </c>
      <c r="Z126" s="7"/>
    </row>
    <row r="127" spans="1:26" ht="15.75">
      <c r="A127" s="2" t="s">
        <v>18</v>
      </c>
      <c r="B127" s="6"/>
      <c r="C127" s="4">
        <f t="shared" si="6"/>
        <v>4233388</v>
      </c>
      <c r="D127" s="83"/>
      <c r="E127" s="4">
        <f t="shared" si="7"/>
        <v>100000</v>
      </c>
      <c r="F127" s="7"/>
      <c r="G127" s="4">
        <f t="shared" si="8"/>
        <v>-58814320</v>
      </c>
      <c r="H127" s="141"/>
      <c r="I127" s="4">
        <f t="shared" si="9"/>
        <v>0</v>
      </c>
      <c r="J127" s="7"/>
      <c r="K127" s="4">
        <f t="shared" si="10"/>
        <v>0</v>
      </c>
      <c r="L127" s="7"/>
      <c r="M127" s="4">
        <f t="shared" si="11"/>
        <v>0</v>
      </c>
      <c r="N127" s="7"/>
      <c r="O127" s="4">
        <f t="shared" si="12"/>
        <v>0</v>
      </c>
      <c r="P127" s="7"/>
      <c r="Q127" s="4">
        <f t="shared" si="13"/>
        <v>0</v>
      </c>
      <c r="R127" s="7"/>
      <c r="S127" s="4">
        <f t="shared" si="14"/>
        <v>0</v>
      </c>
      <c r="T127" s="7"/>
      <c r="U127" s="4">
        <f t="shared" si="15"/>
        <v>0</v>
      </c>
      <c r="V127" s="7"/>
      <c r="W127" s="4">
        <f t="shared" si="16"/>
        <v>0</v>
      </c>
      <c r="X127" s="7"/>
      <c r="Y127" s="4">
        <f t="shared" si="17"/>
        <v>0</v>
      </c>
      <c r="Z127" s="7"/>
    </row>
    <row r="128" spans="1:26" ht="15.75">
      <c r="A128" s="91" t="s">
        <v>25</v>
      </c>
      <c r="B128" s="6"/>
      <c r="C128" s="4">
        <f t="shared" si="6"/>
        <v>1213940</v>
      </c>
      <c r="D128" s="83"/>
      <c r="E128" s="4">
        <f t="shared" si="7"/>
        <v>100000</v>
      </c>
      <c r="F128" s="7"/>
      <c r="G128" s="4">
        <f t="shared" si="8"/>
        <v>-42994444</v>
      </c>
      <c r="H128" s="141"/>
      <c r="I128" s="4">
        <f t="shared" si="9"/>
        <v>0</v>
      </c>
      <c r="J128" s="7"/>
      <c r="K128" s="4">
        <f t="shared" si="10"/>
        <v>0</v>
      </c>
      <c r="L128" s="7"/>
      <c r="M128" s="4">
        <f t="shared" si="11"/>
        <v>0</v>
      </c>
      <c r="N128" s="7"/>
      <c r="O128" s="4">
        <f t="shared" si="12"/>
        <v>0</v>
      </c>
      <c r="P128" s="7"/>
      <c r="Q128" s="4">
        <f t="shared" si="13"/>
        <v>0</v>
      </c>
      <c r="R128" s="7"/>
      <c r="S128" s="4">
        <f t="shared" si="14"/>
        <v>0</v>
      </c>
      <c r="T128" s="7"/>
      <c r="U128" s="4">
        <f t="shared" si="15"/>
        <v>0</v>
      </c>
      <c r="V128" s="7"/>
      <c r="W128" s="4">
        <f t="shared" si="16"/>
        <v>0</v>
      </c>
      <c r="X128" s="7"/>
      <c r="Y128" s="4">
        <f t="shared" si="17"/>
        <v>0</v>
      </c>
      <c r="Z128" s="7"/>
    </row>
    <row r="129" spans="1:26" ht="15.75">
      <c r="A129" s="92" t="s">
        <v>26</v>
      </c>
      <c r="B129" s="6"/>
      <c r="C129" s="94">
        <f>C47</f>
        <v>0</v>
      </c>
      <c r="D129" s="83"/>
      <c r="E129" s="94">
        <f>E47</f>
        <v>0</v>
      </c>
      <c r="F129" s="7"/>
      <c r="G129" s="94">
        <f>G47</f>
        <v>0</v>
      </c>
      <c r="H129" s="7"/>
      <c r="I129" s="94">
        <f>I47</f>
        <v>0</v>
      </c>
      <c r="J129" s="7"/>
      <c r="K129" s="94">
        <f>K47</f>
        <v>0</v>
      </c>
      <c r="L129" s="7"/>
      <c r="M129" s="94">
        <f>M47</f>
        <v>0</v>
      </c>
      <c r="N129" s="7"/>
      <c r="O129" s="94">
        <f>O47</f>
        <v>0</v>
      </c>
      <c r="P129" s="7"/>
      <c r="Q129" s="94">
        <f>Q47</f>
        <v>0</v>
      </c>
      <c r="R129" s="7"/>
      <c r="S129" s="94">
        <f>S47</f>
        <v>0</v>
      </c>
      <c r="T129" s="7"/>
      <c r="U129" s="94">
        <f>U47</f>
        <v>0</v>
      </c>
      <c r="V129" s="7"/>
      <c r="W129" s="94">
        <f>W47</f>
        <v>0</v>
      </c>
      <c r="X129" s="7"/>
      <c r="Y129" s="94">
        <f>Y47</f>
        <v>0</v>
      </c>
      <c r="Z129" s="7"/>
    </row>
    <row r="130" spans="1:26" ht="15.75">
      <c r="A130" s="2" t="s">
        <v>30</v>
      </c>
      <c r="B130" s="6"/>
      <c r="C130" s="4">
        <f>C48</f>
        <v>680</v>
      </c>
      <c r="D130" s="83"/>
      <c r="E130" s="4">
        <f>E48</f>
        <v>34320</v>
      </c>
      <c r="F130" s="7"/>
      <c r="G130" s="4">
        <f>G48</f>
        <v>-5276190</v>
      </c>
      <c r="H130" s="7"/>
      <c r="I130" s="4">
        <f>I48</f>
        <v>0</v>
      </c>
      <c r="J130" s="7"/>
      <c r="K130" s="4">
        <f>K48</f>
        <v>0</v>
      </c>
      <c r="L130" s="7"/>
      <c r="M130" s="4">
        <f>M48</f>
        <v>0</v>
      </c>
      <c r="N130" s="7"/>
      <c r="O130" s="4">
        <f>O48</f>
        <v>0</v>
      </c>
      <c r="P130" s="7"/>
      <c r="Q130" s="4">
        <f>Q48</f>
        <v>0</v>
      </c>
      <c r="R130" s="7"/>
      <c r="S130" s="4">
        <f>S48</f>
        <v>0</v>
      </c>
      <c r="T130" s="7"/>
      <c r="U130" s="4">
        <f>U48</f>
        <v>0</v>
      </c>
      <c r="V130" s="7"/>
      <c r="W130" s="4">
        <f>W48</f>
        <v>0</v>
      </c>
      <c r="X130" s="7"/>
      <c r="Y130" s="4">
        <f>Y48</f>
        <v>0</v>
      </c>
      <c r="Z130" s="7"/>
    </row>
    <row r="131" spans="1:26" ht="16.5" thickBot="1">
      <c r="A131" s="2" t="s">
        <v>179</v>
      </c>
      <c r="B131" s="6"/>
      <c r="C131" s="93">
        <f>C49</f>
        <v>28281009.87555594</v>
      </c>
      <c r="D131" s="83"/>
      <c r="E131" s="93">
        <f>E49</f>
        <v>3000000</v>
      </c>
      <c r="F131" s="7"/>
      <c r="G131" s="93">
        <f>G49</f>
        <v>0</v>
      </c>
      <c r="H131" s="7"/>
      <c r="I131" s="93">
        <f>I49</f>
        <v>0</v>
      </c>
      <c r="J131" s="7"/>
      <c r="K131" s="93">
        <f>K49</f>
        <v>0</v>
      </c>
      <c r="L131" s="7"/>
      <c r="M131" s="93">
        <f>M49</f>
        <v>0</v>
      </c>
      <c r="N131" s="7"/>
      <c r="O131" s="93">
        <f>O49</f>
        <v>0</v>
      </c>
      <c r="P131" s="7"/>
      <c r="Q131" s="93">
        <f>Q49</f>
        <v>0</v>
      </c>
      <c r="R131" s="7"/>
      <c r="S131" s="93">
        <f>S49</f>
        <v>0</v>
      </c>
      <c r="T131" s="7"/>
      <c r="U131" s="93">
        <f>U49</f>
        <v>0</v>
      </c>
      <c r="V131" s="7"/>
      <c r="W131" s="93">
        <f>W49</f>
        <v>0</v>
      </c>
      <c r="X131" s="7"/>
      <c r="Y131" s="93">
        <f>Y49</f>
        <v>0</v>
      </c>
      <c r="Z131" s="7"/>
    </row>
    <row r="132" spans="1:26" ht="13.5" thickBot="1">
      <c r="A132" s="5" t="s">
        <v>31</v>
      </c>
      <c r="B132" s="6"/>
      <c r="C132" s="95">
        <f>SUM(C90:C113)+SUM(C116:C128)-C130</f>
        <v>28281689.87555594</v>
      </c>
      <c r="D132" s="7"/>
      <c r="E132" s="95">
        <f>SUM(E90:E113)+SUM(E116:E128)-E130</f>
        <v>3034320</v>
      </c>
      <c r="F132" s="7"/>
      <c r="G132" s="95">
        <f>SUM(G90:G113)+SUM(G116:G128)-G130</f>
        <v>-5276190</v>
      </c>
      <c r="H132" s="7"/>
      <c r="I132" s="95">
        <f>SUM(I90:I113)+SUM(I116:I128)-I130</f>
        <v>0</v>
      </c>
      <c r="J132" s="7"/>
      <c r="K132" s="95">
        <f>SUM(K90:K113)+SUM(K116:K128)-K130</f>
        <v>0</v>
      </c>
      <c r="L132" s="7"/>
      <c r="M132" s="95">
        <f>SUM(M90:M113)+SUM(M116:M128)-M130</f>
        <v>0</v>
      </c>
      <c r="N132" s="7"/>
      <c r="O132" s="95">
        <f>SUM(O90:O113)+SUM(O116:O128)-O130</f>
        <v>0</v>
      </c>
      <c r="P132" s="7"/>
      <c r="Q132" s="95">
        <f>SUM(Q90:Q113)+SUM(Q116:Q128)-Q130</f>
        <v>0</v>
      </c>
      <c r="R132" s="7"/>
      <c r="S132" s="95">
        <f>SUM(S90:S113)+SUM(S116:S128)-S130</f>
        <v>0</v>
      </c>
      <c r="T132" s="7"/>
      <c r="U132" s="95">
        <f>SUM(U90:U113)+SUM(U116:U128)-U130</f>
        <v>0</v>
      </c>
      <c r="V132" s="7"/>
      <c r="W132" s="95">
        <f>SUM(W90:W113)+SUM(W116:W128)-W130</f>
        <v>0</v>
      </c>
      <c r="X132" s="7"/>
      <c r="Y132" s="95">
        <f>SUM(Y90:Y113)+SUM(Y116:Y128)-Y130</f>
        <v>0</v>
      </c>
      <c r="Z132" s="7"/>
    </row>
    <row r="133" spans="1:26">
      <c r="A133" s="10"/>
      <c r="B133" s="6"/>
      <c r="C133" s="11"/>
      <c r="D133" s="7"/>
      <c r="E133" s="11"/>
      <c r="F133" s="7"/>
      <c r="G133" s="11"/>
      <c r="H133" s="7"/>
      <c r="I133" s="11"/>
      <c r="J133" s="7"/>
      <c r="K133" s="11"/>
      <c r="L133" s="7"/>
      <c r="M133" s="11"/>
      <c r="N133" s="7"/>
      <c r="O133" s="11"/>
      <c r="P133" s="7"/>
      <c r="Q133" s="11"/>
      <c r="R133" s="7"/>
      <c r="S133" s="11"/>
      <c r="T133" s="7"/>
      <c r="U133" s="11"/>
      <c r="V133" s="7"/>
      <c r="W133" s="11"/>
      <c r="X133" s="7"/>
      <c r="Y133" s="11"/>
      <c r="Z133" s="7"/>
    </row>
    <row r="134" spans="1:26">
      <c r="A134" s="6"/>
      <c r="B134" s="6"/>
      <c r="C134" s="4">
        <f>C132-C130</f>
        <v>28281009.87555594</v>
      </c>
      <c r="D134" s="7"/>
      <c r="E134" s="4">
        <f>E132-E130</f>
        <v>3000000</v>
      </c>
      <c r="F134" s="7"/>
      <c r="G134" s="4">
        <f>G132-G130</f>
        <v>0</v>
      </c>
      <c r="H134" s="7"/>
      <c r="I134" s="4">
        <f>I132-I130</f>
        <v>0</v>
      </c>
      <c r="J134" s="7"/>
      <c r="K134" s="4">
        <f>K132-K130</f>
        <v>0</v>
      </c>
      <c r="L134" s="7"/>
      <c r="M134" s="4">
        <f>M132-M130</f>
        <v>0</v>
      </c>
      <c r="N134" s="7"/>
      <c r="O134" s="4">
        <f>O132-O130</f>
        <v>0</v>
      </c>
      <c r="P134" s="7"/>
      <c r="Q134" s="4">
        <f>Q132-Q130</f>
        <v>0</v>
      </c>
      <c r="R134" s="7"/>
      <c r="S134" s="4">
        <f>S132-S130</f>
        <v>0</v>
      </c>
      <c r="T134" s="7"/>
      <c r="U134" s="4">
        <f>U132-U130</f>
        <v>0</v>
      </c>
      <c r="V134" s="7"/>
      <c r="W134" s="4">
        <f>W132-W130</f>
        <v>0</v>
      </c>
      <c r="X134" s="7"/>
      <c r="Y134" s="4">
        <f>Y132-Y130</f>
        <v>0</v>
      </c>
      <c r="Z134" s="7"/>
    </row>
    <row r="135" spans="1:26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>
      <c r="A137" s="2" t="s">
        <v>385</v>
      </c>
      <c r="B137" s="177">
        <v>43362304</v>
      </c>
      <c r="C137" s="4">
        <f>D137-B137</f>
        <v>0</v>
      </c>
      <c r="D137" s="177">
        <v>43362304</v>
      </c>
      <c r="E137" s="4">
        <f>F137-D137</f>
        <v>-43362304</v>
      </c>
      <c r="F137" s="177"/>
      <c r="G137" s="4">
        <f>H137-F137</f>
        <v>0</v>
      </c>
      <c r="H137" s="177"/>
      <c r="I137" s="4">
        <f>J137-H137</f>
        <v>0</v>
      </c>
      <c r="J137" s="177"/>
      <c r="K137" s="4">
        <f>L137-J137</f>
        <v>0</v>
      </c>
      <c r="L137" s="177"/>
      <c r="M137" s="4">
        <f>N137-L137</f>
        <v>0</v>
      </c>
      <c r="N137" s="177"/>
      <c r="O137" s="4">
        <f>P137-N137</f>
        <v>0</v>
      </c>
      <c r="P137" s="177"/>
      <c r="Q137" s="4">
        <f>R137-P137</f>
        <v>0</v>
      </c>
      <c r="R137" s="177"/>
      <c r="S137" s="4">
        <f>T137-R137</f>
        <v>0</v>
      </c>
      <c r="T137" s="177"/>
      <c r="U137" s="4">
        <f>V137-T137</f>
        <v>0</v>
      </c>
      <c r="V137" s="177"/>
      <c r="W137" s="4">
        <f>X137-V137</f>
        <v>0</v>
      </c>
      <c r="X137" s="177"/>
      <c r="Y137" s="4">
        <f>Z137-X137</f>
        <v>0</v>
      </c>
      <c r="Z137" s="177"/>
    </row>
    <row r="138" spans="1:26" ht="15.75">
      <c r="A138" s="2" t="s">
        <v>386</v>
      </c>
      <c r="B138" s="177">
        <v>49605632</v>
      </c>
      <c r="C138" s="4">
        <f>D138-B138</f>
        <v>0</v>
      </c>
      <c r="D138" s="177">
        <v>49605632</v>
      </c>
      <c r="E138" s="4">
        <f>F138-D138</f>
        <v>-49605632</v>
      </c>
      <c r="F138" s="177"/>
      <c r="G138" s="4">
        <f>H138-F138</f>
        <v>0</v>
      </c>
      <c r="H138" s="177"/>
      <c r="I138" s="4">
        <f>J138-H138</f>
        <v>0</v>
      </c>
      <c r="J138" s="177"/>
      <c r="K138" s="4">
        <f>L138-J138</f>
        <v>0</v>
      </c>
      <c r="L138" s="177"/>
      <c r="M138" s="4">
        <f>N138-L138</f>
        <v>0</v>
      </c>
      <c r="N138" s="177"/>
      <c r="O138" s="4">
        <f>P138-N138</f>
        <v>0</v>
      </c>
      <c r="P138" s="177"/>
      <c r="Q138" s="4">
        <f>R138-P138</f>
        <v>0</v>
      </c>
      <c r="R138" s="177"/>
      <c r="S138" s="4">
        <f>T138-R138</f>
        <v>0</v>
      </c>
      <c r="T138" s="177"/>
      <c r="U138" s="4">
        <f>V138-T138</f>
        <v>0</v>
      </c>
      <c r="V138" s="177"/>
      <c r="W138" s="4">
        <f>X138-V138</f>
        <v>0</v>
      </c>
      <c r="X138" s="177"/>
      <c r="Y138" s="4">
        <f>Z138-X138</f>
        <v>0</v>
      </c>
      <c r="Z138" s="177"/>
    </row>
    <row r="139" spans="1:26" ht="15.75">
      <c r="A139" s="2"/>
      <c r="B139" s="7"/>
      <c r="C139" s="195">
        <f>SUM(C137:C138)</f>
        <v>0</v>
      </c>
      <c r="D139" s="7"/>
      <c r="E139" s="195">
        <f>SUM(E137:E138)</f>
        <v>-92967936</v>
      </c>
      <c r="F139" s="7"/>
      <c r="G139" s="195">
        <f>SUM(G137:G138)</f>
        <v>0</v>
      </c>
      <c r="H139" s="7"/>
      <c r="I139" s="195">
        <f>SUM(I137:I138)</f>
        <v>0</v>
      </c>
      <c r="J139" s="199"/>
      <c r="K139" s="195">
        <f>SUM(K137:K138)</f>
        <v>0</v>
      </c>
      <c r="L139" s="199"/>
      <c r="M139" s="195">
        <f>SUM(M137:M138)</f>
        <v>0</v>
      </c>
      <c r="N139" s="199"/>
      <c r="O139" s="195">
        <f>SUM(O137:O138)</f>
        <v>0</v>
      </c>
      <c r="P139" s="199"/>
      <c r="Q139" s="195">
        <f>SUM(Q137:Q138)</f>
        <v>0</v>
      </c>
      <c r="R139" s="199"/>
      <c r="S139" s="195">
        <f>SUM(S137:S138)</f>
        <v>0</v>
      </c>
      <c r="T139" s="199"/>
      <c r="U139" s="195">
        <f>SUM(U137:U138)</f>
        <v>0</v>
      </c>
      <c r="V139" s="199"/>
      <c r="W139" s="195">
        <f>SUM(W137:W138)</f>
        <v>0</v>
      </c>
      <c r="X139" s="199"/>
      <c r="Y139" s="195">
        <f>SUM(Y137:Y138)</f>
        <v>0</v>
      </c>
      <c r="Z139" s="199"/>
    </row>
    <row r="140" spans="1:26" ht="15.75">
      <c r="A140" s="2" t="s">
        <v>387</v>
      </c>
      <c r="B140" s="177">
        <v>2232768</v>
      </c>
      <c r="C140" s="4">
        <f>D140-B140</f>
        <v>0</v>
      </c>
      <c r="D140" s="177">
        <v>2232768</v>
      </c>
      <c r="E140" s="4">
        <f>F140-D140</f>
        <v>-2232768</v>
      </c>
      <c r="F140" s="177"/>
      <c r="G140" s="4">
        <f>H140-F140</f>
        <v>0</v>
      </c>
      <c r="H140" s="177"/>
      <c r="I140" s="4">
        <f>J140-H140</f>
        <v>0</v>
      </c>
      <c r="J140" s="177"/>
      <c r="K140" s="4">
        <f>L140-J140</f>
        <v>0</v>
      </c>
      <c r="L140" s="177"/>
      <c r="M140" s="4">
        <f>N140-L140</f>
        <v>0</v>
      </c>
      <c r="N140" s="177"/>
      <c r="O140" s="4">
        <f>P140-N140</f>
        <v>0</v>
      </c>
      <c r="P140" s="177"/>
      <c r="Q140" s="4">
        <f>R140-P140</f>
        <v>0</v>
      </c>
      <c r="R140" s="177"/>
      <c r="S140" s="4">
        <f>T140-R140</f>
        <v>0</v>
      </c>
      <c r="T140" s="177"/>
      <c r="U140" s="4">
        <f>V140-T140</f>
        <v>0</v>
      </c>
      <c r="V140" s="177"/>
      <c r="W140" s="4">
        <f>X140-V140</f>
        <v>0</v>
      </c>
      <c r="X140" s="177"/>
      <c r="Y140" s="4">
        <f>Z140-X140</f>
        <v>0</v>
      </c>
      <c r="Z140" s="177"/>
    </row>
    <row r="141" spans="1:26" ht="15.75">
      <c r="A141" s="2" t="s">
        <v>388</v>
      </c>
      <c r="B141" s="177">
        <v>24830976</v>
      </c>
      <c r="C141" s="4">
        <f>D141-B141</f>
        <v>0</v>
      </c>
      <c r="D141" s="177">
        <v>24830976</v>
      </c>
      <c r="E141" s="4">
        <f>F141-D141</f>
        <v>-24830976</v>
      </c>
      <c r="F141" s="177"/>
      <c r="G141" s="4">
        <f>H141-F141</f>
        <v>0</v>
      </c>
      <c r="H141" s="177"/>
      <c r="I141" s="4">
        <f>J141-H141</f>
        <v>0</v>
      </c>
      <c r="J141" s="177"/>
      <c r="K141" s="4">
        <f>L141-J141</f>
        <v>0</v>
      </c>
      <c r="L141" s="177"/>
      <c r="M141" s="4">
        <f>N141-L141</f>
        <v>0</v>
      </c>
      <c r="N141" s="177"/>
      <c r="O141" s="4">
        <f>P141-N141</f>
        <v>0</v>
      </c>
      <c r="P141" s="177"/>
      <c r="Q141" s="4">
        <f>R141-P141</f>
        <v>0</v>
      </c>
      <c r="R141" s="177"/>
      <c r="S141" s="4">
        <f>T141-R141</f>
        <v>0</v>
      </c>
      <c r="T141" s="177"/>
      <c r="U141" s="4">
        <f>V141-T141</f>
        <v>0</v>
      </c>
      <c r="V141" s="177"/>
      <c r="W141" s="4">
        <f>X141-V141</f>
        <v>0</v>
      </c>
      <c r="X141" s="177"/>
      <c r="Y141" s="4">
        <f>Z141-X141</f>
        <v>0</v>
      </c>
      <c r="Z141" s="177"/>
    </row>
    <row r="142" spans="1:26" ht="15.75">
      <c r="A142" s="2" t="s">
        <v>389</v>
      </c>
      <c r="B142" s="177">
        <v>19793920</v>
      </c>
      <c r="C142" s="4">
        <f>D142-B142</f>
        <v>0</v>
      </c>
      <c r="D142" s="177">
        <v>19793920</v>
      </c>
      <c r="E142" s="4">
        <v>8860965</v>
      </c>
      <c r="F142" s="177"/>
      <c r="G142" s="4">
        <f>H142-F142</f>
        <v>0</v>
      </c>
      <c r="H142" s="177"/>
      <c r="I142" s="4">
        <f>J142-H142</f>
        <v>0</v>
      </c>
      <c r="J142" s="177"/>
      <c r="K142" s="4">
        <f>L142-J142</f>
        <v>0</v>
      </c>
      <c r="L142" s="177"/>
      <c r="M142" s="4">
        <f>N142-L142</f>
        <v>0</v>
      </c>
      <c r="N142" s="177"/>
      <c r="O142" s="4">
        <f>P142-N142</f>
        <v>0</v>
      </c>
      <c r="P142" s="177"/>
      <c r="Q142" s="4">
        <f>R142-P142</f>
        <v>0</v>
      </c>
      <c r="R142" s="177"/>
      <c r="S142" s="4">
        <f>T142-R142</f>
        <v>0</v>
      </c>
      <c r="T142" s="177"/>
      <c r="U142" s="4">
        <f>V142-T142</f>
        <v>0</v>
      </c>
      <c r="V142" s="177"/>
      <c r="W142" s="4">
        <f>(X142-V142)</f>
        <v>0</v>
      </c>
      <c r="X142" s="177"/>
      <c r="Y142" s="4">
        <f>(Z142-X142)</f>
        <v>0</v>
      </c>
      <c r="Z142" s="177"/>
    </row>
    <row r="143" spans="1:26" ht="15.75">
      <c r="A143" s="9"/>
      <c r="B143" s="7"/>
      <c r="C143" s="196">
        <f>SUM(C140:C142)</f>
        <v>0</v>
      </c>
      <c r="D143" s="7"/>
      <c r="E143" s="196">
        <f>SUM(E140:E142)</f>
        <v>-18202779</v>
      </c>
      <c r="F143" s="7"/>
      <c r="G143" s="196">
        <f>SUM(G140:G142)</f>
        <v>0</v>
      </c>
      <c r="H143" s="7"/>
      <c r="I143" s="196">
        <f>SUM(I140:I142)</f>
        <v>0</v>
      </c>
      <c r="J143" s="7"/>
      <c r="K143" s="196">
        <f>SUM(K140:K142)</f>
        <v>0</v>
      </c>
      <c r="L143" s="7"/>
      <c r="M143" s="196">
        <f>SUM(M140:M142)</f>
        <v>0</v>
      </c>
      <c r="N143" s="7"/>
      <c r="O143" s="196">
        <f>SUM(O140:O142)</f>
        <v>0</v>
      </c>
      <c r="P143" s="7"/>
      <c r="Q143" s="196">
        <f>SUM(Q140:Q142)</f>
        <v>0</v>
      </c>
      <c r="R143" s="7"/>
      <c r="S143" s="195">
        <f>SUM(S140:S142)</f>
        <v>0</v>
      </c>
      <c r="T143" s="7"/>
      <c r="U143" s="195">
        <f>SUM(U140:U142)</f>
        <v>0</v>
      </c>
      <c r="V143" s="7"/>
      <c r="W143" s="195">
        <f>SUM(W140:W142)</f>
        <v>0</v>
      </c>
      <c r="X143" s="7"/>
      <c r="Y143" s="195">
        <f>SUM(Y140:Y142)</f>
        <v>0</v>
      </c>
      <c r="Z143" s="7"/>
    </row>
    <row r="144" spans="1:26" ht="13.5" thickBot="1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199"/>
      <c r="L144" s="7"/>
      <c r="M144" s="199"/>
      <c r="N144" s="7"/>
      <c r="O144" s="199"/>
      <c r="P144" s="7"/>
      <c r="Q144" s="199"/>
      <c r="R144" s="7"/>
      <c r="S144" s="199"/>
      <c r="T144" s="7"/>
      <c r="U144" s="7"/>
      <c r="V144" s="7"/>
      <c r="W144" s="7"/>
      <c r="X144" s="7"/>
      <c r="Y144" s="7"/>
      <c r="Z144" s="7"/>
    </row>
    <row r="145" spans="1:26" ht="16.5" thickBot="1">
      <c r="A145" s="193" t="s">
        <v>390</v>
      </c>
      <c r="B145" s="193"/>
      <c r="C145" s="186">
        <f>SUM(C137:C138)+SUM(C140:C142)</f>
        <v>0</v>
      </c>
      <c r="D145" s="193"/>
      <c r="E145" s="186">
        <f>SUM(E137:E138)+SUM(E140:E142)</f>
        <v>-111170715</v>
      </c>
      <c r="F145" s="7"/>
      <c r="G145" s="186">
        <f>SUM(G137:G138)+SUM(G140:G142)</f>
        <v>0</v>
      </c>
      <c r="H145" s="7"/>
      <c r="I145" s="186">
        <f>SUM(I137:I138)+SUM(I140:I142)</f>
        <v>0</v>
      </c>
      <c r="J145" s="7"/>
      <c r="K145" s="186">
        <f>SUM(K137:K138)+SUM(K140:K142)</f>
        <v>0</v>
      </c>
      <c r="L145" s="7"/>
      <c r="M145" s="186">
        <f>SUM(M137:M138)+SUM(M140:M142)</f>
        <v>0</v>
      </c>
      <c r="N145" s="7"/>
      <c r="O145" s="186">
        <f>SUM(O137:O138)+SUM(O140:O142)</f>
        <v>0</v>
      </c>
      <c r="P145" s="7"/>
      <c r="Q145" s="186">
        <f>SUM(Q137:Q138)+SUM(Q140:Q142)</f>
        <v>0</v>
      </c>
      <c r="R145" s="7"/>
      <c r="S145" s="186">
        <f>SUM(S137:S138)+SUM(S140:S142)</f>
        <v>0</v>
      </c>
      <c r="T145" s="7"/>
      <c r="U145" s="186">
        <f>SUM(U137:U138)+SUM(U140:U142)</f>
        <v>0</v>
      </c>
      <c r="V145" s="7"/>
      <c r="W145" s="186">
        <f>SUM(W137:W138)+SUM(W140:W142)</f>
        <v>0</v>
      </c>
      <c r="X145" s="7"/>
      <c r="Y145" s="186">
        <f>SUM(Y137:Y138)+SUM(Y140:Y142)</f>
        <v>0</v>
      </c>
      <c r="Z145" s="7"/>
    </row>
    <row r="146" spans="1:26" s="205" customFormat="1" ht="16.5" thickBot="1">
      <c r="A146" s="203"/>
      <c r="B146" s="203"/>
      <c r="C146" s="204"/>
      <c r="D146" s="203"/>
      <c r="E146" s="204"/>
      <c r="F146" s="83"/>
      <c r="G146" s="204"/>
      <c r="H146" s="83"/>
      <c r="I146" s="204"/>
      <c r="J146" s="83"/>
      <c r="K146" s="204"/>
      <c r="L146" s="83"/>
      <c r="M146" s="204"/>
      <c r="N146" s="83"/>
      <c r="O146" s="204"/>
      <c r="P146" s="83"/>
      <c r="Q146" s="204"/>
      <c r="R146" s="83"/>
      <c r="S146" s="204"/>
      <c r="T146" s="83"/>
      <c r="U146" s="204"/>
      <c r="V146" s="83"/>
      <c r="W146" s="204"/>
      <c r="X146" s="83"/>
      <c r="Y146" s="204"/>
      <c r="Z146" s="83"/>
    </row>
    <row r="147" spans="1:26" ht="16.5" thickBot="1">
      <c r="A147" s="193" t="s">
        <v>398</v>
      </c>
      <c r="B147" s="193"/>
      <c r="C147" s="186">
        <f>C24+C45</f>
        <v>28038267</v>
      </c>
      <c r="D147" s="193"/>
      <c r="E147" s="186">
        <f>E24+E45</f>
        <v>2820000</v>
      </c>
      <c r="F147" s="7"/>
      <c r="G147" s="186">
        <f>G24+G45</f>
        <v>-380779409</v>
      </c>
      <c r="H147" s="7"/>
      <c r="I147" s="186">
        <f>I24+I45</f>
        <v>0</v>
      </c>
      <c r="J147" s="7"/>
      <c r="K147" s="186">
        <f>K24+K45</f>
        <v>0</v>
      </c>
      <c r="L147" s="7"/>
      <c r="M147" s="186">
        <f>M24+M45</f>
        <v>0</v>
      </c>
      <c r="N147" s="7"/>
      <c r="O147" s="186">
        <f>O24+O45</f>
        <v>0</v>
      </c>
      <c r="P147" s="7"/>
      <c r="Q147" s="186">
        <f>Q24+Q45</f>
        <v>0</v>
      </c>
      <c r="R147" s="7"/>
      <c r="S147" s="186">
        <f>S24+S45</f>
        <v>0</v>
      </c>
      <c r="T147" s="7"/>
      <c r="U147" s="186">
        <f>U24+U45</f>
        <v>0</v>
      </c>
      <c r="V147" s="7"/>
      <c r="W147" s="186">
        <f>W24+W45</f>
        <v>0</v>
      </c>
      <c r="X147" s="7"/>
      <c r="Y147" s="186">
        <f>Y24+Y45</f>
        <v>0</v>
      </c>
      <c r="Z147" s="7"/>
    </row>
    <row r="148" spans="1:26" ht="13.5" thickBot="1">
      <c r="A148" s="193"/>
      <c r="B148" s="193"/>
      <c r="C148" s="7"/>
      <c r="D148" s="19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thickBot="1">
      <c r="A149" s="194" t="s">
        <v>391</v>
      </c>
      <c r="B149" s="194"/>
      <c r="C149" s="188">
        <f>C131</f>
        <v>28281009.87555594</v>
      </c>
      <c r="D149" s="194"/>
      <c r="E149" s="188">
        <f>E131</f>
        <v>3000000</v>
      </c>
      <c r="G149" s="188">
        <f>G131</f>
        <v>0</v>
      </c>
      <c r="I149" s="188">
        <f>I131</f>
        <v>0</v>
      </c>
      <c r="K149" s="188">
        <f>K131</f>
        <v>0</v>
      </c>
      <c r="M149" s="188">
        <f>M131</f>
        <v>0</v>
      </c>
      <c r="O149" s="188">
        <f>O131</f>
        <v>0</v>
      </c>
      <c r="Q149" s="188">
        <f>Q131</f>
        <v>0</v>
      </c>
      <c r="S149" s="188">
        <f>S131</f>
        <v>0</v>
      </c>
      <c r="U149" s="188">
        <f>U131</f>
        <v>0</v>
      </c>
      <c r="V149" s="187"/>
      <c r="W149" s="188">
        <f>W131</f>
        <v>0</v>
      </c>
      <c r="X149" s="187"/>
      <c r="Y149" s="188">
        <f>Y131</f>
        <v>0</v>
      </c>
      <c r="Z149" s="7"/>
    </row>
    <row r="150" spans="1:26" ht="13.5" thickBot="1">
      <c r="A150" s="194"/>
      <c r="B150" s="194"/>
      <c r="D150" s="194"/>
    </row>
    <row r="151" spans="1:26" ht="16.5" thickBot="1">
      <c r="A151" s="194" t="s">
        <v>392</v>
      </c>
      <c r="B151" s="194"/>
      <c r="C151" s="189">
        <f>C149-C145</f>
        <v>28281009.87555594</v>
      </c>
      <c r="D151" s="194"/>
      <c r="E151" s="189">
        <f>E149-E145</f>
        <v>114170715</v>
      </c>
      <c r="G151" s="189">
        <f>G149-G145</f>
        <v>0</v>
      </c>
      <c r="I151" s="189">
        <f>I149-I145</f>
        <v>0</v>
      </c>
      <c r="K151" s="189">
        <f>K149-K145</f>
        <v>0</v>
      </c>
      <c r="M151" s="189">
        <f>M149-M145</f>
        <v>0</v>
      </c>
      <c r="O151" s="189">
        <f>O149-O145</f>
        <v>0</v>
      </c>
      <c r="Q151" s="189">
        <f>Q149-Q145</f>
        <v>0</v>
      </c>
      <c r="S151" s="189">
        <f>S149-S145</f>
        <v>0</v>
      </c>
      <c r="U151" s="189">
        <f>U149-U145</f>
        <v>0</v>
      </c>
      <c r="W151" s="189">
        <f>W149-W145</f>
        <v>0</v>
      </c>
      <c r="Y151" s="189">
        <f>Y149-Y145</f>
        <v>0</v>
      </c>
    </row>
    <row r="152" spans="1:26" ht="13.5" thickBot="1">
      <c r="A152" s="194"/>
      <c r="B152" s="194"/>
      <c r="D152" s="194"/>
    </row>
    <row r="153" spans="1:26" ht="16.5" thickBot="1">
      <c r="A153" s="206" t="s">
        <v>397</v>
      </c>
      <c r="B153" s="194"/>
      <c r="C153" s="191">
        <f>C151/C149</f>
        <v>1</v>
      </c>
      <c r="D153" s="194"/>
      <c r="E153" s="191">
        <f>E151/E149</f>
        <v>38.056905</v>
      </c>
      <c r="G153" s="191" t="e">
        <f>G151/G149</f>
        <v>#DIV/0!</v>
      </c>
      <c r="I153" s="191" t="e">
        <f>I151/I149</f>
        <v>#DIV/0!</v>
      </c>
      <c r="K153" s="191" t="e">
        <f>K151/K149</f>
        <v>#DIV/0!</v>
      </c>
      <c r="M153" s="191" t="e">
        <f>M151/M149</f>
        <v>#DIV/0!</v>
      </c>
      <c r="O153" s="191" t="e">
        <f>O151/O149</f>
        <v>#DIV/0!</v>
      </c>
      <c r="Q153" s="191" t="e">
        <f>Q151/Q149</f>
        <v>#DIV/0!</v>
      </c>
      <c r="S153" s="191" t="e">
        <f>S151/S149</f>
        <v>#DIV/0!</v>
      </c>
      <c r="U153" s="191" t="e">
        <f>U151/U149</f>
        <v>#DIV/0!</v>
      </c>
      <c r="W153" s="191" t="e">
        <f>W151/W149</f>
        <v>#DIV/0!</v>
      </c>
      <c r="Y153" s="191" t="e">
        <f>Y151/Y149</f>
        <v>#DIV/0!</v>
      </c>
    </row>
    <row r="154" spans="1:26" ht="16.5" thickBot="1">
      <c r="A154" s="206" t="s">
        <v>403</v>
      </c>
      <c r="B154" s="194"/>
      <c r="C154" s="191">
        <f>1-((C147-C29)/C149)</f>
        <v>8.6072907801760801E-3</v>
      </c>
      <c r="D154" s="194"/>
      <c r="E154" s="191">
        <f>1-((E147-E29)/E149)</f>
        <v>7.1439999999999948E-2</v>
      </c>
      <c r="G154" s="191" t="e">
        <f>1-((G147-G29)/G149)</f>
        <v>#DIV/0!</v>
      </c>
      <c r="I154" s="191" t="e">
        <f>1-((I147-I29)/I149)</f>
        <v>#DIV/0!</v>
      </c>
      <c r="K154" s="191" t="e">
        <f>1-((K147-K29)/K149)</f>
        <v>#DIV/0!</v>
      </c>
      <c r="M154" s="191" t="e">
        <f>1-((M147-M29)/M149)</f>
        <v>#DIV/0!</v>
      </c>
      <c r="O154" s="191" t="e">
        <f>1-((O147-O29)/O149)</f>
        <v>#DIV/0!</v>
      </c>
      <c r="Q154" s="191" t="e">
        <f>1-((Q147-Q29)/Q149)</f>
        <v>#DIV/0!</v>
      </c>
      <c r="S154" s="191" t="e">
        <f>1-((S147-S29)/S149)</f>
        <v>#DIV/0!</v>
      </c>
      <c r="U154" s="191" t="e">
        <f>1-((U147-U29)/U149)</f>
        <v>#DIV/0!</v>
      </c>
      <c r="W154" s="191" t="e">
        <f>1-((W147-W29)/W149)</f>
        <v>#DIV/0!</v>
      </c>
      <c r="Y154" s="191" t="e">
        <f>1-((Y147-Y29)/Y149)</f>
        <v>#DIV/0!</v>
      </c>
    </row>
    <row r="155" spans="1:26">
      <c r="K155" s="56"/>
      <c r="M155" s="56"/>
    </row>
    <row r="156" spans="1:26" ht="14.25">
      <c r="A156" s="192" t="s">
        <v>396</v>
      </c>
      <c r="H156" s="167">
        <v>59323008</v>
      </c>
      <c r="J156" s="167">
        <v>64855296</v>
      </c>
      <c r="K156" s="56"/>
      <c r="M156" s="56"/>
      <c r="N156" s="177">
        <v>70741504</v>
      </c>
      <c r="O156" s="4">
        <f>P156-N156</f>
        <v>6075264</v>
      </c>
      <c r="P156" s="177">
        <v>76816768</v>
      </c>
      <c r="Q156" s="4">
        <f>R156-P156</f>
        <v>0</v>
      </c>
      <c r="R156" s="177">
        <v>76816768</v>
      </c>
      <c r="S156" s="4">
        <f>T156-R156</f>
        <v>13152000</v>
      </c>
      <c r="T156" s="177">
        <v>89968768</v>
      </c>
      <c r="U156" s="4">
        <f>V156-T156</f>
        <v>4074752</v>
      </c>
      <c r="V156" s="177">
        <v>94043520</v>
      </c>
      <c r="W156" s="4">
        <f>X156-V156</f>
        <v>0</v>
      </c>
      <c r="X156" s="177">
        <v>94043520</v>
      </c>
      <c r="Y156" s="4">
        <f>Z156-X156</f>
        <v>-94043520</v>
      </c>
    </row>
    <row r="157" spans="1:26">
      <c r="A157" s="192" t="s">
        <v>393</v>
      </c>
      <c r="B157" s="192"/>
      <c r="C157" s="187">
        <f>C139-(C24-C29)</f>
        <v>-6081713</v>
      </c>
      <c r="D157" s="192" t="s">
        <v>393</v>
      </c>
      <c r="E157" s="187">
        <f>E139-(E24-E29)</f>
        <v>-94453616</v>
      </c>
      <c r="F157" s="190">
        <f>E157/E139</f>
        <v>1.0159805634493166</v>
      </c>
      <c r="G157" s="187">
        <f>G139-(G24-G29)</f>
        <v>169949026</v>
      </c>
      <c r="I157" s="187">
        <f>I139-(I24-I29)</f>
        <v>0</v>
      </c>
      <c r="K157" s="72">
        <f>K139-(K24-K29)</f>
        <v>0</v>
      </c>
      <c r="M157" s="72"/>
    </row>
    <row r="158" spans="1:26" ht="13.5" thickBot="1">
      <c r="A158" s="192" t="s">
        <v>394</v>
      </c>
      <c r="B158" s="192"/>
      <c r="C158" s="187">
        <f>C143-C45</f>
        <v>-21955874</v>
      </c>
      <c r="D158" s="192" t="s">
        <v>394</v>
      </c>
      <c r="E158" s="187">
        <f>E143-E45</f>
        <v>-19502779</v>
      </c>
      <c r="F158" s="190">
        <f>E158/E143</f>
        <v>1.0714176665002635</v>
      </c>
      <c r="G158" s="187">
        <f>G143-G45</f>
        <v>205554193</v>
      </c>
      <c r="I158" s="187">
        <f>I143-I45</f>
        <v>0</v>
      </c>
      <c r="K158" s="72">
        <f>K143-K45</f>
        <v>0</v>
      </c>
      <c r="M158" s="72"/>
    </row>
    <row r="159" spans="1:26" ht="13.5" thickBot="1">
      <c r="A159" s="198" t="s">
        <v>395</v>
      </c>
      <c r="B159" s="198"/>
      <c r="C159" s="197"/>
      <c r="D159" s="198" t="s">
        <v>395</v>
      </c>
      <c r="E159" s="197">
        <f>E158+E157+E151</f>
        <v>214320</v>
      </c>
      <c r="F159" s="190">
        <f>E159/E149</f>
        <v>7.1440000000000003E-2</v>
      </c>
      <c r="M159" s="56"/>
    </row>
  </sheetData>
  <mergeCells count="2">
    <mergeCell ref="D62:D64"/>
    <mergeCell ref="B62:B64"/>
  </mergeCells>
  <phoneticPr fontId="0" type="noConversion"/>
  <pageMargins left="0.75" right="0.75" top="1" bottom="1" header="0" footer="0"/>
  <pageSetup orientation="portrait" horizontalDpi="300" verticalDpi="300" r:id="rId1"/>
  <headerFooter alignWithMargins="0"/>
  <ignoredErrors>
    <ignoredError sqref="C4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B175"/>
  <sheetViews>
    <sheetView topLeftCell="B1" zoomScaleNormal="100" workbookViewId="0">
      <pane xSplit="3" ySplit="1" topLeftCell="E14" activePane="bottomRight" state="frozenSplit"/>
      <selection activeCell="B1" sqref="B1"/>
      <selection pane="topRight" activeCell="C1" sqref="C1"/>
      <selection pane="bottomLeft" activeCell="B1" sqref="B1"/>
      <selection pane="bottomRight" activeCell="E15" sqref="E15"/>
    </sheetView>
  </sheetViews>
  <sheetFormatPr baseColWidth="10" defaultRowHeight="12.75"/>
  <cols>
    <col min="1" max="1" width="11.42578125" style="167"/>
    <col min="2" max="2" width="11.42578125" style="192"/>
    <col min="3" max="3" width="11.42578125" style="167"/>
    <col min="4" max="4" width="61.85546875" style="167" customWidth="1"/>
    <col min="5" max="5" width="16.140625" style="187" customWidth="1"/>
    <col min="6" max="6" width="14.7109375" style="187" hidden="1" customWidth="1"/>
    <col min="7" max="7" width="16.28515625" style="167" customWidth="1"/>
    <col min="8" max="8" width="13" style="167" hidden="1" customWidth="1"/>
    <col min="9" max="9" width="13" style="167" customWidth="1"/>
    <col min="10" max="10" width="14.7109375" style="167" hidden="1" customWidth="1"/>
    <col min="11" max="11" width="14.7109375" style="167" customWidth="1"/>
    <col min="12" max="12" width="14.7109375" style="167" hidden="1" customWidth="1"/>
    <col min="13" max="13" width="15.7109375" style="167" customWidth="1"/>
    <col min="14" max="14" width="14.7109375" style="167" hidden="1" customWidth="1"/>
    <col min="15" max="15" width="14.7109375" style="167" customWidth="1"/>
    <col min="16" max="16" width="14.7109375" style="167" hidden="1" customWidth="1"/>
    <col min="17" max="17" width="14.7109375" style="167" customWidth="1"/>
    <col min="18" max="18" width="14.7109375" style="167" hidden="1" customWidth="1"/>
    <col min="19" max="19" width="14.7109375" style="167" customWidth="1"/>
    <col min="20" max="20" width="14.7109375" style="167" hidden="1" customWidth="1"/>
    <col min="21" max="21" width="14.7109375" style="167" customWidth="1"/>
    <col min="22" max="22" width="14.7109375" style="167" hidden="1" customWidth="1"/>
    <col min="23" max="23" width="14.7109375" style="167" customWidth="1"/>
    <col min="24" max="24" width="14.7109375" style="167" hidden="1" customWidth="1"/>
    <col min="25" max="25" width="14.7109375" style="167" customWidth="1"/>
    <col min="26" max="26" width="14.7109375" style="167" hidden="1" customWidth="1"/>
    <col min="27" max="27" width="14.7109375" style="167" customWidth="1"/>
    <col min="28" max="28" width="18.7109375" style="167" customWidth="1"/>
    <col min="29" max="16384" width="11.42578125" style="167"/>
  </cols>
  <sheetData>
    <row r="1" spans="1:28" ht="16.5">
      <c r="A1" s="12" t="s">
        <v>41</v>
      </c>
      <c r="B1" s="124"/>
      <c r="C1" s="13" t="s">
        <v>42</v>
      </c>
      <c r="D1" s="14" t="s">
        <v>43</v>
      </c>
      <c r="E1" s="15" t="s">
        <v>0</v>
      </c>
      <c r="F1" s="15"/>
      <c r="G1" s="15" t="s">
        <v>1</v>
      </c>
      <c r="H1" s="15"/>
      <c r="I1" s="15" t="s">
        <v>2</v>
      </c>
      <c r="J1" s="15"/>
      <c r="K1" s="15" t="s">
        <v>3</v>
      </c>
      <c r="L1" s="15"/>
      <c r="M1" s="15" t="s">
        <v>4</v>
      </c>
      <c r="O1" s="15" t="s">
        <v>5</v>
      </c>
      <c r="Q1" s="15" t="s">
        <v>6</v>
      </c>
      <c r="S1" s="15" t="s">
        <v>7</v>
      </c>
      <c r="U1" s="15" t="s">
        <v>8</v>
      </c>
      <c r="W1" s="15" t="s">
        <v>9</v>
      </c>
      <c r="Y1" s="15" t="s">
        <v>10</v>
      </c>
      <c r="AA1" s="15" t="s">
        <v>11</v>
      </c>
      <c r="AB1" s="16" t="s">
        <v>44</v>
      </c>
    </row>
    <row r="2" spans="1:28" ht="18">
      <c r="A2" s="17"/>
      <c r="B2" s="125"/>
      <c r="C2" s="18"/>
      <c r="D2" s="19" t="s">
        <v>45</v>
      </c>
      <c r="E2" s="20">
        <f>Medidores!C132</f>
        <v>28281689.87555594</v>
      </c>
      <c r="F2" s="20"/>
      <c r="G2" s="20">
        <f>Medidores!E132</f>
        <v>3034320</v>
      </c>
      <c r="H2" s="20"/>
      <c r="I2" s="20">
        <f>Medidores!G132</f>
        <v>-5276190</v>
      </c>
      <c r="J2" s="20"/>
      <c r="K2" s="20">
        <f>Medidores!I132</f>
        <v>0</v>
      </c>
      <c r="L2" s="20"/>
      <c r="M2" s="20">
        <f>Medidores!K132</f>
        <v>0</v>
      </c>
      <c r="N2" s="20"/>
      <c r="O2" s="20">
        <f>Medidores!M132</f>
        <v>0</v>
      </c>
      <c r="P2" s="20"/>
      <c r="Q2" s="20">
        <f>Medidores!O132</f>
        <v>0</v>
      </c>
      <c r="R2" s="20"/>
      <c r="S2" s="20">
        <f>Medidores!Q132</f>
        <v>0</v>
      </c>
      <c r="T2" s="20"/>
      <c r="U2" s="20">
        <f>Medidores!S132</f>
        <v>0</v>
      </c>
      <c r="V2" s="20"/>
      <c r="W2" s="20">
        <f>Medidores!U132</f>
        <v>0</v>
      </c>
      <c r="X2" s="20"/>
      <c r="Y2" s="20">
        <f>Medidores!W132</f>
        <v>0</v>
      </c>
      <c r="Z2" s="20"/>
      <c r="AA2" s="20">
        <f>Medidores!Y132</f>
        <v>0</v>
      </c>
      <c r="AB2" s="21">
        <f>SUM(E2:AA2)</f>
        <v>26039819.87555594</v>
      </c>
    </row>
    <row r="3" spans="1:28" ht="18">
      <c r="A3" s="17"/>
      <c r="B3" s="125"/>
      <c r="C3" s="18"/>
      <c r="D3" s="19" t="s">
        <v>186</v>
      </c>
      <c r="E3" s="20">
        <f>Medidores!C131</f>
        <v>28281009.87555594</v>
      </c>
      <c r="F3" s="20"/>
      <c r="G3" s="20">
        <f>Medidores!E131</f>
        <v>3000000</v>
      </c>
      <c r="H3" s="20"/>
      <c r="I3" s="20">
        <f>Medidores!G131</f>
        <v>0</v>
      </c>
      <c r="J3" s="20"/>
      <c r="K3" s="20">
        <f>Medidores!I131</f>
        <v>0</v>
      </c>
      <c r="L3" s="20"/>
      <c r="M3" s="20">
        <f>Medidores!K131</f>
        <v>0</v>
      </c>
      <c r="N3" s="20"/>
      <c r="O3" s="20">
        <f>Medidores!M131</f>
        <v>0</v>
      </c>
      <c r="P3" s="20"/>
      <c r="Q3" s="20">
        <f>Medidores!O131</f>
        <v>0</v>
      </c>
      <c r="R3" s="20"/>
      <c r="S3" s="20">
        <f>Medidores!Q131</f>
        <v>0</v>
      </c>
      <c r="T3" s="20"/>
      <c r="U3" s="20">
        <f>Medidores!S131</f>
        <v>0</v>
      </c>
      <c r="V3" s="20"/>
      <c r="W3" s="20">
        <f>Medidores!U131</f>
        <v>0</v>
      </c>
      <c r="X3" s="20"/>
      <c r="Y3" s="20">
        <f>Medidores!W131</f>
        <v>0</v>
      </c>
      <c r="Z3" s="20"/>
      <c r="AA3" s="20">
        <f>Medidores!Y131</f>
        <v>0</v>
      </c>
      <c r="AB3" s="21">
        <f>SUM(E3:AA3)</f>
        <v>31281009.87555594</v>
      </c>
    </row>
    <row r="4" spans="1:28" ht="18">
      <c r="A4" s="17"/>
      <c r="B4" s="125"/>
      <c r="C4" s="18"/>
      <c r="D4" s="19" t="s">
        <v>46</v>
      </c>
      <c r="E4" s="20">
        <f>Medidores!C130</f>
        <v>680</v>
      </c>
      <c r="F4" s="20"/>
      <c r="G4" s="20">
        <f>Medidores!E130</f>
        <v>34320</v>
      </c>
      <c r="H4" s="20"/>
      <c r="I4" s="20">
        <f>Medidores!G130</f>
        <v>-5276190</v>
      </c>
      <c r="J4" s="20"/>
      <c r="K4" s="20">
        <f>Medidores!I130</f>
        <v>0</v>
      </c>
      <c r="L4" s="20"/>
      <c r="M4" s="20">
        <f>Medidores!K130</f>
        <v>0</v>
      </c>
      <c r="N4" s="20"/>
      <c r="O4" s="20">
        <f>Medidores!M130</f>
        <v>0</v>
      </c>
      <c r="P4" s="20"/>
      <c r="Q4" s="20">
        <f>Medidores!O130</f>
        <v>0</v>
      </c>
      <c r="R4" s="20"/>
      <c r="S4" s="20">
        <f>Medidores!Q130</f>
        <v>0</v>
      </c>
      <c r="T4" s="20"/>
      <c r="U4" s="20">
        <f>Medidores!S130</f>
        <v>0</v>
      </c>
      <c r="V4" s="20"/>
      <c r="W4" s="20">
        <f>Medidores!U130</f>
        <v>0</v>
      </c>
      <c r="X4" s="20"/>
      <c r="Y4" s="20">
        <f>Medidores!W130</f>
        <v>0</v>
      </c>
      <c r="Z4" s="20"/>
      <c r="AA4" s="20">
        <f>Medidores!Y130</f>
        <v>0</v>
      </c>
      <c r="AB4" s="21">
        <f>SUM(E4:AA4)</f>
        <v>-5241190</v>
      </c>
    </row>
    <row r="5" spans="1:28" ht="18">
      <c r="A5" s="17"/>
      <c r="B5" s="125"/>
      <c r="C5" s="18"/>
      <c r="D5" s="19" t="s">
        <v>47</v>
      </c>
      <c r="E5" s="20">
        <f>Medidores!C129</f>
        <v>0</v>
      </c>
      <c r="F5" s="20"/>
      <c r="G5" s="20">
        <f>Medidores!E129</f>
        <v>0</v>
      </c>
      <c r="H5" s="20"/>
      <c r="I5" s="20">
        <f>Medidores!G129</f>
        <v>0</v>
      </c>
      <c r="J5" s="20"/>
      <c r="K5" s="20">
        <f>Medidores!I129</f>
        <v>0</v>
      </c>
      <c r="L5" s="20"/>
      <c r="M5" s="20">
        <f>Medidores!K129</f>
        <v>0</v>
      </c>
      <c r="N5" s="20"/>
      <c r="O5" s="20">
        <f>Medidores!M129</f>
        <v>0</v>
      </c>
      <c r="P5" s="20"/>
      <c r="Q5" s="20">
        <f>Medidores!O129</f>
        <v>0</v>
      </c>
      <c r="R5" s="20"/>
      <c r="S5" s="20">
        <f>Medidores!Q129</f>
        <v>0</v>
      </c>
      <c r="T5" s="20"/>
      <c r="U5" s="20">
        <f>Medidores!S129</f>
        <v>0</v>
      </c>
      <c r="V5" s="20"/>
      <c r="W5" s="20">
        <f>Medidores!U129</f>
        <v>0</v>
      </c>
      <c r="X5" s="20"/>
      <c r="Y5" s="20">
        <f>Medidores!W129</f>
        <v>0</v>
      </c>
      <c r="Z5" s="20"/>
      <c r="AA5" s="20">
        <f>Medidores!Y129</f>
        <v>0</v>
      </c>
      <c r="AB5" s="21">
        <f>MAX(E5:AA5)</f>
        <v>0</v>
      </c>
    </row>
    <row r="6" spans="1:28" ht="18">
      <c r="A6" s="17"/>
      <c r="B6" s="125"/>
      <c r="C6" s="18"/>
      <c r="D6" s="22" t="s">
        <v>48</v>
      </c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3"/>
    </row>
    <row r="7" spans="1:28" ht="18">
      <c r="A7" s="24" t="s">
        <v>32</v>
      </c>
      <c r="B7" s="126"/>
      <c r="C7" s="61" t="s">
        <v>199</v>
      </c>
      <c r="D7" s="62" t="s">
        <v>108</v>
      </c>
      <c r="E7" s="101">
        <v>5660</v>
      </c>
      <c r="F7" s="101"/>
      <c r="G7" s="101">
        <v>5660</v>
      </c>
      <c r="H7" s="101"/>
      <c r="I7" s="101">
        <v>5660</v>
      </c>
      <c r="J7" s="101"/>
      <c r="K7" s="101">
        <v>5660</v>
      </c>
      <c r="L7" s="101"/>
      <c r="M7" s="101">
        <v>5660</v>
      </c>
      <c r="N7" s="101"/>
      <c r="O7" s="101">
        <v>5660</v>
      </c>
      <c r="P7" s="101"/>
      <c r="Q7" s="101">
        <v>5660</v>
      </c>
      <c r="R7" s="101"/>
      <c r="S7" s="101">
        <v>5660</v>
      </c>
      <c r="T7" s="101"/>
      <c r="U7" s="101">
        <v>5660</v>
      </c>
      <c r="V7" s="101"/>
      <c r="W7" s="101">
        <v>5660</v>
      </c>
      <c r="X7" s="101"/>
      <c r="Y7" s="101">
        <v>5660</v>
      </c>
      <c r="Z7" s="101"/>
      <c r="AA7" s="101">
        <v>5660</v>
      </c>
      <c r="AB7" s="21">
        <f>E7+G7+I7+K7+M7+O7+Q7+S7+U7+W7+Y7+AA7</f>
        <v>67920</v>
      </c>
    </row>
    <row r="8" spans="1:28" ht="18">
      <c r="A8" s="26" t="s">
        <v>13</v>
      </c>
      <c r="B8" s="136" t="s">
        <v>13</v>
      </c>
      <c r="C8" s="61" t="s">
        <v>206</v>
      </c>
      <c r="D8" s="103" t="s">
        <v>152</v>
      </c>
      <c r="E8" s="101">
        <v>900</v>
      </c>
      <c r="F8" s="101"/>
      <c r="G8" s="101">
        <v>900</v>
      </c>
      <c r="H8" s="101"/>
      <c r="I8" s="101">
        <v>900</v>
      </c>
      <c r="J8" s="25"/>
      <c r="K8" s="101">
        <v>900</v>
      </c>
      <c r="L8" s="25"/>
      <c r="M8" s="101">
        <v>900</v>
      </c>
      <c r="N8" s="25"/>
      <c r="O8" s="101">
        <v>900</v>
      </c>
      <c r="P8" s="25"/>
      <c r="Q8" s="101">
        <v>900</v>
      </c>
      <c r="R8" s="25"/>
      <c r="S8" s="101">
        <v>900</v>
      </c>
      <c r="T8" s="101"/>
      <c r="U8" s="101">
        <v>900</v>
      </c>
      <c r="V8" s="101"/>
      <c r="W8" s="101">
        <v>900</v>
      </c>
      <c r="X8" s="101"/>
      <c r="Y8" s="101">
        <v>900</v>
      </c>
      <c r="Z8" s="101"/>
      <c r="AA8" s="101">
        <v>900</v>
      </c>
      <c r="AB8" s="21">
        <f t="shared" ref="AB8:AB71" si="0">E8+G8+I8+K8+M8+O8+Q8+S8+U8+W8+Y8+AA8</f>
        <v>10800</v>
      </c>
    </row>
    <row r="9" spans="1:28" ht="18">
      <c r="A9" s="27"/>
      <c r="B9" s="128"/>
      <c r="C9" s="61" t="s">
        <v>268</v>
      </c>
      <c r="D9" s="62" t="s">
        <v>128</v>
      </c>
      <c r="E9" s="101">
        <v>9758</v>
      </c>
      <c r="F9" s="101"/>
      <c r="G9" s="101">
        <v>9758</v>
      </c>
      <c r="H9" s="101"/>
      <c r="I9" s="101">
        <v>9758</v>
      </c>
      <c r="J9" s="25"/>
      <c r="K9" s="101">
        <v>9758</v>
      </c>
      <c r="L9" s="25"/>
      <c r="M9" s="101">
        <v>9758</v>
      </c>
      <c r="N9" s="25"/>
      <c r="O9" s="101">
        <v>9758</v>
      </c>
      <c r="P9" s="25"/>
      <c r="Q9" s="101">
        <v>9758</v>
      </c>
      <c r="R9" s="25"/>
      <c r="S9" s="101">
        <v>9758</v>
      </c>
      <c r="T9" s="101"/>
      <c r="U9" s="101">
        <v>9758</v>
      </c>
      <c r="V9" s="101"/>
      <c r="W9" s="101">
        <v>9758</v>
      </c>
      <c r="X9" s="101"/>
      <c r="Y9" s="101">
        <v>9758</v>
      </c>
      <c r="Z9" s="101"/>
      <c r="AA9" s="101">
        <v>9758</v>
      </c>
      <c r="AB9" s="21">
        <f t="shared" si="0"/>
        <v>117096</v>
      </c>
    </row>
    <row r="10" spans="1:28" ht="18">
      <c r="A10" s="27"/>
      <c r="B10" s="128"/>
      <c r="C10" s="61" t="s">
        <v>225</v>
      </c>
      <c r="D10" s="62" t="s">
        <v>50</v>
      </c>
      <c r="E10" s="107">
        <f>(E13-(E7+E8+E9+E12))*0.6</f>
        <v>39450.274506671281</v>
      </c>
      <c r="F10" s="107"/>
      <c r="G10" s="107">
        <f>(G13-(G7+G8+G9+G12))*0.6</f>
        <v>40253.039999999994</v>
      </c>
      <c r="H10" s="107"/>
      <c r="I10" s="107">
        <f>(I13-(I7+I8+I9+I12))*0.6</f>
        <v>1546907.0279999999</v>
      </c>
      <c r="J10" s="25"/>
      <c r="K10" s="107">
        <f>(K13-(K7+K8+K9+K12))*0.6</f>
        <v>-10318.799999999999</v>
      </c>
      <c r="L10" s="25"/>
      <c r="M10" s="107">
        <f>(M13-(M7+M8+M9+M12))*0.6</f>
        <v>-10318.799999999999</v>
      </c>
      <c r="N10" s="25"/>
      <c r="O10" s="107">
        <f>(O13-(O7+O8+O9+O12))*0.6</f>
        <v>-10318.799999999999</v>
      </c>
      <c r="P10" s="25"/>
      <c r="Q10" s="107">
        <f>(Q13-(Q7+Q8+Q9+Q12))*0.6</f>
        <v>-10318.799999999999</v>
      </c>
      <c r="R10" s="25"/>
      <c r="S10" s="107">
        <f>(S13-(S7+S8+S9+S12))*0.6</f>
        <v>-10318.799999999999</v>
      </c>
      <c r="T10" s="107"/>
      <c r="U10" s="107">
        <f>(U13-(U7+U8+U9+U12))*0.6</f>
        <v>-10318.799999999999</v>
      </c>
      <c r="V10" s="107"/>
      <c r="W10" s="107">
        <f>(W13-(W7+W8+W9+W12))*0.6</f>
        <v>-10318.799999999999</v>
      </c>
      <c r="X10" s="107"/>
      <c r="Y10" s="107">
        <f>(Y13-(Y7+Y8+Y9+Y12))*0.6</f>
        <v>-10318.799999999999</v>
      </c>
      <c r="Z10" s="107"/>
      <c r="AA10" s="107">
        <f>(AA13-(AA7+AA8+AA9+AA12))*0.6</f>
        <v>-10318.799999999999</v>
      </c>
      <c r="AB10" s="21">
        <f t="shared" si="0"/>
        <v>1533741.1425066709</v>
      </c>
    </row>
    <row r="11" spans="1:28" ht="18">
      <c r="A11" s="27"/>
      <c r="B11" s="128"/>
      <c r="C11" s="61" t="s">
        <v>226</v>
      </c>
      <c r="D11" s="62" t="s">
        <v>57</v>
      </c>
      <c r="E11" s="107">
        <f>(E13-(E7+E8+E9+E12))*0.4</f>
        <v>26300.183004447521</v>
      </c>
      <c r="F11" s="107"/>
      <c r="G11" s="107">
        <f>(G13-(G7+G8+G9+G12))*0.4</f>
        <v>26835.360000000001</v>
      </c>
      <c r="H11" s="107"/>
      <c r="I11" s="107">
        <f>(I13-(I7+I8+I9+I12))*0.4</f>
        <v>1031271.352</v>
      </c>
      <c r="J11" s="25"/>
      <c r="K11" s="107">
        <f>(K13-(K7+K8+K9+K12))*0.4</f>
        <v>-6879.2000000000007</v>
      </c>
      <c r="L11" s="25"/>
      <c r="M11" s="107">
        <f>(M13-(M7+M8+M9+M12))*0.4</f>
        <v>-6879.2000000000007</v>
      </c>
      <c r="N11" s="25"/>
      <c r="O11" s="107">
        <f>(O13-(O7+O8+O9+O12))*0.4</f>
        <v>-6879.2000000000007</v>
      </c>
      <c r="P11" s="25"/>
      <c r="Q11" s="107">
        <f>(Q13-(Q7+Q8+Q9+Q12))*0.4</f>
        <v>-6879.2000000000007</v>
      </c>
      <c r="R11" s="25"/>
      <c r="S11" s="107">
        <f>(S13-(S7+S8+S9+S12))*0.4</f>
        <v>-6879.2000000000007</v>
      </c>
      <c r="T11" s="107"/>
      <c r="U11" s="107">
        <f>(U13-(U7+U8+U9+U12))*0.4</f>
        <v>-6879.2000000000007</v>
      </c>
      <c r="V11" s="107"/>
      <c r="W11" s="107">
        <f>(W13-(W7+W8+W9+W12))*0.4</f>
        <v>-6879.2000000000007</v>
      </c>
      <c r="X11" s="107"/>
      <c r="Y11" s="107">
        <f>(Y13-(Y7+Y8+Y9+Y12))*0.4</f>
        <v>-6879.2000000000007</v>
      </c>
      <c r="Z11" s="107"/>
      <c r="AA11" s="107">
        <f>(AA13-(AA7+AA8+AA9+AA12))*0.4</f>
        <v>-6879.2000000000007</v>
      </c>
      <c r="AB11" s="21">
        <f t="shared" si="0"/>
        <v>1022494.095004448</v>
      </c>
    </row>
    <row r="12" spans="1:28" ht="18">
      <c r="A12" s="28"/>
      <c r="B12" s="129"/>
      <c r="C12" s="61" t="s">
        <v>271</v>
      </c>
      <c r="D12" s="62" t="s">
        <v>171</v>
      </c>
      <c r="E12" s="101">
        <v>880</v>
      </c>
      <c r="F12" s="101"/>
      <c r="G12" s="101">
        <v>880</v>
      </c>
      <c r="H12" s="101"/>
      <c r="I12" s="101">
        <v>880</v>
      </c>
      <c r="J12" s="25"/>
      <c r="K12" s="101">
        <v>880</v>
      </c>
      <c r="L12" s="25"/>
      <c r="M12" s="101">
        <v>880</v>
      </c>
      <c r="N12" s="25"/>
      <c r="O12" s="101">
        <v>880</v>
      </c>
      <c r="P12" s="25"/>
      <c r="Q12" s="101">
        <v>880</v>
      </c>
      <c r="R12" s="25"/>
      <c r="S12" s="101">
        <v>880</v>
      </c>
      <c r="T12" s="101"/>
      <c r="U12" s="101">
        <v>880</v>
      </c>
      <c r="V12" s="101"/>
      <c r="W12" s="101">
        <v>880</v>
      </c>
      <c r="X12" s="101"/>
      <c r="Y12" s="101">
        <v>880</v>
      </c>
      <c r="Z12" s="101"/>
      <c r="AA12" s="101">
        <v>880</v>
      </c>
      <c r="AB12" s="21">
        <f t="shared" si="0"/>
        <v>10560</v>
      </c>
    </row>
    <row r="13" spans="1:28" ht="18">
      <c r="A13" s="29"/>
      <c r="B13" s="125"/>
      <c r="C13" s="18"/>
      <c r="D13" s="30" t="s">
        <v>51</v>
      </c>
      <c r="E13" s="162">
        <f>Medidores!C91</f>
        <v>82948.457511118802</v>
      </c>
      <c r="F13" s="20"/>
      <c r="G13" s="20">
        <f>Medidores!E91</f>
        <v>84286.399999999994</v>
      </c>
      <c r="H13" s="20"/>
      <c r="I13" s="20">
        <f>Medidores!G91</f>
        <v>2595376.38</v>
      </c>
      <c r="J13" s="20"/>
      <c r="K13" s="20">
        <f>Medidores!I91</f>
        <v>0</v>
      </c>
      <c r="L13" s="20"/>
      <c r="M13" s="20">
        <f>Medidores!K91</f>
        <v>0</v>
      </c>
      <c r="N13" s="20"/>
      <c r="O13" s="20">
        <f>Medidores!M91</f>
        <v>0</v>
      </c>
      <c r="P13" s="20"/>
      <c r="Q13" s="20">
        <f>Medidores!O91</f>
        <v>0</v>
      </c>
      <c r="R13" s="20"/>
      <c r="S13" s="20">
        <f>Medidores!Q91</f>
        <v>0</v>
      </c>
      <c r="T13" s="20"/>
      <c r="U13" s="20">
        <f>Medidores!S91</f>
        <v>0</v>
      </c>
      <c r="V13" s="20"/>
      <c r="W13" s="20">
        <f>Medidores!U91</f>
        <v>0</v>
      </c>
      <c r="X13" s="20"/>
      <c r="Y13" s="20">
        <f>Medidores!W91</f>
        <v>0</v>
      </c>
      <c r="Z13" s="20"/>
      <c r="AA13" s="20">
        <f>Medidores!Y91</f>
        <v>0</v>
      </c>
      <c r="AB13" s="21">
        <f t="shared" si="0"/>
        <v>2762611.2375111189</v>
      </c>
    </row>
    <row r="14" spans="1:28" ht="18">
      <c r="A14" s="26" t="s">
        <v>14</v>
      </c>
      <c r="B14" s="136" t="s">
        <v>14</v>
      </c>
      <c r="C14" s="61" t="s">
        <v>221</v>
      </c>
      <c r="D14" s="62" t="s">
        <v>54</v>
      </c>
      <c r="E14" s="107">
        <f>(E18-(E15+E16))*0.4</f>
        <v>17866.475004447519</v>
      </c>
      <c r="F14" s="107"/>
      <c r="G14" s="107">
        <f>(G18-(G15+G16))*0.4</f>
        <v>3354.56</v>
      </c>
      <c r="H14" s="107"/>
      <c r="I14" s="107">
        <f>(I18-(I15+I16))*0.4</f>
        <v>3980626.9440000001</v>
      </c>
      <c r="J14" s="25"/>
      <c r="K14" s="107">
        <f>(K18-(K15+K16))*0.4</f>
        <v>-600</v>
      </c>
      <c r="L14" s="25"/>
      <c r="M14" s="107">
        <f>(M18-(M15+M16))*0.4</f>
        <v>-600</v>
      </c>
      <c r="N14" s="25"/>
      <c r="O14" s="107">
        <f>(O18-(O15+O16))*0.4</f>
        <v>-600</v>
      </c>
      <c r="P14" s="25"/>
      <c r="Q14" s="107">
        <f>(Q18-(Q15+Q16))*0.4</f>
        <v>-600</v>
      </c>
      <c r="R14" s="25"/>
      <c r="S14" s="107">
        <f>(S18-(S15+S16))*0.4</f>
        <v>-600</v>
      </c>
      <c r="T14" s="107"/>
      <c r="U14" s="107">
        <f>(U18-(U15+U16))*0.4</f>
        <v>-600</v>
      </c>
      <c r="V14" s="107"/>
      <c r="W14" s="107">
        <f>(W18-(W15+W16))*0.4</f>
        <v>-600</v>
      </c>
      <c r="X14" s="107"/>
      <c r="Y14" s="107">
        <f>(Y18-(Y15+Y16))*0.4</f>
        <v>-600</v>
      </c>
      <c r="Z14" s="107"/>
      <c r="AA14" s="107">
        <f>(AA18-(AA15+AA16))*0.4</f>
        <v>-600</v>
      </c>
      <c r="AB14" s="21">
        <f t="shared" si="0"/>
        <v>3996447.9790044478</v>
      </c>
    </row>
    <row r="15" spans="1:28" ht="18">
      <c r="A15" s="27"/>
      <c r="B15" s="128"/>
      <c r="C15" s="61" t="s">
        <v>223</v>
      </c>
      <c r="D15" s="62" t="s">
        <v>366</v>
      </c>
      <c r="E15" s="101">
        <v>1000</v>
      </c>
      <c r="F15" s="101"/>
      <c r="G15" s="101">
        <v>1000</v>
      </c>
      <c r="H15" s="101"/>
      <c r="I15" s="101">
        <v>1000</v>
      </c>
      <c r="J15" s="101"/>
      <c r="K15" s="101">
        <v>1000</v>
      </c>
      <c r="L15" s="101"/>
      <c r="M15" s="101">
        <v>1000</v>
      </c>
      <c r="N15" s="101"/>
      <c r="O15" s="101">
        <v>1000</v>
      </c>
      <c r="P15" s="101"/>
      <c r="Q15" s="101">
        <v>1000</v>
      </c>
      <c r="R15" s="101"/>
      <c r="S15" s="101">
        <v>1000</v>
      </c>
      <c r="T15" s="101"/>
      <c r="U15" s="101">
        <v>1000</v>
      </c>
      <c r="V15" s="101"/>
      <c r="W15" s="101">
        <v>1000</v>
      </c>
      <c r="X15" s="101"/>
      <c r="Y15" s="101">
        <v>1000</v>
      </c>
      <c r="Z15" s="101"/>
      <c r="AA15" s="101">
        <v>1000</v>
      </c>
      <c r="AB15" s="21">
        <f t="shared" si="0"/>
        <v>12000</v>
      </c>
    </row>
    <row r="16" spans="1:28" ht="18">
      <c r="A16" s="27"/>
      <c r="B16" s="128"/>
      <c r="C16" s="61" t="s">
        <v>224</v>
      </c>
      <c r="D16" s="62" t="s">
        <v>158</v>
      </c>
      <c r="E16" s="101">
        <v>500</v>
      </c>
      <c r="F16" s="101"/>
      <c r="G16" s="101">
        <v>500</v>
      </c>
      <c r="H16" s="101"/>
      <c r="I16" s="101">
        <v>500</v>
      </c>
      <c r="J16" s="25"/>
      <c r="K16" s="101">
        <v>500</v>
      </c>
      <c r="L16" s="25"/>
      <c r="M16" s="101">
        <v>500</v>
      </c>
      <c r="N16" s="25"/>
      <c r="O16" s="101">
        <v>500</v>
      </c>
      <c r="P16" s="25"/>
      <c r="Q16" s="101">
        <v>500</v>
      </c>
      <c r="R16" s="25"/>
      <c r="S16" s="101">
        <v>500</v>
      </c>
      <c r="T16" s="101"/>
      <c r="U16" s="101">
        <v>500</v>
      </c>
      <c r="V16" s="101"/>
      <c r="W16" s="101">
        <v>500</v>
      </c>
      <c r="X16" s="101"/>
      <c r="Y16" s="101">
        <v>500</v>
      </c>
      <c r="Z16" s="101"/>
      <c r="AA16" s="101">
        <v>500</v>
      </c>
      <c r="AB16" s="21">
        <f t="shared" si="0"/>
        <v>6000</v>
      </c>
    </row>
    <row r="17" spans="1:28" ht="21" customHeight="1">
      <c r="A17" s="27"/>
      <c r="B17" s="128"/>
      <c r="C17" s="61" t="s">
        <v>225</v>
      </c>
      <c r="D17" s="62" t="s">
        <v>50</v>
      </c>
      <c r="E17" s="107">
        <f>(E18-(E15+E16))*0.6</f>
        <v>26799.71250667128</v>
      </c>
      <c r="F17" s="107"/>
      <c r="G17" s="107">
        <f>(G18-(G15+G16))*0.6</f>
        <v>5031.8399999999992</v>
      </c>
      <c r="H17" s="107"/>
      <c r="I17" s="107">
        <f>(I18-(I15+I16))*0.6</f>
        <v>5970940.4159999993</v>
      </c>
      <c r="J17" s="25"/>
      <c r="K17" s="107">
        <f>(K18-(K15+K16))*0.6</f>
        <v>-900</v>
      </c>
      <c r="L17" s="25"/>
      <c r="M17" s="107">
        <f>(M18-(M15+M16))*0.6</f>
        <v>-900</v>
      </c>
      <c r="N17" s="25"/>
      <c r="O17" s="107">
        <f>(O18-(O15+O16))*0.6</f>
        <v>-900</v>
      </c>
      <c r="P17" s="25"/>
      <c r="Q17" s="107">
        <f>(Q18-(Q15+Q16))*0.6</f>
        <v>-900</v>
      </c>
      <c r="R17" s="25"/>
      <c r="S17" s="107">
        <f>(S18-(S15+S16))*0.6</f>
        <v>-900</v>
      </c>
      <c r="T17" s="107"/>
      <c r="U17" s="107">
        <f>(U18-(U15+U16))*0.6</f>
        <v>-900</v>
      </c>
      <c r="V17" s="107"/>
      <c r="W17" s="107">
        <f>(W18-(W15+W16))*0.6</f>
        <v>-900</v>
      </c>
      <c r="X17" s="107"/>
      <c r="Y17" s="107">
        <f>(Y18-(Y15+Y16))*0.6</f>
        <v>-900</v>
      </c>
      <c r="Z17" s="107"/>
      <c r="AA17" s="107">
        <f>(AA18-(AA15+AA16))*0.6</f>
        <v>-900</v>
      </c>
      <c r="AB17" s="21">
        <f t="shared" si="0"/>
        <v>5994671.9685066706</v>
      </c>
    </row>
    <row r="18" spans="1:28" ht="21" customHeight="1">
      <c r="A18" s="31"/>
      <c r="B18" s="130"/>
      <c r="C18" s="32"/>
      <c r="D18" s="30" t="s">
        <v>51</v>
      </c>
      <c r="E18" s="162">
        <f>Medidores!C92</f>
        <v>46166.187511118798</v>
      </c>
      <c r="F18" s="20"/>
      <c r="G18" s="20">
        <f>Medidores!E92</f>
        <v>9886.4</v>
      </c>
      <c r="H18" s="20"/>
      <c r="I18" s="20">
        <f>Medidores!G92</f>
        <v>9953067.3599999994</v>
      </c>
      <c r="J18" s="20"/>
      <c r="K18" s="20">
        <f>Medidores!I92</f>
        <v>0</v>
      </c>
      <c r="L18" s="20"/>
      <c r="M18" s="20">
        <f>Medidores!K92</f>
        <v>0</v>
      </c>
      <c r="N18" s="20"/>
      <c r="O18" s="20">
        <f>Medidores!M92</f>
        <v>0</v>
      </c>
      <c r="P18" s="20"/>
      <c r="Q18" s="20">
        <f>Medidores!O92</f>
        <v>0</v>
      </c>
      <c r="R18" s="20"/>
      <c r="S18" s="20">
        <f>Medidores!Q92</f>
        <v>0</v>
      </c>
      <c r="T18" s="20"/>
      <c r="U18" s="20">
        <f>Medidores!S92</f>
        <v>0</v>
      </c>
      <c r="V18" s="20"/>
      <c r="W18" s="20">
        <f>Medidores!U92</f>
        <v>0</v>
      </c>
      <c r="X18" s="20"/>
      <c r="Y18" s="20">
        <f>Medidores!W92</f>
        <v>0</v>
      </c>
      <c r="Z18" s="20"/>
      <c r="AA18" s="20">
        <f>Medidores!Y92</f>
        <v>0</v>
      </c>
      <c r="AB18" s="21">
        <f t="shared" si="0"/>
        <v>10009119.947511118</v>
      </c>
    </row>
    <row r="19" spans="1:28" ht="18">
      <c r="A19" s="33" t="s">
        <v>32</v>
      </c>
      <c r="B19" s="123"/>
      <c r="C19" s="61" t="s">
        <v>213</v>
      </c>
      <c r="D19" s="62" t="s">
        <v>291</v>
      </c>
      <c r="E19" s="101">
        <v>4067</v>
      </c>
      <c r="F19" s="101"/>
      <c r="G19" s="101">
        <v>4067</v>
      </c>
      <c r="H19" s="101"/>
      <c r="I19" s="101">
        <v>4067</v>
      </c>
      <c r="J19" s="25"/>
      <c r="K19" s="101">
        <v>4067</v>
      </c>
      <c r="L19" s="25"/>
      <c r="M19" s="101">
        <v>4067</v>
      </c>
      <c r="N19" s="25"/>
      <c r="O19" s="101">
        <v>4067</v>
      </c>
      <c r="P19" s="25"/>
      <c r="Q19" s="101">
        <v>4067</v>
      </c>
      <c r="R19" s="209"/>
      <c r="S19" s="101">
        <v>4067</v>
      </c>
      <c r="T19" s="101"/>
      <c r="U19" s="101">
        <v>4067</v>
      </c>
      <c r="V19" s="101"/>
      <c r="W19" s="101">
        <v>4067</v>
      </c>
      <c r="X19" s="101"/>
      <c r="Y19" s="101">
        <v>4067</v>
      </c>
      <c r="Z19" s="101"/>
      <c r="AA19" s="101">
        <v>4067</v>
      </c>
      <c r="AB19" s="21">
        <f t="shared" si="0"/>
        <v>48804</v>
      </c>
    </row>
    <row r="20" spans="1:28" ht="18">
      <c r="A20" s="33" t="s">
        <v>23</v>
      </c>
      <c r="B20" s="137" t="s">
        <v>342</v>
      </c>
      <c r="C20" s="61" t="s">
        <v>218</v>
      </c>
      <c r="D20" s="62" t="s">
        <v>60</v>
      </c>
      <c r="E20" s="107">
        <f>(E25-(E19+E23+E24))*0.33</f>
        <v>64774.99391572587</v>
      </c>
      <c r="F20" s="107"/>
      <c r="G20" s="107">
        <f>(G25-(G19+G23+G24))*0.33</f>
        <v>20883.91272</v>
      </c>
      <c r="H20" s="107"/>
      <c r="I20" s="107">
        <f>(I25-(I19+I23+I24))*0.33</f>
        <v>3848888.7191040004</v>
      </c>
      <c r="J20" s="25"/>
      <c r="K20" s="107">
        <f>(K25-(K19+K23+K24))*0.33</f>
        <v>-3939.21</v>
      </c>
      <c r="L20" s="25"/>
      <c r="M20" s="107">
        <f>(M25-(M19+M23+M24))*0.33</f>
        <v>-3939.21</v>
      </c>
      <c r="N20" s="25"/>
      <c r="O20" s="107">
        <f>(O25-(O19+O23+O24))*0.33</f>
        <v>-3939.21</v>
      </c>
      <c r="P20" s="25"/>
      <c r="Q20" s="107">
        <f>(Q25-(Q19+Q23+Q24))*0.33</f>
        <v>-3939.21</v>
      </c>
      <c r="R20" s="25"/>
      <c r="S20" s="107">
        <f>(S25-(S19+S23+S24))*0.33</f>
        <v>-3939.21</v>
      </c>
      <c r="T20" s="107"/>
      <c r="U20" s="107">
        <f>(U25-(U19+U23+U24))*0.33</f>
        <v>-3939.21</v>
      </c>
      <c r="V20" s="107"/>
      <c r="W20" s="107">
        <f>(W25-(W19+W23+W24))*0.33</f>
        <v>-3939.21</v>
      </c>
      <c r="X20" s="107"/>
      <c r="Y20" s="107">
        <f>(Y25-(Y19+Y23+Y24))*0.33</f>
        <v>-3939.21</v>
      </c>
      <c r="Z20" s="107"/>
      <c r="AA20" s="107">
        <f>(AA25-(AA19+AA23+AA24))*0.33</f>
        <v>-3939.21</v>
      </c>
      <c r="AB20" s="21">
        <f t="shared" si="0"/>
        <v>3899094.7357397266</v>
      </c>
    </row>
    <row r="21" spans="1:28" ht="18">
      <c r="A21" s="34"/>
      <c r="B21" s="131"/>
      <c r="C21" s="61" t="s">
        <v>214</v>
      </c>
      <c r="D21" s="62" t="s">
        <v>155</v>
      </c>
      <c r="E21" s="107">
        <f>(E25-(E19+E23+E24))*0.58</f>
        <v>113846.95900339697</v>
      </c>
      <c r="F21" s="107"/>
      <c r="G21" s="107">
        <f>(G25-(G19+G23+G24))*0.58</f>
        <v>36705.058720000001</v>
      </c>
      <c r="H21" s="107"/>
      <c r="I21" s="107">
        <f>(I25-(I19+I23+I24))*0.58</f>
        <v>6764713.5063039996</v>
      </c>
      <c r="J21" s="25"/>
      <c r="K21" s="107">
        <f>(K25-(K19+K23+K24))*0.58</f>
        <v>-6923.4599999999991</v>
      </c>
      <c r="L21" s="25"/>
      <c r="M21" s="107">
        <f>(M25-(M19+M23+M24))*0.58</f>
        <v>-6923.4599999999991</v>
      </c>
      <c r="N21" s="25"/>
      <c r="O21" s="107">
        <f>(O25-(O19+O23+O24))*0.58</f>
        <v>-6923.4599999999991</v>
      </c>
      <c r="P21" s="25"/>
      <c r="Q21" s="107">
        <f>(Q25-(Q19+Q23+Q24))*0.58</f>
        <v>-6923.4599999999991</v>
      </c>
      <c r="R21" s="25"/>
      <c r="S21" s="107">
        <f>(S25-(S19+S23+S24))*0.58</f>
        <v>-6923.4599999999991</v>
      </c>
      <c r="T21" s="107"/>
      <c r="U21" s="107">
        <f>(U25-(U19+U23+U24))*0.58</f>
        <v>-6923.4599999999991</v>
      </c>
      <c r="V21" s="107"/>
      <c r="W21" s="107">
        <f>(W25-(W19+W23+W24))*0.58</f>
        <v>-6923.4599999999991</v>
      </c>
      <c r="X21" s="107"/>
      <c r="Y21" s="107">
        <f>(Y25-(Y19+Y23+Y24))*0.58</f>
        <v>-6923.4599999999991</v>
      </c>
      <c r="Z21" s="107"/>
      <c r="AA21" s="107">
        <f>(AA25-(AA19+AA23+AA24))*0.58</f>
        <v>-6923.4599999999991</v>
      </c>
      <c r="AB21" s="21">
        <f t="shared" si="0"/>
        <v>6852954.3840273973</v>
      </c>
    </row>
    <row r="22" spans="1:28" ht="18">
      <c r="A22" s="34"/>
      <c r="B22" s="131"/>
      <c r="C22" s="61" t="s">
        <v>215</v>
      </c>
      <c r="D22" s="62" t="s">
        <v>62</v>
      </c>
      <c r="E22" s="107">
        <f>(E25-(E19+E20+E21+E23+E24))</f>
        <v>17665.907431561587</v>
      </c>
      <c r="F22" s="107"/>
      <c r="G22" s="107">
        <f>(G25-(G19+G20+G21+G23+G24))</f>
        <v>5695.6125600000087</v>
      </c>
      <c r="H22" s="107"/>
      <c r="I22" s="107">
        <f>(I25-(I19+I20+I21+I23+I24))</f>
        <v>1049696.9233920015</v>
      </c>
      <c r="J22" s="25"/>
      <c r="K22" s="107">
        <f>(K25-(K19+K20+K21+K23+K24))</f>
        <v>-1074.3300000000008</v>
      </c>
      <c r="L22" s="25"/>
      <c r="M22" s="107">
        <f>(M25-(M19+M20+M21+M23+M24))</f>
        <v>-1074.3300000000008</v>
      </c>
      <c r="N22" s="25"/>
      <c r="O22" s="107">
        <f>(O25-(O19+O20+O21+O23+O24))</f>
        <v>-1074.3300000000008</v>
      </c>
      <c r="P22" s="25"/>
      <c r="Q22" s="107">
        <f>(Q25-(Q19+Q20+Q21+Q23+Q24))</f>
        <v>-1074.3300000000008</v>
      </c>
      <c r="R22" s="25"/>
      <c r="S22" s="107">
        <f>(S25-(S19+S20+S21+S23+S24))</f>
        <v>-1074.3300000000008</v>
      </c>
      <c r="T22" s="107"/>
      <c r="U22" s="107">
        <f>(U25-(U19+U20+U21+U23+U24))</f>
        <v>-1074.3300000000008</v>
      </c>
      <c r="V22" s="107"/>
      <c r="W22" s="107">
        <f>(W25-(W19+W20+W21+W23+W24))</f>
        <v>-1074.3300000000008</v>
      </c>
      <c r="X22" s="107"/>
      <c r="Y22" s="107">
        <f>(Y25-(Y19+Y20+Y21+Y23+Y24))</f>
        <v>-1074.3300000000008</v>
      </c>
      <c r="Z22" s="107"/>
      <c r="AA22" s="107">
        <f>(AA25-(AA19+AA20+AA21+AA23+AA24))</f>
        <v>-1074.3300000000008</v>
      </c>
      <c r="AB22" s="21">
        <f t="shared" si="0"/>
        <v>1063389.4733835624</v>
      </c>
    </row>
    <row r="23" spans="1:28" ht="18">
      <c r="A23" s="34"/>
      <c r="B23" s="131"/>
      <c r="C23" s="61" t="s">
        <v>227</v>
      </c>
      <c r="D23" s="62" t="s">
        <v>63</v>
      </c>
      <c r="E23" s="101">
        <v>7000</v>
      </c>
      <c r="F23" s="101"/>
      <c r="G23" s="101">
        <v>7000</v>
      </c>
      <c r="H23" s="101"/>
      <c r="I23" s="101">
        <v>7000</v>
      </c>
      <c r="J23" s="101"/>
      <c r="K23" s="101">
        <v>7000</v>
      </c>
      <c r="L23" s="101"/>
      <c r="M23" s="101">
        <v>7000</v>
      </c>
      <c r="N23" s="101"/>
      <c r="O23" s="101">
        <v>7000</v>
      </c>
      <c r="P23" s="101"/>
      <c r="Q23" s="101">
        <v>7000</v>
      </c>
      <c r="R23" s="101"/>
      <c r="S23" s="101">
        <v>7000</v>
      </c>
      <c r="T23" s="101"/>
      <c r="U23" s="101">
        <v>7000</v>
      </c>
      <c r="V23" s="101"/>
      <c r="W23" s="101">
        <v>7000</v>
      </c>
      <c r="X23" s="101"/>
      <c r="Y23" s="101">
        <v>7000</v>
      </c>
      <c r="Z23" s="101"/>
      <c r="AA23" s="101">
        <v>7000</v>
      </c>
      <c r="AB23" s="21">
        <f t="shared" si="0"/>
        <v>84000</v>
      </c>
    </row>
    <row r="24" spans="1:28" ht="18">
      <c r="A24" s="35"/>
      <c r="B24" s="132"/>
      <c r="C24" s="61" t="s">
        <v>272</v>
      </c>
      <c r="D24" s="62" t="s">
        <v>289</v>
      </c>
      <c r="E24" s="101">
        <v>870</v>
      </c>
      <c r="F24" s="101"/>
      <c r="G24" s="101">
        <v>870</v>
      </c>
      <c r="H24" s="101"/>
      <c r="I24" s="101">
        <v>870</v>
      </c>
      <c r="J24" s="25"/>
      <c r="K24" s="101">
        <v>870</v>
      </c>
      <c r="L24" s="25"/>
      <c r="M24" s="101">
        <v>870</v>
      </c>
      <c r="N24" s="25"/>
      <c r="O24" s="101">
        <v>870</v>
      </c>
      <c r="P24" s="25"/>
      <c r="Q24" s="101">
        <v>870</v>
      </c>
      <c r="R24" s="25"/>
      <c r="S24" s="101">
        <v>870</v>
      </c>
      <c r="T24" s="101"/>
      <c r="U24" s="101">
        <v>870</v>
      </c>
      <c r="V24" s="101"/>
      <c r="W24" s="101">
        <v>870</v>
      </c>
      <c r="X24" s="101"/>
      <c r="Y24" s="101">
        <v>870</v>
      </c>
      <c r="Z24" s="101"/>
      <c r="AA24" s="101">
        <v>870</v>
      </c>
      <c r="AB24" s="21">
        <f t="shared" si="0"/>
        <v>10440</v>
      </c>
    </row>
    <row r="25" spans="1:28" ht="18">
      <c r="A25" s="36"/>
      <c r="B25" s="133"/>
      <c r="C25" s="32"/>
      <c r="D25" s="30" t="s">
        <v>51</v>
      </c>
      <c r="E25" s="162">
        <f>Medidores!C113</f>
        <v>208224.86035068444</v>
      </c>
      <c r="F25" s="20"/>
      <c r="G25" s="20">
        <f>Medidores!E113</f>
        <v>75221.584000000003</v>
      </c>
      <c r="H25" s="20"/>
      <c r="I25" s="20">
        <f>Medidores!G113</f>
        <v>11675236.148800001</v>
      </c>
      <c r="J25" s="20"/>
      <c r="K25" s="20">
        <f>Medidores!I113</f>
        <v>0</v>
      </c>
      <c r="L25" s="20"/>
      <c r="M25" s="20">
        <f>Medidores!K113</f>
        <v>0</v>
      </c>
      <c r="N25" s="20"/>
      <c r="O25" s="20">
        <f>Medidores!M113</f>
        <v>0</v>
      </c>
      <c r="P25" s="20"/>
      <c r="Q25" s="20">
        <f>Medidores!O113</f>
        <v>0</v>
      </c>
      <c r="R25" s="20"/>
      <c r="S25" s="20">
        <f>Medidores!Q113</f>
        <v>0</v>
      </c>
      <c r="T25" s="20"/>
      <c r="U25" s="20">
        <f>Medidores!S113</f>
        <v>0</v>
      </c>
      <c r="V25" s="20"/>
      <c r="W25" s="20">
        <f>Medidores!U113</f>
        <v>0</v>
      </c>
      <c r="X25" s="20"/>
      <c r="Y25" s="20">
        <f>Medidores!W113</f>
        <v>0</v>
      </c>
      <c r="Z25" s="20"/>
      <c r="AA25" s="20">
        <f>Medidores!Y113</f>
        <v>0</v>
      </c>
      <c r="AB25" s="21">
        <f t="shared" si="0"/>
        <v>11958682.593150685</v>
      </c>
    </row>
    <row r="26" spans="1:28" ht="18">
      <c r="A26" s="37" t="s">
        <v>64</v>
      </c>
      <c r="B26" s="138" t="s">
        <v>64</v>
      </c>
      <c r="C26" s="61" t="s">
        <v>260</v>
      </c>
      <c r="D26" s="62" t="s">
        <v>167</v>
      </c>
      <c r="E26" s="162">
        <f>Medidores!C125</f>
        <v>2763692</v>
      </c>
      <c r="F26" s="108"/>
      <c r="G26" s="108">
        <f>Medidores!E125</f>
        <v>100000</v>
      </c>
      <c r="H26" s="108"/>
      <c r="I26" s="108">
        <f>Medidores!G125</f>
        <v>-39980396</v>
      </c>
      <c r="J26" s="20"/>
      <c r="K26" s="108">
        <f>Medidores!I125</f>
        <v>0</v>
      </c>
      <c r="L26" s="20"/>
      <c r="M26" s="108">
        <f>Medidores!K125</f>
        <v>0</v>
      </c>
      <c r="N26" s="20"/>
      <c r="O26" s="108">
        <f>Medidores!M125</f>
        <v>0</v>
      </c>
      <c r="P26" s="20"/>
      <c r="Q26" s="108">
        <f>Medidores!O125</f>
        <v>0</v>
      </c>
      <c r="R26" s="20"/>
      <c r="S26" s="108">
        <f>Medidores!Q125</f>
        <v>0</v>
      </c>
      <c r="T26" s="108"/>
      <c r="U26" s="108">
        <f>Medidores!S125</f>
        <v>0</v>
      </c>
      <c r="V26" s="108"/>
      <c r="W26" s="108">
        <f>Medidores!U125</f>
        <v>0</v>
      </c>
      <c r="X26" s="108"/>
      <c r="Y26" s="108">
        <f>Medidores!W125</f>
        <v>0</v>
      </c>
      <c r="Z26" s="108"/>
      <c r="AA26" s="108">
        <f>Medidores!Y125</f>
        <v>0</v>
      </c>
      <c r="AB26" s="21">
        <f t="shared" si="0"/>
        <v>-37116704</v>
      </c>
    </row>
    <row r="27" spans="1:28" ht="18">
      <c r="A27" s="37" t="s">
        <v>66</v>
      </c>
      <c r="B27" s="138" t="s">
        <v>66</v>
      </c>
      <c r="C27" s="61" t="s">
        <v>232</v>
      </c>
      <c r="D27" s="62" t="s">
        <v>160</v>
      </c>
      <c r="E27" s="162">
        <f>Medidores!C103</f>
        <v>15876.457511118799</v>
      </c>
      <c r="F27" s="108"/>
      <c r="G27" s="108">
        <f>Medidores!E103</f>
        <v>84286.399999999994</v>
      </c>
      <c r="H27" s="108"/>
      <c r="I27" s="108">
        <f>Medidores!G103</f>
        <v>-2677071.62</v>
      </c>
      <c r="J27" s="20"/>
      <c r="K27" s="108">
        <f>Medidores!I103</f>
        <v>0</v>
      </c>
      <c r="L27" s="20"/>
      <c r="M27" s="108">
        <f>Medidores!K103</f>
        <v>0</v>
      </c>
      <c r="N27" s="20"/>
      <c r="O27" s="108">
        <f>Medidores!M103</f>
        <v>0</v>
      </c>
      <c r="P27" s="20"/>
      <c r="Q27" s="108">
        <f>Medidores!O103</f>
        <v>0</v>
      </c>
      <c r="R27" s="20"/>
      <c r="S27" s="108">
        <f>Medidores!Q103</f>
        <v>0</v>
      </c>
      <c r="T27" s="108"/>
      <c r="U27" s="108">
        <f>Medidores!S103</f>
        <v>0</v>
      </c>
      <c r="V27" s="108"/>
      <c r="W27" s="108">
        <f>Medidores!U103</f>
        <v>0</v>
      </c>
      <c r="X27" s="108"/>
      <c r="Y27" s="108">
        <f>Medidores!W103</f>
        <v>0</v>
      </c>
      <c r="Z27" s="108"/>
      <c r="AA27" s="108">
        <f>Medidores!Y103</f>
        <v>0</v>
      </c>
      <c r="AB27" s="21">
        <f t="shared" si="0"/>
        <v>-2576908.7624888811</v>
      </c>
    </row>
    <row r="28" spans="1:28" ht="18">
      <c r="A28" s="38" t="s">
        <v>67</v>
      </c>
      <c r="B28" s="138" t="s">
        <v>67</v>
      </c>
      <c r="C28" s="61" t="s">
        <v>228</v>
      </c>
      <c r="D28" s="62" t="s">
        <v>69</v>
      </c>
      <c r="E28" s="162">
        <f>Medidores!C107+Medidores!C128</f>
        <v>3071273.4901334257</v>
      </c>
      <c r="F28" s="108"/>
      <c r="G28" s="108">
        <f>Medidores!E107+Medidores!E128</f>
        <v>231436.79999999999</v>
      </c>
      <c r="H28" s="108"/>
      <c r="I28" s="108">
        <f>Medidores!G107+Medidores!G128</f>
        <v>32566712.560000002</v>
      </c>
      <c r="J28" s="20"/>
      <c r="K28" s="108">
        <f>Medidores!I107+Medidores!I128</f>
        <v>0</v>
      </c>
      <c r="L28" s="20"/>
      <c r="M28" s="108">
        <f>Medidores!K107+Medidores!K128</f>
        <v>0</v>
      </c>
      <c r="N28" s="20"/>
      <c r="O28" s="108">
        <f>Medidores!M107+Medidores!M128</f>
        <v>0</v>
      </c>
      <c r="P28" s="20"/>
      <c r="Q28" s="108">
        <f>Medidores!O107+Medidores!O128</f>
        <v>0</v>
      </c>
      <c r="R28" s="20"/>
      <c r="S28" s="108">
        <f>Medidores!Q107+Medidores!Q128</f>
        <v>0</v>
      </c>
      <c r="T28" s="108"/>
      <c r="U28" s="108">
        <f>Medidores!S107+Medidores!S128</f>
        <v>0</v>
      </c>
      <c r="V28" s="108"/>
      <c r="W28" s="108">
        <f>Medidores!U107+Medidores!U128</f>
        <v>0</v>
      </c>
      <c r="X28" s="108"/>
      <c r="Y28" s="108">
        <f>Medidores!W107+Medidores!W128</f>
        <v>0</v>
      </c>
      <c r="Z28" s="108"/>
      <c r="AA28" s="108">
        <f>Medidores!Y107+Medidores!Y128</f>
        <v>0</v>
      </c>
      <c r="AB28" s="21">
        <f t="shared" si="0"/>
        <v>35869422.850133426</v>
      </c>
    </row>
    <row r="29" spans="1:28" ht="18">
      <c r="A29" s="37" t="s">
        <v>33</v>
      </c>
      <c r="B29" s="138" t="s">
        <v>33</v>
      </c>
      <c r="C29" s="61"/>
      <c r="D29" s="62"/>
      <c r="E29" s="162">
        <f>Medidores!C108</f>
        <v>0</v>
      </c>
      <c r="F29" s="108"/>
      <c r="G29" s="108">
        <f>Medidores!E108</f>
        <v>0</v>
      </c>
      <c r="H29" s="108"/>
      <c r="I29" s="108">
        <f>Medidores!G108</f>
        <v>0</v>
      </c>
      <c r="J29" s="20"/>
      <c r="K29" s="108">
        <f>Medidores!I108</f>
        <v>0</v>
      </c>
      <c r="L29" s="20"/>
      <c r="M29" s="108">
        <f>Medidores!K108</f>
        <v>0</v>
      </c>
      <c r="N29" s="20"/>
      <c r="O29" s="108">
        <f>Medidores!M108</f>
        <v>0</v>
      </c>
      <c r="P29" s="20"/>
      <c r="Q29" s="108">
        <f>Medidores!O108</f>
        <v>0</v>
      </c>
      <c r="R29" s="20"/>
      <c r="S29" s="108">
        <f>Medidores!Q108</f>
        <v>0</v>
      </c>
      <c r="T29" s="108"/>
      <c r="U29" s="108">
        <f>Medidores!S108</f>
        <v>0</v>
      </c>
      <c r="V29" s="108"/>
      <c r="W29" s="108">
        <f>Medidores!U108</f>
        <v>0</v>
      </c>
      <c r="X29" s="108"/>
      <c r="Y29" s="108">
        <f>Medidores!W108</f>
        <v>0</v>
      </c>
      <c r="Z29" s="108"/>
      <c r="AA29" s="108">
        <f>Medidores!Y108</f>
        <v>0</v>
      </c>
      <c r="AB29" s="21">
        <f t="shared" si="0"/>
        <v>0</v>
      </c>
    </row>
    <row r="30" spans="1:28" ht="18">
      <c r="A30" s="39"/>
      <c r="B30" s="134"/>
      <c r="C30" s="18" t="s">
        <v>32</v>
      </c>
      <c r="D30" s="4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3"/>
    </row>
    <row r="31" spans="1:28" ht="18">
      <c r="A31" s="37" t="s">
        <v>15</v>
      </c>
      <c r="B31" s="138" t="s">
        <v>15</v>
      </c>
      <c r="C31" s="61" t="s">
        <v>150</v>
      </c>
      <c r="D31" s="62" t="s">
        <v>182</v>
      </c>
      <c r="E31" s="163">
        <f>Medidores!C93</f>
        <v>252864</v>
      </c>
      <c r="F31" s="109"/>
      <c r="G31" s="109">
        <f>Medidores!E93</f>
        <v>80000</v>
      </c>
      <c r="H31" s="109"/>
      <c r="I31" s="109">
        <f>Medidores!G93</f>
        <v>-3954368</v>
      </c>
      <c r="J31" s="41"/>
      <c r="K31" s="109">
        <f>Medidores!I93</f>
        <v>0</v>
      </c>
      <c r="L31" s="41"/>
      <c r="M31" s="109">
        <f>Medidores!K93</f>
        <v>0</v>
      </c>
      <c r="N31" s="41"/>
      <c r="O31" s="109">
        <f>Medidores!M93</f>
        <v>0</v>
      </c>
      <c r="P31" s="41"/>
      <c r="Q31" s="109">
        <f>Medidores!O93</f>
        <v>0</v>
      </c>
      <c r="R31" s="41"/>
      <c r="S31" s="109">
        <f>Medidores!Q93</f>
        <v>0</v>
      </c>
      <c r="T31" s="109"/>
      <c r="U31" s="109">
        <f>Medidores!S93</f>
        <v>0</v>
      </c>
      <c r="V31" s="109"/>
      <c r="W31" s="109">
        <f>Medidores!U93</f>
        <v>0</v>
      </c>
      <c r="X31" s="109"/>
      <c r="Y31" s="109">
        <f>Medidores!W93</f>
        <v>0</v>
      </c>
      <c r="Z31" s="109"/>
      <c r="AA31" s="109">
        <f>Medidores!Y93</f>
        <v>0</v>
      </c>
      <c r="AB31" s="21">
        <f t="shared" si="0"/>
        <v>-3621504</v>
      </c>
    </row>
    <row r="32" spans="1:28" ht="18">
      <c r="A32" s="37" t="s">
        <v>21</v>
      </c>
      <c r="B32" s="138" t="s">
        <v>21</v>
      </c>
      <c r="C32" s="61" t="s">
        <v>150</v>
      </c>
      <c r="D32" s="62" t="s">
        <v>183</v>
      </c>
      <c r="E32" s="163">
        <f>Medidores!C97</f>
        <v>119552</v>
      </c>
      <c r="F32" s="109"/>
      <c r="G32" s="109">
        <f>Medidores!E97</f>
        <v>80000</v>
      </c>
      <c r="H32" s="109"/>
      <c r="I32" s="109">
        <f>Medidores!G97</f>
        <v>-9478784</v>
      </c>
      <c r="J32" s="41"/>
      <c r="K32" s="109">
        <f>Medidores!I97</f>
        <v>0</v>
      </c>
      <c r="L32" s="41"/>
      <c r="M32" s="109">
        <f>Medidores!K97</f>
        <v>0</v>
      </c>
      <c r="N32" s="41"/>
      <c r="O32" s="109">
        <f>Medidores!M97</f>
        <v>0</v>
      </c>
      <c r="P32" s="41"/>
      <c r="Q32" s="109">
        <f>Medidores!O97</f>
        <v>0</v>
      </c>
      <c r="R32" s="41"/>
      <c r="S32" s="109">
        <f>Medidores!Q97</f>
        <v>0</v>
      </c>
      <c r="T32" s="109"/>
      <c r="U32" s="109">
        <f>Medidores!S97</f>
        <v>0</v>
      </c>
      <c r="V32" s="109"/>
      <c r="W32" s="109">
        <f>Medidores!U97</f>
        <v>0</v>
      </c>
      <c r="X32" s="109"/>
      <c r="Y32" s="109">
        <f>Medidores!W97</f>
        <v>0</v>
      </c>
      <c r="Z32" s="109"/>
      <c r="AA32" s="109">
        <f>Medidores!Y97</f>
        <v>0</v>
      </c>
      <c r="AB32" s="21">
        <f t="shared" si="0"/>
        <v>-9279232</v>
      </c>
    </row>
    <row r="33" spans="1:28" ht="18">
      <c r="A33" s="37" t="s">
        <v>34</v>
      </c>
      <c r="B33" s="138" t="s">
        <v>34</v>
      </c>
      <c r="C33" s="61" t="s">
        <v>150</v>
      </c>
      <c r="D33" s="62" t="s">
        <v>184</v>
      </c>
      <c r="E33" s="163">
        <f>Medidores!C109</f>
        <v>36992</v>
      </c>
      <c r="F33" s="109"/>
      <c r="G33" s="109">
        <f>Medidores!E109</f>
        <v>80000</v>
      </c>
      <c r="H33" s="109"/>
      <c r="I33" s="109">
        <f>Medidores!G109</f>
        <v>-5828992</v>
      </c>
      <c r="J33" s="41"/>
      <c r="K33" s="109">
        <f>Medidores!I109</f>
        <v>0</v>
      </c>
      <c r="L33" s="41"/>
      <c r="M33" s="109">
        <f>Medidores!K109</f>
        <v>0</v>
      </c>
      <c r="N33" s="41"/>
      <c r="O33" s="109">
        <f>Medidores!M109</f>
        <v>0</v>
      </c>
      <c r="P33" s="41"/>
      <c r="Q33" s="109">
        <f>Medidores!O109</f>
        <v>0</v>
      </c>
      <c r="R33" s="41"/>
      <c r="S33" s="109">
        <f>Medidores!Q109</f>
        <v>0</v>
      </c>
      <c r="T33" s="109"/>
      <c r="U33" s="109">
        <f>Medidores!S109</f>
        <v>0</v>
      </c>
      <c r="V33" s="109"/>
      <c r="W33" s="109">
        <f>Medidores!U109</f>
        <v>0</v>
      </c>
      <c r="X33" s="109"/>
      <c r="Y33" s="109">
        <f>Medidores!W109</f>
        <v>0</v>
      </c>
      <c r="Z33" s="109"/>
      <c r="AA33" s="109">
        <f>Medidores!Y109</f>
        <v>0</v>
      </c>
      <c r="AB33" s="21">
        <f t="shared" si="0"/>
        <v>-5712000</v>
      </c>
    </row>
    <row r="34" spans="1:28" ht="18">
      <c r="A34" s="37" t="s">
        <v>35</v>
      </c>
      <c r="B34" s="138" t="s">
        <v>35</v>
      </c>
      <c r="C34" s="61" t="s">
        <v>150</v>
      </c>
      <c r="D34" s="62" t="s">
        <v>185</v>
      </c>
      <c r="E34" s="163">
        <f>Medidores!C110</f>
        <v>897024</v>
      </c>
      <c r="F34" s="109"/>
      <c r="G34" s="109">
        <f>Medidores!E110</f>
        <v>80000</v>
      </c>
      <c r="H34" s="109"/>
      <c r="I34" s="109">
        <f>Medidores!G110</f>
        <v>-36928640</v>
      </c>
      <c r="J34" s="41"/>
      <c r="K34" s="109">
        <f>Medidores!I110</f>
        <v>0</v>
      </c>
      <c r="L34" s="41"/>
      <c r="M34" s="109">
        <f>Medidores!K110</f>
        <v>0</v>
      </c>
      <c r="N34" s="41"/>
      <c r="O34" s="109">
        <f>Medidores!M110</f>
        <v>0</v>
      </c>
      <c r="P34" s="41"/>
      <c r="Q34" s="109">
        <f>Medidores!O110</f>
        <v>0</v>
      </c>
      <c r="R34" s="41"/>
      <c r="S34" s="109">
        <f>Medidores!Q110</f>
        <v>0</v>
      </c>
      <c r="T34" s="109"/>
      <c r="U34" s="109">
        <f>Medidores!S110</f>
        <v>0</v>
      </c>
      <c r="V34" s="109"/>
      <c r="W34" s="109">
        <f>Medidores!U110</f>
        <v>0</v>
      </c>
      <c r="X34" s="109"/>
      <c r="Y34" s="109">
        <f>Medidores!W110</f>
        <v>0</v>
      </c>
      <c r="Z34" s="109"/>
      <c r="AA34" s="109">
        <f>Medidores!Y110</f>
        <v>0</v>
      </c>
      <c r="AB34" s="21">
        <f t="shared" si="0"/>
        <v>-35951616</v>
      </c>
    </row>
    <row r="35" spans="1:28" ht="18">
      <c r="A35" s="17"/>
      <c r="B35" s="125"/>
      <c r="C35" s="18"/>
      <c r="D35" s="42" t="s">
        <v>51</v>
      </c>
      <c r="E35" s="43">
        <f>SUM(E31:E34)</f>
        <v>1306432</v>
      </c>
      <c r="F35" s="43"/>
      <c r="G35" s="43">
        <f>SUM(G31:G34)</f>
        <v>320000</v>
      </c>
      <c r="H35" s="43"/>
      <c r="I35" s="43">
        <f>SUM(I31:I34)</f>
        <v>-56190784</v>
      </c>
      <c r="J35" s="43"/>
      <c r="K35" s="43">
        <f>SUM(K31:K34)</f>
        <v>0</v>
      </c>
      <c r="L35" s="43"/>
      <c r="M35" s="43">
        <f>SUM(M31:M34)</f>
        <v>0</v>
      </c>
      <c r="N35" s="43"/>
      <c r="O35" s="43">
        <f>SUM(O31:O34)</f>
        <v>0</v>
      </c>
      <c r="P35" s="43"/>
      <c r="Q35" s="43">
        <f>SUM(Q31:Q34)</f>
        <v>0</v>
      </c>
      <c r="R35" s="43"/>
      <c r="S35" s="43">
        <f>SUM(S31:S34)</f>
        <v>0</v>
      </c>
      <c r="T35" s="43"/>
      <c r="U35" s="43">
        <f>SUM(U31:U34)</f>
        <v>0</v>
      </c>
      <c r="V35" s="43"/>
      <c r="W35" s="43">
        <f>SUM(W31:W34)</f>
        <v>0</v>
      </c>
      <c r="X35" s="43"/>
      <c r="Y35" s="43">
        <f>SUM(Y31:Y34)</f>
        <v>0</v>
      </c>
      <c r="Z35" s="43"/>
      <c r="AA35" s="43">
        <f>SUM(AA31:AA34)</f>
        <v>0</v>
      </c>
      <c r="AB35" s="21">
        <f t="shared" si="0"/>
        <v>-54564352</v>
      </c>
    </row>
    <row r="36" spans="1:28" ht="18">
      <c r="A36" s="27"/>
      <c r="B36" s="128"/>
      <c r="C36" s="61" t="s">
        <v>273</v>
      </c>
      <c r="D36" s="62" t="s">
        <v>175</v>
      </c>
      <c r="E36" s="101">
        <v>1510</v>
      </c>
      <c r="F36" s="101"/>
      <c r="G36" s="101">
        <v>1510</v>
      </c>
      <c r="H36" s="101"/>
      <c r="I36" s="101">
        <v>1510</v>
      </c>
      <c r="J36" s="25"/>
      <c r="K36" s="101">
        <v>1510</v>
      </c>
      <c r="L36" s="25"/>
      <c r="M36" s="101">
        <v>1510</v>
      </c>
      <c r="N36" s="25"/>
      <c r="O36" s="101">
        <v>1510</v>
      </c>
      <c r="P36" s="25"/>
      <c r="Q36" s="101">
        <v>1510</v>
      </c>
      <c r="R36" s="25"/>
      <c r="S36" s="101">
        <v>1510</v>
      </c>
      <c r="T36" s="101"/>
      <c r="U36" s="101">
        <v>1510</v>
      </c>
      <c r="V36" s="101"/>
      <c r="W36" s="101">
        <v>1510</v>
      </c>
      <c r="X36" s="101"/>
      <c r="Y36" s="101">
        <v>1510</v>
      </c>
      <c r="Z36" s="101"/>
      <c r="AA36" s="101">
        <v>1510</v>
      </c>
      <c r="AB36" s="21">
        <f t="shared" si="0"/>
        <v>18120</v>
      </c>
    </row>
    <row r="37" spans="1:28" ht="18">
      <c r="A37" s="27"/>
      <c r="B37" s="128"/>
      <c r="C37" s="61" t="s">
        <v>238</v>
      </c>
      <c r="D37" s="62" t="s">
        <v>162</v>
      </c>
      <c r="E37" s="101">
        <v>60</v>
      </c>
      <c r="F37" s="101"/>
      <c r="G37" s="101">
        <v>60</v>
      </c>
      <c r="H37" s="101"/>
      <c r="I37" s="101">
        <v>60</v>
      </c>
      <c r="J37" s="25"/>
      <c r="K37" s="101">
        <v>60</v>
      </c>
      <c r="L37" s="25"/>
      <c r="M37" s="101">
        <v>60</v>
      </c>
      <c r="N37" s="25"/>
      <c r="O37" s="101">
        <v>60</v>
      </c>
      <c r="P37" s="25"/>
      <c r="Q37" s="101">
        <v>60</v>
      </c>
      <c r="R37" s="25"/>
      <c r="S37" s="101">
        <v>60</v>
      </c>
      <c r="T37" s="101"/>
      <c r="U37" s="101">
        <v>60</v>
      </c>
      <c r="V37" s="101"/>
      <c r="W37" s="101">
        <v>60</v>
      </c>
      <c r="X37" s="101"/>
      <c r="Y37" s="101">
        <v>60</v>
      </c>
      <c r="Z37" s="101"/>
      <c r="AA37" s="101">
        <v>60</v>
      </c>
      <c r="AB37" s="21">
        <f t="shared" si="0"/>
        <v>720</v>
      </c>
    </row>
    <row r="38" spans="1:28" ht="18">
      <c r="A38" s="27"/>
      <c r="B38" s="128"/>
      <c r="C38" s="61" t="s">
        <v>210</v>
      </c>
      <c r="D38" s="62" t="s">
        <v>212</v>
      </c>
      <c r="E38" s="101">
        <v>200</v>
      </c>
      <c r="F38" s="101"/>
      <c r="G38" s="101">
        <v>200</v>
      </c>
      <c r="H38" s="101"/>
      <c r="I38" s="101">
        <v>200</v>
      </c>
      <c r="J38" s="25"/>
      <c r="K38" s="101">
        <v>200</v>
      </c>
      <c r="L38" s="25"/>
      <c r="M38" s="101">
        <v>200</v>
      </c>
      <c r="N38" s="25"/>
      <c r="O38" s="101">
        <v>200</v>
      </c>
      <c r="P38" s="25"/>
      <c r="Q38" s="101">
        <v>200</v>
      </c>
      <c r="R38" s="25"/>
      <c r="S38" s="101">
        <v>200</v>
      </c>
      <c r="T38" s="101"/>
      <c r="U38" s="101">
        <v>200</v>
      </c>
      <c r="V38" s="101"/>
      <c r="W38" s="101">
        <v>200</v>
      </c>
      <c r="X38" s="101"/>
      <c r="Y38" s="101">
        <v>200</v>
      </c>
      <c r="Z38" s="101"/>
      <c r="AA38" s="101">
        <v>200</v>
      </c>
      <c r="AB38" s="21">
        <f t="shared" si="0"/>
        <v>2400</v>
      </c>
    </row>
    <row r="39" spans="1:28" ht="18">
      <c r="A39" s="27"/>
      <c r="B39" s="128"/>
      <c r="C39" s="61" t="s">
        <v>211</v>
      </c>
      <c r="D39" s="62" t="s">
        <v>130</v>
      </c>
      <c r="E39" s="101">
        <v>140</v>
      </c>
      <c r="F39" s="101"/>
      <c r="G39" s="101">
        <v>140</v>
      </c>
      <c r="H39" s="101"/>
      <c r="I39" s="101">
        <v>140</v>
      </c>
      <c r="J39" s="25"/>
      <c r="K39" s="101">
        <v>140</v>
      </c>
      <c r="L39" s="25"/>
      <c r="M39" s="101">
        <v>140</v>
      </c>
      <c r="N39" s="25"/>
      <c r="O39" s="101">
        <v>140</v>
      </c>
      <c r="P39" s="25"/>
      <c r="Q39" s="101">
        <v>140</v>
      </c>
      <c r="R39" s="25"/>
      <c r="S39" s="101">
        <v>140</v>
      </c>
      <c r="T39" s="101"/>
      <c r="U39" s="101">
        <v>140</v>
      </c>
      <c r="V39" s="101"/>
      <c r="W39" s="101">
        <v>140</v>
      </c>
      <c r="X39" s="101"/>
      <c r="Y39" s="101">
        <v>140</v>
      </c>
      <c r="Z39" s="101"/>
      <c r="AA39" s="101">
        <v>140</v>
      </c>
      <c r="AB39" s="21">
        <f t="shared" si="0"/>
        <v>1680</v>
      </c>
    </row>
    <row r="40" spans="1:28" ht="18">
      <c r="A40" s="26" t="s">
        <v>12</v>
      </c>
      <c r="B40" s="136" t="s">
        <v>12</v>
      </c>
      <c r="C40" s="61" t="s">
        <v>259</v>
      </c>
      <c r="D40" s="62" t="s">
        <v>283</v>
      </c>
      <c r="E40" s="101">
        <v>1070</v>
      </c>
      <c r="F40" s="101"/>
      <c r="G40" s="101">
        <v>1001</v>
      </c>
      <c r="H40" s="101"/>
      <c r="I40" s="101">
        <v>1070</v>
      </c>
      <c r="J40" s="25"/>
      <c r="K40" s="101">
        <v>1036</v>
      </c>
      <c r="L40" s="25"/>
      <c r="M40" s="101">
        <v>1070</v>
      </c>
      <c r="N40" s="25"/>
      <c r="O40" s="101">
        <v>1036</v>
      </c>
      <c r="P40" s="25"/>
      <c r="Q40" s="101">
        <v>1070</v>
      </c>
      <c r="R40" s="25"/>
      <c r="S40" s="101">
        <v>1070</v>
      </c>
      <c r="T40" s="101"/>
      <c r="U40" s="101">
        <v>1036</v>
      </c>
      <c r="V40" s="101"/>
      <c r="W40" s="101">
        <v>1070</v>
      </c>
      <c r="X40" s="101"/>
      <c r="Y40" s="101">
        <v>1036</v>
      </c>
      <c r="Z40" s="101"/>
      <c r="AA40" s="101">
        <v>1070</v>
      </c>
      <c r="AB40" s="21">
        <f t="shared" si="0"/>
        <v>12635</v>
      </c>
    </row>
    <row r="41" spans="1:28" ht="18">
      <c r="A41" s="26" t="s">
        <v>16</v>
      </c>
      <c r="B41" s="136" t="s">
        <v>16</v>
      </c>
      <c r="C41" s="115" t="s">
        <v>222</v>
      </c>
      <c r="D41" s="116" t="s">
        <v>87</v>
      </c>
      <c r="E41" s="25">
        <f>(E67-(SUM(E36:E40)+SUM(E44:E65)))*0.13</f>
        <v>98263.095048223156</v>
      </c>
      <c r="F41" s="25"/>
      <c r="G41" s="25">
        <f>(G67-(SUM(G36:G40)+SUM(G44:G65)))*0.13</f>
        <v>23573.052879999999</v>
      </c>
      <c r="H41" s="25"/>
      <c r="I41" s="25">
        <f>(I67-(SUM(I36:I40)+SUM(I44:I65)))*0.13</f>
        <v>6650472.6104960004</v>
      </c>
      <c r="J41" s="25"/>
      <c r="K41" s="25">
        <f>(K67-(SUM(K36:K40)+SUM(K44:K65)))*0.13</f>
        <v>-16427.97</v>
      </c>
      <c r="L41" s="25"/>
      <c r="M41" s="25">
        <f>(M67-(SUM(M36:M40)+SUM(M44:M65)))*0.13</f>
        <v>-16833.830000000002</v>
      </c>
      <c r="N41" s="25"/>
      <c r="O41" s="25">
        <f>(O67-(SUM(O36:O40)+SUM(O44:O65)))*0.13</f>
        <v>-16427.97</v>
      </c>
      <c r="P41" s="25"/>
      <c r="Q41" s="25">
        <f>(Q67-(SUM(Q36:Q40)+SUM(Q44:Q65)))*0.13</f>
        <v>-16833.830000000002</v>
      </c>
      <c r="R41" s="25"/>
      <c r="S41" s="25">
        <f>(S67-(SUM(S36:S40)+SUM(S44:S65)))*0.13</f>
        <v>-16833.830000000002</v>
      </c>
      <c r="T41" s="25"/>
      <c r="U41" s="25">
        <f>(U67-(SUM(U36:U40)+SUM(U44:U65)))*0.13</f>
        <v>-16427.97</v>
      </c>
      <c r="V41" s="25"/>
      <c r="W41" s="25">
        <f>(W67-(SUM(W36:W40)+SUM(W44:W65)))*0.13</f>
        <v>-16833.830000000002</v>
      </c>
      <c r="X41" s="25"/>
      <c r="Y41" s="25">
        <f>(Y67-(SUM(Y36:Y40)+SUM(Y44:Y65)))*0.13</f>
        <v>-16427.97</v>
      </c>
      <c r="Z41" s="25"/>
      <c r="AA41" s="25">
        <f>(AA67-(SUM(AA36:AA40)+SUM(AA44:AA65)))*0.13</f>
        <v>-16833.830000000002</v>
      </c>
      <c r="AB41" s="21">
        <f t="shared" si="0"/>
        <v>6622427.7284242241</v>
      </c>
    </row>
    <row r="42" spans="1:28" ht="18">
      <c r="A42" s="26" t="s">
        <v>19</v>
      </c>
      <c r="B42" s="136" t="s">
        <v>19</v>
      </c>
      <c r="C42" s="61" t="s">
        <v>265</v>
      </c>
      <c r="D42" s="62" t="s">
        <v>73</v>
      </c>
      <c r="E42" s="107">
        <f>(E67-(SUM(E36:E40)+SUM(E44:E65)))*0.095</f>
        <v>71807.646381393846</v>
      </c>
      <c r="F42" s="107"/>
      <c r="G42" s="107">
        <f>(G67-(SUM(G36:G40)+SUM(G44:G65)))*0.095</f>
        <v>17226.461719999999</v>
      </c>
      <c r="H42" s="107"/>
      <c r="I42" s="107">
        <f>(I67-(SUM(I36:I40)+SUM(I44:I65)))*0.095</f>
        <v>4859960.7538240002</v>
      </c>
      <c r="J42" s="25"/>
      <c r="K42" s="107">
        <f>(K67-(SUM(K36:K40)+SUM(K44:K65)))*0.095</f>
        <v>-12005.055</v>
      </c>
      <c r="L42" s="25"/>
      <c r="M42" s="107">
        <f>(M67-(SUM(M36:M40)+SUM(M44:M65)))*0.095</f>
        <v>-12301.645</v>
      </c>
      <c r="N42" s="25"/>
      <c r="O42" s="107">
        <f>(O67-(SUM(O36:O40)+SUM(O44:O65)))*0.095</f>
        <v>-12005.055</v>
      </c>
      <c r="P42" s="25"/>
      <c r="Q42" s="107">
        <f>(Q67-(SUM(Q36:Q40)+SUM(Q44:Q65)))*0.095</f>
        <v>-12301.645</v>
      </c>
      <c r="R42" s="25"/>
      <c r="S42" s="107">
        <f>(S67-(SUM(S36:S40)+SUM(S44:S65)))*0.095</f>
        <v>-12301.645</v>
      </c>
      <c r="T42" s="107"/>
      <c r="U42" s="107">
        <f>(U67-(SUM(U36:U40)+SUM(U44:U65)))*0.095</f>
        <v>-12005.055</v>
      </c>
      <c r="V42" s="107"/>
      <c r="W42" s="107">
        <f>(W67-(SUM(W36:W40)+SUM(W44:W65)))*0.095</f>
        <v>-12301.645</v>
      </c>
      <c r="X42" s="107"/>
      <c r="Y42" s="107">
        <f>(Y67-(SUM(Y36:Y40)+SUM(Y44:Y65)))*0.095</f>
        <v>-12005.055</v>
      </c>
      <c r="Z42" s="107"/>
      <c r="AA42" s="107">
        <f>(AA67-(SUM(AA36:AA40)+SUM(AA44:AA65)))*0.095</f>
        <v>-12301.645</v>
      </c>
      <c r="AB42" s="21">
        <f t="shared" si="0"/>
        <v>4839466.4169253977</v>
      </c>
    </row>
    <row r="43" spans="1:28" ht="18">
      <c r="A43" s="26" t="s">
        <v>147</v>
      </c>
      <c r="B43" s="136" t="s">
        <v>147</v>
      </c>
      <c r="C43" s="61" t="s">
        <v>261</v>
      </c>
      <c r="D43" s="62" t="s">
        <v>75</v>
      </c>
      <c r="E43" s="107">
        <f>(E67-(SUM(E36:E40)+SUM(E44:E65)))*0.7</f>
        <v>529108.97333658626</v>
      </c>
      <c r="F43" s="107"/>
      <c r="G43" s="107">
        <f>(G67-(SUM(G36:G40)+SUM(G44:G65)))*0.7</f>
        <v>126931.82319999997</v>
      </c>
      <c r="H43" s="107"/>
      <c r="I43" s="107">
        <f>(I67-(SUM(I36:I40)+SUM(I44:I65)))*0.7</f>
        <v>35810237.133439995</v>
      </c>
      <c r="J43" s="25"/>
      <c r="K43" s="107">
        <f>(K67-(SUM(K36:K40)+SUM(K44:K65)))*0.7</f>
        <v>-88458.299999999988</v>
      </c>
      <c r="L43" s="25"/>
      <c r="M43" s="107">
        <f>(M67-(SUM(M36:M40)+SUM(M44:M65)))*0.7</f>
        <v>-90643.7</v>
      </c>
      <c r="N43" s="25"/>
      <c r="O43" s="107">
        <f>(O67-(SUM(O36:O40)+SUM(O44:O65)))*0.7</f>
        <v>-88458.299999999988</v>
      </c>
      <c r="P43" s="25"/>
      <c r="Q43" s="107">
        <f>(Q67-(SUM(Q36:Q40)+SUM(Q44:Q65)))*0.7</f>
        <v>-90643.7</v>
      </c>
      <c r="R43" s="25"/>
      <c r="S43" s="107">
        <f>(S67-(SUM(S36:S40)+SUM(S44:S65)))*0.7</f>
        <v>-90643.7</v>
      </c>
      <c r="T43" s="107"/>
      <c r="U43" s="107">
        <f>(U67-(SUM(U36:U40)+SUM(U44:U65)))*0.7</f>
        <v>-88458.299999999988</v>
      </c>
      <c r="V43" s="107"/>
      <c r="W43" s="107">
        <f>(W67-(SUM(W36:W40)+SUM(W44:W65)))*0.7</f>
        <v>-90643.7</v>
      </c>
      <c r="X43" s="107"/>
      <c r="Y43" s="107">
        <f>(Y67-(SUM(Y36:Y40)+SUM(Y44:Y65)))*0.7</f>
        <v>-88458.299999999988</v>
      </c>
      <c r="Z43" s="107"/>
      <c r="AA43" s="107">
        <f>(AA67-(SUM(AA36:AA40)+SUM(AA44:AA65)))*0.7</f>
        <v>-90643.7</v>
      </c>
      <c r="AB43" s="21">
        <f t="shared" si="0"/>
        <v>35659226.22997658</v>
      </c>
    </row>
    <row r="44" spans="1:28" ht="18">
      <c r="A44" s="26"/>
      <c r="B44" s="127"/>
      <c r="C44" s="113" t="s">
        <v>218</v>
      </c>
      <c r="D44" s="114" t="s">
        <v>60</v>
      </c>
      <c r="E44" s="101">
        <v>1500</v>
      </c>
      <c r="F44" s="101"/>
      <c r="G44" s="101">
        <v>1500</v>
      </c>
      <c r="H44" s="101"/>
      <c r="I44" s="101">
        <v>1500</v>
      </c>
      <c r="J44" s="25"/>
      <c r="K44" s="101">
        <v>1500</v>
      </c>
      <c r="L44" s="25"/>
      <c r="M44" s="101">
        <v>1500</v>
      </c>
      <c r="N44" s="25"/>
      <c r="O44" s="101">
        <v>1500</v>
      </c>
      <c r="P44" s="25"/>
      <c r="Q44" s="101">
        <v>1500</v>
      </c>
      <c r="R44" s="25"/>
      <c r="S44" s="101">
        <v>1500</v>
      </c>
      <c r="T44" s="101"/>
      <c r="U44" s="101">
        <v>1500</v>
      </c>
      <c r="V44" s="101"/>
      <c r="W44" s="101">
        <v>1500</v>
      </c>
      <c r="X44" s="101"/>
      <c r="Y44" s="101">
        <v>1500</v>
      </c>
      <c r="Z44" s="101"/>
      <c r="AA44" s="101">
        <v>1500</v>
      </c>
      <c r="AB44" s="21">
        <f t="shared" si="0"/>
        <v>18000</v>
      </c>
    </row>
    <row r="45" spans="1:28" ht="18">
      <c r="A45" s="26"/>
      <c r="B45" s="127"/>
      <c r="C45" s="113" t="s">
        <v>214</v>
      </c>
      <c r="D45" s="114" t="s">
        <v>155</v>
      </c>
      <c r="E45" s="101">
        <v>1500</v>
      </c>
      <c r="F45" s="101"/>
      <c r="G45" s="101">
        <v>1500</v>
      </c>
      <c r="H45" s="101"/>
      <c r="I45" s="101">
        <v>1500</v>
      </c>
      <c r="J45" s="25"/>
      <c r="K45" s="101">
        <v>1500</v>
      </c>
      <c r="L45" s="25"/>
      <c r="M45" s="101">
        <v>1500</v>
      </c>
      <c r="N45" s="25"/>
      <c r="O45" s="101">
        <v>1500</v>
      </c>
      <c r="P45" s="25"/>
      <c r="Q45" s="101">
        <v>1500</v>
      </c>
      <c r="R45" s="25"/>
      <c r="S45" s="101">
        <v>1500</v>
      </c>
      <c r="T45" s="101"/>
      <c r="U45" s="101">
        <v>1500</v>
      </c>
      <c r="V45" s="101"/>
      <c r="W45" s="101">
        <v>1500</v>
      </c>
      <c r="X45" s="101"/>
      <c r="Y45" s="101">
        <v>1500</v>
      </c>
      <c r="Z45" s="101"/>
      <c r="AA45" s="101">
        <v>1500</v>
      </c>
      <c r="AB45" s="21">
        <f t="shared" si="0"/>
        <v>18000</v>
      </c>
    </row>
    <row r="46" spans="1:28" ht="18">
      <c r="A46" s="27"/>
      <c r="B46" s="128"/>
      <c r="C46" s="61" t="s">
        <v>258</v>
      </c>
      <c r="D46" s="62" t="s">
        <v>142</v>
      </c>
      <c r="E46" s="101">
        <v>1000</v>
      </c>
      <c r="F46" s="101"/>
      <c r="G46" s="101">
        <v>1000</v>
      </c>
      <c r="H46" s="101"/>
      <c r="I46" s="101">
        <v>1000</v>
      </c>
      <c r="J46" s="25"/>
      <c r="K46" s="101">
        <v>1000</v>
      </c>
      <c r="L46" s="25"/>
      <c r="M46" s="101">
        <v>1000</v>
      </c>
      <c r="N46" s="25"/>
      <c r="O46" s="101">
        <v>1000</v>
      </c>
      <c r="P46" s="25"/>
      <c r="Q46" s="101">
        <v>1000</v>
      </c>
      <c r="R46" s="25"/>
      <c r="S46" s="101">
        <v>1000</v>
      </c>
      <c r="T46" s="101"/>
      <c r="U46" s="101">
        <v>1000</v>
      </c>
      <c r="V46" s="101"/>
      <c r="W46" s="101">
        <v>1000</v>
      </c>
      <c r="X46" s="101"/>
      <c r="Y46" s="101">
        <v>1000</v>
      </c>
      <c r="Z46" s="101"/>
      <c r="AA46" s="101">
        <v>1000</v>
      </c>
      <c r="AB46" s="21">
        <f t="shared" si="0"/>
        <v>12000</v>
      </c>
    </row>
    <row r="47" spans="1:28" ht="18">
      <c r="A47" s="27"/>
      <c r="B47" s="128"/>
      <c r="C47" s="61" t="s">
        <v>239</v>
      </c>
      <c r="D47" s="62" t="s">
        <v>77</v>
      </c>
      <c r="E47" s="101">
        <v>200</v>
      </c>
      <c r="F47" s="101"/>
      <c r="G47" s="101">
        <v>200</v>
      </c>
      <c r="H47" s="101"/>
      <c r="I47" s="101">
        <v>200</v>
      </c>
      <c r="J47" s="25"/>
      <c r="K47" s="101">
        <v>200</v>
      </c>
      <c r="L47" s="25"/>
      <c r="M47" s="101">
        <v>200</v>
      </c>
      <c r="N47" s="25"/>
      <c r="O47" s="101">
        <v>200</v>
      </c>
      <c r="P47" s="25"/>
      <c r="Q47" s="101">
        <v>200</v>
      </c>
      <c r="R47" s="25"/>
      <c r="S47" s="101">
        <v>200</v>
      </c>
      <c r="T47" s="101"/>
      <c r="U47" s="101">
        <v>200</v>
      </c>
      <c r="V47" s="101"/>
      <c r="W47" s="101">
        <v>200</v>
      </c>
      <c r="X47" s="101"/>
      <c r="Y47" s="101">
        <v>200</v>
      </c>
      <c r="Z47" s="101"/>
      <c r="AA47" s="101">
        <v>200</v>
      </c>
      <c r="AB47" s="21">
        <f t="shared" si="0"/>
        <v>2400</v>
      </c>
    </row>
    <row r="48" spans="1:28" ht="18">
      <c r="A48" s="27"/>
      <c r="B48" s="128"/>
      <c r="C48" s="61" t="s">
        <v>240</v>
      </c>
      <c r="D48" s="62" t="s">
        <v>163</v>
      </c>
      <c r="E48" s="101">
        <v>40</v>
      </c>
      <c r="F48" s="101"/>
      <c r="G48" s="101">
        <v>40</v>
      </c>
      <c r="H48" s="101"/>
      <c r="I48" s="101">
        <v>40</v>
      </c>
      <c r="J48" s="25"/>
      <c r="K48" s="101">
        <v>40</v>
      </c>
      <c r="L48" s="25"/>
      <c r="M48" s="101">
        <v>40</v>
      </c>
      <c r="N48" s="25"/>
      <c r="O48" s="101">
        <v>40</v>
      </c>
      <c r="P48" s="25"/>
      <c r="Q48" s="101">
        <v>40</v>
      </c>
      <c r="R48" s="25"/>
      <c r="S48" s="101">
        <v>40</v>
      </c>
      <c r="T48" s="101"/>
      <c r="U48" s="101">
        <v>40</v>
      </c>
      <c r="V48" s="101"/>
      <c r="W48" s="101">
        <v>40</v>
      </c>
      <c r="X48" s="101"/>
      <c r="Y48" s="101">
        <v>40</v>
      </c>
      <c r="Z48" s="101"/>
      <c r="AA48" s="101">
        <v>40</v>
      </c>
      <c r="AB48" s="21">
        <f t="shared" si="0"/>
        <v>480</v>
      </c>
    </row>
    <row r="49" spans="1:28" ht="18">
      <c r="A49" s="27"/>
      <c r="B49" s="128"/>
      <c r="C49" s="61" t="s">
        <v>242</v>
      </c>
      <c r="D49" s="62" t="s">
        <v>164</v>
      </c>
      <c r="E49" s="101">
        <v>5220</v>
      </c>
      <c r="F49" s="101"/>
      <c r="G49" s="101">
        <v>5220</v>
      </c>
      <c r="H49" s="101"/>
      <c r="I49" s="101">
        <v>5220</v>
      </c>
      <c r="J49" s="25"/>
      <c r="K49" s="101">
        <v>5220</v>
      </c>
      <c r="L49" s="25"/>
      <c r="M49" s="101">
        <v>5220</v>
      </c>
      <c r="N49" s="25"/>
      <c r="O49" s="101">
        <v>5220</v>
      </c>
      <c r="P49" s="25"/>
      <c r="Q49" s="101">
        <v>5220</v>
      </c>
      <c r="R49" s="25"/>
      <c r="S49" s="101">
        <v>5220</v>
      </c>
      <c r="T49" s="101"/>
      <c r="U49" s="101">
        <v>5220</v>
      </c>
      <c r="V49" s="101"/>
      <c r="W49" s="101">
        <v>5220</v>
      </c>
      <c r="X49" s="101"/>
      <c r="Y49" s="101">
        <v>5220</v>
      </c>
      <c r="Z49" s="101"/>
      <c r="AA49" s="101">
        <v>5220</v>
      </c>
      <c r="AB49" s="21">
        <f t="shared" si="0"/>
        <v>62640</v>
      </c>
    </row>
    <row r="50" spans="1:28" ht="18">
      <c r="A50" s="27"/>
      <c r="B50" s="128"/>
      <c r="C50" s="61" t="s">
        <v>243</v>
      </c>
      <c r="D50" s="62" t="s">
        <v>276</v>
      </c>
      <c r="E50" s="101">
        <v>3900</v>
      </c>
      <c r="F50" s="101"/>
      <c r="G50" s="101">
        <v>3900</v>
      </c>
      <c r="H50" s="101"/>
      <c r="I50" s="101">
        <v>3900</v>
      </c>
      <c r="J50" s="25"/>
      <c r="K50" s="101">
        <v>3900</v>
      </c>
      <c r="L50" s="25"/>
      <c r="M50" s="101">
        <v>3900</v>
      </c>
      <c r="N50" s="25"/>
      <c r="O50" s="101">
        <v>3900</v>
      </c>
      <c r="P50" s="25"/>
      <c r="Q50" s="101">
        <v>3900</v>
      </c>
      <c r="R50" s="25"/>
      <c r="S50" s="101">
        <v>3900</v>
      </c>
      <c r="T50" s="101"/>
      <c r="U50" s="101">
        <v>3900</v>
      </c>
      <c r="V50" s="101"/>
      <c r="W50" s="101">
        <v>3900</v>
      </c>
      <c r="X50" s="101"/>
      <c r="Y50" s="101">
        <v>3900</v>
      </c>
      <c r="Z50" s="101"/>
      <c r="AA50" s="101">
        <v>3900</v>
      </c>
      <c r="AB50" s="21">
        <f t="shared" si="0"/>
        <v>46800</v>
      </c>
    </row>
    <row r="51" spans="1:28" ht="18">
      <c r="A51" s="27"/>
      <c r="B51" s="128"/>
      <c r="C51" s="61" t="s">
        <v>244</v>
      </c>
      <c r="D51" s="62" t="s">
        <v>277</v>
      </c>
      <c r="E51" s="101">
        <v>3900</v>
      </c>
      <c r="F51" s="101"/>
      <c r="G51" s="101">
        <v>3900</v>
      </c>
      <c r="H51" s="101"/>
      <c r="I51" s="101">
        <v>3900</v>
      </c>
      <c r="J51" s="25"/>
      <c r="K51" s="101">
        <v>3900</v>
      </c>
      <c r="L51" s="25"/>
      <c r="M51" s="101">
        <v>3900</v>
      </c>
      <c r="N51" s="25"/>
      <c r="O51" s="101">
        <v>3900</v>
      </c>
      <c r="P51" s="25"/>
      <c r="Q51" s="101">
        <v>3900</v>
      </c>
      <c r="R51" s="25"/>
      <c r="S51" s="101">
        <v>3900</v>
      </c>
      <c r="T51" s="101"/>
      <c r="U51" s="101">
        <v>3900</v>
      </c>
      <c r="V51" s="101"/>
      <c r="W51" s="101">
        <v>3900</v>
      </c>
      <c r="X51" s="101"/>
      <c r="Y51" s="101">
        <v>3900</v>
      </c>
      <c r="Z51" s="101"/>
      <c r="AA51" s="101">
        <v>3900</v>
      </c>
      <c r="AB51" s="21">
        <f t="shared" si="0"/>
        <v>46800</v>
      </c>
    </row>
    <row r="52" spans="1:28" ht="18">
      <c r="A52" s="26" t="s">
        <v>32</v>
      </c>
      <c r="B52" s="127" t="s">
        <v>32</v>
      </c>
      <c r="C52" s="61" t="s">
        <v>245</v>
      </c>
      <c r="D52" s="62" t="s">
        <v>278</v>
      </c>
      <c r="E52" s="101">
        <v>3900</v>
      </c>
      <c r="F52" s="101"/>
      <c r="G52" s="101">
        <v>3900</v>
      </c>
      <c r="H52" s="101"/>
      <c r="I52" s="101">
        <v>3900</v>
      </c>
      <c r="J52" s="25"/>
      <c r="K52" s="101">
        <v>3900</v>
      </c>
      <c r="L52" s="25"/>
      <c r="M52" s="101">
        <v>3900</v>
      </c>
      <c r="N52" s="25"/>
      <c r="O52" s="101">
        <v>3900</v>
      </c>
      <c r="P52" s="25"/>
      <c r="Q52" s="101">
        <v>3900</v>
      </c>
      <c r="R52" s="25"/>
      <c r="S52" s="101">
        <v>3900</v>
      </c>
      <c r="T52" s="101"/>
      <c r="U52" s="101">
        <v>3900</v>
      </c>
      <c r="V52" s="101"/>
      <c r="W52" s="101">
        <v>3900</v>
      </c>
      <c r="X52" s="101"/>
      <c r="Y52" s="101">
        <v>3900</v>
      </c>
      <c r="Z52" s="101"/>
      <c r="AA52" s="101">
        <v>3900</v>
      </c>
      <c r="AB52" s="21">
        <f t="shared" si="0"/>
        <v>46800</v>
      </c>
    </row>
    <row r="53" spans="1:28" ht="18">
      <c r="A53" s="27"/>
      <c r="B53" s="128"/>
      <c r="C53" s="61" t="s">
        <v>246</v>
      </c>
      <c r="D53" s="62" t="s">
        <v>279</v>
      </c>
      <c r="E53" s="101">
        <v>3900</v>
      </c>
      <c r="F53" s="101"/>
      <c r="G53" s="101">
        <v>3900</v>
      </c>
      <c r="H53" s="101"/>
      <c r="I53" s="101">
        <v>3900</v>
      </c>
      <c r="J53" s="25"/>
      <c r="K53" s="101">
        <v>3900</v>
      </c>
      <c r="L53" s="25"/>
      <c r="M53" s="101">
        <v>3900</v>
      </c>
      <c r="N53" s="25"/>
      <c r="O53" s="101">
        <v>3900</v>
      </c>
      <c r="P53" s="25"/>
      <c r="Q53" s="101">
        <v>3900</v>
      </c>
      <c r="R53" s="25"/>
      <c r="S53" s="101">
        <v>3900</v>
      </c>
      <c r="T53" s="101"/>
      <c r="U53" s="101">
        <v>3900</v>
      </c>
      <c r="V53" s="101"/>
      <c r="W53" s="101">
        <v>3900</v>
      </c>
      <c r="X53" s="101"/>
      <c r="Y53" s="101">
        <v>3900</v>
      </c>
      <c r="Z53" s="101"/>
      <c r="AA53" s="101">
        <v>3900</v>
      </c>
      <c r="AB53" s="21">
        <f t="shared" si="0"/>
        <v>46800</v>
      </c>
    </row>
    <row r="54" spans="1:28" ht="18">
      <c r="A54" s="27"/>
      <c r="B54" s="128"/>
      <c r="C54" s="61" t="s">
        <v>247</v>
      </c>
      <c r="D54" s="62" t="s">
        <v>280</v>
      </c>
      <c r="E54" s="101">
        <v>3900</v>
      </c>
      <c r="F54" s="101"/>
      <c r="G54" s="101">
        <v>3900</v>
      </c>
      <c r="H54" s="101"/>
      <c r="I54" s="101">
        <v>3900</v>
      </c>
      <c r="J54" s="25"/>
      <c r="K54" s="101">
        <v>3900</v>
      </c>
      <c r="L54" s="25"/>
      <c r="M54" s="101">
        <v>3900</v>
      </c>
      <c r="N54" s="25"/>
      <c r="O54" s="101">
        <v>3900</v>
      </c>
      <c r="P54" s="25"/>
      <c r="Q54" s="101">
        <v>3900</v>
      </c>
      <c r="R54" s="25"/>
      <c r="S54" s="101">
        <v>3900</v>
      </c>
      <c r="T54" s="101"/>
      <c r="U54" s="101">
        <v>3900</v>
      </c>
      <c r="V54" s="101"/>
      <c r="W54" s="101">
        <v>3900</v>
      </c>
      <c r="X54" s="101"/>
      <c r="Y54" s="101">
        <v>3900</v>
      </c>
      <c r="Z54" s="101"/>
      <c r="AA54" s="101">
        <v>3900</v>
      </c>
      <c r="AB54" s="21">
        <f t="shared" si="0"/>
        <v>46800</v>
      </c>
    </row>
    <row r="55" spans="1:28" ht="18">
      <c r="A55" s="27"/>
      <c r="B55" s="128"/>
      <c r="C55" s="61" t="s">
        <v>249</v>
      </c>
      <c r="D55" s="62" t="s">
        <v>121</v>
      </c>
      <c r="E55" s="101">
        <v>50</v>
      </c>
      <c r="F55" s="101"/>
      <c r="G55" s="101">
        <v>50</v>
      </c>
      <c r="H55" s="101"/>
      <c r="I55" s="101">
        <v>50</v>
      </c>
      <c r="J55" s="25"/>
      <c r="K55" s="101">
        <v>50</v>
      </c>
      <c r="L55" s="25"/>
      <c r="M55" s="101">
        <v>50</v>
      </c>
      <c r="N55" s="25"/>
      <c r="O55" s="101">
        <v>50</v>
      </c>
      <c r="P55" s="25"/>
      <c r="Q55" s="101">
        <v>50</v>
      </c>
      <c r="R55" s="25"/>
      <c r="S55" s="101">
        <v>50</v>
      </c>
      <c r="T55" s="101"/>
      <c r="U55" s="101">
        <v>50</v>
      </c>
      <c r="V55" s="101"/>
      <c r="W55" s="101">
        <v>50</v>
      </c>
      <c r="X55" s="101"/>
      <c r="Y55" s="101">
        <v>50</v>
      </c>
      <c r="Z55" s="101"/>
      <c r="AA55" s="101">
        <v>50</v>
      </c>
      <c r="AB55" s="21">
        <f t="shared" si="0"/>
        <v>600</v>
      </c>
    </row>
    <row r="56" spans="1:28" ht="18">
      <c r="A56" s="27"/>
      <c r="B56" s="128"/>
      <c r="C56" s="61" t="s">
        <v>250</v>
      </c>
      <c r="D56" s="62" t="s">
        <v>122</v>
      </c>
      <c r="E56" s="101">
        <v>700</v>
      </c>
      <c r="F56" s="101"/>
      <c r="G56" s="101">
        <v>700</v>
      </c>
      <c r="H56" s="101"/>
      <c r="I56" s="101">
        <v>700</v>
      </c>
      <c r="J56" s="25"/>
      <c r="K56" s="101">
        <v>700</v>
      </c>
      <c r="L56" s="25"/>
      <c r="M56" s="101">
        <v>700</v>
      </c>
      <c r="N56" s="25"/>
      <c r="O56" s="101">
        <v>700</v>
      </c>
      <c r="P56" s="25"/>
      <c r="Q56" s="101">
        <v>700</v>
      </c>
      <c r="R56" s="25"/>
      <c r="S56" s="101">
        <v>700</v>
      </c>
      <c r="T56" s="101"/>
      <c r="U56" s="101">
        <v>700</v>
      </c>
      <c r="V56" s="101"/>
      <c r="W56" s="101">
        <v>700</v>
      </c>
      <c r="X56" s="101"/>
      <c r="Y56" s="101">
        <v>700</v>
      </c>
      <c r="Z56" s="101"/>
      <c r="AA56" s="101">
        <v>700</v>
      </c>
      <c r="AB56" s="21">
        <f t="shared" si="0"/>
        <v>8400</v>
      </c>
    </row>
    <row r="57" spans="1:28" ht="18">
      <c r="A57" s="26" t="s">
        <v>12</v>
      </c>
      <c r="B57" s="136" t="s">
        <v>12</v>
      </c>
      <c r="C57" s="61" t="s">
        <v>251</v>
      </c>
      <c r="D57" s="62" t="s">
        <v>78</v>
      </c>
      <c r="E57" s="101">
        <v>2160</v>
      </c>
      <c r="F57" s="101"/>
      <c r="G57" s="101">
        <v>2160</v>
      </c>
      <c r="H57" s="101"/>
      <c r="I57" s="101">
        <v>2160</v>
      </c>
      <c r="J57" s="25"/>
      <c r="K57" s="101">
        <v>2160</v>
      </c>
      <c r="L57" s="25"/>
      <c r="M57" s="101">
        <v>2160</v>
      </c>
      <c r="N57" s="25"/>
      <c r="O57" s="101">
        <v>2160</v>
      </c>
      <c r="P57" s="25"/>
      <c r="Q57" s="101">
        <v>2160</v>
      </c>
      <c r="R57" s="25"/>
      <c r="S57" s="101">
        <v>2160</v>
      </c>
      <c r="T57" s="101"/>
      <c r="U57" s="101">
        <v>2160</v>
      </c>
      <c r="V57" s="101"/>
      <c r="W57" s="101">
        <v>2160</v>
      </c>
      <c r="X57" s="101"/>
      <c r="Y57" s="101">
        <v>2160</v>
      </c>
      <c r="Z57" s="101"/>
      <c r="AA57" s="101">
        <v>2160</v>
      </c>
      <c r="AB57" s="21">
        <f t="shared" si="0"/>
        <v>25920</v>
      </c>
    </row>
    <row r="58" spans="1:28" ht="18">
      <c r="A58" s="26" t="s">
        <v>16</v>
      </c>
      <c r="B58" s="136" t="s">
        <v>16</v>
      </c>
      <c r="C58" s="61" t="s">
        <v>256</v>
      </c>
      <c r="D58" s="62" t="s">
        <v>79</v>
      </c>
      <c r="E58" s="101">
        <v>8300</v>
      </c>
      <c r="F58" s="101"/>
      <c r="G58" s="101">
        <v>8300</v>
      </c>
      <c r="H58" s="101"/>
      <c r="I58" s="101">
        <v>8300</v>
      </c>
      <c r="J58" s="25"/>
      <c r="K58" s="101">
        <v>8300</v>
      </c>
      <c r="L58" s="25"/>
      <c r="M58" s="101">
        <v>8300</v>
      </c>
      <c r="N58" s="25"/>
      <c r="O58" s="101">
        <v>8300</v>
      </c>
      <c r="P58" s="25"/>
      <c r="Q58" s="101">
        <v>8300</v>
      </c>
      <c r="R58" s="25"/>
      <c r="S58" s="101">
        <v>8300</v>
      </c>
      <c r="T58" s="101"/>
      <c r="U58" s="101">
        <v>8300</v>
      </c>
      <c r="V58" s="101"/>
      <c r="W58" s="101">
        <v>8300</v>
      </c>
      <c r="X58" s="101"/>
      <c r="Y58" s="101">
        <v>8300</v>
      </c>
      <c r="Z58" s="101"/>
      <c r="AA58" s="101">
        <v>8300</v>
      </c>
      <c r="AB58" s="21">
        <f t="shared" si="0"/>
        <v>99600</v>
      </c>
    </row>
    <row r="59" spans="1:28" ht="18">
      <c r="A59" s="26" t="s">
        <v>19</v>
      </c>
      <c r="B59" s="136" t="s">
        <v>19</v>
      </c>
      <c r="C59" s="61" t="s">
        <v>253</v>
      </c>
      <c r="D59" s="233" t="s">
        <v>80</v>
      </c>
      <c r="E59" s="101">
        <v>41109</v>
      </c>
      <c r="F59" s="101"/>
      <c r="G59" s="101">
        <v>37307</v>
      </c>
      <c r="H59" s="101">
        <v>40000</v>
      </c>
      <c r="I59" s="101">
        <v>41109</v>
      </c>
      <c r="J59" s="101">
        <v>40000</v>
      </c>
      <c r="K59" s="101">
        <v>39208</v>
      </c>
      <c r="L59" s="101">
        <v>40000</v>
      </c>
      <c r="M59" s="101">
        <v>41109</v>
      </c>
      <c r="N59" s="101">
        <v>40000</v>
      </c>
      <c r="O59" s="101">
        <v>39208</v>
      </c>
      <c r="P59" s="101">
        <v>40000</v>
      </c>
      <c r="Q59" s="101">
        <v>41109</v>
      </c>
      <c r="R59" s="101">
        <v>40000</v>
      </c>
      <c r="S59" s="101">
        <v>41109</v>
      </c>
      <c r="T59" s="101">
        <v>40000</v>
      </c>
      <c r="U59" s="101">
        <v>39208</v>
      </c>
      <c r="V59" s="101">
        <v>40000</v>
      </c>
      <c r="W59" s="101">
        <v>41109</v>
      </c>
      <c r="X59" s="101">
        <v>40000</v>
      </c>
      <c r="Y59" s="101">
        <v>39208</v>
      </c>
      <c r="Z59" s="101">
        <v>40000</v>
      </c>
      <c r="AA59" s="101">
        <v>41109</v>
      </c>
      <c r="AB59" s="21">
        <f t="shared" si="0"/>
        <v>481902</v>
      </c>
    </row>
    <row r="60" spans="1:28" ht="18">
      <c r="A60" s="26" t="s">
        <v>147</v>
      </c>
      <c r="B60" s="136" t="s">
        <v>147</v>
      </c>
      <c r="C60" s="61" t="s">
        <v>254</v>
      </c>
      <c r="D60" s="62" t="s">
        <v>81</v>
      </c>
      <c r="E60" s="101">
        <v>5112</v>
      </c>
      <c r="F60" s="101"/>
      <c r="G60" s="101">
        <v>5112</v>
      </c>
      <c r="H60" s="101"/>
      <c r="I60" s="101">
        <v>5112</v>
      </c>
      <c r="J60" s="25"/>
      <c r="K60" s="101">
        <v>5112</v>
      </c>
      <c r="L60" s="25"/>
      <c r="M60" s="101">
        <v>5112</v>
      </c>
      <c r="N60" s="25"/>
      <c r="O60" s="101">
        <v>5112</v>
      </c>
      <c r="P60" s="25"/>
      <c r="Q60" s="101">
        <v>5112</v>
      </c>
      <c r="R60" s="25"/>
      <c r="S60" s="101">
        <v>5112</v>
      </c>
      <c r="T60" s="101"/>
      <c r="U60" s="101">
        <v>5112</v>
      </c>
      <c r="V60" s="101"/>
      <c r="W60" s="101">
        <v>5112</v>
      </c>
      <c r="X60" s="101"/>
      <c r="Y60" s="101">
        <v>5112</v>
      </c>
      <c r="Z60" s="101"/>
      <c r="AA60" s="101">
        <v>5112</v>
      </c>
      <c r="AB60" s="21">
        <f t="shared" si="0"/>
        <v>61344</v>
      </c>
    </row>
    <row r="61" spans="1:28" ht="18">
      <c r="A61" s="27"/>
      <c r="B61" s="128"/>
      <c r="C61" s="61" t="s">
        <v>255</v>
      </c>
      <c r="D61" s="62" t="s">
        <v>165</v>
      </c>
      <c r="E61" s="101">
        <v>988</v>
      </c>
      <c r="F61" s="101"/>
      <c r="G61" s="101">
        <v>988</v>
      </c>
      <c r="H61" s="101"/>
      <c r="I61" s="101">
        <v>988</v>
      </c>
      <c r="J61" s="25"/>
      <c r="K61" s="101">
        <v>988</v>
      </c>
      <c r="L61" s="25"/>
      <c r="M61" s="101">
        <v>988</v>
      </c>
      <c r="N61" s="25"/>
      <c r="O61" s="101">
        <v>988</v>
      </c>
      <c r="P61" s="25"/>
      <c r="Q61" s="101">
        <v>988</v>
      </c>
      <c r="R61" s="25"/>
      <c r="S61" s="101">
        <v>988</v>
      </c>
      <c r="T61" s="101"/>
      <c r="U61" s="101">
        <v>988</v>
      </c>
      <c r="V61" s="101"/>
      <c r="W61" s="101">
        <v>988</v>
      </c>
      <c r="X61" s="101"/>
      <c r="Y61" s="101">
        <v>988</v>
      </c>
      <c r="Z61" s="101"/>
      <c r="AA61" s="101">
        <v>988</v>
      </c>
      <c r="AB61" s="21">
        <f t="shared" si="0"/>
        <v>11856</v>
      </c>
    </row>
    <row r="62" spans="1:28" ht="18">
      <c r="A62" s="27"/>
      <c r="B62" s="128"/>
      <c r="C62" s="61" t="s">
        <v>257</v>
      </c>
      <c r="D62" s="233" t="s">
        <v>195</v>
      </c>
      <c r="E62" s="101">
        <v>32292</v>
      </c>
      <c r="F62" s="101"/>
      <c r="G62" s="101">
        <v>29919</v>
      </c>
      <c r="H62" s="101">
        <v>31600</v>
      </c>
      <c r="I62" s="101">
        <v>32292</v>
      </c>
      <c r="J62" s="101">
        <v>31600</v>
      </c>
      <c r="K62" s="101">
        <v>31105</v>
      </c>
      <c r="L62" s="101">
        <v>31600</v>
      </c>
      <c r="M62" s="101">
        <v>32292</v>
      </c>
      <c r="N62" s="101">
        <v>31600</v>
      </c>
      <c r="O62" s="101">
        <v>31105</v>
      </c>
      <c r="P62" s="101">
        <v>31600</v>
      </c>
      <c r="Q62" s="101">
        <v>32292</v>
      </c>
      <c r="R62" s="101">
        <v>31600</v>
      </c>
      <c r="S62" s="101">
        <v>32292</v>
      </c>
      <c r="T62" s="101">
        <v>31600</v>
      </c>
      <c r="U62" s="101">
        <v>31105</v>
      </c>
      <c r="V62" s="101">
        <v>31600</v>
      </c>
      <c r="W62" s="101">
        <v>32292</v>
      </c>
      <c r="X62" s="101">
        <v>31600</v>
      </c>
      <c r="Y62" s="101">
        <v>31105</v>
      </c>
      <c r="Z62" s="101">
        <v>31600</v>
      </c>
      <c r="AA62" s="101">
        <v>32292</v>
      </c>
      <c r="AB62" s="21">
        <f t="shared" si="0"/>
        <v>380383</v>
      </c>
    </row>
    <row r="63" spans="1:28" ht="18">
      <c r="A63" s="27"/>
      <c r="B63" s="128"/>
      <c r="C63" s="61" t="s">
        <v>272</v>
      </c>
      <c r="D63" s="62" t="s">
        <v>289</v>
      </c>
      <c r="E63" s="101">
        <v>2540</v>
      </c>
      <c r="F63" s="101"/>
      <c r="G63" s="101">
        <v>2540</v>
      </c>
      <c r="H63" s="101"/>
      <c r="I63" s="101">
        <v>2540</v>
      </c>
      <c r="J63" s="25"/>
      <c r="K63" s="101">
        <v>2540</v>
      </c>
      <c r="L63" s="25"/>
      <c r="M63" s="101">
        <v>2540</v>
      </c>
      <c r="N63" s="25"/>
      <c r="O63" s="101">
        <v>2540</v>
      </c>
      <c r="P63" s="25"/>
      <c r="Q63" s="101">
        <v>2540</v>
      </c>
      <c r="R63" s="25"/>
      <c r="S63" s="101">
        <v>2540</v>
      </c>
      <c r="T63" s="101"/>
      <c r="U63" s="101">
        <v>2540</v>
      </c>
      <c r="V63" s="101"/>
      <c r="W63" s="101">
        <v>2540</v>
      </c>
      <c r="X63" s="101"/>
      <c r="Y63" s="101">
        <v>2540</v>
      </c>
      <c r="Z63" s="101"/>
      <c r="AA63" s="101">
        <v>2540</v>
      </c>
      <c r="AB63" s="21">
        <f t="shared" si="0"/>
        <v>30480</v>
      </c>
    </row>
    <row r="64" spans="1:28" ht="18">
      <c r="A64" s="27"/>
      <c r="B64" s="128"/>
      <c r="C64" s="61" t="s">
        <v>274</v>
      </c>
      <c r="D64" s="62" t="s">
        <v>176</v>
      </c>
      <c r="E64" s="101">
        <v>200</v>
      </c>
      <c r="F64" s="101"/>
      <c r="G64" s="101">
        <v>200</v>
      </c>
      <c r="H64" s="101"/>
      <c r="I64" s="101">
        <v>200</v>
      </c>
      <c r="J64" s="25"/>
      <c r="K64" s="101">
        <v>200</v>
      </c>
      <c r="L64" s="25"/>
      <c r="M64" s="101">
        <v>200</v>
      </c>
      <c r="N64" s="25"/>
      <c r="O64" s="101">
        <v>200</v>
      </c>
      <c r="P64" s="25"/>
      <c r="Q64" s="101">
        <v>200</v>
      </c>
      <c r="R64" s="25"/>
      <c r="S64" s="101">
        <v>200</v>
      </c>
      <c r="T64" s="101"/>
      <c r="U64" s="101">
        <v>200</v>
      </c>
      <c r="V64" s="101"/>
      <c r="W64" s="101">
        <v>200</v>
      </c>
      <c r="X64" s="101"/>
      <c r="Y64" s="101">
        <v>200</v>
      </c>
      <c r="Z64" s="101"/>
      <c r="AA64" s="101">
        <v>200</v>
      </c>
      <c r="AB64" s="21">
        <f t="shared" si="0"/>
        <v>2400</v>
      </c>
    </row>
    <row r="65" spans="1:28" ht="18">
      <c r="A65" s="17"/>
      <c r="B65" s="125"/>
      <c r="C65" s="61" t="s">
        <v>252</v>
      </c>
      <c r="D65" s="62" t="s">
        <v>282</v>
      </c>
      <c r="E65" s="101">
        <v>4100</v>
      </c>
      <c r="F65" s="101"/>
      <c r="G65" s="101">
        <v>4100</v>
      </c>
      <c r="H65" s="101"/>
      <c r="I65" s="101">
        <v>4100</v>
      </c>
      <c r="J65" s="25"/>
      <c r="K65" s="101">
        <v>4100</v>
      </c>
      <c r="L65" s="25"/>
      <c r="M65" s="101">
        <v>4100</v>
      </c>
      <c r="N65" s="25"/>
      <c r="O65" s="101">
        <v>4100</v>
      </c>
      <c r="P65" s="25"/>
      <c r="Q65" s="101">
        <v>4100</v>
      </c>
      <c r="R65" s="25"/>
      <c r="S65" s="101">
        <v>4100</v>
      </c>
      <c r="T65" s="101"/>
      <c r="U65" s="101">
        <v>4100</v>
      </c>
      <c r="V65" s="101"/>
      <c r="W65" s="101">
        <v>4100</v>
      </c>
      <c r="X65" s="101"/>
      <c r="Y65" s="101">
        <v>4100</v>
      </c>
      <c r="Z65" s="101"/>
      <c r="AA65" s="101">
        <v>4100</v>
      </c>
      <c r="AB65" s="21">
        <f t="shared" si="0"/>
        <v>49200</v>
      </c>
    </row>
    <row r="66" spans="1:28" ht="18">
      <c r="A66" s="44"/>
      <c r="B66" s="135"/>
      <c r="C66" s="61" t="s">
        <v>262</v>
      </c>
      <c r="D66" s="62" t="s">
        <v>168</v>
      </c>
      <c r="E66" s="107">
        <f>E67-SUM(E36:E65)</f>
        <v>56690.247143205721</v>
      </c>
      <c r="F66" s="107"/>
      <c r="G66" s="107">
        <f>G67-SUM(G36:G65)</f>
        <v>13599.838199999998</v>
      </c>
      <c r="H66" s="107"/>
      <c r="I66" s="107">
        <f>I67-SUM(I36:I65)</f>
        <v>3836811.1214400008</v>
      </c>
      <c r="J66" s="25"/>
      <c r="K66" s="107">
        <f>K67-SUM(K36:K65)</f>
        <v>-9477.6750000000175</v>
      </c>
      <c r="L66" s="25"/>
      <c r="M66" s="107">
        <f>M67-SUM(M36:M65)</f>
        <v>-9711.8249999999971</v>
      </c>
      <c r="N66" s="25"/>
      <c r="O66" s="107">
        <f>O67-SUM(O36:O65)</f>
        <v>-9477.6750000000175</v>
      </c>
      <c r="P66" s="25"/>
      <c r="Q66" s="107">
        <f>Q67-SUM(Q36:Q65)</f>
        <v>-9711.8249999999971</v>
      </c>
      <c r="R66" s="25"/>
      <c r="S66" s="107">
        <f>S67-SUM(S36:S65)</f>
        <v>-9711.8249999999971</v>
      </c>
      <c r="T66" s="107"/>
      <c r="U66" s="107">
        <f>U67-SUM(U36:U65)</f>
        <v>-9477.6750000000175</v>
      </c>
      <c r="V66" s="107"/>
      <c r="W66" s="107">
        <f>W67-SUM(W36:W65)</f>
        <v>-9711.8249999999971</v>
      </c>
      <c r="X66" s="107"/>
      <c r="Y66" s="107">
        <f>Y67-SUM(Y36:Y65)</f>
        <v>-9477.6750000000175</v>
      </c>
      <c r="Z66" s="107"/>
      <c r="AA66" s="107">
        <f>AA67-SUM(AA36:AA65)</f>
        <v>-9711.8249999999971</v>
      </c>
      <c r="AB66" s="21">
        <f t="shared" si="0"/>
        <v>3820631.3817832065</v>
      </c>
    </row>
    <row r="67" spans="1:28" ht="18.75" thickBot="1">
      <c r="A67" s="36"/>
      <c r="B67" s="133"/>
      <c r="C67" s="18"/>
      <c r="D67" s="42" t="s">
        <v>51</v>
      </c>
      <c r="E67" s="162">
        <f>Medidores!C90+Medidores!C94+Medidores!C95+Medidores!C112</f>
        <v>885360.96190940891</v>
      </c>
      <c r="F67" s="20"/>
      <c r="G67" s="20">
        <f>Medidores!E90+Medidores!E94+Medidores!E95+Medidores!E112</f>
        <v>304578.17599999998</v>
      </c>
      <c r="H67" s="20"/>
      <c r="I67" s="20">
        <f>Medidores!G90+Medidores!G94+Medidores!G95+Medidores!G112</f>
        <v>51286972.619199999</v>
      </c>
      <c r="J67" s="20"/>
      <c r="K67" s="20">
        <f>Medidores!I90+Medidores!I94+Medidores!I95+Medidores!I112</f>
        <v>0</v>
      </c>
      <c r="L67" s="20"/>
      <c r="M67" s="20">
        <f>Medidores!K90+Medidores!K94+Medidores!K95+Medidores!K112</f>
        <v>0</v>
      </c>
      <c r="N67" s="20"/>
      <c r="O67" s="20">
        <f>Medidores!M90+Medidores!M94+Medidores!M95+Medidores!M112</f>
        <v>0</v>
      </c>
      <c r="P67" s="20"/>
      <c r="Q67" s="20">
        <f>Medidores!O90+Medidores!O94+Medidores!O95+Medidores!O112</f>
        <v>0</v>
      </c>
      <c r="R67" s="20"/>
      <c r="S67" s="20">
        <f>Medidores!Q90+Medidores!Q94+Medidores!Q95+Medidores!Q112</f>
        <v>0</v>
      </c>
      <c r="T67" s="20"/>
      <c r="U67" s="20">
        <f>Medidores!S90+Medidores!S94+Medidores!S95+Medidores!S112</f>
        <v>0</v>
      </c>
      <c r="V67" s="20"/>
      <c r="W67" s="20">
        <f>Medidores!U90+Medidores!U94+Medidores!U95+Medidores!U112</f>
        <v>0</v>
      </c>
      <c r="X67" s="20"/>
      <c r="Y67" s="20">
        <f>Medidores!W90+Medidores!W94+Medidores!W95+Medidores!W112</f>
        <v>0</v>
      </c>
      <c r="Z67" s="20"/>
      <c r="AA67" s="20">
        <f>Medidores!Y90+Medidores!Y94+Medidores!Y95+Medidores!Y112</f>
        <v>0</v>
      </c>
      <c r="AB67" s="21">
        <f t="shared" si="0"/>
        <v>52476911.757109411</v>
      </c>
    </row>
    <row r="68" spans="1:28" ht="18.75" thickBot="1">
      <c r="A68" s="36"/>
      <c r="B68" s="144" t="s">
        <v>343</v>
      </c>
      <c r="C68" s="142" t="s">
        <v>237</v>
      </c>
      <c r="D68" s="62" t="s">
        <v>97</v>
      </c>
      <c r="E68" s="145">
        <f>E70*0.8</f>
        <v>57344.549013342563</v>
      </c>
      <c r="F68" s="145"/>
      <c r="G68" s="145">
        <f t="shared" ref="G68:U68" si="1">G70*0.8</f>
        <v>69143.680000000008</v>
      </c>
      <c r="H68" s="145"/>
      <c r="I68" s="145">
        <f t="shared" si="1"/>
        <v>5721492.4560000002</v>
      </c>
      <c r="J68" s="145"/>
      <c r="K68" s="145">
        <f t="shared" si="1"/>
        <v>0</v>
      </c>
      <c r="L68" s="145"/>
      <c r="M68" s="145">
        <f t="shared" si="1"/>
        <v>0</v>
      </c>
      <c r="N68" s="145"/>
      <c r="O68" s="145">
        <f t="shared" si="1"/>
        <v>0</v>
      </c>
      <c r="P68" s="145"/>
      <c r="Q68" s="145">
        <f t="shared" si="1"/>
        <v>0</v>
      </c>
      <c r="R68" s="145"/>
      <c r="S68" s="145">
        <f t="shared" si="1"/>
        <v>0</v>
      </c>
      <c r="T68" s="145"/>
      <c r="U68" s="145">
        <f t="shared" si="1"/>
        <v>0</v>
      </c>
      <c r="V68" s="145"/>
      <c r="W68" s="145">
        <f>W70*0.8</f>
        <v>0</v>
      </c>
      <c r="X68" s="145"/>
      <c r="Y68" s="145">
        <f>Y70*0.8</f>
        <v>0</v>
      </c>
      <c r="Z68" s="145"/>
      <c r="AA68" s="145">
        <f>AA70*0.8</f>
        <v>0</v>
      </c>
      <c r="AB68" s="21">
        <f t="shared" si="0"/>
        <v>5847980.6850133426</v>
      </c>
    </row>
    <row r="69" spans="1:28" ht="18">
      <c r="A69" s="36"/>
      <c r="B69" s="133"/>
      <c r="C69" s="146" t="s">
        <v>345</v>
      </c>
      <c r="D69" s="147" t="s">
        <v>346</v>
      </c>
      <c r="E69" s="145">
        <f>E70*0.2</f>
        <v>14336.137253335641</v>
      </c>
      <c r="F69" s="145"/>
      <c r="G69" s="145">
        <f t="shared" ref="G69:AA69" si="2">G70*0.2</f>
        <v>17285.920000000002</v>
      </c>
      <c r="H69" s="145"/>
      <c r="I69" s="145">
        <f t="shared" si="2"/>
        <v>1430373.1140000001</v>
      </c>
      <c r="J69" s="145"/>
      <c r="K69" s="145">
        <f t="shared" si="2"/>
        <v>0</v>
      </c>
      <c r="L69" s="145"/>
      <c r="M69" s="145">
        <f t="shared" si="2"/>
        <v>0</v>
      </c>
      <c r="N69" s="145"/>
      <c r="O69" s="145">
        <f t="shared" si="2"/>
        <v>0</v>
      </c>
      <c r="P69" s="145"/>
      <c r="Q69" s="145">
        <f t="shared" si="2"/>
        <v>0</v>
      </c>
      <c r="R69" s="145"/>
      <c r="S69" s="145">
        <f t="shared" si="2"/>
        <v>0</v>
      </c>
      <c r="T69" s="145"/>
      <c r="U69" s="145">
        <f t="shared" si="2"/>
        <v>0</v>
      </c>
      <c r="V69" s="145"/>
      <c r="W69" s="145">
        <f t="shared" si="2"/>
        <v>0</v>
      </c>
      <c r="X69" s="145"/>
      <c r="Y69" s="145">
        <f t="shared" si="2"/>
        <v>0</v>
      </c>
      <c r="Z69" s="145"/>
      <c r="AA69" s="145">
        <f t="shared" si="2"/>
        <v>0</v>
      </c>
      <c r="AB69" s="21">
        <f t="shared" si="0"/>
        <v>1461995.1712533357</v>
      </c>
    </row>
    <row r="70" spans="1:28" ht="18">
      <c r="A70" s="36"/>
      <c r="B70" s="133"/>
      <c r="C70" s="18"/>
      <c r="D70" s="42"/>
      <c r="E70" s="162">
        <f>Medidores!C99</f>
        <v>71680.686266678196</v>
      </c>
      <c r="F70" s="20"/>
      <c r="G70" s="20">
        <f>Medidores!E99</f>
        <v>86429.6</v>
      </c>
      <c r="H70" s="20"/>
      <c r="I70" s="20">
        <f>Medidores!G99</f>
        <v>7151865.5700000003</v>
      </c>
      <c r="J70" s="20"/>
      <c r="K70" s="20">
        <f>Medidores!I99</f>
        <v>0</v>
      </c>
      <c r="L70" s="20"/>
      <c r="M70" s="20">
        <f>Medidores!K99</f>
        <v>0</v>
      </c>
      <c r="N70" s="20"/>
      <c r="O70" s="20">
        <f>Medidores!M99</f>
        <v>0</v>
      </c>
      <c r="P70" s="20"/>
      <c r="Q70" s="20">
        <f>Medidores!O99</f>
        <v>0</v>
      </c>
      <c r="R70" s="20"/>
      <c r="S70" s="20">
        <f>Medidores!Q99</f>
        <v>0</v>
      </c>
      <c r="T70" s="20"/>
      <c r="U70" s="20">
        <f>Medidores!S99</f>
        <v>0</v>
      </c>
      <c r="V70" s="20"/>
      <c r="W70" s="20">
        <f>Medidores!U99</f>
        <v>0</v>
      </c>
      <c r="X70" s="20"/>
      <c r="Y70" s="20">
        <f>Medidores!W99</f>
        <v>0</v>
      </c>
      <c r="Z70" s="20"/>
      <c r="AA70" s="20">
        <f>Medidores!Y99</f>
        <v>0</v>
      </c>
      <c r="AB70" s="21">
        <f t="shared" si="0"/>
        <v>7309975.8562666783</v>
      </c>
    </row>
    <row r="71" spans="1:28" ht="18">
      <c r="A71" s="36"/>
      <c r="B71" s="133"/>
      <c r="C71" s="18"/>
      <c r="D71" s="42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1">
        <f t="shared" si="0"/>
        <v>0</v>
      </c>
    </row>
    <row r="72" spans="1:28" ht="18">
      <c r="A72" s="24"/>
      <c r="B72" s="126"/>
      <c r="C72" s="61" t="s">
        <v>219</v>
      </c>
      <c r="D72" s="233" t="s">
        <v>364</v>
      </c>
      <c r="E72" s="101">
        <v>794</v>
      </c>
      <c r="F72" s="101"/>
      <c r="G72" s="101">
        <v>743</v>
      </c>
      <c r="H72" s="101"/>
      <c r="I72" s="101">
        <v>794</v>
      </c>
      <c r="J72" s="101"/>
      <c r="K72" s="101">
        <v>768</v>
      </c>
      <c r="L72" s="101"/>
      <c r="M72" s="101">
        <v>794</v>
      </c>
      <c r="N72" s="101"/>
      <c r="O72" s="101">
        <v>768</v>
      </c>
      <c r="P72" s="101"/>
      <c r="Q72" s="101">
        <v>794</v>
      </c>
      <c r="R72" s="101"/>
      <c r="S72" s="101">
        <v>794</v>
      </c>
      <c r="T72" s="101"/>
      <c r="U72" s="101">
        <v>768</v>
      </c>
      <c r="V72" s="101"/>
      <c r="W72" s="101">
        <v>794</v>
      </c>
      <c r="X72" s="101"/>
      <c r="Y72" s="101">
        <v>768</v>
      </c>
      <c r="Z72" s="101"/>
      <c r="AA72" s="101">
        <v>794</v>
      </c>
      <c r="AB72" s="21">
        <f t="shared" ref="AB72:AB94" si="3">E72+G72+I72+K72+M72+O72+Q72+S72+U72+W72+Y72+AA72</f>
        <v>9373</v>
      </c>
    </row>
    <row r="73" spans="1:28" ht="18">
      <c r="A73" s="26" t="s">
        <v>24</v>
      </c>
      <c r="B73" s="136" t="s">
        <v>24</v>
      </c>
      <c r="C73" s="61" t="s">
        <v>220</v>
      </c>
      <c r="D73" s="62" t="s">
        <v>157</v>
      </c>
      <c r="E73" s="107">
        <f>(E83-(E72+E77+E78+E80+E81+E82))*0.27</f>
        <v>60234.113809805924</v>
      </c>
      <c r="F73" s="107"/>
      <c r="G73" s="107">
        <f>(G83-(G72+G77+G78+G80+G81+G82))*0.27</f>
        <v>33049.144800000002</v>
      </c>
      <c r="H73" s="107"/>
      <c r="I73" s="107">
        <f>(I83-(I72+I77+I78+I80+I81+I82))*0.27</f>
        <v>2128870.0670400001</v>
      </c>
      <c r="J73" s="25"/>
      <c r="K73" s="107">
        <f>(K83-(K72+K77+K78+K80+K81+K82))*0.27</f>
        <v>-10404.720000000001</v>
      </c>
      <c r="L73" s="20"/>
      <c r="M73" s="107">
        <f>(M83-(M72+M77+M78+M80+M81+M82))*0.27</f>
        <v>-10956.6</v>
      </c>
      <c r="N73" s="107"/>
      <c r="O73" s="107">
        <f>(O83-(O72+O77+O78+O80+O81+O82))*0.27</f>
        <v>-10404.720000000001</v>
      </c>
      <c r="P73" s="107"/>
      <c r="Q73" s="107">
        <f t="shared" ref="Q73" si="4">(Q83-(Q72+Q77+Q78+Q80+Q81+Q82))*0.27</f>
        <v>-10956.6</v>
      </c>
      <c r="R73" s="107"/>
      <c r="S73" s="107">
        <f t="shared" ref="S73:U73" si="5">(S83-(S72+S77+S78+S80+S81+S82))*0.27</f>
        <v>-10956.6</v>
      </c>
      <c r="T73" s="107"/>
      <c r="U73" s="107">
        <f t="shared" si="5"/>
        <v>-10404.720000000001</v>
      </c>
      <c r="V73" s="107"/>
      <c r="W73" s="107">
        <f t="shared" ref="W73" si="6">(W83-(W72+W77+W78+W80+W81+W82))*0.27</f>
        <v>-10956.6</v>
      </c>
      <c r="X73" s="107"/>
      <c r="Y73" s="107">
        <f t="shared" ref="Y73" si="7">(Y83-(Y72+Y77+Y78+Y80+Y81+Y82))*0.27</f>
        <v>-10404.720000000001</v>
      </c>
      <c r="Z73" s="107"/>
      <c r="AA73" s="107">
        <f t="shared" ref="AA73" si="8">(AA83-(AA72+AA77+AA78+AA80+AA81+AA82))*0.27</f>
        <v>-10956.6</v>
      </c>
      <c r="AB73" s="21">
        <f t="shared" si="3"/>
        <v>2125751.4456498045</v>
      </c>
    </row>
    <row r="74" spans="1:28" ht="18">
      <c r="A74" s="27"/>
      <c r="B74" s="128"/>
      <c r="C74" s="61" t="s">
        <v>221</v>
      </c>
      <c r="D74" s="62" t="s">
        <v>54</v>
      </c>
      <c r="E74" s="107">
        <f>E83-SUM(E72:E73)-SUM(E75:E82)</f>
        <v>82650.051764347591</v>
      </c>
      <c r="F74" s="107"/>
      <c r="G74" s="107">
        <f>G83-SUM(G72:G73)-SUM(G75:G82)</f>
        <v>23175.755999999979</v>
      </c>
      <c r="H74" s="107"/>
      <c r="I74" s="107">
        <f>I83-SUM(I72:I73)-SUM(I75:I82)</f>
        <v>5073899.5687999995</v>
      </c>
      <c r="J74" s="25"/>
      <c r="K74" s="107">
        <f>K83-SUM(K72:K73)-SUM(K75:K82)</f>
        <v>-84421.4</v>
      </c>
      <c r="L74" s="20"/>
      <c r="M74" s="107">
        <f>M83-SUM(M72:M73)-SUM(M75:M82)</f>
        <v>-85795</v>
      </c>
      <c r="N74" s="107"/>
      <c r="O74" s="107">
        <f>O83-SUM(O72:O73)-SUM(O75:O82)</f>
        <v>-81521.399999999994</v>
      </c>
      <c r="P74" s="107"/>
      <c r="Q74" s="107">
        <f t="shared" ref="Q74" si="9">Q83-SUM(Q72:Q73)-SUM(Q75:Q82)</f>
        <v>-85795</v>
      </c>
      <c r="R74" s="107"/>
      <c r="S74" s="107">
        <f t="shared" ref="S74:U74" si="10">S83-SUM(S72:S73)-SUM(S75:S82)</f>
        <v>-85795</v>
      </c>
      <c r="T74" s="107"/>
      <c r="U74" s="107">
        <f t="shared" si="10"/>
        <v>-85501.4</v>
      </c>
      <c r="V74" s="107"/>
      <c r="W74" s="107">
        <f t="shared" ref="W74" si="11">W83-SUM(W72:W73)-SUM(W75:W82)</f>
        <v>-53835</v>
      </c>
      <c r="X74" s="107"/>
      <c r="Y74" s="107">
        <f t="shared" ref="Y74" si="12">Y83-SUM(Y72:Y73)-SUM(Y75:Y82)</f>
        <v>-84421.4</v>
      </c>
      <c r="Z74" s="107"/>
      <c r="AA74" s="107">
        <f t="shared" ref="AA74" si="13">AA83-SUM(AA72:AA73)-SUM(AA75:AA82)</f>
        <v>-88735</v>
      </c>
      <c r="AB74" s="21">
        <f t="shared" si="3"/>
        <v>4443904.7765643457</v>
      </c>
    </row>
    <row r="75" spans="1:28" ht="18">
      <c r="A75" s="27"/>
      <c r="B75" s="128"/>
      <c r="C75" s="61" t="s">
        <v>223</v>
      </c>
      <c r="D75" s="233" t="s">
        <v>363</v>
      </c>
      <c r="E75" s="101">
        <v>1038</v>
      </c>
      <c r="F75" s="101"/>
      <c r="G75" s="101">
        <v>907</v>
      </c>
      <c r="H75" s="101">
        <v>1000</v>
      </c>
      <c r="I75" s="101">
        <v>1038</v>
      </c>
      <c r="J75" s="101">
        <v>1000</v>
      </c>
      <c r="K75" s="101">
        <v>973</v>
      </c>
      <c r="L75" s="101">
        <v>1000</v>
      </c>
      <c r="M75" s="101">
        <v>1038</v>
      </c>
      <c r="N75" s="101">
        <v>1000</v>
      </c>
      <c r="O75" s="101">
        <v>973</v>
      </c>
      <c r="P75" s="101">
        <v>1000</v>
      </c>
      <c r="Q75" s="101">
        <v>1038</v>
      </c>
      <c r="R75" s="101">
        <v>1000</v>
      </c>
      <c r="S75" s="101">
        <v>1038</v>
      </c>
      <c r="T75" s="101">
        <v>1000</v>
      </c>
      <c r="U75" s="101">
        <v>973</v>
      </c>
      <c r="V75" s="101">
        <v>1000</v>
      </c>
      <c r="W75" s="101">
        <v>1038</v>
      </c>
      <c r="X75" s="101">
        <v>1000</v>
      </c>
      <c r="Y75" s="101">
        <v>973</v>
      </c>
      <c r="Z75" s="101">
        <v>1000</v>
      </c>
      <c r="AA75" s="101">
        <v>1038</v>
      </c>
      <c r="AB75" s="21">
        <f t="shared" si="3"/>
        <v>12065</v>
      </c>
    </row>
    <row r="76" spans="1:28" ht="18">
      <c r="A76" s="27"/>
      <c r="B76" s="128"/>
      <c r="C76" s="61" t="s">
        <v>222</v>
      </c>
      <c r="D76" s="62" t="s">
        <v>87</v>
      </c>
      <c r="E76" s="107">
        <f>(E83-(E72+E77+E78+E80+E81+E82))*0.08</f>
        <v>17847.14483253509</v>
      </c>
      <c r="F76" s="107"/>
      <c r="G76" s="107">
        <f>(G83-(G72+G77+G78+G80+G81+G82))*0.08</f>
        <v>9792.3392000000003</v>
      </c>
      <c r="H76" s="107"/>
      <c r="I76" s="107">
        <f>(I83-(I72+I77+I78+I80+I81+I82))*0.08</f>
        <v>630776.31615999993</v>
      </c>
      <c r="J76" s="107">
        <f t="shared" ref="J76:K76" si="14">(J83-(J72+J77+J78+J80+J81+J82))*0.08</f>
        <v>-2330.4</v>
      </c>
      <c r="K76" s="107">
        <f t="shared" si="14"/>
        <v>-3082.88</v>
      </c>
      <c r="L76" s="20"/>
      <c r="M76" s="107">
        <f>(M83-(M72+M77+M78+M80+M81+M82))*0.08</f>
        <v>-3246.4</v>
      </c>
      <c r="N76" s="107"/>
      <c r="O76" s="107">
        <f>(O83-(O72+O77+O78+O80+O81+O82))*0.08</f>
        <v>-3082.88</v>
      </c>
      <c r="P76" s="107">
        <f t="shared" ref="P76:Q76" si="15">(P83-(P72+P77+P78+P80+P81+P82))*0.08</f>
        <v>-2330.4</v>
      </c>
      <c r="Q76" s="107">
        <f t="shared" si="15"/>
        <v>-3246.4</v>
      </c>
      <c r="R76" s="25"/>
      <c r="S76" s="107">
        <f>(S83-(S72+S77+S78+S80+S81+S82))*0.08</f>
        <v>-3246.4</v>
      </c>
      <c r="T76" s="107"/>
      <c r="U76" s="107">
        <f>(U83-(U72+U77+U78+U80+U81+U82))*0.08</f>
        <v>-3082.88</v>
      </c>
      <c r="V76" s="107"/>
      <c r="W76" s="107">
        <f>(W83-(W72+W77+W78+W80+W81+W82))*0.08</f>
        <v>-3246.4</v>
      </c>
      <c r="X76" s="107"/>
      <c r="Y76" s="107">
        <f>(Y83-(Y72+Y77+Y78+Y80+Y81+Y82))*0.08</f>
        <v>-3082.88</v>
      </c>
      <c r="Z76" s="107"/>
      <c r="AA76" s="107">
        <f>(AA83-(AA72+AA77+AA78+AA80+AA81+AA82))*0.08</f>
        <v>-3246.4</v>
      </c>
      <c r="AB76" s="21">
        <f t="shared" si="3"/>
        <v>629852.2801925349</v>
      </c>
    </row>
    <row r="77" spans="1:28" ht="18">
      <c r="A77" s="27"/>
      <c r="B77" s="128"/>
      <c r="C77" s="61" t="s">
        <v>229</v>
      </c>
      <c r="D77" s="233" t="s">
        <v>88</v>
      </c>
      <c r="E77" s="101">
        <v>7111</v>
      </c>
      <c r="F77" s="101"/>
      <c r="G77" s="101">
        <v>6491</v>
      </c>
      <c r="H77" s="101">
        <v>6930</v>
      </c>
      <c r="I77" s="101">
        <v>7111</v>
      </c>
      <c r="J77" s="101">
        <v>6930</v>
      </c>
      <c r="K77" s="101">
        <v>6801</v>
      </c>
      <c r="L77" s="101">
        <v>6930</v>
      </c>
      <c r="M77" s="101">
        <v>7111</v>
      </c>
      <c r="N77" s="101">
        <v>6930</v>
      </c>
      <c r="O77" s="101">
        <v>6801</v>
      </c>
      <c r="P77" s="101">
        <v>6930</v>
      </c>
      <c r="Q77" s="101">
        <v>7111</v>
      </c>
      <c r="R77" s="101">
        <v>6930</v>
      </c>
      <c r="S77" s="101">
        <v>7111</v>
      </c>
      <c r="T77" s="101">
        <v>6930</v>
      </c>
      <c r="U77" s="101">
        <v>6801</v>
      </c>
      <c r="V77" s="101">
        <v>6930</v>
      </c>
      <c r="W77" s="101">
        <v>7111</v>
      </c>
      <c r="X77" s="101">
        <v>6930</v>
      </c>
      <c r="Y77" s="101">
        <v>6801</v>
      </c>
      <c r="Z77" s="101">
        <v>6930</v>
      </c>
      <c r="AA77" s="101">
        <v>7111</v>
      </c>
      <c r="AB77" s="21">
        <f t="shared" si="3"/>
        <v>83472</v>
      </c>
    </row>
    <row r="78" spans="1:28" ht="18">
      <c r="A78" s="27"/>
      <c r="B78" s="128"/>
      <c r="C78" s="61" t="s">
        <v>271</v>
      </c>
      <c r="D78" s="233" t="s">
        <v>171</v>
      </c>
      <c r="E78" s="101">
        <v>4810</v>
      </c>
      <c r="F78" s="101"/>
      <c r="G78" s="101">
        <v>4434</v>
      </c>
      <c r="H78" s="101">
        <v>4700</v>
      </c>
      <c r="I78" s="101">
        <v>4810</v>
      </c>
      <c r="J78" s="101">
        <v>4700</v>
      </c>
      <c r="K78" s="101">
        <v>4622</v>
      </c>
      <c r="L78" s="101">
        <v>4700</v>
      </c>
      <c r="M78" s="101">
        <v>4810</v>
      </c>
      <c r="N78" s="101">
        <v>4700</v>
      </c>
      <c r="O78" s="101">
        <v>4622</v>
      </c>
      <c r="P78" s="101">
        <v>4700</v>
      </c>
      <c r="Q78" s="101">
        <v>4810</v>
      </c>
      <c r="R78" s="101">
        <v>4700</v>
      </c>
      <c r="S78" s="101">
        <v>4810</v>
      </c>
      <c r="T78" s="101">
        <v>4700</v>
      </c>
      <c r="U78" s="101">
        <v>4622</v>
      </c>
      <c r="V78" s="101">
        <v>4700</v>
      </c>
      <c r="W78" s="101">
        <v>4810</v>
      </c>
      <c r="X78" s="101">
        <v>4700</v>
      </c>
      <c r="Y78" s="101">
        <v>4622</v>
      </c>
      <c r="Z78" s="101">
        <v>4700</v>
      </c>
      <c r="AA78" s="101">
        <v>4810</v>
      </c>
      <c r="AB78" s="21">
        <f t="shared" si="3"/>
        <v>56592</v>
      </c>
    </row>
    <row r="79" spans="1:28" ht="18">
      <c r="A79" s="26" t="s">
        <v>89</v>
      </c>
      <c r="B79" s="136" t="s">
        <v>89</v>
      </c>
      <c r="C79" s="179" t="s">
        <v>362</v>
      </c>
      <c r="D79" s="180" t="s">
        <v>405</v>
      </c>
      <c r="E79" s="185">
        <v>61320</v>
      </c>
      <c r="F79" s="185"/>
      <c r="G79" s="185">
        <v>55480</v>
      </c>
      <c r="H79" s="185"/>
      <c r="I79" s="185">
        <v>50120</v>
      </c>
      <c r="J79" s="185"/>
      <c r="K79" s="185">
        <v>58400</v>
      </c>
      <c r="L79" s="185"/>
      <c r="M79" s="185">
        <v>58380</v>
      </c>
      <c r="N79" s="185"/>
      <c r="O79" s="185">
        <v>55500</v>
      </c>
      <c r="P79" s="185"/>
      <c r="Q79" s="185">
        <v>58380</v>
      </c>
      <c r="R79" s="185"/>
      <c r="S79" s="185">
        <v>58380</v>
      </c>
      <c r="T79" s="185"/>
      <c r="U79" s="185">
        <v>59480</v>
      </c>
      <c r="V79" s="185"/>
      <c r="W79" s="185">
        <v>26420</v>
      </c>
      <c r="X79" s="185"/>
      <c r="Y79" s="185">
        <v>58400</v>
      </c>
      <c r="Z79" s="185"/>
      <c r="AA79" s="185">
        <v>61320</v>
      </c>
      <c r="AB79" s="21">
        <f t="shared" si="3"/>
        <v>661580</v>
      </c>
    </row>
    <row r="80" spans="1:28" ht="18">
      <c r="A80" s="27"/>
      <c r="B80" s="128"/>
      <c r="C80" s="61" t="s">
        <v>268</v>
      </c>
      <c r="D80" s="62" t="s">
        <v>128</v>
      </c>
      <c r="E80" s="101">
        <v>8278</v>
      </c>
      <c r="F80" s="101"/>
      <c r="G80" s="101">
        <v>8278</v>
      </c>
      <c r="H80" s="101"/>
      <c r="I80" s="101">
        <v>8278</v>
      </c>
      <c r="J80" s="101"/>
      <c r="K80" s="101">
        <v>8278</v>
      </c>
      <c r="L80" s="101"/>
      <c r="M80" s="101">
        <v>8278</v>
      </c>
      <c r="N80" s="101"/>
      <c r="O80" s="101">
        <v>8278</v>
      </c>
      <c r="P80" s="101"/>
      <c r="Q80" s="101">
        <v>8278</v>
      </c>
      <c r="R80" s="101"/>
      <c r="S80" s="101">
        <v>8278</v>
      </c>
      <c r="T80" s="101"/>
      <c r="U80" s="101">
        <v>8278</v>
      </c>
      <c r="V80" s="101"/>
      <c r="W80" s="101">
        <v>8278</v>
      </c>
      <c r="X80" s="101"/>
      <c r="Y80" s="101">
        <v>8278</v>
      </c>
      <c r="Z80" s="101"/>
      <c r="AA80" s="101">
        <v>8278</v>
      </c>
      <c r="AB80" s="21">
        <f t="shared" si="3"/>
        <v>99336</v>
      </c>
    </row>
    <row r="81" spans="1:28" ht="18">
      <c r="A81" s="27"/>
      <c r="B81" s="128"/>
      <c r="C81" s="179" t="s">
        <v>230</v>
      </c>
      <c r="D81" s="180" t="s">
        <v>375</v>
      </c>
      <c r="E81" s="101">
        <v>1200</v>
      </c>
      <c r="F81" s="101"/>
      <c r="G81" s="101">
        <v>1200</v>
      </c>
      <c r="H81" s="101"/>
      <c r="I81" s="101">
        <v>1200</v>
      </c>
      <c r="J81" s="101"/>
      <c r="K81" s="101">
        <v>1200</v>
      </c>
      <c r="L81" s="101"/>
      <c r="M81" s="101">
        <v>1200</v>
      </c>
      <c r="N81" s="101"/>
      <c r="O81" s="101">
        <v>1200</v>
      </c>
      <c r="P81" s="101"/>
      <c r="Q81" s="101">
        <v>1200</v>
      </c>
      <c r="R81" s="101"/>
      <c r="S81" s="101">
        <v>1200</v>
      </c>
      <c r="T81" s="101"/>
      <c r="U81" s="101">
        <v>1200</v>
      </c>
      <c r="V81" s="101"/>
      <c r="W81" s="101">
        <v>1200</v>
      </c>
      <c r="X81" s="101"/>
      <c r="Y81" s="101">
        <v>1200</v>
      </c>
      <c r="Z81" s="101"/>
      <c r="AA81" s="101">
        <v>1200</v>
      </c>
      <c r="AB81" s="21">
        <f t="shared" si="3"/>
        <v>14400</v>
      </c>
    </row>
    <row r="82" spans="1:28" ht="18">
      <c r="A82" s="28"/>
      <c r="B82" s="129"/>
      <c r="C82" s="61" t="s">
        <v>248</v>
      </c>
      <c r="D82" s="233" t="s">
        <v>400</v>
      </c>
      <c r="E82" s="101">
        <v>18387</v>
      </c>
      <c r="F82" s="101"/>
      <c r="G82" s="101">
        <v>15346</v>
      </c>
      <c r="H82" s="101">
        <v>17500</v>
      </c>
      <c r="I82" s="101">
        <v>18387</v>
      </c>
      <c r="J82" s="101">
        <v>17500</v>
      </c>
      <c r="K82" s="101">
        <v>16867</v>
      </c>
      <c r="L82" s="101">
        <v>17500</v>
      </c>
      <c r="M82" s="101">
        <v>18387</v>
      </c>
      <c r="N82" s="101">
        <v>17500</v>
      </c>
      <c r="O82" s="101">
        <v>16867</v>
      </c>
      <c r="P82" s="101">
        <v>17500</v>
      </c>
      <c r="Q82" s="101">
        <v>18387</v>
      </c>
      <c r="R82" s="101">
        <v>17500</v>
      </c>
      <c r="S82" s="101">
        <v>18387</v>
      </c>
      <c r="T82" s="101">
        <v>17500</v>
      </c>
      <c r="U82" s="101">
        <v>16867</v>
      </c>
      <c r="V82" s="101">
        <v>17500</v>
      </c>
      <c r="W82" s="101">
        <v>18387</v>
      </c>
      <c r="X82" s="101">
        <v>17500</v>
      </c>
      <c r="Y82" s="101">
        <v>16867</v>
      </c>
      <c r="Z82" s="101">
        <v>17500</v>
      </c>
      <c r="AA82" s="101">
        <v>18387</v>
      </c>
      <c r="AB82" s="21">
        <f t="shared" si="3"/>
        <v>211523</v>
      </c>
    </row>
    <row r="83" spans="1:28" ht="18.75" thickBot="1">
      <c r="A83" s="17"/>
      <c r="B83" s="125"/>
      <c r="C83" s="18"/>
      <c r="D83" s="42" t="s">
        <v>51</v>
      </c>
      <c r="E83" s="162">
        <f>Medidores!C101+Medidores!C102</f>
        <v>263669.3104066886</v>
      </c>
      <c r="F83" s="20"/>
      <c r="G83" s="20">
        <f>Medidores!E101+Medidores!E102</f>
        <v>158896.24</v>
      </c>
      <c r="H83" s="20"/>
      <c r="I83" s="20">
        <f>Medidores!G101+Medidores!G102</f>
        <v>7925283.9519999996</v>
      </c>
      <c r="J83" s="20"/>
      <c r="K83" s="20">
        <f>Medidores!I101+Medidores!I102</f>
        <v>0</v>
      </c>
      <c r="L83" s="20"/>
      <c r="M83" s="20">
        <f>Medidores!K101+Medidores!K102</f>
        <v>0</v>
      </c>
      <c r="N83" s="20"/>
      <c r="O83" s="20">
        <f>Medidores!M101+Medidores!M102</f>
        <v>0</v>
      </c>
      <c r="P83" s="20"/>
      <c r="Q83" s="20">
        <f>Medidores!O101+Medidores!O102</f>
        <v>0</v>
      </c>
      <c r="R83" s="20"/>
      <c r="S83" s="20">
        <f>Medidores!Q101+Medidores!Q102</f>
        <v>0</v>
      </c>
      <c r="T83" s="20"/>
      <c r="U83" s="20">
        <f>Medidores!S101+Medidores!S102</f>
        <v>0</v>
      </c>
      <c r="V83" s="20"/>
      <c r="W83" s="20">
        <f>Medidores!U101+Medidores!U102</f>
        <v>0</v>
      </c>
      <c r="X83" s="20"/>
      <c r="Y83" s="20">
        <f>Medidores!W101+Medidores!W102</f>
        <v>0</v>
      </c>
      <c r="Z83" s="20"/>
      <c r="AA83" s="20">
        <f>Medidores!Y101+Medidores!Y102</f>
        <v>0</v>
      </c>
      <c r="AB83" s="21">
        <f t="shared" si="3"/>
        <v>8347849.5024066884</v>
      </c>
    </row>
    <row r="84" spans="1:28" ht="18">
      <c r="A84" s="143"/>
      <c r="B84" s="246" t="s">
        <v>344</v>
      </c>
      <c r="C84" s="142" t="s">
        <v>199</v>
      </c>
      <c r="D84" s="62" t="s">
        <v>108</v>
      </c>
      <c r="E84" s="101">
        <v>3600</v>
      </c>
      <c r="F84" s="101"/>
      <c r="G84" s="101">
        <v>3600</v>
      </c>
      <c r="H84" s="101"/>
      <c r="I84" s="101">
        <v>3600</v>
      </c>
      <c r="J84" s="101"/>
      <c r="K84" s="101">
        <v>3600</v>
      </c>
      <c r="L84" s="101"/>
      <c r="M84" s="101">
        <v>3600</v>
      </c>
      <c r="N84" s="101"/>
      <c r="O84" s="101">
        <v>3600</v>
      </c>
      <c r="P84" s="101"/>
      <c r="Q84" s="101">
        <v>3600</v>
      </c>
      <c r="R84" s="101"/>
      <c r="S84" s="101">
        <v>3600</v>
      </c>
      <c r="T84" s="101"/>
      <c r="U84" s="101">
        <v>3600</v>
      </c>
      <c r="V84" s="101"/>
      <c r="W84" s="101">
        <v>3600</v>
      </c>
      <c r="X84" s="101"/>
      <c r="Y84" s="101">
        <v>3600</v>
      </c>
      <c r="Z84" s="101"/>
      <c r="AA84" s="101">
        <v>3600</v>
      </c>
      <c r="AB84" s="21">
        <f t="shared" si="3"/>
        <v>43200</v>
      </c>
    </row>
    <row r="85" spans="1:28" ht="18">
      <c r="A85" s="34"/>
      <c r="B85" s="247"/>
      <c r="C85" s="142" t="s">
        <v>201</v>
      </c>
      <c r="D85" s="62" t="s">
        <v>197</v>
      </c>
      <c r="E85" s="101">
        <v>350</v>
      </c>
      <c r="F85" s="101"/>
      <c r="G85" s="101">
        <v>350</v>
      </c>
      <c r="H85" s="101"/>
      <c r="I85" s="101">
        <v>350</v>
      </c>
      <c r="J85" s="25"/>
      <c r="K85" s="101">
        <v>350</v>
      </c>
      <c r="L85" s="25"/>
      <c r="M85" s="101">
        <v>350</v>
      </c>
      <c r="N85" s="101"/>
      <c r="O85" s="101">
        <v>350</v>
      </c>
      <c r="P85" s="25"/>
      <c r="Q85" s="101">
        <v>350</v>
      </c>
      <c r="R85" s="25"/>
      <c r="S85" s="101">
        <v>350</v>
      </c>
      <c r="T85" s="101"/>
      <c r="U85" s="101">
        <v>350</v>
      </c>
      <c r="V85" s="101"/>
      <c r="W85" s="101">
        <v>350</v>
      </c>
      <c r="X85" s="101"/>
      <c r="Y85" s="101">
        <v>350</v>
      </c>
      <c r="Z85" s="101"/>
      <c r="AA85" s="101">
        <v>350</v>
      </c>
      <c r="AB85" s="21">
        <f t="shared" si="3"/>
        <v>4200</v>
      </c>
    </row>
    <row r="86" spans="1:28" ht="18">
      <c r="A86" s="34"/>
      <c r="B86" s="247"/>
      <c r="C86" s="142" t="s">
        <v>241</v>
      </c>
      <c r="D86" s="62" t="s">
        <v>402</v>
      </c>
      <c r="E86" s="101">
        <v>220</v>
      </c>
      <c r="F86" s="101"/>
      <c r="G86" s="101">
        <v>220</v>
      </c>
      <c r="H86" s="101"/>
      <c r="I86" s="101">
        <v>220</v>
      </c>
      <c r="J86" s="25"/>
      <c r="K86" s="101">
        <v>220</v>
      </c>
      <c r="L86" s="25"/>
      <c r="M86" s="101">
        <v>220</v>
      </c>
      <c r="N86" s="101"/>
      <c r="O86" s="101">
        <v>220</v>
      </c>
      <c r="P86" s="25"/>
      <c r="Q86" s="101">
        <v>220</v>
      </c>
      <c r="R86" s="25"/>
      <c r="S86" s="101">
        <v>220</v>
      </c>
      <c r="T86" s="101"/>
      <c r="U86" s="101">
        <v>220</v>
      </c>
      <c r="V86" s="101"/>
      <c r="W86" s="101">
        <v>220</v>
      </c>
      <c r="X86" s="101"/>
      <c r="Y86" s="101">
        <v>220</v>
      </c>
      <c r="Z86" s="101"/>
      <c r="AA86" s="101">
        <v>220</v>
      </c>
      <c r="AB86" s="21">
        <f t="shared" si="3"/>
        <v>2640</v>
      </c>
    </row>
    <row r="87" spans="1:28" ht="18">
      <c r="A87" s="34"/>
      <c r="B87" s="247"/>
      <c r="C87" s="142" t="s">
        <v>206</v>
      </c>
      <c r="D87" s="103" t="s">
        <v>152</v>
      </c>
      <c r="E87" s="101">
        <v>900</v>
      </c>
      <c r="F87" s="101"/>
      <c r="G87" s="101">
        <v>900</v>
      </c>
      <c r="H87" s="101"/>
      <c r="I87" s="101">
        <v>900</v>
      </c>
      <c r="J87" s="25"/>
      <c r="K87" s="101">
        <v>900</v>
      </c>
      <c r="L87" s="25"/>
      <c r="M87" s="101">
        <v>900</v>
      </c>
      <c r="N87" s="101"/>
      <c r="O87" s="101">
        <v>900</v>
      </c>
      <c r="P87" s="25"/>
      <c r="Q87" s="101">
        <v>900</v>
      </c>
      <c r="R87" s="25"/>
      <c r="S87" s="101">
        <v>900</v>
      </c>
      <c r="T87" s="101"/>
      <c r="U87" s="101">
        <v>900</v>
      </c>
      <c r="V87" s="101"/>
      <c r="W87" s="101">
        <v>900</v>
      </c>
      <c r="X87" s="101"/>
      <c r="Y87" s="101">
        <v>900</v>
      </c>
      <c r="Z87" s="101"/>
      <c r="AA87" s="101">
        <v>900</v>
      </c>
      <c r="AB87" s="21">
        <f t="shared" si="3"/>
        <v>10800</v>
      </c>
    </row>
    <row r="88" spans="1:28" ht="18">
      <c r="A88" s="34"/>
      <c r="B88" s="247"/>
      <c r="C88" s="142" t="s">
        <v>267</v>
      </c>
      <c r="D88" s="62" t="s">
        <v>172</v>
      </c>
      <c r="E88" s="101">
        <v>440</v>
      </c>
      <c r="F88" s="101"/>
      <c r="G88" s="101">
        <v>440</v>
      </c>
      <c r="H88" s="101"/>
      <c r="I88" s="101">
        <v>440</v>
      </c>
      <c r="J88" s="25"/>
      <c r="K88" s="101">
        <v>440</v>
      </c>
      <c r="L88" s="25"/>
      <c r="M88" s="101">
        <v>440</v>
      </c>
      <c r="N88" s="101"/>
      <c r="O88" s="101">
        <v>440</v>
      </c>
      <c r="P88" s="25"/>
      <c r="Q88" s="101">
        <v>440</v>
      </c>
      <c r="R88" s="25"/>
      <c r="S88" s="101">
        <v>440</v>
      </c>
      <c r="T88" s="101"/>
      <c r="U88" s="101">
        <v>440</v>
      </c>
      <c r="V88" s="101"/>
      <c r="W88" s="101">
        <v>440</v>
      </c>
      <c r="X88" s="101"/>
      <c r="Y88" s="101">
        <v>440</v>
      </c>
      <c r="Z88" s="101"/>
      <c r="AA88" s="101">
        <v>440</v>
      </c>
      <c r="AB88" s="21">
        <f t="shared" si="3"/>
        <v>5280</v>
      </c>
    </row>
    <row r="89" spans="1:28" ht="18">
      <c r="A89" s="34"/>
      <c r="B89" s="247"/>
      <c r="C89" s="142" t="s">
        <v>229</v>
      </c>
      <c r="D89" s="62" t="s">
        <v>88</v>
      </c>
      <c r="E89" s="101">
        <v>920</v>
      </c>
      <c r="F89" s="101"/>
      <c r="G89" s="101">
        <v>920</v>
      </c>
      <c r="H89" s="101"/>
      <c r="I89" s="101">
        <v>920</v>
      </c>
      <c r="J89" s="25"/>
      <c r="K89" s="101">
        <v>920</v>
      </c>
      <c r="L89" s="25"/>
      <c r="M89" s="101">
        <v>920</v>
      </c>
      <c r="N89" s="101"/>
      <c r="O89" s="101">
        <v>920</v>
      </c>
      <c r="P89" s="25"/>
      <c r="Q89" s="101">
        <v>920</v>
      </c>
      <c r="R89" s="25"/>
      <c r="S89" s="101">
        <v>920</v>
      </c>
      <c r="T89" s="101"/>
      <c r="U89" s="101">
        <v>920</v>
      </c>
      <c r="V89" s="101"/>
      <c r="W89" s="101">
        <v>920</v>
      </c>
      <c r="X89" s="101"/>
      <c r="Y89" s="101">
        <v>920</v>
      </c>
      <c r="Z89" s="101"/>
      <c r="AA89" s="101">
        <v>920</v>
      </c>
      <c r="AB89" s="21">
        <f t="shared" si="3"/>
        <v>11040</v>
      </c>
    </row>
    <row r="90" spans="1:28" ht="18">
      <c r="A90" s="34"/>
      <c r="B90" s="247"/>
      <c r="C90" s="142" t="s">
        <v>231</v>
      </c>
      <c r="D90" s="62" t="s">
        <v>159</v>
      </c>
      <c r="E90" s="101">
        <v>2903</v>
      </c>
      <c r="F90" s="101"/>
      <c r="G90" s="101">
        <v>2903</v>
      </c>
      <c r="H90" s="101"/>
      <c r="I90" s="101">
        <v>2903</v>
      </c>
      <c r="J90" s="25"/>
      <c r="K90" s="101">
        <v>2903</v>
      </c>
      <c r="L90" s="25"/>
      <c r="M90" s="101">
        <v>2903</v>
      </c>
      <c r="N90" s="101"/>
      <c r="O90" s="101">
        <v>2903</v>
      </c>
      <c r="P90" s="25"/>
      <c r="Q90" s="101">
        <v>2903</v>
      </c>
      <c r="R90" s="25"/>
      <c r="S90" s="101">
        <v>2903</v>
      </c>
      <c r="T90" s="101"/>
      <c r="U90" s="101">
        <v>2903</v>
      </c>
      <c r="V90" s="101"/>
      <c r="W90" s="101">
        <v>2903</v>
      </c>
      <c r="X90" s="101"/>
      <c r="Y90" s="101">
        <v>2903</v>
      </c>
      <c r="Z90" s="101"/>
      <c r="AA90" s="101">
        <v>2903</v>
      </c>
      <c r="AB90" s="21">
        <f t="shared" si="3"/>
        <v>34836</v>
      </c>
    </row>
    <row r="91" spans="1:28" ht="18">
      <c r="A91" s="33" t="s">
        <v>36</v>
      </c>
      <c r="B91" s="247"/>
      <c r="C91" s="142" t="s">
        <v>233</v>
      </c>
      <c r="D91" s="62" t="s">
        <v>93</v>
      </c>
      <c r="E91" s="139">
        <f>(E102-(SUM(E84:E90)+SUM(E95:E101)))*0.12</f>
        <v>55943.849408005539</v>
      </c>
      <c r="F91" s="107"/>
      <c r="G91" s="139">
        <f>(G102-(SUM(G84:G90)+SUM(G95:G101)))*0.12</f>
        <v>17377.487999999998</v>
      </c>
      <c r="H91" s="107"/>
      <c r="I91" s="139">
        <f>(I102-(SUM(I84:I90)+SUM(I95:I101)))*0.12</f>
        <v>2559317.5536000002</v>
      </c>
      <c r="J91" s="25"/>
      <c r="K91" s="139">
        <f>(K102-(SUM(K84:K90)+SUM(K95:K101)))*0.12</f>
        <v>-5111.76</v>
      </c>
      <c r="L91" s="25"/>
      <c r="M91" s="139">
        <f>(M102-(SUM(M84:M90)+SUM(M95:M101)))*0.12</f>
        <v>-5315.04</v>
      </c>
      <c r="N91" s="107"/>
      <c r="O91" s="139">
        <f>(O102-(SUM(O84:O90)+SUM(O95:O101)))*0.12</f>
        <v>-5111.76</v>
      </c>
      <c r="P91" s="25"/>
      <c r="Q91" s="139">
        <f>(Q102-(SUM(Q84:Q90)+SUM(Q95:Q101)))*0.12</f>
        <v>-5315.04</v>
      </c>
      <c r="R91" s="25"/>
      <c r="S91" s="139">
        <f>(S102-(SUM(S84:S90)+SUM(S95:S101)))*0.12</f>
        <v>-5315.04</v>
      </c>
      <c r="T91" s="107"/>
      <c r="U91" s="139">
        <f>(U102-(SUM(U84:U90)+SUM(U95:U101)))*0.12</f>
        <v>-5111.76</v>
      </c>
      <c r="V91" s="107"/>
      <c r="W91" s="139">
        <f>(W102-(SUM(W84:W90)+SUM(W95:W101)))*0.12</f>
        <v>-5315.04</v>
      </c>
      <c r="X91" s="139"/>
      <c r="Y91" s="139">
        <f>(Y102-(SUM(Y84:Y90)+SUM(Y95:Y101)))*0.12</f>
        <v>-5111.76</v>
      </c>
      <c r="Z91" s="139"/>
      <c r="AA91" s="139">
        <f>(AA102-(SUM(AA84:AA90)+SUM(AA95:AA101)))*0.12</f>
        <v>-5315.04</v>
      </c>
      <c r="AB91" s="21">
        <f t="shared" si="3"/>
        <v>2585616.6510080067</v>
      </c>
    </row>
    <row r="92" spans="1:28" ht="18">
      <c r="A92" s="34"/>
      <c r="B92" s="247"/>
      <c r="C92" s="142" t="s">
        <v>234</v>
      </c>
      <c r="D92" s="62" t="s">
        <v>94</v>
      </c>
      <c r="E92" s="139">
        <f>(E102-(SUM(E84:E90)+SUM(E95:E101)))*0.08</f>
        <v>37295.899605337028</v>
      </c>
      <c r="F92" s="25"/>
      <c r="G92" s="139">
        <f>(G102-(SUM(G84:G90)+SUM(G95:G101)))*0.08</f>
        <v>11584.992</v>
      </c>
      <c r="H92" s="25"/>
      <c r="I92" s="139">
        <f>(I102-(SUM(I84:I90)+SUM(I95:I101)))*0.08</f>
        <v>1706211.7024000001</v>
      </c>
      <c r="J92" s="25"/>
      <c r="K92" s="139">
        <f>(K102-(SUM(K84:K90)+SUM(K95:K101)))*0.08</f>
        <v>-3407.84</v>
      </c>
      <c r="L92" s="25"/>
      <c r="M92" s="139">
        <f>(M102-(SUM(M84:M90)+SUM(M95:M101)))*0.08</f>
        <v>-3543.36</v>
      </c>
      <c r="N92" s="25"/>
      <c r="O92" s="139">
        <f>(O102-(SUM(O84:O90)+SUM(O95:O101)))*0.08</f>
        <v>-3407.84</v>
      </c>
      <c r="P92" s="25"/>
      <c r="Q92" s="139">
        <f>(Q102-(SUM(Q84:Q90)+SUM(Q95:Q101)))*0.08</f>
        <v>-3543.36</v>
      </c>
      <c r="R92" s="25"/>
      <c r="S92" s="139">
        <f>(S102-(SUM(S84:S90)+SUM(S95:S101)))*0.08</f>
        <v>-3543.36</v>
      </c>
      <c r="T92" s="25"/>
      <c r="U92" s="139">
        <f>(U102-(SUM(U84:U90)+SUM(U95:U101)))*0.08</f>
        <v>-3407.84</v>
      </c>
      <c r="V92" s="25"/>
      <c r="W92" s="139">
        <f>(W102-(SUM(W84:W90)+SUM(W95:W101)))*0.08</f>
        <v>-3543.36</v>
      </c>
      <c r="X92" s="139"/>
      <c r="Y92" s="139">
        <f>(Y102-(SUM(Y84:Y90)+SUM(Y95:Y101)))*0.08</f>
        <v>-3407.84</v>
      </c>
      <c r="Z92" s="139"/>
      <c r="AA92" s="139">
        <f>(AA102-(SUM(AA84:AA90)+SUM(AA95:AA101)))*0.08</f>
        <v>-3543.36</v>
      </c>
      <c r="AB92" s="21">
        <f t="shared" si="3"/>
        <v>1723744.4340053361</v>
      </c>
    </row>
    <row r="93" spans="1:28" ht="18">
      <c r="A93" s="34"/>
      <c r="B93" s="247"/>
      <c r="C93" s="142" t="s">
        <v>235</v>
      </c>
      <c r="D93" s="62" t="s">
        <v>95</v>
      </c>
      <c r="E93" s="139">
        <f>(E102-(SUM(E84:E90)+SUM(E95:E101)))*0.08</f>
        <v>37295.899605337028</v>
      </c>
      <c r="F93" s="25"/>
      <c r="G93" s="139">
        <f>(G102-(SUM(G84:G90)+SUM(G95:G101)))*0.08</f>
        <v>11584.992</v>
      </c>
      <c r="H93" s="25"/>
      <c r="I93" s="139">
        <f>(I102-(SUM(I84:I90)+SUM(I95:I101)))*0.08</f>
        <v>1706211.7024000001</v>
      </c>
      <c r="J93" s="25"/>
      <c r="K93" s="139">
        <f>(K102-(SUM(K84:K90)+SUM(K95:K101)))*0.08</f>
        <v>-3407.84</v>
      </c>
      <c r="L93" s="25"/>
      <c r="M93" s="139">
        <f>(M102-(SUM(M84:M90)+SUM(M95:M101)))*0.08</f>
        <v>-3543.36</v>
      </c>
      <c r="N93" s="25"/>
      <c r="O93" s="139">
        <f>(O102-(SUM(O84:O90)+SUM(O95:O101)))*0.08</f>
        <v>-3407.84</v>
      </c>
      <c r="P93" s="25"/>
      <c r="Q93" s="139">
        <f>(Q102-(SUM(Q84:Q90)+SUM(Q95:Q101)))*0.08</f>
        <v>-3543.36</v>
      </c>
      <c r="R93" s="25"/>
      <c r="S93" s="139">
        <f>(S102-(SUM(S84:S90)+SUM(S95:S101)))*0.08</f>
        <v>-3543.36</v>
      </c>
      <c r="T93" s="25"/>
      <c r="U93" s="139">
        <f>(U102-(SUM(U84:U90)+SUM(U95:U101)))*0.08</f>
        <v>-3407.84</v>
      </c>
      <c r="V93" s="25"/>
      <c r="W93" s="139">
        <f>(W102-(SUM(W84:W90)+SUM(W95:W101)))*0.08</f>
        <v>-3543.36</v>
      </c>
      <c r="X93" s="139"/>
      <c r="Y93" s="139">
        <f>(Y102-(SUM(Y84:Y90)+SUM(Y95:Y101)))*0.08</f>
        <v>-3407.84</v>
      </c>
      <c r="Z93" s="139"/>
      <c r="AA93" s="139">
        <f>(AA102-(SUM(AA84:AA90)+SUM(AA95:AA101)))*0.08</f>
        <v>-3543.36</v>
      </c>
      <c r="AB93" s="21">
        <f t="shared" si="3"/>
        <v>1723744.4340053361</v>
      </c>
    </row>
    <row r="94" spans="1:28" ht="18">
      <c r="A94" s="34"/>
      <c r="B94" s="247"/>
      <c r="C94" s="142" t="s">
        <v>236</v>
      </c>
      <c r="D94" s="62" t="s">
        <v>161</v>
      </c>
      <c r="E94" s="139">
        <f>E102-(SUM(E84:E93)+SUM(E95:E101))</f>
        <v>335663.09644803323</v>
      </c>
      <c r="F94" s="25"/>
      <c r="G94" s="139">
        <f>G102-(SUM(G84:G93)+SUM(G95:G101))</f>
        <v>104264.928</v>
      </c>
      <c r="H94" s="25"/>
      <c r="I94" s="139">
        <f>I102-(SUM(I84:I93)+SUM(I95:I101))</f>
        <v>15355905.321600001</v>
      </c>
      <c r="J94" s="25"/>
      <c r="K94" s="139">
        <f>K102-(SUM(K84:K93)+SUM(K95:K101))</f>
        <v>-30670.559999999998</v>
      </c>
      <c r="L94" s="25"/>
      <c r="M94" s="139">
        <f>M102-(SUM(M84:M93)+SUM(M95:M101))</f>
        <v>-31890.239999999998</v>
      </c>
      <c r="N94" s="25"/>
      <c r="O94" s="139">
        <f>O102-(SUM(O84:O93)+SUM(O95:O101))</f>
        <v>-30670.559999999998</v>
      </c>
      <c r="P94" s="25"/>
      <c r="Q94" s="139">
        <f>Q102-(SUM(Q84:Q93)+SUM(Q95:Q101))</f>
        <v>-31890.239999999998</v>
      </c>
      <c r="R94" s="25"/>
      <c r="S94" s="139">
        <f>S102-(SUM(S84:S93)+SUM(S95:S101))</f>
        <v>-31890.239999999998</v>
      </c>
      <c r="T94" s="25"/>
      <c r="U94" s="139">
        <f>U102-(SUM(U84:U93)+SUM(U95:U101))</f>
        <v>-30670.559999999998</v>
      </c>
      <c r="V94" s="25"/>
      <c r="W94" s="139">
        <f>W102-(SUM(W84:W93)+SUM(W95:W101))</f>
        <v>-31890.239999999998</v>
      </c>
      <c r="X94" s="139"/>
      <c r="Y94" s="139">
        <f>Y102-(SUM(Y84:Y93)+SUM(Y95:Y101))</f>
        <v>-30670.559999999998</v>
      </c>
      <c r="Z94" s="139"/>
      <c r="AA94" s="139">
        <f>AA102-(SUM(AA84:AA93)+SUM(AA95:AA101))</f>
        <v>-31890.239999999998</v>
      </c>
      <c r="AB94" s="21">
        <f t="shared" si="3"/>
        <v>15513699.906048032</v>
      </c>
    </row>
    <row r="95" spans="1:28" ht="18">
      <c r="A95" s="34"/>
      <c r="B95" s="247"/>
      <c r="C95" s="142" t="s">
        <v>238</v>
      </c>
      <c r="D95" s="62" t="s">
        <v>162</v>
      </c>
      <c r="E95" s="101">
        <v>200</v>
      </c>
      <c r="F95" s="101"/>
      <c r="G95" s="101">
        <v>200</v>
      </c>
      <c r="H95" s="101"/>
      <c r="I95" s="101">
        <v>200</v>
      </c>
      <c r="J95" s="25"/>
      <c r="K95" s="101">
        <v>200</v>
      </c>
      <c r="L95" s="25"/>
      <c r="M95" s="101">
        <v>200</v>
      </c>
      <c r="N95" s="101"/>
      <c r="O95" s="101">
        <v>200</v>
      </c>
      <c r="P95" s="25"/>
      <c r="Q95" s="101">
        <v>200</v>
      </c>
      <c r="R95" s="25"/>
      <c r="S95" s="101">
        <v>200</v>
      </c>
      <c r="T95" s="101"/>
      <c r="U95" s="101">
        <v>200</v>
      </c>
      <c r="V95" s="101"/>
      <c r="W95" s="101">
        <v>200</v>
      </c>
      <c r="X95" s="101"/>
      <c r="Y95" s="101">
        <v>200</v>
      </c>
      <c r="Z95" s="101"/>
      <c r="AA95" s="101">
        <v>200</v>
      </c>
      <c r="AB95" s="21">
        <f t="shared" ref="AB95:AB141" si="16">E95+G95+I95+K95+M95+O95+Q95+S95+U95+W95+Y95+AA95</f>
        <v>2400</v>
      </c>
    </row>
    <row r="96" spans="1:28" ht="18">
      <c r="A96" s="34"/>
      <c r="B96" s="247"/>
      <c r="C96" s="142" t="s">
        <v>269</v>
      </c>
      <c r="D96" s="233" t="s">
        <v>169</v>
      </c>
      <c r="E96" s="101">
        <v>23855</v>
      </c>
      <c r="F96" s="101"/>
      <c r="G96" s="101">
        <v>20924</v>
      </c>
      <c r="H96" s="101">
        <v>23000</v>
      </c>
      <c r="I96" s="101">
        <v>23855</v>
      </c>
      <c r="J96" s="101">
        <v>23000</v>
      </c>
      <c r="K96" s="101">
        <v>22389</v>
      </c>
      <c r="L96" s="101">
        <v>23000</v>
      </c>
      <c r="M96" s="101">
        <v>23855</v>
      </c>
      <c r="N96" s="101">
        <v>23000</v>
      </c>
      <c r="O96" s="101">
        <v>22389</v>
      </c>
      <c r="P96" s="101">
        <v>23000</v>
      </c>
      <c r="Q96" s="101">
        <v>23855</v>
      </c>
      <c r="R96" s="101">
        <v>23000</v>
      </c>
      <c r="S96" s="101">
        <v>23855</v>
      </c>
      <c r="T96" s="101">
        <v>23000</v>
      </c>
      <c r="U96" s="101">
        <v>22389</v>
      </c>
      <c r="V96" s="101">
        <v>23000</v>
      </c>
      <c r="W96" s="101">
        <v>23855</v>
      </c>
      <c r="X96" s="101">
        <v>23000</v>
      </c>
      <c r="Y96" s="101">
        <v>22389</v>
      </c>
      <c r="Z96" s="101">
        <v>23000</v>
      </c>
      <c r="AA96" s="101">
        <v>23855</v>
      </c>
      <c r="AB96" s="21">
        <f t="shared" si="16"/>
        <v>277465</v>
      </c>
    </row>
    <row r="97" spans="1:28" ht="18">
      <c r="A97" s="34"/>
      <c r="B97" s="247"/>
      <c r="C97" s="142" t="s">
        <v>248</v>
      </c>
      <c r="D97" s="62" t="s">
        <v>401</v>
      </c>
      <c r="E97" s="101">
        <v>3800</v>
      </c>
      <c r="F97" s="101"/>
      <c r="G97" s="101">
        <v>3800</v>
      </c>
      <c r="H97" s="101"/>
      <c r="I97" s="101">
        <v>3800</v>
      </c>
      <c r="J97" s="25"/>
      <c r="K97" s="101">
        <v>3800</v>
      </c>
      <c r="L97" s="25"/>
      <c r="M97" s="101">
        <v>3800</v>
      </c>
      <c r="N97" s="101"/>
      <c r="O97" s="101">
        <v>3800</v>
      </c>
      <c r="P97" s="25"/>
      <c r="Q97" s="101">
        <v>3800</v>
      </c>
      <c r="R97" s="25"/>
      <c r="S97" s="101">
        <v>3800</v>
      </c>
      <c r="T97" s="101"/>
      <c r="U97" s="101">
        <v>3800</v>
      </c>
      <c r="V97" s="101"/>
      <c r="W97" s="101">
        <v>3800</v>
      </c>
      <c r="X97" s="101"/>
      <c r="Y97" s="101">
        <v>3800</v>
      </c>
      <c r="Z97" s="101"/>
      <c r="AA97" s="101">
        <v>3800</v>
      </c>
      <c r="AB97" s="21">
        <f t="shared" si="16"/>
        <v>45600</v>
      </c>
    </row>
    <row r="98" spans="1:28" ht="18">
      <c r="A98" s="34"/>
      <c r="B98" s="247"/>
      <c r="C98" s="142" t="s">
        <v>250</v>
      </c>
      <c r="D98" s="233" t="s">
        <v>122</v>
      </c>
      <c r="E98" s="101">
        <v>4133</v>
      </c>
      <c r="F98" s="101"/>
      <c r="G98" s="101">
        <v>3678</v>
      </c>
      <c r="H98" s="101">
        <v>4000</v>
      </c>
      <c r="I98" s="101">
        <v>4133</v>
      </c>
      <c r="J98" s="101">
        <v>4000</v>
      </c>
      <c r="K98" s="101">
        <v>3905</v>
      </c>
      <c r="L98" s="101">
        <v>4000</v>
      </c>
      <c r="M98" s="101">
        <v>4133</v>
      </c>
      <c r="N98" s="101">
        <v>4000</v>
      </c>
      <c r="O98" s="101">
        <v>3905</v>
      </c>
      <c r="P98" s="101">
        <v>4000</v>
      </c>
      <c r="Q98" s="101">
        <v>4133</v>
      </c>
      <c r="R98" s="101">
        <v>4000</v>
      </c>
      <c r="S98" s="101">
        <v>4133</v>
      </c>
      <c r="T98" s="101">
        <v>4000</v>
      </c>
      <c r="U98" s="101">
        <v>3905</v>
      </c>
      <c r="V98" s="101">
        <v>4000</v>
      </c>
      <c r="W98" s="101">
        <v>4133</v>
      </c>
      <c r="X98" s="101">
        <v>4000</v>
      </c>
      <c r="Y98" s="101">
        <v>3905</v>
      </c>
      <c r="Z98" s="101">
        <v>4000</v>
      </c>
      <c r="AA98" s="101">
        <v>4133</v>
      </c>
      <c r="AB98" s="21">
        <f t="shared" si="16"/>
        <v>48229</v>
      </c>
    </row>
    <row r="99" spans="1:28" ht="18">
      <c r="A99" s="34"/>
      <c r="B99" s="247"/>
      <c r="C99" s="142" t="s">
        <v>255</v>
      </c>
      <c r="D99" s="62" t="s">
        <v>165</v>
      </c>
      <c r="E99" s="101">
        <v>2183</v>
      </c>
      <c r="F99" s="101"/>
      <c r="G99" s="101">
        <v>2183</v>
      </c>
      <c r="H99" s="101"/>
      <c r="I99" s="101">
        <v>2183</v>
      </c>
      <c r="J99" s="25"/>
      <c r="K99" s="101">
        <v>2183</v>
      </c>
      <c r="L99" s="25"/>
      <c r="M99" s="101">
        <v>2183</v>
      </c>
      <c r="N99" s="101"/>
      <c r="O99" s="101">
        <v>2183</v>
      </c>
      <c r="P99" s="25"/>
      <c r="Q99" s="101">
        <v>2183</v>
      </c>
      <c r="R99" s="25"/>
      <c r="S99" s="101">
        <v>2183</v>
      </c>
      <c r="T99" s="101"/>
      <c r="U99" s="101">
        <v>2183</v>
      </c>
      <c r="V99" s="101"/>
      <c r="W99" s="101">
        <v>2183</v>
      </c>
      <c r="X99" s="101"/>
      <c r="Y99" s="101">
        <v>2183</v>
      </c>
      <c r="Z99" s="101"/>
      <c r="AA99" s="101">
        <v>2183</v>
      </c>
      <c r="AB99" s="21">
        <f t="shared" si="16"/>
        <v>26196</v>
      </c>
    </row>
    <row r="100" spans="1:28" ht="18">
      <c r="A100" s="34"/>
      <c r="B100" s="247"/>
      <c r="C100" s="142" t="s">
        <v>270</v>
      </c>
      <c r="D100" s="62" t="s">
        <v>170</v>
      </c>
      <c r="E100" s="101">
        <v>200</v>
      </c>
      <c r="F100" s="101"/>
      <c r="G100" s="101">
        <v>200</v>
      </c>
      <c r="H100" s="101"/>
      <c r="I100" s="101">
        <v>200</v>
      </c>
      <c r="J100" s="25"/>
      <c r="K100" s="101">
        <v>200</v>
      </c>
      <c r="L100" s="25"/>
      <c r="M100" s="101">
        <v>200</v>
      </c>
      <c r="N100" s="101"/>
      <c r="O100" s="101">
        <v>200</v>
      </c>
      <c r="P100" s="25"/>
      <c r="Q100" s="101">
        <v>200</v>
      </c>
      <c r="R100" s="25"/>
      <c r="S100" s="101">
        <v>200</v>
      </c>
      <c r="T100" s="101"/>
      <c r="U100" s="101">
        <v>200</v>
      </c>
      <c r="V100" s="101"/>
      <c r="W100" s="101">
        <v>200</v>
      </c>
      <c r="X100" s="101"/>
      <c r="Y100" s="101">
        <v>200</v>
      </c>
      <c r="Z100" s="101"/>
      <c r="AA100" s="101">
        <v>200</v>
      </c>
      <c r="AB100" s="21">
        <f t="shared" si="16"/>
        <v>2400</v>
      </c>
    </row>
    <row r="101" spans="1:28" ht="18.75" thickBot="1">
      <c r="A101" s="35"/>
      <c r="B101" s="248"/>
      <c r="C101" s="142" t="s">
        <v>272</v>
      </c>
      <c r="D101" s="62" t="s">
        <v>289</v>
      </c>
      <c r="E101" s="101">
        <v>588</v>
      </c>
      <c r="F101" s="101"/>
      <c r="G101" s="101">
        <v>588</v>
      </c>
      <c r="H101" s="101"/>
      <c r="I101" s="101">
        <v>588</v>
      </c>
      <c r="J101" s="25"/>
      <c r="K101" s="101">
        <v>588</v>
      </c>
      <c r="L101" s="25"/>
      <c r="M101" s="101">
        <v>588</v>
      </c>
      <c r="N101" s="101"/>
      <c r="O101" s="101">
        <v>588</v>
      </c>
      <c r="P101" s="25"/>
      <c r="Q101" s="101">
        <v>588</v>
      </c>
      <c r="R101" s="25"/>
      <c r="S101" s="101">
        <v>588</v>
      </c>
      <c r="T101" s="101"/>
      <c r="U101" s="101">
        <v>588</v>
      </c>
      <c r="V101" s="101"/>
      <c r="W101" s="101">
        <v>588</v>
      </c>
      <c r="X101" s="101"/>
      <c r="Y101" s="101">
        <v>588</v>
      </c>
      <c r="Z101" s="101"/>
      <c r="AA101" s="101">
        <v>588</v>
      </c>
      <c r="AB101" s="21">
        <f t="shared" si="16"/>
        <v>7056</v>
      </c>
    </row>
    <row r="102" spans="1:28" ht="18">
      <c r="A102" s="17"/>
      <c r="B102" s="125"/>
      <c r="C102" s="18"/>
      <c r="D102" s="42" t="s">
        <v>51</v>
      </c>
      <c r="E102" s="162">
        <f>Medidores!C104+Medidores!C105</f>
        <v>510490.74506671284</v>
      </c>
      <c r="F102" s="20"/>
      <c r="G102" s="20">
        <f>Medidores!E104+Medidores!E105</f>
        <v>185718.39999999999</v>
      </c>
      <c r="H102" s="20"/>
      <c r="I102" s="20">
        <f>Medidores!G104+Medidores!G105</f>
        <v>21371938.280000001</v>
      </c>
      <c r="J102" s="20"/>
      <c r="K102" s="20">
        <f>Medidores!I104+Medidores!I105</f>
        <v>0</v>
      </c>
      <c r="L102" s="20"/>
      <c r="M102" s="20">
        <f>Medidores!K104+Medidores!K105</f>
        <v>0</v>
      </c>
      <c r="N102" s="20"/>
      <c r="O102" s="20">
        <f>Medidores!M104+Medidores!M105</f>
        <v>0</v>
      </c>
      <c r="P102" s="20"/>
      <c r="Q102" s="20">
        <f>Medidores!O104+Medidores!O105</f>
        <v>0</v>
      </c>
      <c r="R102" s="20"/>
      <c r="S102" s="20">
        <f>Medidores!Q104+Medidores!Q105</f>
        <v>0</v>
      </c>
      <c r="T102" s="20"/>
      <c r="U102" s="20">
        <f>Medidores!S104+Medidores!S105</f>
        <v>0</v>
      </c>
      <c r="V102" s="20"/>
      <c r="W102" s="20">
        <f>Medidores!U104+Medidores!U105</f>
        <v>0</v>
      </c>
      <c r="X102" s="20"/>
      <c r="Y102" s="20">
        <f>Medidores!W104+Medidores!W105</f>
        <v>0</v>
      </c>
      <c r="Z102" s="20"/>
      <c r="AA102" s="20">
        <f>Medidores!Y104+Medidores!Y105</f>
        <v>0</v>
      </c>
      <c r="AB102" s="21">
        <f t="shared" si="16"/>
        <v>22068147.425066713</v>
      </c>
    </row>
    <row r="103" spans="1:28" ht="18">
      <c r="A103" s="37" t="s">
        <v>99</v>
      </c>
      <c r="B103" s="138" t="s">
        <v>99</v>
      </c>
      <c r="C103" s="61" t="s">
        <v>234</v>
      </c>
      <c r="D103" s="62" t="s">
        <v>94</v>
      </c>
      <c r="E103" s="163">
        <f>Medidores!C122*0.5</f>
        <v>72455.5</v>
      </c>
      <c r="F103" s="109"/>
      <c r="G103" s="109">
        <f>Medidores!E122*0.5</f>
        <v>50000</v>
      </c>
      <c r="H103" s="109"/>
      <c r="I103" s="109">
        <f>Medidores!G122*0.5</f>
        <v>-3387223.5</v>
      </c>
      <c r="J103" s="41"/>
      <c r="K103" s="109">
        <f>Medidores!I122*0.5</f>
        <v>0</v>
      </c>
      <c r="L103" s="41"/>
      <c r="M103" s="109">
        <f>Medidores!K122*0.5</f>
        <v>0</v>
      </c>
      <c r="N103" s="41"/>
      <c r="O103" s="109">
        <f>Medidores!M122*0.5</f>
        <v>0</v>
      </c>
      <c r="P103" s="41"/>
      <c r="Q103" s="109">
        <f>Medidores!O122*0.5</f>
        <v>0</v>
      </c>
      <c r="R103" s="41"/>
      <c r="S103" s="109">
        <f>Medidores!Q122*0.5</f>
        <v>0</v>
      </c>
      <c r="T103" s="109"/>
      <c r="U103" s="109">
        <f>Medidores!S122*0.5</f>
        <v>0</v>
      </c>
      <c r="V103" s="109"/>
      <c r="W103" s="109">
        <f>Medidores!U122*0.5</f>
        <v>0</v>
      </c>
      <c r="X103" s="109"/>
      <c r="Y103" s="109">
        <f>Medidores!W122*0.5</f>
        <v>0</v>
      </c>
      <c r="Z103" s="109"/>
      <c r="AA103" s="109">
        <f>Medidores!Y122*0.5</f>
        <v>0</v>
      </c>
      <c r="AB103" s="21">
        <f t="shared" si="16"/>
        <v>-3264768</v>
      </c>
    </row>
    <row r="104" spans="1:28" ht="18">
      <c r="A104" s="37"/>
      <c r="B104" s="138"/>
      <c r="C104" s="61" t="s">
        <v>235</v>
      </c>
      <c r="D104" s="62" t="s">
        <v>95</v>
      </c>
      <c r="E104" s="163">
        <f>Medidores!C122*0.5</f>
        <v>72455.5</v>
      </c>
      <c r="F104" s="109"/>
      <c r="G104" s="109">
        <f>Medidores!E122*0.5</f>
        <v>50000</v>
      </c>
      <c r="H104" s="109"/>
      <c r="I104" s="109">
        <f>Medidores!G122*0.5</f>
        <v>-3387223.5</v>
      </c>
      <c r="J104" s="41"/>
      <c r="K104" s="109">
        <f>Medidores!I122*0.5</f>
        <v>0</v>
      </c>
      <c r="L104" s="41"/>
      <c r="M104" s="109">
        <f>Medidores!K122*0.5</f>
        <v>0</v>
      </c>
      <c r="N104" s="41"/>
      <c r="O104" s="109">
        <f>Medidores!M122*0.5</f>
        <v>0</v>
      </c>
      <c r="P104" s="41"/>
      <c r="Q104" s="109">
        <f>Medidores!O122*0.5</f>
        <v>0</v>
      </c>
      <c r="R104" s="41"/>
      <c r="S104" s="109">
        <f>Medidores!Q122*0.5</f>
        <v>0</v>
      </c>
      <c r="T104" s="109"/>
      <c r="U104" s="109">
        <f>Medidores!S122*0.5</f>
        <v>0</v>
      </c>
      <c r="V104" s="109"/>
      <c r="W104" s="109">
        <f>Medidores!U122*0.5</f>
        <v>0</v>
      </c>
      <c r="X104" s="109"/>
      <c r="Y104" s="109">
        <f>Medidores!W122*0.5</f>
        <v>0</v>
      </c>
      <c r="Z104" s="109"/>
      <c r="AA104" s="109">
        <f>Medidores!Y122*0.5</f>
        <v>0</v>
      </c>
      <c r="AB104" s="21">
        <f t="shared" si="16"/>
        <v>-3264768</v>
      </c>
    </row>
    <row r="105" spans="1:28" ht="18">
      <c r="A105" s="37"/>
      <c r="B105" s="138" t="s">
        <v>100</v>
      </c>
      <c r="C105" s="61" t="s">
        <v>234</v>
      </c>
      <c r="D105" s="62" t="s">
        <v>94</v>
      </c>
      <c r="E105" s="163">
        <f>Medidores!C123*0.5</f>
        <v>72455.5</v>
      </c>
      <c r="F105" s="109"/>
      <c r="G105" s="109">
        <f>Medidores!E123*0.5</f>
        <v>50000</v>
      </c>
      <c r="H105" s="109"/>
      <c r="I105" s="109">
        <f>Medidores!G123*0.5</f>
        <v>-3387223.5</v>
      </c>
      <c r="J105" s="41"/>
      <c r="K105" s="109">
        <f>Medidores!I123*0.5</f>
        <v>0</v>
      </c>
      <c r="L105" s="41"/>
      <c r="M105" s="109">
        <f>Medidores!K123*0.5</f>
        <v>0</v>
      </c>
      <c r="N105" s="41"/>
      <c r="O105" s="109">
        <f>Medidores!M123*0.5</f>
        <v>0</v>
      </c>
      <c r="P105" s="41"/>
      <c r="Q105" s="109">
        <f>Medidores!O123*0.5</f>
        <v>0</v>
      </c>
      <c r="R105" s="41"/>
      <c r="S105" s="109">
        <f>Medidores!Q123*0.5</f>
        <v>0</v>
      </c>
      <c r="T105" s="109"/>
      <c r="U105" s="109">
        <f>Medidores!S123*0.5</f>
        <v>0</v>
      </c>
      <c r="V105" s="109"/>
      <c r="W105" s="109">
        <f>Medidores!U123*0.5</f>
        <v>0</v>
      </c>
      <c r="X105" s="109"/>
      <c r="Y105" s="109">
        <f>Medidores!W123*0.5</f>
        <v>0</v>
      </c>
      <c r="Z105" s="109"/>
      <c r="AA105" s="109">
        <f>Medidores!Y123*0.5</f>
        <v>0</v>
      </c>
      <c r="AB105" s="21">
        <f t="shared" si="16"/>
        <v>-3264768</v>
      </c>
    </row>
    <row r="106" spans="1:28" ht="18">
      <c r="A106" s="37" t="s">
        <v>100</v>
      </c>
      <c r="B106" s="138"/>
      <c r="C106" s="61" t="s">
        <v>235</v>
      </c>
      <c r="D106" s="62" t="s">
        <v>95</v>
      </c>
      <c r="E106" s="163">
        <f>Medidores!C123*0.5</f>
        <v>72455.5</v>
      </c>
      <c r="F106" s="109"/>
      <c r="G106" s="109">
        <f>Medidores!E123*0.5</f>
        <v>50000</v>
      </c>
      <c r="H106" s="109"/>
      <c r="I106" s="109">
        <f>Medidores!G123*0.5</f>
        <v>-3387223.5</v>
      </c>
      <c r="J106" s="41"/>
      <c r="K106" s="109">
        <f>Medidores!I123*0.5</f>
        <v>0</v>
      </c>
      <c r="L106" s="41"/>
      <c r="M106" s="109">
        <f>Medidores!K123*0.5</f>
        <v>0</v>
      </c>
      <c r="N106" s="41"/>
      <c r="O106" s="109">
        <f>Medidores!M123*0.5</f>
        <v>0</v>
      </c>
      <c r="P106" s="41"/>
      <c r="Q106" s="109">
        <f>Medidores!O123*0.5</f>
        <v>0</v>
      </c>
      <c r="R106" s="41"/>
      <c r="S106" s="109">
        <f>Medidores!Q123*0.5</f>
        <v>0</v>
      </c>
      <c r="T106" s="109"/>
      <c r="U106" s="109">
        <f>Medidores!S123*0.5</f>
        <v>0</v>
      </c>
      <c r="V106" s="109"/>
      <c r="W106" s="109">
        <f>Medidores!U123*0.5</f>
        <v>0</v>
      </c>
      <c r="X106" s="109"/>
      <c r="Y106" s="109">
        <f>Medidores!W123*0.5</f>
        <v>0</v>
      </c>
      <c r="Z106" s="109"/>
      <c r="AA106" s="109">
        <f>Medidores!Y123*0.5</f>
        <v>0</v>
      </c>
      <c r="AB106" s="21">
        <f t="shared" si="16"/>
        <v>-3264768</v>
      </c>
    </row>
    <row r="107" spans="1:28" ht="18">
      <c r="A107" s="37" t="s">
        <v>101</v>
      </c>
      <c r="B107" s="138" t="s">
        <v>101</v>
      </c>
      <c r="C107" s="61" t="s">
        <v>232</v>
      </c>
      <c r="D107" s="62" t="s">
        <v>160</v>
      </c>
      <c r="E107" s="163">
        <f>Medidores!C124</f>
        <v>841728</v>
      </c>
      <c r="F107" s="109"/>
      <c r="G107" s="109">
        <f>Medidores!E124</f>
        <v>100000</v>
      </c>
      <c r="H107" s="109"/>
      <c r="I107" s="109">
        <f>Medidores!G124</f>
        <v>-21094560</v>
      </c>
      <c r="J107" s="41"/>
      <c r="K107" s="109">
        <f>Medidores!I124</f>
        <v>0</v>
      </c>
      <c r="L107" s="41"/>
      <c r="M107" s="109">
        <f>Medidores!K124</f>
        <v>0</v>
      </c>
      <c r="N107" s="41"/>
      <c r="O107" s="109">
        <f>Medidores!M124</f>
        <v>0</v>
      </c>
      <c r="P107" s="41"/>
      <c r="Q107" s="109">
        <f>Medidores!O124</f>
        <v>0</v>
      </c>
      <c r="R107" s="41"/>
      <c r="S107" s="109">
        <f>Medidores!Q124</f>
        <v>0</v>
      </c>
      <c r="T107" s="109"/>
      <c r="U107" s="109">
        <f>Medidores!S124</f>
        <v>0</v>
      </c>
      <c r="V107" s="109"/>
      <c r="W107" s="109">
        <f>Medidores!U124</f>
        <v>0</v>
      </c>
      <c r="X107" s="109"/>
      <c r="Y107" s="109">
        <f>Medidores!W124</f>
        <v>0</v>
      </c>
      <c r="Z107" s="109"/>
      <c r="AA107" s="109">
        <f>Medidores!Y124</f>
        <v>0</v>
      </c>
      <c r="AB107" s="21">
        <f t="shared" si="16"/>
        <v>-20152832</v>
      </c>
    </row>
    <row r="108" spans="1:28" ht="18">
      <c r="A108" s="17"/>
      <c r="B108" s="125"/>
      <c r="C108" s="110"/>
      <c r="D108" s="111" t="s">
        <v>51</v>
      </c>
      <c r="E108" s="112">
        <f>SUM(E103:E107)</f>
        <v>1131550</v>
      </c>
      <c r="F108" s="112"/>
      <c r="G108" s="112">
        <f>SUM(G103:G107)</f>
        <v>300000</v>
      </c>
      <c r="H108" s="112"/>
      <c r="I108" s="112">
        <f>SUM(I103:I107)</f>
        <v>-34643454</v>
      </c>
      <c r="J108" s="43"/>
      <c r="K108" s="112">
        <f>SUM(K103:K107)</f>
        <v>0</v>
      </c>
      <c r="L108" s="43"/>
      <c r="M108" s="112">
        <f>SUM(M103:M107)</f>
        <v>0</v>
      </c>
      <c r="N108" s="43"/>
      <c r="O108" s="112">
        <f>SUM(O103:O107)</f>
        <v>0</v>
      </c>
      <c r="P108" s="43"/>
      <c r="Q108" s="112">
        <f>SUM(Q103:Q107)</f>
        <v>0</v>
      </c>
      <c r="R108" s="43"/>
      <c r="S108" s="112">
        <f>SUM(S103:S107)</f>
        <v>0</v>
      </c>
      <c r="T108" s="112"/>
      <c r="U108" s="112">
        <f>SUM(U103:U107)</f>
        <v>0</v>
      </c>
      <c r="V108" s="112"/>
      <c r="W108" s="112">
        <f>SUM(W103:W107)</f>
        <v>0</v>
      </c>
      <c r="X108" s="112"/>
      <c r="Y108" s="112">
        <f>SUM(Y103:Y107)</f>
        <v>0</v>
      </c>
      <c r="Z108" s="112"/>
      <c r="AA108" s="112">
        <f>SUM(AA103:AA107)</f>
        <v>0</v>
      </c>
      <c r="AB108" s="21">
        <f t="shared" si="16"/>
        <v>-33211904</v>
      </c>
    </row>
    <row r="109" spans="1:28" ht="18">
      <c r="A109" s="37" t="s">
        <v>102</v>
      </c>
      <c r="B109" s="138" t="s">
        <v>103</v>
      </c>
      <c r="C109" s="61" t="s">
        <v>236</v>
      </c>
      <c r="D109" s="62" t="s">
        <v>161</v>
      </c>
      <c r="E109" s="162">
        <f>Medidores!C116</f>
        <v>1424704</v>
      </c>
      <c r="F109" s="108"/>
      <c r="G109" s="108">
        <f>Medidores!E116</f>
        <v>100000</v>
      </c>
      <c r="H109" s="108"/>
      <c r="I109" s="108">
        <f>Medidores!G116</f>
        <v>-2083456</v>
      </c>
      <c r="J109" s="20"/>
      <c r="K109" s="108">
        <f>Medidores!I116</f>
        <v>0</v>
      </c>
      <c r="L109" s="20"/>
      <c r="M109" s="108">
        <f>Medidores!K116</f>
        <v>0</v>
      </c>
      <c r="N109" s="20"/>
      <c r="O109" s="108">
        <f>Medidores!M116</f>
        <v>0</v>
      </c>
      <c r="P109" s="20"/>
      <c r="Q109" s="108">
        <f>Medidores!O116</f>
        <v>0</v>
      </c>
      <c r="R109" s="20"/>
      <c r="S109" s="108">
        <f>Medidores!Q116</f>
        <v>0</v>
      </c>
      <c r="T109" s="108"/>
      <c r="U109" s="108">
        <f>Medidores!S116</f>
        <v>0</v>
      </c>
      <c r="V109" s="108"/>
      <c r="W109" s="108">
        <f>Medidores!U116</f>
        <v>0</v>
      </c>
      <c r="X109" s="108"/>
      <c r="Y109" s="108">
        <f>Medidores!W116</f>
        <v>0</v>
      </c>
      <c r="Z109" s="108"/>
      <c r="AA109" s="108">
        <f>Medidores!Y116</f>
        <v>0</v>
      </c>
      <c r="AB109" s="21">
        <f t="shared" si="16"/>
        <v>-558752</v>
      </c>
    </row>
    <row r="110" spans="1:28" ht="18">
      <c r="A110" s="37" t="s">
        <v>103</v>
      </c>
      <c r="B110" s="138" t="s">
        <v>100</v>
      </c>
      <c r="C110" s="61" t="s">
        <v>236</v>
      </c>
      <c r="D110" s="62" t="s">
        <v>161</v>
      </c>
      <c r="E110" s="162">
        <f>Medidores!C117</f>
        <v>2005296</v>
      </c>
      <c r="F110" s="108"/>
      <c r="G110" s="108">
        <f>Medidores!E117</f>
        <v>100000</v>
      </c>
      <c r="H110" s="108"/>
      <c r="I110" s="108">
        <f>Medidores!G117</f>
        <v>-3002208</v>
      </c>
      <c r="J110" s="20"/>
      <c r="K110" s="108">
        <f>Medidores!I117</f>
        <v>0</v>
      </c>
      <c r="L110" s="20"/>
      <c r="M110" s="108">
        <f>Medidores!K117</f>
        <v>0</v>
      </c>
      <c r="N110" s="20"/>
      <c r="O110" s="108">
        <f>Medidores!M117</f>
        <v>0</v>
      </c>
      <c r="P110" s="20"/>
      <c r="Q110" s="108">
        <f>Medidores!O117</f>
        <v>0</v>
      </c>
      <c r="R110" s="20"/>
      <c r="S110" s="108">
        <f>Medidores!Q117</f>
        <v>0</v>
      </c>
      <c r="T110" s="108"/>
      <c r="U110" s="108">
        <f>Medidores!S117</f>
        <v>0</v>
      </c>
      <c r="V110" s="108"/>
      <c r="W110" s="108">
        <f>Medidores!U117</f>
        <v>0</v>
      </c>
      <c r="X110" s="108"/>
      <c r="Y110" s="108">
        <f>Medidores!W117</f>
        <v>0</v>
      </c>
      <c r="Z110" s="108"/>
      <c r="AA110" s="108">
        <f>Medidores!Y117</f>
        <v>0</v>
      </c>
      <c r="AB110" s="21">
        <f t="shared" si="16"/>
        <v>-896912</v>
      </c>
    </row>
    <row r="111" spans="1:28" ht="18">
      <c r="A111" s="37" t="s">
        <v>104</v>
      </c>
      <c r="B111" s="138" t="s">
        <v>104</v>
      </c>
      <c r="C111" s="61" t="s">
        <v>236</v>
      </c>
      <c r="D111" s="62" t="s">
        <v>161</v>
      </c>
      <c r="E111" s="162">
        <f>Medidores!C118</f>
        <v>1846368</v>
      </c>
      <c r="F111" s="108"/>
      <c r="G111" s="108">
        <f>Medidores!E118</f>
        <v>100000</v>
      </c>
      <c r="H111" s="108"/>
      <c r="I111" s="108">
        <f>Medidores!G118</f>
        <v>-2772000</v>
      </c>
      <c r="J111" s="20"/>
      <c r="K111" s="108">
        <f>Medidores!I118</f>
        <v>0</v>
      </c>
      <c r="L111" s="20"/>
      <c r="M111" s="108">
        <f>Medidores!K118</f>
        <v>0</v>
      </c>
      <c r="N111" s="20"/>
      <c r="O111" s="108">
        <f>Medidores!M118</f>
        <v>0</v>
      </c>
      <c r="P111" s="20"/>
      <c r="Q111" s="108">
        <f>Medidores!O118</f>
        <v>0</v>
      </c>
      <c r="R111" s="20"/>
      <c r="S111" s="108">
        <f>Medidores!Q118</f>
        <v>0</v>
      </c>
      <c r="T111" s="108"/>
      <c r="U111" s="108">
        <f>Medidores!S118</f>
        <v>0</v>
      </c>
      <c r="V111" s="108"/>
      <c r="W111" s="108">
        <f>Medidores!U118</f>
        <v>0</v>
      </c>
      <c r="X111" s="108"/>
      <c r="Y111" s="108">
        <f>Medidores!W118</f>
        <v>0</v>
      </c>
      <c r="Z111" s="108"/>
      <c r="AA111" s="108">
        <f>Medidores!Y118</f>
        <v>0</v>
      </c>
      <c r="AB111" s="21">
        <f t="shared" si="16"/>
        <v>-825632</v>
      </c>
    </row>
    <row r="112" spans="1:28" ht="18">
      <c r="A112" s="37" t="s">
        <v>105</v>
      </c>
      <c r="B112" s="138" t="s">
        <v>105</v>
      </c>
      <c r="C112" s="61" t="s">
        <v>236</v>
      </c>
      <c r="D112" s="62" t="s">
        <v>161</v>
      </c>
      <c r="E112" s="162">
        <f>Medidores!C119</f>
        <v>3010496</v>
      </c>
      <c r="F112" s="108"/>
      <c r="G112" s="108">
        <f>Medidores!E119</f>
        <v>100000</v>
      </c>
      <c r="H112" s="108"/>
      <c r="I112" s="108">
        <f>Medidores!G119</f>
        <v>-4441888</v>
      </c>
      <c r="J112" s="20"/>
      <c r="K112" s="108">
        <f>Medidores!I119</f>
        <v>0</v>
      </c>
      <c r="L112" s="20"/>
      <c r="M112" s="108">
        <f>Medidores!K119</f>
        <v>0</v>
      </c>
      <c r="N112" s="20"/>
      <c r="O112" s="108">
        <f>Medidores!M119</f>
        <v>0</v>
      </c>
      <c r="P112" s="20"/>
      <c r="Q112" s="108">
        <f>Medidores!O119</f>
        <v>0</v>
      </c>
      <c r="R112" s="20"/>
      <c r="S112" s="108">
        <f>Medidores!Q119</f>
        <v>0</v>
      </c>
      <c r="T112" s="108"/>
      <c r="U112" s="108">
        <f>Medidores!S119</f>
        <v>0</v>
      </c>
      <c r="V112" s="108"/>
      <c r="W112" s="108">
        <f>Medidores!U119</f>
        <v>0</v>
      </c>
      <c r="X112" s="108"/>
      <c r="Y112" s="108">
        <f>Medidores!W119</f>
        <v>0</v>
      </c>
      <c r="Z112" s="108"/>
      <c r="AA112" s="108">
        <f>Medidores!Y119</f>
        <v>0</v>
      </c>
      <c r="AB112" s="21">
        <f t="shared" si="16"/>
        <v>-1331392</v>
      </c>
    </row>
    <row r="113" spans="1:28" ht="18">
      <c r="A113" s="37" t="s">
        <v>106</v>
      </c>
      <c r="B113" s="138" t="s">
        <v>106</v>
      </c>
      <c r="C113" s="61" t="s">
        <v>236</v>
      </c>
      <c r="D113" s="62" t="s">
        <v>161</v>
      </c>
      <c r="E113" s="162">
        <f>Medidores!C120</f>
        <v>1982320</v>
      </c>
      <c r="F113" s="108"/>
      <c r="G113" s="108">
        <f>Medidores!E120</f>
        <v>100000</v>
      </c>
      <c r="H113" s="108"/>
      <c r="I113" s="108">
        <f>Medidores!G120</f>
        <v>-2978912</v>
      </c>
      <c r="J113" s="20"/>
      <c r="K113" s="108">
        <f>Medidores!I120</f>
        <v>0</v>
      </c>
      <c r="L113" s="20"/>
      <c r="M113" s="108">
        <f>Medidores!K120</f>
        <v>0</v>
      </c>
      <c r="N113" s="20"/>
      <c r="O113" s="108">
        <f>Medidores!M120</f>
        <v>0</v>
      </c>
      <c r="P113" s="20"/>
      <c r="Q113" s="108">
        <f>Medidores!O120</f>
        <v>0</v>
      </c>
      <c r="R113" s="20"/>
      <c r="S113" s="108">
        <f>Medidores!Q120</f>
        <v>0</v>
      </c>
      <c r="T113" s="108"/>
      <c r="U113" s="108">
        <f>Medidores!S120</f>
        <v>0</v>
      </c>
      <c r="V113" s="108"/>
      <c r="W113" s="108">
        <f>Medidores!U120</f>
        <v>0</v>
      </c>
      <c r="X113" s="108"/>
      <c r="Y113" s="108">
        <f>Medidores!W120</f>
        <v>0</v>
      </c>
      <c r="Z113" s="108"/>
      <c r="AA113" s="108">
        <f>Medidores!Y120</f>
        <v>0</v>
      </c>
      <c r="AB113" s="21">
        <f t="shared" si="16"/>
        <v>-896592</v>
      </c>
    </row>
    <row r="114" spans="1:28" ht="18">
      <c r="A114" s="37" t="s">
        <v>107</v>
      </c>
      <c r="B114" s="138" t="s">
        <v>107</v>
      </c>
      <c r="C114" s="61" t="s">
        <v>236</v>
      </c>
      <c r="D114" s="62" t="s">
        <v>161</v>
      </c>
      <c r="E114" s="162">
        <f>Medidores!C121</f>
        <v>2019792</v>
      </c>
      <c r="F114" s="108"/>
      <c r="G114" s="108">
        <f>Medidores!E121</f>
        <v>100000</v>
      </c>
      <c r="H114" s="108"/>
      <c r="I114" s="108">
        <f>Medidores!G121</f>
        <v>-3030944</v>
      </c>
      <c r="J114" s="20"/>
      <c r="K114" s="108">
        <f>Medidores!I121</f>
        <v>0</v>
      </c>
      <c r="L114" s="20"/>
      <c r="M114" s="108">
        <f>Medidores!K121</f>
        <v>0</v>
      </c>
      <c r="N114" s="20"/>
      <c r="O114" s="108">
        <f>Medidores!M121</f>
        <v>0</v>
      </c>
      <c r="P114" s="20"/>
      <c r="Q114" s="108">
        <f>Medidores!O121</f>
        <v>0</v>
      </c>
      <c r="R114" s="20"/>
      <c r="S114" s="108">
        <f>Medidores!Q121</f>
        <v>0</v>
      </c>
      <c r="T114" s="108"/>
      <c r="U114" s="108">
        <f>Medidores!S121</f>
        <v>0</v>
      </c>
      <c r="V114" s="108"/>
      <c r="W114" s="108">
        <f>Medidores!U121</f>
        <v>0</v>
      </c>
      <c r="X114" s="108"/>
      <c r="Y114" s="108">
        <f>Medidores!W121</f>
        <v>0</v>
      </c>
      <c r="Z114" s="108"/>
      <c r="AA114" s="108">
        <f>Medidores!Y121</f>
        <v>0</v>
      </c>
      <c r="AB114" s="21">
        <f t="shared" si="16"/>
        <v>-911152</v>
      </c>
    </row>
    <row r="115" spans="1:28" ht="18">
      <c r="A115" s="17"/>
      <c r="B115" s="125"/>
      <c r="C115" s="18"/>
      <c r="D115" s="42" t="s">
        <v>51</v>
      </c>
      <c r="E115" s="43">
        <f>SUM(E109:E114)</f>
        <v>12288976</v>
      </c>
      <c r="F115" s="43"/>
      <c r="G115" s="43">
        <f>SUM(G109:G114)</f>
        <v>600000</v>
      </c>
      <c r="H115" s="43"/>
      <c r="I115" s="43">
        <f>SUM(I109:I114)</f>
        <v>-18309408</v>
      </c>
      <c r="J115" s="43"/>
      <c r="K115" s="43">
        <f>SUM(K109:K114)</f>
        <v>0</v>
      </c>
      <c r="L115" s="43"/>
      <c r="M115" s="43">
        <f>SUM(M109:M114)</f>
        <v>0</v>
      </c>
      <c r="N115" s="43"/>
      <c r="O115" s="43">
        <f>SUM(O109:O114)</f>
        <v>0</v>
      </c>
      <c r="P115" s="43"/>
      <c r="Q115" s="43">
        <f>SUM(Q109:Q114)</f>
        <v>0</v>
      </c>
      <c r="R115" s="43"/>
      <c r="S115" s="43">
        <f>SUM(S109:S114)</f>
        <v>0</v>
      </c>
      <c r="T115" s="43"/>
      <c r="U115" s="43">
        <f>SUM(U109:U114)</f>
        <v>0</v>
      </c>
      <c r="V115" s="43"/>
      <c r="W115" s="43">
        <f>SUM(W109:W114)</f>
        <v>0</v>
      </c>
      <c r="X115" s="43"/>
      <c r="Y115" s="43">
        <f>SUM(Y109:Y114)</f>
        <v>0</v>
      </c>
      <c r="Z115" s="43"/>
      <c r="AA115" s="43">
        <f>SUM(AA109:AA114)</f>
        <v>0</v>
      </c>
      <c r="AB115" s="21">
        <f t="shared" si="16"/>
        <v>-5420432</v>
      </c>
    </row>
    <row r="116" spans="1:28" ht="18">
      <c r="A116" s="24"/>
      <c r="B116" s="126"/>
      <c r="C116" s="61" t="s">
        <v>199</v>
      </c>
      <c r="D116" s="233" t="s">
        <v>108</v>
      </c>
      <c r="E116" s="101">
        <v>7225</v>
      </c>
      <c r="F116" s="101"/>
      <c r="G116" s="101">
        <v>6151</v>
      </c>
      <c r="H116" s="101"/>
      <c r="I116" s="101">
        <v>7225</v>
      </c>
      <c r="J116" s="101"/>
      <c r="K116" s="101">
        <v>6688</v>
      </c>
      <c r="L116" s="101"/>
      <c r="M116" s="101">
        <v>7225</v>
      </c>
      <c r="N116" s="101"/>
      <c r="O116" s="101">
        <v>6688</v>
      </c>
      <c r="P116" s="101"/>
      <c r="Q116" s="101">
        <v>7225</v>
      </c>
      <c r="R116" s="101"/>
      <c r="S116" s="101">
        <v>7225</v>
      </c>
      <c r="T116" s="101"/>
      <c r="U116" s="101">
        <v>6688</v>
      </c>
      <c r="V116" s="101"/>
      <c r="W116" s="101">
        <v>7225</v>
      </c>
      <c r="X116" s="101"/>
      <c r="Y116" s="101">
        <v>6688</v>
      </c>
      <c r="Z116" s="101"/>
      <c r="AA116" s="101">
        <v>7225</v>
      </c>
      <c r="AB116" s="21">
        <f t="shared" si="16"/>
        <v>83478</v>
      </c>
    </row>
    <row r="117" spans="1:28" ht="18">
      <c r="A117" s="27"/>
      <c r="B117" s="128"/>
      <c r="C117" s="61" t="s">
        <v>200</v>
      </c>
      <c r="D117" s="62" t="s">
        <v>196</v>
      </c>
      <c r="E117" s="101">
        <v>160</v>
      </c>
      <c r="F117" s="101"/>
      <c r="G117" s="101">
        <v>160</v>
      </c>
      <c r="H117" s="101"/>
      <c r="I117" s="101">
        <v>160</v>
      </c>
      <c r="J117" s="25"/>
      <c r="K117" s="101">
        <v>160</v>
      </c>
      <c r="L117" s="25"/>
      <c r="M117" s="101">
        <v>160</v>
      </c>
      <c r="N117" s="25"/>
      <c r="O117" s="101">
        <v>160</v>
      </c>
      <c r="P117" s="25"/>
      <c r="Q117" s="101">
        <v>160</v>
      </c>
      <c r="R117" s="25"/>
      <c r="S117" s="101">
        <v>160</v>
      </c>
      <c r="T117" s="101"/>
      <c r="U117" s="101">
        <v>160</v>
      </c>
      <c r="V117" s="101"/>
      <c r="W117" s="101">
        <v>160</v>
      </c>
      <c r="X117" s="101"/>
      <c r="Y117" s="101">
        <v>160</v>
      </c>
      <c r="Z117" s="101"/>
      <c r="AA117" s="101">
        <v>160</v>
      </c>
      <c r="AB117" s="21">
        <f t="shared" si="16"/>
        <v>1920</v>
      </c>
    </row>
    <row r="118" spans="1:28" ht="17.25" customHeight="1">
      <c r="A118" s="27"/>
      <c r="B118" s="128"/>
      <c r="C118" s="61" t="s">
        <v>206</v>
      </c>
      <c r="D118" s="235" t="s">
        <v>152</v>
      </c>
      <c r="E118" s="101">
        <v>7342</v>
      </c>
      <c r="F118" s="101">
        <v>7130</v>
      </c>
      <c r="G118" s="101">
        <v>6615</v>
      </c>
      <c r="H118" s="101">
        <v>7130</v>
      </c>
      <c r="I118" s="101">
        <v>7342</v>
      </c>
      <c r="J118" s="101">
        <v>7130</v>
      </c>
      <c r="K118" s="101">
        <v>6979</v>
      </c>
      <c r="L118" s="101">
        <v>7130</v>
      </c>
      <c r="M118" s="101">
        <v>7342</v>
      </c>
      <c r="N118" s="101">
        <v>7130</v>
      </c>
      <c r="O118" s="101">
        <v>6979</v>
      </c>
      <c r="P118" s="101">
        <v>7130</v>
      </c>
      <c r="Q118" s="101">
        <v>7342</v>
      </c>
      <c r="R118" s="101">
        <v>7130</v>
      </c>
      <c r="S118" s="101">
        <v>7342</v>
      </c>
      <c r="T118" s="101">
        <v>7130</v>
      </c>
      <c r="U118" s="101">
        <v>6979</v>
      </c>
      <c r="V118" s="101">
        <v>7130</v>
      </c>
      <c r="W118" s="101">
        <v>7342</v>
      </c>
      <c r="X118" s="101">
        <v>7130</v>
      </c>
      <c r="Y118" s="101">
        <v>6979</v>
      </c>
      <c r="Z118" s="101">
        <v>7130</v>
      </c>
      <c r="AA118" s="101">
        <v>7342</v>
      </c>
      <c r="AB118" s="21">
        <f t="shared" si="16"/>
        <v>85925</v>
      </c>
    </row>
    <row r="119" spans="1:28" ht="18">
      <c r="A119" s="27"/>
      <c r="B119" s="128"/>
      <c r="C119" s="61" t="s">
        <v>198</v>
      </c>
      <c r="D119" s="62" t="s">
        <v>202</v>
      </c>
      <c r="E119" s="101">
        <v>1970</v>
      </c>
      <c r="F119" s="101"/>
      <c r="G119" s="101">
        <v>1970</v>
      </c>
      <c r="H119" s="101"/>
      <c r="I119" s="101">
        <v>1970</v>
      </c>
      <c r="J119" s="25"/>
      <c r="K119" s="101">
        <v>1970</v>
      </c>
      <c r="L119" s="25"/>
      <c r="M119" s="101">
        <v>1970</v>
      </c>
      <c r="N119" s="25"/>
      <c r="O119" s="101">
        <v>1970</v>
      </c>
      <c r="P119" s="25"/>
      <c r="Q119" s="101">
        <v>1970</v>
      </c>
      <c r="R119" s="25"/>
      <c r="S119" s="101">
        <v>1970</v>
      </c>
      <c r="T119" s="101"/>
      <c r="U119" s="101">
        <v>1970</v>
      </c>
      <c r="V119" s="101"/>
      <c r="W119" s="101">
        <v>1970</v>
      </c>
      <c r="X119" s="101"/>
      <c r="Y119" s="101">
        <v>1970</v>
      </c>
      <c r="Z119" s="101"/>
      <c r="AA119" s="101">
        <v>1970</v>
      </c>
      <c r="AB119" s="21">
        <f t="shared" si="16"/>
        <v>23640</v>
      </c>
    </row>
    <row r="120" spans="1:28" ht="18">
      <c r="A120" s="27"/>
      <c r="B120" s="128"/>
      <c r="C120" s="61" t="s">
        <v>203</v>
      </c>
      <c r="D120" s="233" t="s">
        <v>204</v>
      </c>
      <c r="E120" s="101">
        <v>17349</v>
      </c>
      <c r="F120" s="101"/>
      <c r="G120" s="101">
        <v>15864</v>
      </c>
      <c r="H120" s="101">
        <v>16916</v>
      </c>
      <c r="I120" s="101">
        <v>17349</v>
      </c>
      <c r="J120" s="101">
        <v>16916</v>
      </c>
      <c r="K120" s="101">
        <v>16607</v>
      </c>
      <c r="L120" s="101">
        <v>16916</v>
      </c>
      <c r="M120" s="101">
        <v>17349</v>
      </c>
      <c r="N120" s="101">
        <v>16916</v>
      </c>
      <c r="O120" s="101">
        <v>16607</v>
      </c>
      <c r="P120" s="101">
        <v>16916</v>
      </c>
      <c r="Q120" s="101">
        <v>17349</v>
      </c>
      <c r="R120" s="101">
        <v>16916</v>
      </c>
      <c r="S120" s="101">
        <v>17349</v>
      </c>
      <c r="T120" s="101">
        <v>16916</v>
      </c>
      <c r="U120" s="101">
        <v>16607</v>
      </c>
      <c r="V120" s="101">
        <v>16916</v>
      </c>
      <c r="W120" s="101">
        <v>17349</v>
      </c>
      <c r="X120" s="101">
        <v>16916</v>
      </c>
      <c r="Y120" s="101">
        <v>16607</v>
      </c>
      <c r="Z120" s="101">
        <v>16916</v>
      </c>
      <c r="AA120" s="101">
        <v>17349</v>
      </c>
      <c r="AB120" s="21">
        <f t="shared" si="16"/>
        <v>203735</v>
      </c>
    </row>
    <row r="121" spans="1:28" ht="18">
      <c r="A121" s="27"/>
      <c r="B121" s="128"/>
      <c r="C121" s="61" t="s">
        <v>205</v>
      </c>
      <c r="D121" s="233" t="s">
        <v>207</v>
      </c>
      <c r="E121" s="101">
        <v>2079</v>
      </c>
      <c r="F121" s="101"/>
      <c r="G121" s="101">
        <v>1945</v>
      </c>
      <c r="H121" s="101"/>
      <c r="I121" s="101">
        <v>2079</v>
      </c>
      <c r="J121" s="25"/>
      <c r="K121" s="101">
        <v>2012</v>
      </c>
      <c r="L121" s="25"/>
      <c r="M121" s="101">
        <v>2079</v>
      </c>
      <c r="N121" s="25"/>
      <c r="O121" s="101">
        <v>2012</v>
      </c>
      <c r="P121" s="25"/>
      <c r="Q121" s="101">
        <v>2079</v>
      </c>
      <c r="R121" s="25"/>
      <c r="S121" s="101">
        <v>2079</v>
      </c>
      <c r="T121" s="101"/>
      <c r="U121" s="101">
        <v>2012</v>
      </c>
      <c r="V121" s="101"/>
      <c r="W121" s="101">
        <v>2079</v>
      </c>
      <c r="X121" s="101"/>
      <c r="Y121" s="101">
        <v>2012</v>
      </c>
      <c r="Z121" s="101"/>
      <c r="AA121" s="101">
        <v>2079</v>
      </c>
      <c r="AB121" s="21">
        <f t="shared" si="16"/>
        <v>24546</v>
      </c>
    </row>
    <row r="122" spans="1:28" ht="18">
      <c r="A122" s="27"/>
      <c r="B122" s="128"/>
      <c r="C122" s="61" t="s">
        <v>290</v>
      </c>
      <c r="D122" s="236" t="s">
        <v>208</v>
      </c>
      <c r="E122" s="101">
        <v>515</v>
      </c>
      <c r="F122" s="101"/>
      <c r="G122" s="101">
        <v>465</v>
      </c>
      <c r="H122" s="101">
        <v>500</v>
      </c>
      <c r="I122" s="101">
        <v>515</v>
      </c>
      <c r="J122" s="101">
        <v>500</v>
      </c>
      <c r="K122" s="101">
        <v>490</v>
      </c>
      <c r="L122" s="101">
        <v>500</v>
      </c>
      <c r="M122" s="101">
        <v>515</v>
      </c>
      <c r="N122" s="101">
        <v>500</v>
      </c>
      <c r="O122" s="101">
        <v>490</v>
      </c>
      <c r="P122" s="101">
        <v>500</v>
      </c>
      <c r="Q122" s="101">
        <v>515</v>
      </c>
      <c r="R122" s="101">
        <v>500</v>
      </c>
      <c r="S122" s="101">
        <v>515</v>
      </c>
      <c r="T122" s="101">
        <v>500</v>
      </c>
      <c r="U122" s="101">
        <v>490</v>
      </c>
      <c r="V122" s="101">
        <v>500</v>
      </c>
      <c r="W122" s="101">
        <v>515</v>
      </c>
      <c r="X122" s="101">
        <v>500</v>
      </c>
      <c r="Y122" s="101">
        <v>490</v>
      </c>
      <c r="Z122" s="101">
        <v>500</v>
      </c>
      <c r="AA122" s="101">
        <v>515</v>
      </c>
      <c r="AB122" s="21">
        <f t="shared" si="16"/>
        <v>6030</v>
      </c>
    </row>
    <row r="123" spans="1:28" ht="18">
      <c r="A123" s="27"/>
      <c r="B123" s="128"/>
      <c r="C123" s="61" t="s">
        <v>209</v>
      </c>
      <c r="D123" s="62" t="s">
        <v>154</v>
      </c>
      <c r="E123" s="101">
        <v>400</v>
      </c>
      <c r="F123" s="101"/>
      <c r="G123" s="101">
        <v>400</v>
      </c>
      <c r="H123" s="101"/>
      <c r="I123" s="101">
        <v>400</v>
      </c>
      <c r="J123" s="25"/>
      <c r="K123" s="101">
        <v>400</v>
      </c>
      <c r="L123" s="25"/>
      <c r="M123" s="101">
        <v>400</v>
      </c>
      <c r="N123" s="25"/>
      <c r="O123" s="101">
        <v>400</v>
      </c>
      <c r="P123" s="25"/>
      <c r="Q123" s="101">
        <v>400</v>
      </c>
      <c r="R123" s="25"/>
      <c r="S123" s="101">
        <v>400</v>
      </c>
      <c r="T123" s="101"/>
      <c r="U123" s="101">
        <v>400</v>
      </c>
      <c r="V123" s="101"/>
      <c r="W123" s="101">
        <v>400</v>
      </c>
      <c r="X123" s="101"/>
      <c r="Y123" s="101">
        <v>400</v>
      </c>
      <c r="Z123" s="101"/>
      <c r="AA123" s="101">
        <v>400</v>
      </c>
      <c r="AB123" s="21">
        <f t="shared" si="16"/>
        <v>4800</v>
      </c>
    </row>
    <row r="124" spans="1:28" ht="18">
      <c r="A124" s="27"/>
      <c r="B124" s="128"/>
      <c r="C124" s="61" t="s">
        <v>263</v>
      </c>
      <c r="D124" s="62" t="s">
        <v>52</v>
      </c>
      <c r="E124" s="107">
        <f>(E138-(SUM(E116:E123)+SUM(E126:E137)))*0.4</f>
        <v>61888.549013342563</v>
      </c>
      <c r="F124" s="107"/>
      <c r="G124" s="107">
        <f>(G138-(SUM(G116:G123)+SUM(G126:G137)))*0.4</f>
        <v>17992.079999999998</v>
      </c>
      <c r="H124" s="107"/>
      <c r="I124" s="107">
        <f>(I138-(SUM(I116:I123)+SUM(I126:I137)))*0.4</f>
        <v>4910325.2560000001</v>
      </c>
      <c r="J124" s="25"/>
      <c r="K124" s="107">
        <f>(K138-(SUM(K116:K123)+SUM(K126:K137)))*0.4</f>
        <v>-20004.400000000001</v>
      </c>
      <c r="L124" s="25"/>
      <c r="M124" s="107">
        <f>(M138-(SUM(M116:M123)+SUM(M126:M137)))*0.4</f>
        <v>-20856</v>
      </c>
      <c r="N124" s="25"/>
      <c r="O124" s="107">
        <f>(O138-(SUM(O116:O123)+SUM(O126:O137)))*0.4</f>
        <v>-20004.400000000001</v>
      </c>
      <c r="P124" s="25"/>
      <c r="Q124" s="107">
        <f>(Q138-(SUM(Q116:Q123)+SUM(Q126:Q137)))*0.4</f>
        <v>-20856</v>
      </c>
      <c r="R124" s="25"/>
      <c r="S124" s="107">
        <f>(S138-(SUM(S116:S123)+SUM(S126:S137)))*0.4</f>
        <v>-20856</v>
      </c>
      <c r="T124" s="107"/>
      <c r="U124" s="107">
        <f>(U138-(SUM(U116:U123)+SUM(U126:U137)))*0.4</f>
        <v>-20004.400000000001</v>
      </c>
      <c r="V124" s="107"/>
      <c r="W124" s="107">
        <f>(W138-(SUM(W116:W123)+SUM(W126:W137)))*0.4</f>
        <v>-20856</v>
      </c>
      <c r="X124" s="107"/>
      <c r="Y124" s="107">
        <f>(Y138-(SUM(Y116:Y123)+SUM(Y126:Y137)))*0.4</f>
        <v>-20004.400000000001</v>
      </c>
      <c r="Z124" s="107"/>
      <c r="AA124" s="107">
        <f>(AA138-(SUM(AA116:AA123)+SUM(AA126:AA137)))*0.4</f>
        <v>-20856</v>
      </c>
      <c r="AB124" s="21">
        <f t="shared" si="16"/>
        <v>4805908.2850133413</v>
      </c>
    </row>
    <row r="125" spans="1:28" ht="18">
      <c r="A125" s="27"/>
      <c r="B125" s="128"/>
      <c r="C125" s="61" t="s">
        <v>264</v>
      </c>
      <c r="D125" s="62" t="s">
        <v>111</v>
      </c>
      <c r="E125" s="107">
        <f>(E138-(SUM(E116:E123)+SUM(E126:E137)))*0.6</f>
        <v>92832.82352001383</v>
      </c>
      <c r="F125" s="107"/>
      <c r="G125" s="107">
        <f>(G138-(SUM(G116:G123)+SUM(G126:G137)))*0.6</f>
        <v>26988.12</v>
      </c>
      <c r="H125" s="107"/>
      <c r="I125" s="107">
        <f>(I138-(SUM(I116:I123)+SUM(I126:I137)))*0.6</f>
        <v>7365487.8840000005</v>
      </c>
      <c r="J125" s="25"/>
      <c r="K125" s="107">
        <f>(K138-(SUM(K116:K123)+SUM(K126:K137)))*0.6</f>
        <v>-30006.6</v>
      </c>
      <c r="L125" s="25"/>
      <c r="M125" s="107">
        <f>(M138-(SUM(M116:M123)+SUM(M126:M137)))*0.6</f>
        <v>-31284</v>
      </c>
      <c r="N125" s="25"/>
      <c r="O125" s="107">
        <f>(O138-(SUM(O116:O123)+SUM(O126:O137)))*0.6</f>
        <v>-30006.6</v>
      </c>
      <c r="P125" s="25"/>
      <c r="Q125" s="107">
        <f>(Q138-(SUM(Q116:Q123)+SUM(Q126:Q137)))*0.6</f>
        <v>-31284</v>
      </c>
      <c r="R125" s="25"/>
      <c r="S125" s="107">
        <f>(S138-(SUM(S116:S123)+SUM(S126:S137)))*0.6</f>
        <v>-31284</v>
      </c>
      <c r="T125" s="107"/>
      <c r="U125" s="107">
        <f>(U138-(SUM(U116:U123)+SUM(U126:U137)))*0.6</f>
        <v>-30006.6</v>
      </c>
      <c r="V125" s="107"/>
      <c r="W125" s="107">
        <f>(W138-(SUM(W116:W123)+SUM(W126:W137)))*0.6</f>
        <v>-31284</v>
      </c>
      <c r="X125" s="107"/>
      <c r="Y125" s="107">
        <f>(Y138-(SUM(Y116:Y123)+SUM(Y126:Y137)))*0.6</f>
        <v>-30006.6</v>
      </c>
      <c r="Z125" s="107"/>
      <c r="AA125" s="107">
        <f>(AA138-(SUM(AA116:AA123)+SUM(AA126:AA137)))*0.6</f>
        <v>-31284</v>
      </c>
      <c r="AB125" s="21">
        <f t="shared" si="16"/>
        <v>7208862.4275200162</v>
      </c>
    </row>
    <row r="126" spans="1:28" ht="18">
      <c r="A126" s="27"/>
      <c r="B126" s="128"/>
      <c r="C126" s="61" t="s">
        <v>266</v>
      </c>
      <c r="D126" s="233" t="s">
        <v>284</v>
      </c>
      <c r="E126" s="101">
        <v>132</v>
      </c>
      <c r="F126" s="101"/>
      <c r="G126" s="101">
        <v>124</v>
      </c>
      <c r="H126" s="101"/>
      <c r="I126" s="101">
        <v>132</v>
      </c>
      <c r="J126" s="25"/>
      <c r="K126" s="101">
        <v>128</v>
      </c>
      <c r="L126" s="25"/>
      <c r="M126" s="101">
        <v>132</v>
      </c>
      <c r="N126" s="25"/>
      <c r="O126" s="101">
        <v>128</v>
      </c>
      <c r="P126" s="25"/>
      <c r="Q126" s="101">
        <v>132</v>
      </c>
      <c r="R126" s="25"/>
      <c r="S126" s="101">
        <v>132</v>
      </c>
      <c r="T126" s="101"/>
      <c r="U126" s="101">
        <v>128</v>
      </c>
      <c r="V126" s="101"/>
      <c r="W126" s="101">
        <v>132</v>
      </c>
      <c r="X126" s="101"/>
      <c r="Y126" s="101">
        <v>128</v>
      </c>
      <c r="Z126" s="101"/>
      <c r="AA126" s="101">
        <v>132</v>
      </c>
      <c r="AB126" s="21">
        <f t="shared" si="16"/>
        <v>1560</v>
      </c>
    </row>
    <row r="127" spans="1:28" ht="18">
      <c r="A127" s="27"/>
      <c r="B127" s="128"/>
      <c r="C127" s="61" t="s">
        <v>269</v>
      </c>
      <c r="D127" s="62" t="s">
        <v>169</v>
      </c>
      <c r="E127" s="101">
        <v>2900</v>
      </c>
      <c r="F127" s="101"/>
      <c r="G127" s="101">
        <v>2900</v>
      </c>
      <c r="H127" s="101"/>
      <c r="I127" s="101">
        <v>2900</v>
      </c>
      <c r="J127" s="25"/>
      <c r="K127" s="101">
        <v>2900</v>
      </c>
      <c r="L127" s="25"/>
      <c r="M127" s="101">
        <v>2900</v>
      </c>
      <c r="N127" s="25"/>
      <c r="O127" s="101">
        <v>2900</v>
      </c>
      <c r="P127" s="25"/>
      <c r="Q127" s="101">
        <v>2900</v>
      </c>
      <c r="R127" s="25"/>
      <c r="S127" s="101">
        <v>2900</v>
      </c>
      <c r="T127" s="101"/>
      <c r="U127" s="101">
        <v>2900</v>
      </c>
      <c r="V127" s="101"/>
      <c r="W127" s="101">
        <v>2900</v>
      </c>
      <c r="X127" s="101"/>
      <c r="Y127" s="101">
        <v>2900</v>
      </c>
      <c r="Z127" s="101"/>
      <c r="AA127" s="101">
        <v>2900</v>
      </c>
      <c r="AB127" s="21">
        <f t="shared" si="16"/>
        <v>34800</v>
      </c>
    </row>
    <row r="128" spans="1:28" ht="18">
      <c r="A128" s="26" t="s">
        <v>20</v>
      </c>
      <c r="B128" s="136" t="s">
        <v>20</v>
      </c>
      <c r="C128" s="179" t="s">
        <v>230</v>
      </c>
      <c r="D128" s="180" t="s">
        <v>91</v>
      </c>
      <c r="E128" s="101">
        <v>370</v>
      </c>
      <c r="F128" s="101"/>
      <c r="G128" s="101">
        <v>370</v>
      </c>
      <c r="H128" s="101"/>
      <c r="I128" s="101">
        <v>370</v>
      </c>
      <c r="J128" s="25"/>
      <c r="K128" s="101">
        <v>370</v>
      </c>
      <c r="L128" s="25"/>
      <c r="M128" s="101">
        <v>370</v>
      </c>
      <c r="N128" s="25"/>
      <c r="O128" s="101">
        <v>370</v>
      </c>
      <c r="P128" s="25"/>
      <c r="Q128" s="101">
        <v>370</v>
      </c>
      <c r="R128" s="25"/>
      <c r="S128" s="101">
        <v>370</v>
      </c>
      <c r="T128" s="101"/>
      <c r="U128" s="101">
        <v>370</v>
      </c>
      <c r="V128" s="101"/>
      <c r="W128" s="101">
        <v>370</v>
      </c>
      <c r="X128" s="101"/>
      <c r="Y128" s="101">
        <v>370</v>
      </c>
      <c r="Z128" s="101"/>
      <c r="AA128" s="101">
        <v>370</v>
      </c>
      <c r="AB128" s="21">
        <f t="shared" si="16"/>
        <v>4440</v>
      </c>
    </row>
    <row r="129" spans="1:28" ht="18">
      <c r="A129" s="27"/>
      <c r="B129" s="128"/>
      <c r="C129" s="61" t="s">
        <v>257</v>
      </c>
      <c r="D129" s="62" t="s">
        <v>195</v>
      </c>
      <c r="E129" s="101">
        <v>400</v>
      </c>
      <c r="F129" s="101"/>
      <c r="G129" s="101">
        <v>400</v>
      </c>
      <c r="H129" s="101"/>
      <c r="I129" s="101">
        <v>400</v>
      </c>
      <c r="J129" s="25"/>
      <c r="K129" s="101">
        <v>400</v>
      </c>
      <c r="L129" s="25"/>
      <c r="M129" s="101">
        <v>400</v>
      </c>
      <c r="N129" s="25"/>
      <c r="O129" s="101">
        <v>400</v>
      </c>
      <c r="P129" s="25"/>
      <c r="Q129" s="101">
        <v>400</v>
      </c>
      <c r="R129" s="25"/>
      <c r="S129" s="101">
        <v>400</v>
      </c>
      <c r="T129" s="101"/>
      <c r="U129" s="101">
        <v>400</v>
      </c>
      <c r="V129" s="101"/>
      <c r="W129" s="101">
        <v>400</v>
      </c>
      <c r="X129" s="101"/>
      <c r="Y129" s="101">
        <v>400</v>
      </c>
      <c r="Z129" s="101"/>
      <c r="AA129" s="101">
        <v>400</v>
      </c>
      <c r="AB129" s="21">
        <f t="shared" si="16"/>
        <v>4800</v>
      </c>
    </row>
    <row r="130" spans="1:28" ht="18">
      <c r="A130" s="27"/>
      <c r="B130" s="128"/>
      <c r="C130" s="61" t="s">
        <v>285</v>
      </c>
      <c r="D130" s="62" t="s">
        <v>173</v>
      </c>
      <c r="E130" s="101">
        <v>1000</v>
      </c>
      <c r="F130" s="101"/>
      <c r="G130" s="101">
        <v>1000</v>
      </c>
      <c r="H130" s="101"/>
      <c r="I130" s="101">
        <v>1000</v>
      </c>
      <c r="J130" s="25"/>
      <c r="K130" s="101">
        <v>1000</v>
      </c>
      <c r="L130" s="25"/>
      <c r="M130" s="101">
        <v>1000</v>
      </c>
      <c r="N130" s="25"/>
      <c r="O130" s="101">
        <v>1000</v>
      </c>
      <c r="P130" s="25"/>
      <c r="Q130" s="101">
        <v>1000</v>
      </c>
      <c r="R130" s="25"/>
      <c r="S130" s="101">
        <v>1000</v>
      </c>
      <c r="T130" s="101"/>
      <c r="U130" s="101">
        <v>1000</v>
      </c>
      <c r="V130" s="101"/>
      <c r="W130" s="101">
        <v>1000</v>
      </c>
      <c r="X130" s="101"/>
      <c r="Y130" s="101">
        <v>1000</v>
      </c>
      <c r="Z130" s="101"/>
      <c r="AA130" s="101">
        <v>1000</v>
      </c>
      <c r="AB130" s="21">
        <f t="shared" si="16"/>
        <v>12000</v>
      </c>
    </row>
    <row r="131" spans="1:28" ht="18">
      <c r="A131" s="27"/>
      <c r="B131" s="128"/>
      <c r="C131" s="61" t="s">
        <v>286</v>
      </c>
      <c r="D131" s="62" t="s">
        <v>288</v>
      </c>
      <c r="E131" s="101">
        <v>1040</v>
      </c>
      <c r="F131" s="101"/>
      <c r="G131" s="101">
        <v>1040</v>
      </c>
      <c r="H131" s="101"/>
      <c r="I131" s="101">
        <v>1040</v>
      </c>
      <c r="J131" s="25"/>
      <c r="K131" s="101">
        <v>1040</v>
      </c>
      <c r="L131" s="25"/>
      <c r="M131" s="101">
        <v>1040</v>
      </c>
      <c r="N131" s="25"/>
      <c r="O131" s="101">
        <v>1040</v>
      </c>
      <c r="P131" s="25"/>
      <c r="Q131" s="101">
        <v>1040</v>
      </c>
      <c r="R131" s="25"/>
      <c r="S131" s="101">
        <v>1040</v>
      </c>
      <c r="T131" s="101"/>
      <c r="U131" s="101">
        <v>1040</v>
      </c>
      <c r="V131" s="101"/>
      <c r="W131" s="101">
        <v>1040</v>
      </c>
      <c r="X131" s="101"/>
      <c r="Y131" s="101">
        <v>1040</v>
      </c>
      <c r="Z131" s="101"/>
      <c r="AA131" s="101">
        <v>1040</v>
      </c>
      <c r="AB131" s="21">
        <f t="shared" si="16"/>
        <v>12480</v>
      </c>
    </row>
    <row r="132" spans="1:28" ht="18">
      <c r="A132" s="27"/>
      <c r="B132" s="128"/>
      <c r="C132" s="61" t="s">
        <v>287</v>
      </c>
      <c r="D132" s="62" t="s">
        <v>174</v>
      </c>
      <c r="E132" s="101">
        <v>1060</v>
      </c>
      <c r="F132" s="101"/>
      <c r="G132" s="101">
        <v>1060</v>
      </c>
      <c r="H132" s="101"/>
      <c r="I132" s="101">
        <v>1060</v>
      </c>
      <c r="J132" s="25"/>
      <c r="K132" s="101">
        <v>1060</v>
      </c>
      <c r="L132" s="25"/>
      <c r="M132" s="101">
        <v>1060</v>
      </c>
      <c r="N132" s="25"/>
      <c r="O132" s="101">
        <v>1060</v>
      </c>
      <c r="P132" s="25"/>
      <c r="Q132" s="101">
        <v>1060</v>
      </c>
      <c r="R132" s="25"/>
      <c r="S132" s="101">
        <v>1060</v>
      </c>
      <c r="T132" s="101"/>
      <c r="U132" s="101">
        <v>1060</v>
      </c>
      <c r="V132" s="101"/>
      <c r="W132" s="101">
        <v>1060</v>
      </c>
      <c r="X132" s="101"/>
      <c r="Y132" s="101">
        <v>1060</v>
      </c>
      <c r="Z132" s="101"/>
      <c r="AA132" s="101">
        <v>1060</v>
      </c>
      <c r="AB132" s="21">
        <f t="shared" si="16"/>
        <v>12720</v>
      </c>
    </row>
    <row r="133" spans="1:28" ht="18">
      <c r="A133" s="27"/>
      <c r="B133" s="128"/>
      <c r="C133" s="61" t="s">
        <v>272</v>
      </c>
      <c r="D133" s="233" t="s">
        <v>289</v>
      </c>
      <c r="E133" s="101">
        <v>3738</v>
      </c>
      <c r="F133" s="101"/>
      <c r="G133" s="101">
        <v>2955</v>
      </c>
      <c r="H133" s="101">
        <v>3510</v>
      </c>
      <c r="I133" s="101">
        <v>3738</v>
      </c>
      <c r="J133" s="101">
        <v>3510</v>
      </c>
      <c r="K133" s="101">
        <v>3347</v>
      </c>
      <c r="L133" s="101">
        <v>3510</v>
      </c>
      <c r="M133" s="101">
        <v>3738</v>
      </c>
      <c r="N133" s="101">
        <v>3510</v>
      </c>
      <c r="O133" s="101">
        <v>3347</v>
      </c>
      <c r="P133" s="101">
        <v>3510</v>
      </c>
      <c r="Q133" s="101">
        <v>3738</v>
      </c>
      <c r="R133" s="101">
        <v>3510</v>
      </c>
      <c r="S133" s="101">
        <v>3738</v>
      </c>
      <c r="T133" s="101">
        <v>3510</v>
      </c>
      <c r="U133" s="101">
        <v>3347</v>
      </c>
      <c r="V133" s="101">
        <v>3510</v>
      </c>
      <c r="W133" s="101">
        <v>3738</v>
      </c>
      <c r="X133" s="101">
        <v>3510</v>
      </c>
      <c r="Y133" s="101">
        <v>3347</v>
      </c>
      <c r="Z133" s="101">
        <v>3510</v>
      </c>
      <c r="AA133" s="101">
        <v>3738</v>
      </c>
      <c r="AB133" s="21">
        <f t="shared" si="16"/>
        <v>42509</v>
      </c>
    </row>
    <row r="134" spans="1:28" ht="18">
      <c r="A134" s="27"/>
      <c r="B134" s="128"/>
      <c r="C134" s="61" t="s">
        <v>273</v>
      </c>
      <c r="D134" s="62" t="s">
        <v>175</v>
      </c>
      <c r="E134" s="101">
        <v>260</v>
      </c>
      <c r="F134" s="101"/>
      <c r="G134" s="101">
        <v>260</v>
      </c>
      <c r="H134" s="101"/>
      <c r="I134" s="101">
        <v>260</v>
      </c>
      <c r="J134" s="25"/>
      <c r="K134" s="101">
        <v>260</v>
      </c>
      <c r="L134" s="25"/>
      <c r="M134" s="101">
        <v>260</v>
      </c>
      <c r="N134" s="25"/>
      <c r="O134" s="101">
        <v>260</v>
      </c>
      <c r="P134" s="25"/>
      <c r="Q134" s="101">
        <v>260</v>
      </c>
      <c r="R134" s="25"/>
      <c r="S134" s="101">
        <v>260</v>
      </c>
      <c r="T134" s="101"/>
      <c r="U134" s="101">
        <v>260</v>
      </c>
      <c r="V134" s="101"/>
      <c r="W134" s="101">
        <v>260</v>
      </c>
      <c r="X134" s="101"/>
      <c r="Y134" s="101">
        <v>260</v>
      </c>
      <c r="Z134" s="101"/>
      <c r="AA134" s="101">
        <v>260</v>
      </c>
      <c r="AB134" s="21">
        <f t="shared" si="16"/>
        <v>3120</v>
      </c>
    </row>
    <row r="135" spans="1:28" ht="18">
      <c r="A135" s="27"/>
      <c r="B135" s="128"/>
      <c r="C135" s="61" t="s">
        <v>275</v>
      </c>
      <c r="D135" s="62" t="s">
        <v>177</v>
      </c>
      <c r="E135" s="101">
        <v>290</v>
      </c>
      <c r="F135" s="101"/>
      <c r="G135" s="101">
        <v>290</v>
      </c>
      <c r="H135" s="101"/>
      <c r="I135" s="101">
        <v>290</v>
      </c>
      <c r="J135" s="25"/>
      <c r="K135" s="101">
        <v>290</v>
      </c>
      <c r="L135" s="25"/>
      <c r="M135" s="101">
        <v>290</v>
      </c>
      <c r="N135" s="25"/>
      <c r="O135" s="101">
        <v>290</v>
      </c>
      <c r="P135" s="25"/>
      <c r="Q135" s="101">
        <v>290</v>
      </c>
      <c r="R135" s="25"/>
      <c r="S135" s="101">
        <v>290</v>
      </c>
      <c r="T135" s="101"/>
      <c r="U135" s="101">
        <v>290</v>
      </c>
      <c r="V135" s="101"/>
      <c r="W135" s="101">
        <v>290</v>
      </c>
      <c r="X135" s="101"/>
      <c r="Y135" s="101">
        <v>290</v>
      </c>
      <c r="Z135" s="101"/>
      <c r="AA135" s="101">
        <v>290</v>
      </c>
      <c r="AB135" s="21">
        <f t="shared" si="16"/>
        <v>3480</v>
      </c>
    </row>
    <row r="136" spans="1:28" ht="18">
      <c r="A136" s="27"/>
      <c r="B136" s="128"/>
      <c r="C136" s="61" t="s">
        <v>274</v>
      </c>
      <c r="D136" s="62" t="s">
        <v>176</v>
      </c>
      <c r="E136" s="101">
        <v>1960</v>
      </c>
      <c r="F136" s="101"/>
      <c r="G136" s="101">
        <v>1960</v>
      </c>
      <c r="H136" s="101"/>
      <c r="I136" s="101">
        <v>1960</v>
      </c>
      <c r="J136" s="25"/>
      <c r="K136" s="101">
        <v>1960</v>
      </c>
      <c r="L136" s="25"/>
      <c r="M136" s="101">
        <v>1960</v>
      </c>
      <c r="N136" s="25"/>
      <c r="O136" s="101">
        <v>1960</v>
      </c>
      <c r="P136" s="25"/>
      <c r="Q136" s="101">
        <v>1960</v>
      </c>
      <c r="R136" s="25"/>
      <c r="S136" s="101">
        <v>1960</v>
      </c>
      <c r="T136" s="101"/>
      <c r="U136" s="101">
        <v>1960</v>
      </c>
      <c r="V136" s="101"/>
      <c r="W136" s="101">
        <v>1960</v>
      </c>
      <c r="X136" s="101"/>
      <c r="Y136" s="101">
        <v>1960</v>
      </c>
      <c r="Z136" s="101"/>
      <c r="AA136" s="101">
        <v>1960</v>
      </c>
      <c r="AB136" s="21">
        <f t="shared" si="16"/>
        <v>23520</v>
      </c>
    </row>
    <row r="137" spans="1:28" ht="18">
      <c r="A137" s="28"/>
      <c r="B137" s="129"/>
      <c r="C137" s="61" t="s">
        <v>151</v>
      </c>
      <c r="D137" s="62" t="s">
        <v>178</v>
      </c>
      <c r="E137" s="101">
        <v>1950</v>
      </c>
      <c r="F137" s="101"/>
      <c r="G137" s="101">
        <v>1950</v>
      </c>
      <c r="H137" s="101"/>
      <c r="I137" s="101">
        <v>1950</v>
      </c>
      <c r="J137" s="25"/>
      <c r="K137" s="101">
        <v>1950</v>
      </c>
      <c r="L137" s="25"/>
      <c r="M137" s="101">
        <v>1950</v>
      </c>
      <c r="N137" s="25"/>
      <c r="O137" s="101">
        <v>1950</v>
      </c>
      <c r="P137" s="25"/>
      <c r="Q137" s="101">
        <v>1950</v>
      </c>
      <c r="R137" s="25"/>
      <c r="S137" s="101">
        <v>1950</v>
      </c>
      <c r="T137" s="101"/>
      <c r="U137" s="101">
        <v>1950</v>
      </c>
      <c r="V137" s="101"/>
      <c r="W137" s="101">
        <v>1950</v>
      </c>
      <c r="X137" s="101"/>
      <c r="Y137" s="101">
        <v>1950</v>
      </c>
      <c r="Z137" s="101"/>
      <c r="AA137" s="101">
        <v>1950</v>
      </c>
      <c r="AB137" s="21">
        <f t="shared" si="16"/>
        <v>23400</v>
      </c>
    </row>
    <row r="138" spans="1:28" ht="18">
      <c r="A138" s="36"/>
      <c r="B138" s="133"/>
      <c r="C138" s="110"/>
      <c r="D138" s="111" t="s">
        <v>51</v>
      </c>
      <c r="E138" s="162">
        <f>Medidores!C96</f>
        <v>206861.37253335639</v>
      </c>
      <c r="F138" s="108"/>
      <c r="G138" s="108">
        <f>Medidores!E96</f>
        <v>92859.199999999997</v>
      </c>
      <c r="H138" s="108"/>
      <c r="I138" s="108">
        <f>Medidores!G96</f>
        <v>12327953.140000001</v>
      </c>
      <c r="J138" s="20"/>
      <c r="K138" s="108">
        <f>Medidores!I96</f>
        <v>0</v>
      </c>
      <c r="L138" s="20"/>
      <c r="M138" s="108">
        <f>Medidores!K96</f>
        <v>0</v>
      </c>
      <c r="N138" s="20"/>
      <c r="O138" s="108">
        <f>Medidores!M96</f>
        <v>0</v>
      </c>
      <c r="P138" s="20"/>
      <c r="Q138" s="108">
        <f>Medidores!O96</f>
        <v>0</v>
      </c>
      <c r="R138" s="20"/>
      <c r="S138" s="108">
        <f>Medidores!Q96</f>
        <v>0</v>
      </c>
      <c r="T138" s="108"/>
      <c r="U138" s="108">
        <f>Medidores!S96</f>
        <v>0</v>
      </c>
      <c r="V138" s="108"/>
      <c r="W138" s="108">
        <f>Medidores!U96</f>
        <v>0</v>
      </c>
      <c r="X138" s="108"/>
      <c r="Y138" s="108">
        <f>Medidores!W96</f>
        <v>0</v>
      </c>
      <c r="Z138" s="108"/>
      <c r="AA138" s="108">
        <f>Medidores!Y96</f>
        <v>0</v>
      </c>
      <c r="AB138" s="21">
        <f t="shared" si="16"/>
        <v>12627673.712533357</v>
      </c>
    </row>
    <row r="139" spans="1:28" ht="18">
      <c r="A139" s="37" t="s">
        <v>114</v>
      </c>
      <c r="B139" s="138" t="s">
        <v>114</v>
      </c>
      <c r="C139" s="61" t="s">
        <v>264</v>
      </c>
      <c r="D139" s="62" t="s">
        <v>111</v>
      </c>
      <c r="E139" s="162">
        <f>Medidores!C100</f>
        <v>141135.68626667821</v>
      </c>
      <c r="F139" s="108"/>
      <c r="G139" s="108">
        <f>Medidores!E100</f>
        <v>86429.6</v>
      </c>
      <c r="H139" s="108"/>
      <c r="I139" s="108">
        <f>Medidores!G100</f>
        <v>5673325.5700000003</v>
      </c>
      <c r="J139" s="20"/>
      <c r="K139" s="108">
        <f>Medidores!I100</f>
        <v>0</v>
      </c>
      <c r="L139" s="20"/>
      <c r="M139" s="108">
        <f>Medidores!K100</f>
        <v>0</v>
      </c>
      <c r="N139" s="20"/>
      <c r="O139" s="108">
        <f>Medidores!M100</f>
        <v>0</v>
      </c>
      <c r="P139" s="20"/>
      <c r="Q139" s="108">
        <f>Medidores!O100</f>
        <v>0</v>
      </c>
      <c r="R139" s="20"/>
      <c r="S139" s="108">
        <f>Medidores!Q100</f>
        <v>0</v>
      </c>
      <c r="T139" s="108"/>
      <c r="U139" s="108">
        <f>Medidores!S100</f>
        <v>0</v>
      </c>
      <c r="V139" s="108"/>
      <c r="W139" s="108">
        <f>Medidores!U100</f>
        <v>0</v>
      </c>
      <c r="X139" s="108"/>
      <c r="Y139" s="108">
        <f>Medidores!W100</f>
        <v>0</v>
      </c>
      <c r="Z139" s="108"/>
      <c r="AA139" s="108">
        <f>Medidores!Y100</f>
        <v>0</v>
      </c>
      <c r="AB139" s="21">
        <f t="shared" si="16"/>
        <v>5900890.8562666783</v>
      </c>
    </row>
    <row r="140" spans="1:28" ht="18">
      <c r="A140" s="37" t="s">
        <v>32</v>
      </c>
      <c r="B140" s="138" t="s">
        <v>32</v>
      </c>
      <c r="C140" s="61" t="s">
        <v>216</v>
      </c>
      <c r="D140" s="62" t="s">
        <v>156</v>
      </c>
      <c r="E140" s="162">
        <f>Medidores!C126</f>
        <v>324328</v>
      </c>
      <c r="F140" s="108"/>
      <c r="G140" s="108">
        <f>Medidores!E126</f>
        <v>100000</v>
      </c>
      <c r="H140" s="108"/>
      <c r="I140" s="108">
        <f>Medidores!G126</f>
        <v>-10812171</v>
      </c>
      <c r="J140" s="20"/>
      <c r="K140" s="108">
        <f>Medidores!I126</f>
        <v>0</v>
      </c>
      <c r="L140" s="20"/>
      <c r="M140" s="108">
        <f>Medidores!K126</f>
        <v>0</v>
      </c>
      <c r="N140" s="20"/>
      <c r="O140" s="108">
        <f>Medidores!M126</f>
        <v>0</v>
      </c>
      <c r="P140" s="20"/>
      <c r="Q140" s="108">
        <f>Medidores!O126</f>
        <v>0</v>
      </c>
      <c r="R140" s="20"/>
      <c r="S140" s="108">
        <f>Medidores!Q126</f>
        <v>0</v>
      </c>
      <c r="T140" s="108"/>
      <c r="U140" s="108">
        <f>Medidores!S126</f>
        <v>0</v>
      </c>
      <c r="V140" s="108"/>
      <c r="W140" s="108">
        <f>Medidores!U126</f>
        <v>0</v>
      </c>
      <c r="X140" s="108"/>
      <c r="Y140" s="108">
        <f>Medidores!W126</f>
        <v>0</v>
      </c>
      <c r="Z140" s="108"/>
      <c r="AA140" s="108">
        <f>Medidores!Y126</f>
        <v>0</v>
      </c>
      <c r="AB140" s="21">
        <f t="shared" si="16"/>
        <v>-10387843</v>
      </c>
    </row>
    <row r="141" spans="1:28" ht="18">
      <c r="A141" s="37" t="s">
        <v>32</v>
      </c>
      <c r="B141" s="138" t="s">
        <v>32</v>
      </c>
      <c r="C141" s="61" t="s">
        <v>217</v>
      </c>
      <c r="D141" s="62" t="s">
        <v>115</v>
      </c>
      <c r="E141" s="162">
        <f>Medidores!C127+Medidores!C111</f>
        <v>4963023.6600889508</v>
      </c>
      <c r="F141" s="108"/>
      <c r="G141" s="108">
        <f>Medidores!E127+Medidores!E111</f>
        <v>214291.20000000001</v>
      </c>
      <c r="H141" s="108"/>
      <c r="I141" s="108">
        <f>Medidores!G127+Medidores!G111</f>
        <v>-5190636.9600000009</v>
      </c>
      <c r="J141" s="20"/>
      <c r="K141" s="108">
        <f>Medidores!I127+Medidores!I111</f>
        <v>0</v>
      </c>
      <c r="L141" s="20"/>
      <c r="M141" s="108">
        <f>Medidores!K127+Medidores!K111</f>
        <v>0</v>
      </c>
      <c r="N141" s="20"/>
      <c r="O141" s="108">
        <f>Medidores!M127+Medidores!M111</f>
        <v>0</v>
      </c>
      <c r="P141" s="20"/>
      <c r="Q141" s="108">
        <f>Medidores!O127+Medidores!O111</f>
        <v>0</v>
      </c>
      <c r="R141" s="20"/>
      <c r="S141" s="108">
        <f>Medidores!Q127+Medidores!Q111</f>
        <v>0</v>
      </c>
      <c r="T141" s="108"/>
      <c r="U141" s="108">
        <f>Medidores!S127+Medidores!S111</f>
        <v>0</v>
      </c>
      <c r="V141" s="108"/>
      <c r="W141" s="108">
        <f>Medidores!U127+Medidores!U111</f>
        <v>0</v>
      </c>
      <c r="X141" s="108"/>
      <c r="Y141" s="108">
        <f>Medidores!W127+Medidores!W111</f>
        <v>0</v>
      </c>
      <c r="Z141" s="108"/>
      <c r="AA141" s="108">
        <f>Medidores!Y127+Medidores!Y111</f>
        <v>0</v>
      </c>
      <c r="AB141" s="21">
        <f t="shared" si="16"/>
        <v>-13322.09991104994</v>
      </c>
    </row>
    <row r="142" spans="1:28" ht="18">
      <c r="A142" s="45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211"/>
      <c r="AB142" s="46"/>
    </row>
    <row r="143" spans="1:28" ht="18">
      <c r="A143" s="17"/>
      <c r="B143" s="125"/>
      <c r="C143" s="18"/>
      <c r="D143" s="17" t="s">
        <v>116</v>
      </c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210"/>
      <c r="AB143" s="23"/>
    </row>
    <row r="144" spans="1:28" ht="18">
      <c r="A144" s="17"/>
      <c r="B144" s="125"/>
      <c r="C144" s="18"/>
      <c r="D144" s="17" t="s">
        <v>117</v>
      </c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210"/>
      <c r="AB144" s="23"/>
    </row>
    <row r="145" spans="1:28" ht="18">
      <c r="A145" s="24"/>
      <c r="B145" s="126"/>
      <c r="C145" s="61" t="s">
        <v>199</v>
      </c>
      <c r="D145" s="106" t="s">
        <v>108</v>
      </c>
      <c r="E145" s="107">
        <f>E7+E84+E116</f>
        <v>16485</v>
      </c>
      <c r="F145" s="107"/>
      <c r="G145" s="107">
        <f>G7+G84+G116</f>
        <v>15411</v>
      </c>
      <c r="H145" s="107"/>
      <c r="I145" s="107">
        <f>I7+I84+I116</f>
        <v>16485</v>
      </c>
      <c r="J145" s="25"/>
      <c r="K145" s="107">
        <f>K7+K84+K116</f>
        <v>15948</v>
      </c>
      <c r="L145" s="25"/>
      <c r="M145" s="107">
        <f>M7+M84+M116</f>
        <v>16485</v>
      </c>
      <c r="N145" s="25"/>
      <c r="O145" s="107">
        <f>O7+O84+O116</f>
        <v>15948</v>
      </c>
      <c r="P145" s="25"/>
      <c r="Q145" s="107">
        <f>Q7+Q84+Q116</f>
        <v>16485</v>
      </c>
      <c r="R145" s="25"/>
      <c r="S145" s="107">
        <f>S7+S84+S116</f>
        <v>16485</v>
      </c>
      <c r="T145" s="107"/>
      <c r="U145" s="107">
        <f>U7+U84+U116</f>
        <v>15948</v>
      </c>
      <c r="V145" s="107"/>
      <c r="W145" s="107">
        <f>W7+W84+W116</f>
        <v>16485</v>
      </c>
      <c r="X145" s="107"/>
      <c r="Y145" s="107">
        <f>Y7+Y84+Y116</f>
        <v>15948</v>
      </c>
      <c r="Z145" s="107"/>
      <c r="AA145" s="107">
        <f>AA7+AA84+AA116</f>
        <v>16485</v>
      </c>
      <c r="AB145" s="21">
        <f t="shared" ref="AB145:AB171" si="17">E145+G145+I145+K145+M145+O145+Q145+S145+U145+W145+Y145+AA145</f>
        <v>194598</v>
      </c>
    </row>
    <row r="146" spans="1:28" ht="18">
      <c r="A146" s="27"/>
      <c r="B146" s="128"/>
      <c r="C146" s="61" t="s">
        <v>206</v>
      </c>
      <c r="D146" s="103" t="s">
        <v>152</v>
      </c>
      <c r="E146" s="107">
        <f>E8+E87+E118</f>
        <v>9142</v>
      </c>
      <c r="F146" s="107"/>
      <c r="G146" s="107">
        <f>G8+G87+G118</f>
        <v>8415</v>
      </c>
      <c r="H146" s="107"/>
      <c r="I146" s="107">
        <f>I8+I87+I118</f>
        <v>9142</v>
      </c>
      <c r="J146" s="25"/>
      <c r="K146" s="107">
        <f>K8+K87+K118</f>
        <v>8779</v>
      </c>
      <c r="L146" s="25"/>
      <c r="M146" s="107">
        <f>M8+M87+M118</f>
        <v>9142</v>
      </c>
      <c r="N146" s="25"/>
      <c r="O146" s="107">
        <f>O8+O87+O118</f>
        <v>8779</v>
      </c>
      <c r="P146" s="25"/>
      <c r="Q146" s="107">
        <f>Q8+Q87+Q118</f>
        <v>9142</v>
      </c>
      <c r="R146" s="25"/>
      <c r="S146" s="107">
        <f>S8+S87+S118</f>
        <v>9142</v>
      </c>
      <c r="T146" s="107"/>
      <c r="U146" s="107">
        <f>U8+U87+U118</f>
        <v>8779</v>
      </c>
      <c r="V146" s="107"/>
      <c r="W146" s="107">
        <f>W8+W87+W118</f>
        <v>9142</v>
      </c>
      <c r="X146" s="107"/>
      <c r="Y146" s="107">
        <f>Y8+Y87+Y118</f>
        <v>8779</v>
      </c>
      <c r="Z146" s="107"/>
      <c r="AA146" s="107">
        <f>AA8+AA87+AA118</f>
        <v>9142</v>
      </c>
      <c r="AB146" s="21">
        <f t="shared" si="17"/>
        <v>107525</v>
      </c>
    </row>
    <row r="147" spans="1:28" ht="18">
      <c r="A147" s="27"/>
      <c r="B147" s="128"/>
      <c r="C147" s="61" t="s">
        <v>263</v>
      </c>
      <c r="D147" s="62" t="s">
        <v>52</v>
      </c>
      <c r="E147" s="107">
        <f>E124</f>
        <v>61888.549013342563</v>
      </c>
      <c r="F147" s="107"/>
      <c r="G147" s="107">
        <f>G124</f>
        <v>17992.079999999998</v>
      </c>
      <c r="H147" s="107"/>
      <c r="I147" s="107">
        <f>I124</f>
        <v>4910325.2560000001</v>
      </c>
      <c r="J147" s="25"/>
      <c r="K147" s="107">
        <f>K124</f>
        <v>-20004.400000000001</v>
      </c>
      <c r="L147" s="25"/>
      <c r="M147" s="107">
        <f>M124</f>
        <v>-20856</v>
      </c>
      <c r="N147" s="25"/>
      <c r="O147" s="107">
        <f>O124</f>
        <v>-20004.400000000001</v>
      </c>
      <c r="P147" s="25"/>
      <c r="Q147" s="107">
        <f>Q124</f>
        <v>-20856</v>
      </c>
      <c r="R147" s="25"/>
      <c r="S147" s="107">
        <f>S124</f>
        <v>-20856</v>
      </c>
      <c r="T147" s="107"/>
      <c r="U147" s="107">
        <f>U124</f>
        <v>-20004.400000000001</v>
      </c>
      <c r="V147" s="107"/>
      <c r="W147" s="107">
        <f>W124</f>
        <v>-20856</v>
      </c>
      <c r="X147" s="107"/>
      <c r="Y147" s="107">
        <f>Y124</f>
        <v>-20004.400000000001</v>
      </c>
      <c r="Z147" s="107"/>
      <c r="AA147" s="107">
        <f>AA124</f>
        <v>-20856</v>
      </c>
      <c r="AB147" s="21">
        <f t="shared" si="17"/>
        <v>4805908.2850133413</v>
      </c>
    </row>
    <row r="148" spans="1:28" ht="18">
      <c r="A148" s="27"/>
      <c r="B148" s="128"/>
      <c r="C148" s="61" t="s">
        <v>264</v>
      </c>
      <c r="D148" s="62" t="s">
        <v>111</v>
      </c>
      <c r="E148" s="107">
        <f>E125+E139</f>
        <v>233968.50978669204</v>
      </c>
      <c r="F148" s="107"/>
      <c r="G148" s="107">
        <f>G125+G139</f>
        <v>113417.72</v>
      </c>
      <c r="H148" s="107"/>
      <c r="I148" s="107">
        <f>I125+I139</f>
        <v>13038813.454</v>
      </c>
      <c r="J148" s="25"/>
      <c r="K148" s="107">
        <f>K125+K139</f>
        <v>-30006.6</v>
      </c>
      <c r="L148" s="25"/>
      <c r="M148" s="107">
        <f>M125+M139</f>
        <v>-31284</v>
      </c>
      <c r="N148" s="25"/>
      <c r="O148" s="107">
        <f>O125+O139</f>
        <v>-30006.6</v>
      </c>
      <c r="P148" s="25"/>
      <c r="Q148" s="107">
        <f>Q125+Q139</f>
        <v>-31284</v>
      </c>
      <c r="R148" s="25"/>
      <c r="S148" s="107">
        <f>S125+S139</f>
        <v>-31284</v>
      </c>
      <c r="T148" s="107"/>
      <c r="U148" s="107">
        <f>U125+U139</f>
        <v>-30006.6</v>
      </c>
      <c r="V148" s="107"/>
      <c r="W148" s="107">
        <f>W125+W139</f>
        <v>-31284</v>
      </c>
      <c r="X148" s="107"/>
      <c r="Y148" s="107">
        <f>Y125+Y139</f>
        <v>-30006.6</v>
      </c>
      <c r="Z148" s="107"/>
      <c r="AA148" s="107">
        <f>AA125+AA139</f>
        <v>-31284</v>
      </c>
      <c r="AB148" s="21">
        <f t="shared" si="17"/>
        <v>13109753.283786694</v>
      </c>
    </row>
    <row r="149" spans="1:28" ht="18">
      <c r="A149" s="27"/>
      <c r="B149" s="128"/>
      <c r="C149" s="61" t="s">
        <v>221</v>
      </c>
      <c r="D149" s="62" t="s">
        <v>54</v>
      </c>
      <c r="E149" s="107">
        <f>E14+E74</f>
        <v>100516.52676879511</v>
      </c>
      <c r="F149" s="107"/>
      <c r="G149" s="107">
        <f>G14+G74</f>
        <v>26530.315999999981</v>
      </c>
      <c r="H149" s="107"/>
      <c r="I149" s="107">
        <f>I14+I74</f>
        <v>9054526.5128000006</v>
      </c>
      <c r="J149" s="25"/>
      <c r="K149" s="107">
        <f>K14+K74</f>
        <v>-85021.4</v>
      </c>
      <c r="L149" s="25"/>
      <c r="M149" s="107">
        <f>M14+M74</f>
        <v>-86395</v>
      </c>
      <c r="N149" s="25"/>
      <c r="O149" s="107">
        <f>O14+O74</f>
        <v>-82121.399999999994</v>
      </c>
      <c r="P149" s="25"/>
      <c r="Q149" s="107">
        <f>Q14+Q74</f>
        <v>-86395</v>
      </c>
      <c r="R149" s="25"/>
      <c r="S149" s="107">
        <f>S14+S74</f>
        <v>-86395</v>
      </c>
      <c r="T149" s="107"/>
      <c r="U149" s="107">
        <f>U14+U74</f>
        <v>-86101.4</v>
      </c>
      <c r="V149" s="107"/>
      <c r="W149" s="107">
        <f>W14+W74</f>
        <v>-54435</v>
      </c>
      <c r="X149" s="107"/>
      <c r="Y149" s="107">
        <f>Y14+Y74</f>
        <v>-85021.4</v>
      </c>
      <c r="Z149" s="107"/>
      <c r="AA149" s="107">
        <f>AA14+AA74</f>
        <v>-89335</v>
      </c>
      <c r="AB149" s="21">
        <f t="shared" si="17"/>
        <v>8440352.7555687949</v>
      </c>
    </row>
    <row r="150" spans="1:28" ht="18">
      <c r="A150" s="27"/>
      <c r="B150" s="128"/>
      <c r="C150" s="61" t="s">
        <v>223</v>
      </c>
      <c r="D150" s="233" t="s">
        <v>365</v>
      </c>
      <c r="E150" s="107">
        <f>E75+E15</f>
        <v>2038</v>
      </c>
      <c r="F150" s="107"/>
      <c r="G150" s="107">
        <f>G75+G15</f>
        <v>1907</v>
      </c>
      <c r="H150" s="107"/>
      <c r="I150" s="107">
        <f>I75+I15</f>
        <v>2038</v>
      </c>
      <c r="J150" s="25"/>
      <c r="K150" s="107">
        <f>K75+K15</f>
        <v>1973</v>
      </c>
      <c r="L150" s="25"/>
      <c r="M150" s="107">
        <f>M75+M15</f>
        <v>2038</v>
      </c>
      <c r="N150" s="25"/>
      <c r="O150" s="107">
        <f>O75+O15</f>
        <v>1973</v>
      </c>
      <c r="P150" s="25"/>
      <c r="Q150" s="107">
        <f>Q75+Q15</f>
        <v>2038</v>
      </c>
      <c r="R150" s="25"/>
      <c r="S150" s="107">
        <f>S75+S15</f>
        <v>2038</v>
      </c>
      <c r="T150" s="107"/>
      <c r="U150" s="107">
        <f>U75+U15</f>
        <v>1973</v>
      </c>
      <c r="V150" s="107"/>
      <c r="W150" s="107">
        <f>W75+W15</f>
        <v>2038</v>
      </c>
      <c r="X150" s="107"/>
      <c r="Y150" s="107">
        <f>Y75+Y15</f>
        <v>1973</v>
      </c>
      <c r="Z150" s="107"/>
      <c r="AA150" s="107">
        <f>AA75+AA15</f>
        <v>2038</v>
      </c>
      <c r="AB150" s="21">
        <f t="shared" si="17"/>
        <v>24065</v>
      </c>
    </row>
    <row r="151" spans="1:28" ht="18">
      <c r="A151" s="27"/>
      <c r="B151" s="128"/>
      <c r="C151" s="179" t="s">
        <v>230</v>
      </c>
      <c r="D151" s="180" t="s">
        <v>399</v>
      </c>
      <c r="E151" s="107">
        <f>E89+E77</f>
        <v>8031</v>
      </c>
      <c r="F151" s="107"/>
      <c r="G151" s="107">
        <f>G89+G77</f>
        <v>7411</v>
      </c>
      <c r="H151" s="107"/>
      <c r="I151" s="107">
        <f>I89+I77</f>
        <v>8031</v>
      </c>
      <c r="J151" s="25"/>
      <c r="K151" s="107">
        <f>K89+K77</f>
        <v>7721</v>
      </c>
      <c r="L151" s="25"/>
      <c r="M151" s="107">
        <f>M89+M77</f>
        <v>8031</v>
      </c>
      <c r="N151" s="25"/>
      <c r="O151" s="107">
        <f>O89+O77</f>
        <v>7721</v>
      </c>
      <c r="P151" s="25"/>
      <c r="Q151" s="107">
        <f>Q89+Q77</f>
        <v>8031</v>
      </c>
      <c r="R151" s="25"/>
      <c r="S151" s="107">
        <f>S89+S77</f>
        <v>8031</v>
      </c>
      <c r="T151" s="107"/>
      <c r="U151" s="107">
        <f>U89+U77</f>
        <v>7721</v>
      </c>
      <c r="V151" s="107"/>
      <c r="W151" s="107">
        <f>W89+W77</f>
        <v>8031</v>
      </c>
      <c r="X151" s="107"/>
      <c r="Y151" s="107">
        <f>Y89+Y77</f>
        <v>7721</v>
      </c>
      <c r="Z151" s="107"/>
      <c r="AA151" s="107">
        <f>AA89+AA77</f>
        <v>8031</v>
      </c>
      <c r="AB151" s="21">
        <f t="shared" si="17"/>
        <v>94512</v>
      </c>
    </row>
    <row r="152" spans="1:28" ht="18">
      <c r="A152" s="27"/>
      <c r="B152" s="128"/>
      <c r="C152" s="61" t="s">
        <v>234</v>
      </c>
      <c r="D152" s="62" t="s">
        <v>94</v>
      </c>
      <c r="E152" s="107">
        <f t="shared" ref="E152:G153" si="18">E92+E103+E105</f>
        <v>182206.89960533704</v>
      </c>
      <c r="F152" s="107"/>
      <c r="G152" s="107">
        <f t="shared" si="18"/>
        <v>111584.992</v>
      </c>
      <c r="H152" s="107"/>
      <c r="I152" s="107">
        <f>I92+I103+I105</f>
        <v>-5068235.2976000002</v>
      </c>
      <c r="J152" s="25"/>
      <c r="K152" s="107">
        <f>K92+K103+K105</f>
        <v>-3407.84</v>
      </c>
      <c r="L152" s="25"/>
      <c r="M152" s="107">
        <f>M92+M103+M105</f>
        <v>-3543.36</v>
      </c>
      <c r="N152" s="25"/>
      <c r="O152" s="107">
        <f>O92+O103+O105</f>
        <v>-3407.84</v>
      </c>
      <c r="P152" s="25"/>
      <c r="Q152" s="107">
        <f>Q92+Q103+Q105</f>
        <v>-3543.36</v>
      </c>
      <c r="R152" s="25"/>
      <c r="S152" s="107">
        <f>S92+S103+S105</f>
        <v>-3543.36</v>
      </c>
      <c r="T152" s="107"/>
      <c r="U152" s="107">
        <f>U92+U103+U105</f>
        <v>-3407.84</v>
      </c>
      <c r="V152" s="107"/>
      <c r="W152" s="107">
        <f>W92+W103+W105</f>
        <v>-3543.36</v>
      </c>
      <c r="X152" s="107"/>
      <c r="Y152" s="107">
        <f>Y92+Y103+Y105</f>
        <v>-3407.84</v>
      </c>
      <c r="Z152" s="107"/>
      <c r="AA152" s="107">
        <f>AA92+AA103+AA105</f>
        <v>-3543.36</v>
      </c>
      <c r="AB152" s="21">
        <f t="shared" si="17"/>
        <v>-4805791.5659946641</v>
      </c>
    </row>
    <row r="153" spans="1:28" ht="18">
      <c r="A153" s="27"/>
      <c r="B153" s="128"/>
      <c r="C153" s="61" t="s">
        <v>235</v>
      </c>
      <c r="D153" s="62" t="s">
        <v>95</v>
      </c>
      <c r="E153" s="107">
        <f t="shared" si="18"/>
        <v>182206.89960533704</v>
      </c>
      <c r="F153" s="107"/>
      <c r="G153" s="107">
        <f t="shared" si="18"/>
        <v>111584.992</v>
      </c>
      <c r="H153" s="107"/>
      <c r="I153" s="107">
        <f>I93+I104+I106</f>
        <v>-5068235.2976000002</v>
      </c>
      <c r="J153" s="25"/>
      <c r="K153" s="107">
        <f>K93+K104+K106</f>
        <v>-3407.84</v>
      </c>
      <c r="L153" s="25"/>
      <c r="M153" s="107">
        <f>M93+M104+M106</f>
        <v>-3543.36</v>
      </c>
      <c r="N153" s="25"/>
      <c r="O153" s="107">
        <f>O93+O104+O106</f>
        <v>-3407.84</v>
      </c>
      <c r="P153" s="25"/>
      <c r="Q153" s="107">
        <f>Q93+Q104+Q106</f>
        <v>-3543.36</v>
      </c>
      <c r="R153" s="25"/>
      <c r="S153" s="107">
        <f>S93+S104+S106</f>
        <v>-3543.36</v>
      </c>
      <c r="T153" s="107"/>
      <c r="U153" s="107">
        <f>U93+U104+U106</f>
        <v>-3407.84</v>
      </c>
      <c r="V153" s="107"/>
      <c r="W153" s="107">
        <f>W93+W104+W106</f>
        <v>-3543.36</v>
      </c>
      <c r="X153" s="107"/>
      <c r="Y153" s="107">
        <f>Y93+Y104+Y106</f>
        <v>-3407.84</v>
      </c>
      <c r="Z153" s="107"/>
      <c r="AA153" s="107">
        <f>AA93+AA104+AA106</f>
        <v>-3543.36</v>
      </c>
      <c r="AB153" s="21">
        <f t="shared" si="17"/>
        <v>-4805791.5659946641</v>
      </c>
    </row>
    <row r="154" spans="1:28" ht="18">
      <c r="A154" s="27"/>
      <c r="B154" s="128"/>
      <c r="C154" s="61" t="s">
        <v>232</v>
      </c>
      <c r="D154" s="62" t="s">
        <v>160</v>
      </c>
      <c r="E154" s="107">
        <f>E27+E107</f>
        <v>857604.45751111885</v>
      </c>
      <c r="F154" s="107"/>
      <c r="G154" s="107">
        <f>G27+G107</f>
        <v>184286.4</v>
      </c>
      <c r="H154" s="107"/>
      <c r="I154" s="107">
        <f>I27+I107</f>
        <v>-23771631.620000001</v>
      </c>
      <c r="J154" s="25"/>
      <c r="K154" s="107">
        <f>K27+K107</f>
        <v>0</v>
      </c>
      <c r="L154" s="25"/>
      <c r="M154" s="107">
        <f>M27+M107</f>
        <v>0</v>
      </c>
      <c r="N154" s="25"/>
      <c r="O154" s="107">
        <f>O27+O107</f>
        <v>0</v>
      </c>
      <c r="P154" s="25"/>
      <c r="Q154" s="107">
        <f>Q27+Q107</f>
        <v>0</v>
      </c>
      <c r="R154" s="25"/>
      <c r="S154" s="107">
        <f>S27+S107</f>
        <v>0</v>
      </c>
      <c r="T154" s="107"/>
      <c r="U154" s="107">
        <f>U27+U107</f>
        <v>0</v>
      </c>
      <c r="V154" s="107"/>
      <c r="W154" s="107">
        <f>W27+W107</f>
        <v>0</v>
      </c>
      <c r="X154" s="107"/>
      <c r="Y154" s="107">
        <f>Y27+Y107</f>
        <v>0</v>
      </c>
      <c r="Z154" s="107"/>
      <c r="AA154" s="107">
        <f>AA27+AA107</f>
        <v>0</v>
      </c>
      <c r="AB154" s="21">
        <f t="shared" si="17"/>
        <v>-22729740.762488883</v>
      </c>
    </row>
    <row r="155" spans="1:28" ht="18">
      <c r="A155" s="27"/>
      <c r="B155" s="128"/>
      <c r="C155" s="61" t="s">
        <v>236</v>
      </c>
      <c r="D155" s="62" t="s">
        <v>161</v>
      </c>
      <c r="E155" s="107">
        <f>E29+E94+E109+E110+E111+E112+E113+E114</f>
        <v>12624639.096448034</v>
      </c>
      <c r="F155" s="107"/>
      <c r="G155" s="107">
        <f>G29+G94+G109+G110+G111+G112+G113+G114</f>
        <v>704264.92800000007</v>
      </c>
      <c r="H155" s="107"/>
      <c r="I155" s="107">
        <f>I29+I94+I109+I110+I111+I112+I113+I114</f>
        <v>-2953502.6783999987</v>
      </c>
      <c r="J155" s="25"/>
      <c r="K155" s="107">
        <f>K29+K94+K109+K110+K111+K112+K113+K114</f>
        <v>-30670.559999999998</v>
      </c>
      <c r="L155" s="25"/>
      <c r="M155" s="107">
        <f>M29+M94+M109+M110+M111+M112+M113+M114</f>
        <v>-31890.239999999998</v>
      </c>
      <c r="N155" s="25"/>
      <c r="O155" s="107">
        <f>O29+O94+O109+O110+O111+O112+O113+O114</f>
        <v>-30670.559999999998</v>
      </c>
      <c r="P155" s="25"/>
      <c r="Q155" s="107">
        <f>Q29+Q94+Q109+Q110+Q111+Q112+Q113+Q114</f>
        <v>-31890.239999999998</v>
      </c>
      <c r="R155" s="25"/>
      <c r="S155" s="107">
        <f>S29+S94+S109+S110+S111+S112+S113+S114</f>
        <v>-31890.239999999998</v>
      </c>
      <c r="T155" s="107"/>
      <c r="U155" s="107">
        <f>U29+U94+U109+U110+U111+U112+U113+U114</f>
        <v>-30670.559999999998</v>
      </c>
      <c r="V155" s="107"/>
      <c r="W155" s="107">
        <f>W29+W94+W109+W110+W111+W112+W113+W114</f>
        <v>-31890.239999999998</v>
      </c>
      <c r="X155" s="107"/>
      <c r="Y155" s="107">
        <f>Y29+Y94+Y109+Y110+Y111+Y112+Y113+Y114</f>
        <v>-30670.559999999998</v>
      </c>
      <c r="Z155" s="107"/>
      <c r="AA155" s="107">
        <f>AA29+AA94+AA109+AA110+AA111+AA112+AA113+AA114</f>
        <v>-31890.239999999998</v>
      </c>
      <c r="AB155" s="21">
        <f t="shared" si="17"/>
        <v>10093267.906048032</v>
      </c>
    </row>
    <row r="156" spans="1:28" ht="18">
      <c r="A156" s="27"/>
      <c r="B156" s="128"/>
      <c r="C156" s="61" t="s">
        <v>268</v>
      </c>
      <c r="D156" s="62" t="s">
        <v>128</v>
      </c>
      <c r="E156" s="107">
        <f>E80+E9</f>
        <v>18036</v>
      </c>
      <c r="F156" s="107"/>
      <c r="G156" s="107">
        <f>G80+G9</f>
        <v>18036</v>
      </c>
      <c r="H156" s="107"/>
      <c r="I156" s="107">
        <f>I80+I9</f>
        <v>18036</v>
      </c>
      <c r="J156" s="25"/>
      <c r="K156" s="107">
        <f>K80+K9</f>
        <v>18036</v>
      </c>
      <c r="L156" s="25"/>
      <c r="M156" s="107">
        <f>M80+M9</f>
        <v>18036</v>
      </c>
      <c r="N156" s="25"/>
      <c r="O156" s="107">
        <f>O80+O9</f>
        <v>18036</v>
      </c>
      <c r="P156" s="25"/>
      <c r="Q156" s="107">
        <f>Q80+Q9</f>
        <v>18036</v>
      </c>
      <c r="R156" s="25"/>
      <c r="S156" s="107">
        <f>S80+S9</f>
        <v>18036</v>
      </c>
      <c r="T156" s="107"/>
      <c r="U156" s="107">
        <f>U80+U9</f>
        <v>18036</v>
      </c>
      <c r="V156" s="107"/>
      <c r="W156" s="107">
        <f>W80+W9</f>
        <v>18036</v>
      </c>
      <c r="X156" s="107"/>
      <c r="Y156" s="107">
        <f>Y80+Y9</f>
        <v>18036</v>
      </c>
      <c r="Z156" s="107"/>
      <c r="AA156" s="107">
        <f>AA80+AA9</f>
        <v>18036</v>
      </c>
      <c r="AB156" s="21">
        <f t="shared" si="17"/>
        <v>216432</v>
      </c>
    </row>
    <row r="157" spans="1:28" ht="18">
      <c r="A157" s="27"/>
      <c r="B157" s="128"/>
      <c r="C157" s="61" t="s">
        <v>269</v>
      </c>
      <c r="D157" s="62" t="s">
        <v>169</v>
      </c>
      <c r="E157" s="107">
        <f>E96+E127</f>
        <v>26755</v>
      </c>
      <c r="F157" s="107"/>
      <c r="G157" s="107">
        <f>G96+G127</f>
        <v>23824</v>
      </c>
      <c r="H157" s="107"/>
      <c r="I157" s="107">
        <f>I96+I127</f>
        <v>26755</v>
      </c>
      <c r="J157" s="25"/>
      <c r="K157" s="107">
        <f>K96+K127</f>
        <v>25289</v>
      </c>
      <c r="L157" s="25"/>
      <c r="M157" s="107">
        <f>M96+M127</f>
        <v>26755</v>
      </c>
      <c r="N157" s="25"/>
      <c r="O157" s="107">
        <f>O96+O127</f>
        <v>25289</v>
      </c>
      <c r="P157" s="25"/>
      <c r="Q157" s="107">
        <f>Q96+Q127</f>
        <v>26755</v>
      </c>
      <c r="R157" s="25"/>
      <c r="S157" s="107">
        <f>S96+S127</f>
        <v>26755</v>
      </c>
      <c r="T157" s="107"/>
      <c r="U157" s="107">
        <f>U96+U127</f>
        <v>25289</v>
      </c>
      <c r="V157" s="107"/>
      <c r="W157" s="107">
        <f>W96+W127</f>
        <v>26755</v>
      </c>
      <c r="X157" s="107"/>
      <c r="Y157" s="107">
        <f>Y96+Y127</f>
        <v>25289</v>
      </c>
      <c r="Z157" s="107"/>
      <c r="AA157" s="107">
        <f>AA96+AA127</f>
        <v>26755</v>
      </c>
      <c r="AB157" s="21">
        <f t="shared" si="17"/>
        <v>312265</v>
      </c>
    </row>
    <row r="158" spans="1:28" ht="18">
      <c r="A158" s="27"/>
      <c r="B158" s="128"/>
      <c r="C158" s="61" t="s">
        <v>225</v>
      </c>
      <c r="D158" s="62" t="s">
        <v>50</v>
      </c>
      <c r="E158" s="107">
        <f>E17+E10</f>
        <v>66249.987013342557</v>
      </c>
      <c r="F158" s="107"/>
      <c r="G158" s="107">
        <f>G17+G10</f>
        <v>45284.87999999999</v>
      </c>
      <c r="H158" s="107"/>
      <c r="I158" s="107">
        <f>I17+I10</f>
        <v>7517847.4439999992</v>
      </c>
      <c r="J158" s="25"/>
      <c r="K158" s="107">
        <f>K17+K10</f>
        <v>-11218.8</v>
      </c>
      <c r="L158" s="25"/>
      <c r="M158" s="107">
        <f>M17+M10</f>
        <v>-11218.8</v>
      </c>
      <c r="N158" s="25"/>
      <c r="O158" s="107">
        <f>O17+O10</f>
        <v>-11218.8</v>
      </c>
      <c r="P158" s="25"/>
      <c r="Q158" s="107">
        <f>Q17+Q10</f>
        <v>-11218.8</v>
      </c>
      <c r="R158" s="25"/>
      <c r="S158" s="107">
        <f>S17+S10</f>
        <v>-11218.8</v>
      </c>
      <c r="T158" s="107"/>
      <c r="U158" s="107">
        <f>U17+U10</f>
        <v>-11218.8</v>
      </c>
      <c r="V158" s="107"/>
      <c r="W158" s="107">
        <f>W17+W10</f>
        <v>-11218.8</v>
      </c>
      <c r="X158" s="107"/>
      <c r="Y158" s="107">
        <f>Y17+Y10</f>
        <v>-11218.8</v>
      </c>
      <c r="Z158" s="107"/>
      <c r="AA158" s="107">
        <f>AA17+AA10</f>
        <v>-11218.8</v>
      </c>
      <c r="AB158" s="21">
        <f t="shared" si="17"/>
        <v>7528413.1110133436</v>
      </c>
    </row>
    <row r="159" spans="1:28" ht="18">
      <c r="A159" s="27"/>
      <c r="B159" s="128"/>
      <c r="C159" s="61" t="s">
        <v>248</v>
      </c>
      <c r="D159" s="62" t="s">
        <v>281</v>
      </c>
      <c r="E159" s="107">
        <f>E97+E82</f>
        <v>22187</v>
      </c>
      <c r="F159" s="107"/>
      <c r="G159" s="107">
        <f>G97+G82</f>
        <v>19146</v>
      </c>
      <c r="H159" s="107"/>
      <c r="I159" s="107">
        <f>I97+I82</f>
        <v>22187</v>
      </c>
      <c r="J159" s="25"/>
      <c r="K159" s="107">
        <f>K97+K82</f>
        <v>20667</v>
      </c>
      <c r="L159" s="25"/>
      <c r="M159" s="107">
        <f>M97+M82</f>
        <v>22187</v>
      </c>
      <c r="N159" s="25"/>
      <c r="O159" s="107">
        <f>O97+O82</f>
        <v>20667</v>
      </c>
      <c r="P159" s="25"/>
      <c r="Q159" s="107">
        <f>Q97+Q82</f>
        <v>22187</v>
      </c>
      <c r="R159" s="25"/>
      <c r="S159" s="107">
        <f>S97+S82</f>
        <v>22187</v>
      </c>
      <c r="T159" s="107"/>
      <c r="U159" s="107">
        <f>U97+U82</f>
        <v>20667</v>
      </c>
      <c r="V159" s="107"/>
      <c r="W159" s="107">
        <f>W97+W82</f>
        <v>22187</v>
      </c>
      <c r="X159" s="107"/>
      <c r="Y159" s="107">
        <f>Y97+Y82</f>
        <v>20667</v>
      </c>
      <c r="Z159" s="107"/>
      <c r="AA159" s="107">
        <f>AA97+AA82</f>
        <v>22187</v>
      </c>
      <c r="AB159" s="21">
        <f t="shared" si="17"/>
        <v>257123</v>
      </c>
    </row>
    <row r="160" spans="1:28" ht="18">
      <c r="A160" s="27"/>
      <c r="B160" s="128"/>
      <c r="C160" s="61" t="s">
        <v>250</v>
      </c>
      <c r="D160" s="62" t="s">
        <v>122</v>
      </c>
      <c r="E160" s="107">
        <f>E98+E56</f>
        <v>4833</v>
      </c>
      <c r="F160" s="107"/>
      <c r="G160" s="107">
        <f>G98+G56</f>
        <v>4378</v>
      </c>
      <c r="H160" s="107"/>
      <c r="I160" s="107">
        <f>I98+I56</f>
        <v>4833</v>
      </c>
      <c r="J160" s="25"/>
      <c r="K160" s="107">
        <f>K98+K56</f>
        <v>4605</v>
      </c>
      <c r="L160" s="25"/>
      <c r="M160" s="107">
        <f>M98+M56</f>
        <v>4833</v>
      </c>
      <c r="N160" s="25"/>
      <c r="O160" s="107">
        <f>O98+O56</f>
        <v>4605</v>
      </c>
      <c r="P160" s="25"/>
      <c r="Q160" s="107">
        <f>Q98+Q56</f>
        <v>4833</v>
      </c>
      <c r="R160" s="25"/>
      <c r="S160" s="107">
        <f>S98+S56</f>
        <v>4833</v>
      </c>
      <c r="T160" s="107"/>
      <c r="U160" s="107">
        <f>U98+U56</f>
        <v>4605</v>
      </c>
      <c r="V160" s="107"/>
      <c r="W160" s="107">
        <f>W98+W56</f>
        <v>4833</v>
      </c>
      <c r="X160" s="107"/>
      <c r="Y160" s="107">
        <f>Y98+Y56</f>
        <v>4605</v>
      </c>
      <c r="Z160" s="107"/>
      <c r="AA160" s="107">
        <f>AA98+AA56</f>
        <v>4833</v>
      </c>
      <c r="AB160" s="21">
        <f t="shared" si="17"/>
        <v>56629</v>
      </c>
    </row>
    <row r="161" spans="1:28" ht="18">
      <c r="A161" s="27"/>
      <c r="B161" s="128"/>
      <c r="C161" s="61" t="s">
        <v>255</v>
      </c>
      <c r="D161" s="62" t="s">
        <v>165</v>
      </c>
      <c r="E161" s="107">
        <f>E99+E61</f>
        <v>3171</v>
      </c>
      <c r="F161" s="107"/>
      <c r="G161" s="107">
        <f>G99+G61</f>
        <v>3171</v>
      </c>
      <c r="H161" s="107"/>
      <c r="I161" s="107">
        <f>I99+I61</f>
        <v>3171</v>
      </c>
      <c r="J161" s="25"/>
      <c r="K161" s="107">
        <f>K99+K61</f>
        <v>3171</v>
      </c>
      <c r="L161" s="25"/>
      <c r="M161" s="107">
        <f>M99+M61</f>
        <v>3171</v>
      </c>
      <c r="N161" s="25"/>
      <c r="O161" s="107">
        <f>O99+O61</f>
        <v>3171</v>
      </c>
      <c r="P161" s="25"/>
      <c r="Q161" s="107">
        <f>Q99+Q61</f>
        <v>3171</v>
      </c>
      <c r="R161" s="25"/>
      <c r="S161" s="107">
        <f>S99+S61</f>
        <v>3171</v>
      </c>
      <c r="T161" s="107"/>
      <c r="U161" s="107">
        <f>U99+U61</f>
        <v>3171</v>
      </c>
      <c r="V161" s="107"/>
      <c r="W161" s="107">
        <f>W99+W61</f>
        <v>3171</v>
      </c>
      <c r="X161" s="107"/>
      <c r="Y161" s="107">
        <f>Y99+Y61</f>
        <v>3171</v>
      </c>
      <c r="Z161" s="107"/>
      <c r="AA161" s="107">
        <f>AA99+AA61</f>
        <v>3171</v>
      </c>
      <c r="AB161" s="21">
        <f t="shared" si="17"/>
        <v>38052</v>
      </c>
    </row>
    <row r="162" spans="1:28" ht="18">
      <c r="A162" s="27"/>
      <c r="B162" s="128"/>
      <c r="C162" s="61" t="s">
        <v>257</v>
      </c>
      <c r="D162" s="62" t="s">
        <v>195</v>
      </c>
      <c r="E162" s="107">
        <f>E62+E129</f>
        <v>32692</v>
      </c>
      <c r="F162" s="107"/>
      <c r="G162" s="107">
        <f>G62+G129</f>
        <v>30319</v>
      </c>
      <c r="H162" s="107"/>
      <c r="I162" s="107">
        <f>I62+I129</f>
        <v>32692</v>
      </c>
      <c r="J162" s="25"/>
      <c r="K162" s="107">
        <f>K62+K129</f>
        <v>31505</v>
      </c>
      <c r="L162" s="25"/>
      <c r="M162" s="107">
        <f>M62+M129</f>
        <v>32692</v>
      </c>
      <c r="N162" s="25"/>
      <c r="O162" s="107">
        <f>O62+O129</f>
        <v>31505</v>
      </c>
      <c r="P162" s="25"/>
      <c r="Q162" s="107">
        <f>Q62+Q129</f>
        <v>32692</v>
      </c>
      <c r="R162" s="25"/>
      <c r="S162" s="107">
        <f>S62+S129</f>
        <v>32692</v>
      </c>
      <c r="T162" s="107"/>
      <c r="U162" s="107">
        <f>U62+U129</f>
        <v>31505</v>
      </c>
      <c r="V162" s="107"/>
      <c r="W162" s="107">
        <f>W62+W129</f>
        <v>32692</v>
      </c>
      <c r="X162" s="107"/>
      <c r="Y162" s="107">
        <f>Y62+Y129</f>
        <v>31505</v>
      </c>
      <c r="Z162" s="107"/>
      <c r="AA162" s="107">
        <f>AA62+AA129</f>
        <v>32692</v>
      </c>
      <c r="AB162" s="21">
        <f t="shared" si="17"/>
        <v>385183</v>
      </c>
    </row>
    <row r="163" spans="1:28" ht="18">
      <c r="A163" s="34"/>
      <c r="B163" s="131"/>
      <c r="C163" s="61" t="s">
        <v>272</v>
      </c>
      <c r="D163" s="233" t="s">
        <v>289</v>
      </c>
      <c r="E163" s="107">
        <f>E24+E101+E133+E63</f>
        <v>7736</v>
      </c>
      <c r="F163" s="107"/>
      <c r="G163" s="107">
        <f>G24+G101+G133+G63</f>
        <v>6953</v>
      </c>
      <c r="H163" s="107"/>
      <c r="I163" s="107">
        <f>I24+I101+I133+I63</f>
        <v>7736</v>
      </c>
      <c r="J163" s="25"/>
      <c r="K163" s="107">
        <f>K24+K101+K133+K63</f>
        <v>7345</v>
      </c>
      <c r="L163" s="25"/>
      <c r="M163" s="107">
        <f>M24+M101+M133+M63</f>
        <v>7736</v>
      </c>
      <c r="N163" s="25"/>
      <c r="O163" s="107">
        <f>O24+O101+O133+O63</f>
        <v>7345</v>
      </c>
      <c r="P163" s="25"/>
      <c r="Q163" s="107">
        <f>Q24+Q101+Q133+Q63</f>
        <v>7736</v>
      </c>
      <c r="R163" s="25"/>
      <c r="S163" s="107">
        <f>S24+S101+S133+S63</f>
        <v>7736</v>
      </c>
      <c r="T163" s="107"/>
      <c r="U163" s="107">
        <f>U24+U101+U133+U63</f>
        <v>7345</v>
      </c>
      <c r="V163" s="107"/>
      <c r="W163" s="107">
        <f>W24+W101+W133+W63</f>
        <v>7736</v>
      </c>
      <c r="X163" s="107"/>
      <c r="Y163" s="107">
        <f>Y24+Y101+Y133+Y63</f>
        <v>7345</v>
      </c>
      <c r="Z163" s="107"/>
      <c r="AA163" s="107">
        <f>AA24+AA101+AA133+AA63</f>
        <v>7736</v>
      </c>
      <c r="AB163" s="21">
        <f t="shared" si="17"/>
        <v>90485</v>
      </c>
    </row>
    <row r="164" spans="1:28" ht="18">
      <c r="A164" s="34"/>
      <c r="B164" s="131"/>
      <c r="C164" s="61" t="s">
        <v>273</v>
      </c>
      <c r="D164" s="62" t="s">
        <v>175</v>
      </c>
      <c r="E164" s="107">
        <f>E36+E134</f>
        <v>1770</v>
      </c>
      <c r="F164" s="107"/>
      <c r="G164" s="107">
        <f>G36+G134</f>
        <v>1770</v>
      </c>
      <c r="H164" s="107"/>
      <c r="I164" s="107">
        <f>I36+I134</f>
        <v>1770</v>
      </c>
      <c r="J164" s="25"/>
      <c r="K164" s="107">
        <f>K36+K134</f>
        <v>1770</v>
      </c>
      <c r="L164" s="25"/>
      <c r="M164" s="107">
        <f>M36+M134</f>
        <v>1770</v>
      </c>
      <c r="N164" s="25"/>
      <c r="O164" s="107">
        <f>O36+O134</f>
        <v>1770</v>
      </c>
      <c r="P164" s="25"/>
      <c r="Q164" s="107">
        <f>Q36+Q134</f>
        <v>1770</v>
      </c>
      <c r="R164" s="25"/>
      <c r="S164" s="107">
        <f>S36+S134</f>
        <v>1770</v>
      </c>
      <c r="T164" s="107"/>
      <c r="U164" s="107">
        <f>U36+U134</f>
        <v>1770</v>
      </c>
      <c r="V164" s="107"/>
      <c r="W164" s="107">
        <f>W36+W134</f>
        <v>1770</v>
      </c>
      <c r="X164" s="107"/>
      <c r="Y164" s="107">
        <f>Y36+Y134</f>
        <v>1770</v>
      </c>
      <c r="Z164" s="107"/>
      <c r="AA164" s="107">
        <f>AA36+AA134</f>
        <v>1770</v>
      </c>
      <c r="AB164" s="21">
        <f t="shared" si="17"/>
        <v>21240</v>
      </c>
    </row>
    <row r="165" spans="1:28" ht="3.75" hidden="1" customHeight="1">
      <c r="A165" s="34"/>
      <c r="B165" s="131"/>
      <c r="C165" s="13"/>
      <c r="D165" s="57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1">
        <f t="shared" si="17"/>
        <v>0</v>
      </c>
    </row>
    <row r="166" spans="1:28" ht="18">
      <c r="A166" s="34"/>
      <c r="B166" s="131"/>
      <c r="C166" s="61" t="s">
        <v>274</v>
      </c>
      <c r="D166" s="62" t="s">
        <v>176</v>
      </c>
      <c r="E166" s="107">
        <f>E136+E64</f>
        <v>2160</v>
      </c>
      <c r="F166" s="107"/>
      <c r="G166" s="107">
        <f>G136+G64</f>
        <v>2160</v>
      </c>
      <c r="H166" s="107"/>
      <c r="I166" s="107">
        <f>I136+I64</f>
        <v>2160</v>
      </c>
      <c r="J166" s="25"/>
      <c r="K166" s="107">
        <f>K136+K64</f>
        <v>2160</v>
      </c>
      <c r="L166" s="25"/>
      <c r="M166" s="107">
        <f>M136+M64</f>
        <v>2160</v>
      </c>
      <c r="N166" s="25"/>
      <c r="O166" s="107">
        <f>O136+O64</f>
        <v>2160</v>
      </c>
      <c r="P166" s="25"/>
      <c r="Q166" s="107">
        <f>Q136+Q64</f>
        <v>2160</v>
      </c>
      <c r="R166" s="25"/>
      <c r="S166" s="107">
        <f>S136+S64</f>
        <v>2160</v>
      </c>
      <c r="T166" s="107"/>
      <c r="U166" s="107">
        <f>U136+U64</f>
        <v>2160</v>
      </c>
      <c r="V166" s="107"/>
      <c r="W166" s="107">
        <f>W136+W64</f>
        <v>2160</v>
      </c>
      <c r="X166" s="107"/>
      <c r="Y166" s="107">
        <f>Y136+Y64</f>
        <v>2160</v>
      </c>
      <c r="Z166" s="107"/>
      <c r="AA166" s="107">
        <f>AA136+AA64</f>
        <v>2160</v>
      </c>
      <c r="AB166" s="21">
        <f t="shared" si="17"/>
        <v>25920</v>
      </c>
    </row>
    <row r="167" spans="1:28" ht="18">
      <c r="A167" s="34"/>
      <c r="B167" s="131"/>
      <c r="C167" s="61" t="s">
        <v>238</v>
      </c>
      <c r="D167" s="62" t="s">
        <v>162</v>
      </c>
      <c r="E167" s="107">
        <f>E95+E37</f>
        <v>260</v>
      </c>
      <c r="F167" s="107"/>
      <c r="G167" s="107">
        <f>G95+G37</f>
        <v>260</v>
      </c>
      <c r="H167" s="107"/>
      <c r="I167" s="107">
        <f>I95+I37</f>
        <v>260</v>
      </c>
      <c r="J167" s="25"/>
      <c r="K167" s="107">
        <f>K95+K37</f>
        <v>260</v>
      </c>
      <c r="L167" s="25"/>
      <c r="M167" s="107">
        <f>M95+M37</f>
        <v>260</v>
      </c>
      <c r="N167" s="25"/>
      <c r="O167" s="107">
        <f>O95+O37</f>
        <v>260</v>
      </c>
      <c r="P167" s="25"/>
      <c r="Q167" s="107">
        <f>Q95+Q37</f>
        <v>260</v>
      </c>
      <c r="R167" s="25"/>
      <c r="S167" s="107">
        <f>S95+S37</f>
        <v>260</v>
      </c>
      <c r="T167" s="107"/>
      <c r="U167" s="107">
        <f>U95+U37</f>
        <v>260</v>
      </c>
      <c r="V167" s="107"/>
      <c r="W167" s="107">
        <f>W95+W37</f>
        <v>260</v>
      </c>
      <c r="X167" s="107"/>
      <c r="Y167" s="107">
        <f>Y95+Y37</f>
        <v>260</v>
      </c>
      <c r="Z167" s="107"/>
      <c r="AA167" s="107">
        <f>AA95+AA37</f>
        <v>260</v>
      </c>
      <c r="AB167" s="21">
        <f t="shared" si="17"/>
        <v>3120</v>
      </c>
    </row>
    <row r="168" spans="1:28" ht="18">
      <c r="A168" s="34"/>
      <c r="B168" s="131"/>
      <c r="C168" s="61" t="s">
        <v>218</v>
      </c>
      <c r="D168" s="62" t="s">
        <v>60</v>
      </c>
      <c r="E168" s="107">
        <f t="shared" ref="E168:G169" si="19">E20+E44</f>
        <v>66274.993915725878</v>
      </c>
      <c r="F168" s="107"/>
      <c r="G168" s="107">
        <f t="shared" si="19"/>
        <v>22383.91272</v>
      </c>
      <c r="H168" s="107"/>
      <c r="I168" s="107">
        <f>I20+I44</f>
        <v>3850388.7191040004</v>
      </c>
      <c r="J168" s="25"/>
      <c r="K168" s="107">
        <f>K20+K44</f>
        <v>-2439.21</v>
      </c>
      <c r="L168" s="25"/>
      <c r="M168" s="107">
        <f>M20+M44</f>
        <v>-2439.21</v>
      </c>
      <c r="N168" s="25"/>
      <c r="O168" s="107">
        <f>O20+O44</f>
        <v>-2439.21</v>
      </c>
      <c r="P168" s="25"/>
      <c r="Q168" s="107">
        <f>Q20+Q44</f>
        <v>-2439.21</v>
      </c>
      <c r="R168" s="25"/>
      <c r="S168" s="107">
        <f>S20+S44</f>
        <v>-2439.21</v>
      </c>
      <c r="T168" s="107"/>
      <c r="U168" s="107">
        <f>U20+U44</f>
        <v>-2439.21</v>
      </c>
      <c r="V168" s="107"/>
      <c r="W168" s="107">
        <f>W20+W44</f>
        <v>-2439.21</v>
      </c>
      <c r="X168" s="107"/>
      <c r="Y168" s="107">
        <f>Y20+Y44</f>
        <v>-2439.21</v>
      </c>
      <c r="Z168" s="107"/>
      <c r="AA168" s="107">
        <f>AA20+AA44</f>
        <v>-2439.21</v>
      </c>
      <c r="AB168" s="21">
        <f t="shared" si="17"/>
        <v>3917094.7357397266</v>
      </c>
    </row>
    <row r="169" spans="1:28" ht="18">
      <c r="A169" s="34"/>
      <c r="B169" s="131"/>
      <c r="C169" s="61" t="s">
        <v>214</v>
      </c>
      <c r="D169" s="62" t="s">
        <v>155</v>
      </c>
      <c r="E169" s="107">
        <f t="shared" si="19"/>
        <v>115346.95900339697</v>
      </c>
      <c r="F169" s="107"/>
      <c r="G169" s="107">
        <f t="shared" si="19"/>
        <v>38205.058720000001</v>
      </c>
      <c r="H169" s="107"/>
      <c r="I169" s="107">
        <f>I21+I45</f>
        <v>6766213.5063039996</v>
      </c>
      <c r="J169" s="25"/>
      <c r="K169" s="107">
        <f>K21+K45</f>
        <v>-5423.4599999999991</v>
      </c>
      <c r="L169" s="25"/>
      <c r="M169" s="107">
        <f>M21+M45</f>
        <v>-5423.4599999999991</v>
      </c>
      <c r="N169" s="25"/>
      <c r="O169" s="107">
        <f>O21+O45</f>
        <v>-5423.4599999999991</v>
      </c>
      <c r="P169" s="25"/>
      <c r="Q169" s="107">
        <f>Q21+Q45</f>
        <v>-5423.4599999999991</v>
      </c>
      <c r="R169" s="25"/>
      <c r="S169" s="107">
        <f>S21+S45</f>
        <v>-5423.4599999999991</v>
      </c>
      <c r="T169" s="107"/>
      <c r="U169" s="107">
        <f>U21+U45</f>
        <v>-5423.4599999999991</v>
      </c>
      <c r="V169" s="107"/>
      <c r="W169" s="107">
        <f>W21+W45</f>
        <v>-5423.4599999999991</v>
      </c>
      <c r="X169" s="107"/>
      <c r="Y169" s="107">
        <f>Y21+Y45</f>
        <v>-5423.4599999999991</v>
      </c>
      <c r="Z169" s="107"/>
      <c r="AA169" s="107">
        <f>AA21+AA45</f>
        <v>-5423.4599999999991</v>
      </c>
      <c r="AB169" s="21">
        <f t="shared" si="17"/>
        <v>6870954.3840273973</v>
      </c>
    </row>
    <row r="170" spans="1:28" ht="18">
      <c r="A170" s="34"/>
      <c r="B170" s="131"/>
      <c r="C170" s="61" t="s">
        <v>222</v>
      </c>
      <c r="D170" s="62" t="s">
        <v>87</v>
      </c>
      <c r="E170" s="107">
        <f>E76+E41</f>
        <v>116110.23988075825</v>
      </c>
      <c r="F170" s="107"/>
      <c r="G170" s="107">
        <f>G76+G41</f>
        <v>33365.392079999998</v>
      </c>
      <c r="H170" s="107"/>
      <c r="I170" s="107">
        <f>I76+I41</f>
        <v>7281248.9266560003</v>
      </c>
      <c r="J170" s="25"/>
      <c r="K170" s="107">
        <f>K76+K41</f>
        <v>-19510.850000000002</v>
      </c>
      <c r="L170" s="25"/>
      <c r="M170" s="107">
        <f>M76+M41</f>
        <v>-20080.230000000003</v>
      </c>
      <c r="N170" s="25"/>
      <c r="O170" s="107">
        <f>O76+O41</f>
        <v>-19510.850000000002</v>
      </c>
      <c r="P170" s="25"/>
      <c r="Q170" s="107">
        <f>Q76+Q41</f>
        <v>-20080.230000000003</v>
      </c>
      <c r="R170" s="25"/>
      <c r="S170" s="107">
        <f>S76+S41</f>
        <v>-20080.230000000003</v>
      </c>
      <c r="T170" s="107"/>
      <c r="U170" s="107">
        <f>U76+U41</f>
        <v>-19510.850000000002</v>
      </c>
      <c r="V170" s="107"/>
      <c r="W170" s="107">
        <f>W76+W41</f>
        <v>-20080.230000000003</v>
      </c>
      <c r="X170" s="107"/>
      <c r="Y170" s="107">
        <f>Y76+Y41</f>
        <v>-19510.850000000002</v>
      </c>
      <c r="Z170" s="107"/>
      <c r="AA170" s="107">
        <f>AA76+AA41</f>
        <v>-20080.230000000003</v>
      </c>
      <c r="AB170" s="21">
        <f t="shared" si="17"/>
        <v>7252280.0086167576</v>
      </c>
    </row>
    <row r="171" spans="1:28" ht="18">
      <c r="A171" s="35"/>
      <c r="B171" s="132"/>
      <c r="C171" s="61" t="s">
        <v>271</v>
      </c>
      <c r="D171" s="62" t="s">
        <v>171</v>
      </c>
      <c r="E171" s="107">
        <f>E12+E78</f>
        <v>5690</v>
      </c>
      <c r="F171" s="107"/>
      <c r="G171" s="107">
        <f>G12+G78</f>
        <v>5314</v>
      </c>
      <c r="H171" s="107"/>
      <c r="I171" s="107">
        <f>I12+I78</f>
        <v>5690</v>
      </c>
      <c r="J171" s="25"/>
      <c r="K171" s="107">
        <f>K12+K78</f>
        <v>5502</v>
      </c>
      <c r="L171" s="25"/>
      <c r="M171" s="107">
        <f>M12+M78</f>
        <v>5690</v>
      </c>
      <c r="N171" s="25"/>
      <c r="O171" s="107">
        <f>O12+O78</f>
        <v>5502</v>
      </c>
      <c r="P171" s="25"/>
      <c r="Q171" s="107">
        <f>Q12+Q78</f>
        <v>5690</v>
      </c>
      <c r="R171" s="25"/>
      <c r="S171" s="107">
        <f>S12+S78</f>
        <v>5690</v>
      </c>
      <c r="T171" s="107"/>
      <c r="U171" s="107">
        <f>U12+U78</f>
        <v>5502</v>
      </c>
      <c r="V171" s="107"/>
      <c r="W171" s="107">
        <f>W12+W78</f>
        <v>5690</v>
      </c>
      <c r="X171" s="107"/>
      <c r="Y171" s="107">
        <f>Y12+Y78</f>
        <v>5502</v>
      </c>
      <c r="Z171" s="107"/>
      <c r="AA171" s="107">
        <f>AA12+AA78</f>
        <v>5690</v>
      </c>
      <c r="AB171" s="21">
        <f t="shared" si="17"/>
        <v>67152</v>
      </c>
    </row>
    <row r="175" spans="1:28"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</row>
  </sheetData>
  <sheetProtection password="EF10" sheet="1" objects="1" scenarios="1"/>
  <mergeCells count="2">
    <mergeCell ref="B84:B94"/>
    <mergeCell ref="B95:B101"/>
  </mergeCells>
  <phoneticPr fontId="0" type="noConversion"/>
  <pageMargins left="0.75" right="0.75" top="1" bottom="1" header="0" footer="0"/>
  <pageSetup orientation="portrait" horizont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B76"/>
  <sheetViews>
    <sheetView topLeftCell="B1" zoomScale="115" zoomScaleNormal="115" workbookViewId="0">
      <pane xSplit="2" ySplit="2" topLeftCell="D58" activePane="bottomRight" state="frozenSplit"/>
      <selection activeCell="B1" sqref="B1"/>
      <selection pane="topRight" activeCell="C1" sqref="C1"/>
      <selection pane="bottomLeft" activeCell="B2" sqref="B2"/>
      <selection pane="bottomRight" activeCell="D49" sqref="D49:D72"/>
    </sheetView>
  </sheetViews>
  <sheetFormatPr baseColWidth="10" defaultRowHeight="12.75"/>
  <cols>
    <col min="1" max="1" width="0" hidden="1" customWidth="1"/>
    <col min="3" max="3" width="47" customWidth="1"/>
    <col min="4" max="4" width="11.7109375" style="66" customWidth="1"/>
    <col min="5" max="5" width="11.7109375" style="66" hidden="1" customWidth="1"/>
    <col min="6" max="6" width="11.28515625" customWidth="1"/>
    <col min="7" max="7" width="11.42578125" hidden="1" customWidth="1"/>
    <col min="8" max="8" width="11.28515625" customWidth="1"/>
    <col min="9" max="9" width="11.42578125" hidden="1" customWidth="1"/>
    <col min="10" max="10" width="11.28515625" customWidth="1"/>
    <col min="11" max="11" width="11.42578125" hidden="1" customWidth="1"/>
    <col min="13" max="13" width="0" hidden="1" customWidth="1"/>
    <col min="15" max="15" width="0" hidden="1" customWidth="1"/>
    <col min="17" max="17" width="0" hidden="1" customWidth="1"/>
    <col min="19" max="19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</cols>
  <sheetData>
    <row r="1" spans="1:28" ht="14.25">
      <c r="B1" s="117" t="s">
        <v>292</v>
      </c>
      <c r="N1" s="118" t="s">
        <v>293</v>
      </c>
    </row>
    <row r="2" spans="1:28" ht="16.5">
      <c r="A2" s="47" t="s">
        <v>42</v>
      </c>
      <c r="B2" s="47" t="s">
        <v>149</v>
      </c>
      <c r="C2" s="48" t="s">
        <v>43</v>
      </c>
      <c r="D2" s="49" t="s">
        <v>0</v>
      </c>
      <c r="E2" s="49"/>
      <c r="F2" s="49" t="s">
        <v>1</v>
      </c>
      <c r="G2" s="49"/>
      <c r="H2" s="49" t="s">
        <v>2</v>
      </c>
      <c r="I2" s="49"/>
      <c r="J2" s="49" t="s">
        <v>3</v>
      </c>
      <c r="K2" s="49"/>
      <c r="L2" s="49" t="s">
        <v>4</v>
      </c>
      <c r="M2" s="49"/>
      <c r="N2" s="49" t="s">
        <v>5</v>
      </c>
      <c r="O2" s="49"/>
      <c r="P2" s="49" t="s">
        <v>6</v>
      </c>
      <c r="Q2" s="49"/>
      <c r="R2" s="49" t="s">
        <v>7</v>
      </c>
      <c r="S2" s="49"/>
      <c r="T2" s="49" t="s">
        <v>8</v>
      </c>
      <c r="U2" s="49"/>
      <c r="V2" s="49" t="s">
        <v>9</v>
      </c>
      <c r="W2" s="49"/>
      <c r="X2" s="49" t="s">
        <v>10</v>
      </c>
      <c r="Y2" s="49"/>
      <c r="Z2" s="49" t="s">
        <v>11</v>
      </c>
      <c r="AA2" s="50" t="s">
        <v>118</v>
      </c>
    </row>
    <row r="3" spans="1:28" ht="15.75">
      <c r="A3" s="51"/>
      <c r="B3" s="51"/>
      <c r="C3" s="52" t="s">
        <v>181</v>
      </c>
      <c r="D3" s="212">
        <f>Distribucion!E2</f>
        <v>28281689.87555594</v>
      </c>
      <c r="E3" s="53">
        <f>Distribucion!F2</f>
        <v>0</v>
      </c>
      <c r="F3" s="54">
        <f>Distribucion!G2</f>
        <v>3034320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>
        <f>SUM(D3:Z3)</f>
        <v>31316009.87555594</v>
      </c>
    </row>
    <row r="4" spans="1:28" ht="15.75">
      <c r="A4" s="51"/>
      <c r="B4" s="51"/>
      <c r="C4" s="52" t="s">
        <v>47</v>
      </c>
      <c r="D4" s="212">
        <f>Distribucion!E5</f>
        <v>0</v>
      </c>
      <c r="E4" s="53">
        <f>Distribucion!F5</f>
        <v>0</v>
      </c>
      <c r="F4" s="54">
        <f>Distribucion!G5</f>
        <v>0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>
        <f>SUM(D4:Z4)</f>
        <v>0</v>
      </c>
    </row>
    <row r="5" spans="1:28" ht="15.75">
      <c r="A5" s="51"/>
      <c r="B5" s="51"/>
      <c r="C5" s="52" t="s">
        <v>46</v>
      </c>
      <c r="D5" s="212">
        <f>Distribucion!E4</f>
        <v>680</v>
      </c>
      <c r="E5" s="53">
        <f>Distribucion!F4</f>
        <v>0</v>
      </c>
      <c r="F5" s="54">
        <f>Distribucion!G4</f>
        <v>34320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>
        <f>SUM(D5:Z5)</f>
        <v>35000</v>
      </c>
    </row>
    <row r="6" spans="1:28" ht="13.5" thickBot="1">
      <c r="D6" s="187"/>
      <c r="F6" s="72"/>
      <c r="G6" s="72"/>
      <c r="H6" s="72"/>
      <c r="I6" s="72"/>
      <c r="J6" s="72"/>
      <c r="K6" s="72"/>
      <c r="L6" s="72"/>
      <c r="M6" s="56"/>
      <c r="N6" s="72"/>
      <c r="O6" s="72"/>
      <c r="P6" s="72"/>
      <c r="Q6" s="72"/>
      <c r="R6" s="72"/>
      <c r="S6" s="56"/>
      <c r="T6" s="72"/>
      <c r="U6" s="72"/>
      <c r="V6" s="72"/>
      <c r="W6" s="56"/>
      <c r="X6" s="72"/>
      <c r="Y6" s="56"/>
      <c r="Z6" s="72"/>
    </row>
    <row r="7" spans="1:28" ht="16.5" thickBot="1">
      <c r="A7" s="51"/>
      <c r="B7" s="51"/>
      <c r="C7" s="82" t="s">
        <v>350</v>
      </c>
      <c r="D7" s="213">
        <f>Distribucion!E3</f>
        <v>28281009.87555594</v>
      </c>
      <c r="E7" s="80">
        <f>Distribucion!F3</f>
        <v>0</v>
      </c>
      <c r="F7" s="84">
        <f>Distribucion!G3</f>
        <v>3000000</v>
      </c>
      <c r="G7" s="84"/>
      <c r="H7" s="84"/>
      <c r="I7" s="84"/>
      <c r="J7" s="84"/>
      <c r="K7" s="84"/>
      <c r="L7" s="84"/>
      <c r="M7" s="5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54"/>
      <c r="Z7" s="84"/>
      <c r="AA7" s="54">
        <f>SUM(D7:Z7)</f>
        <v>31281009.87555594</v>
      </c>
    </row>
    <row r="8" spans="1:28" ht="15" thickBot="1">
      <c r="C8" s="81" t="s">
        <v>180</v>
      </c>
      <c r="D8" s="213">
        <f>D9-D7</f>
        <v>0</v>
      </c>
      <c r="E8" s="80">
        <f>E9-E7</f>
        <v>0</v>
      </c>
      <c r="F8" s="84">
        <f>F9-F7</f>
        <v>0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8" ht="16.5" thickBot="1">
      <c r="A9" s="76"/>
      <c r="B9" s="76"/>
      <c r="C9" s="79" t="s">
        <v>349</v>
      </c>
      <c r="D9" s="214">
        <f>D7</f>
        <v>28281009.87555594</v>
      </c>
      <c r="E9" s="78"/>
      <c r="F9" s="85">
        <f>F7</f>
        <v>3000000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77"/>
    </row>
    <row r="10" spans="1:28" ht="15.75">
      <c r="A10" s="51"/>
      <c r="B10" s="51"/>
      <c r="C10" s="73"/>
      <c r="D10" s="215"/>
      <c r="E10" s="74"/>
      <c r="F10" s="75"/>
      <c r="G10" s="72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</row>
    <row r="11" spans="1:28" ht="17.25" thickBot="1">
      <c r="A11" s="51"/>
      <c r="B11" s="51"/>
      <c r="C11" s="55" t="s">
        <v>48</v>
      </c>
      <c r="D11" s="187"/>
      <c r="E11" s="72"/>
      <c r="F11" s="72"/>
      <c r="G11" s="72"/>
      <c r="H11" s="72"/>
      <c r="I11" s="72"/>
      <c r="J11" s="72"/>
      <c r="K11" s="56"/>
      <c r="L11" s="72"/>
      <c r="M11" s="56"/>
      <c r="N11" s="72"/>
      <c r="O11" s="56"/>
      <c r="P11" s="72"/>
      <c r="Q11" s="56"/>
      <c r="R11" s="72"/>
      <c r="S11" s="56"/>
      <c r="T11" s="72"/>
      <c r="U11" s="56"/>
      <c r="V11" s="72"/>
      <c r="W11" s="56"/>
      <c r="X11" s="72"/>
      <c r="Y11" s="56"/>
      <c r="Z11" s="72"/>
    </row>
    <row r="12" spans="1:28" ht="17.25" thickBot="1">
      <c r="A12" s="51"/>
      <c r="B12" s="51"/>
      <c r="C12" s="68" t="s">
        <v>131</v>
      </c>
      <c r="D12" s="187"/>
      <c r="E12" s="72"/>
      <c r="F12" s="72"/>
      <c r="G12" s="72"/>
      <c r="H12" s="72"/>
      <c r="I12" s="72"/>
      <c r="J12" s="72"/>
      <c r="K12" s="56"/>
      <c r="L12" s="72"/>
      <c r="M12" s="56"/>
      <c r="N12" s="72"/>
      <c r="O12" s="56"/>
      <c r="P12" s="72"/>
      <c r="Q12" s="56"/>
      <c r="R12" s="72"/>
      <c r="S12" s="56"/>
      <c r="T12" s="72"/>
      <c r="U12" s="56"/>
      <c r="V12" s="72"/>
      <c r="W12" s="56"/>
      <c r="X12" s="72"/>
      <c r="Y12" s="56"/>
      <c r="Z12" s="72"/>
    </row>
    <row r="13" spans="1:28" ht="15.75">
      <c r="A13" s="47" t="s">
        <v>49</v>
      </c>
      <c r="B13" s="234" t="s">
        <v>199</v>
      </c>
      <c r="C13" s="102" t="s">
        <v>369</v>
      </c>
      <c r="D13" s="216">
        <f>Distribucion!E145+Distribucion!E117</f>
        <v>16645</v>
      </c>
      <c r="E13" s="63">
        <f>Distribucion!F145</f>
        <v>0</v>
      </c>
      <c r="F13" s="184">
        <f>Distribucion!G145+Distribucion!G117</f>
        <v>15571</v>
      </c>
      <c r="G13" s="64"/>
      <c r="H13" s="184"/>
      <c r="I13" s="54"/>
      <c r="J13" s="184"/>
      <c r="K13" s="54"/>
      <c r="L13" s="184"/>
      <c r="M13" s="54"/>
      <c r="N13" s="184"/>
      <c r="O13" s="54"/>
      <c r="P13" s="184"/>
      <c r="Q13" s="54"/>
      <c r="R13" s="184"/>
      <c r="S13" s="64"/>
      <c r="T13" s="184"/>
      <c r="U13" s="64"/>
      <c r="V13" s="184"/>
      <c r="W13" s="54"/>
      <c r="X13" s="184"/>
      <c r="Y13" s="54"/>
      <c r="Z13" s="184"/>
      <c r="AA13" s="54">
        <f>SUM(D13:Z13)</f>
        <v>32216</v>
      </c>
      <c r="AB13" s="66">
        <f t="shared" ref="AB13:AB15" si="0">SUM(D13:Z13)</f>
        <v>32216</v>
      </c>
    </row>
    <row r="14" spans="1:28" ht="15.75">
      <c r="A14" s="47">
        <v>10.5</v>
      </c>
      <c r="B14" s="234" t="s">
        <v>298</v>
      </c>
      <c r="C14" s="62" t="s">
        <v>370</v>
      </c>
      <c r="D14" s="216">
        <f>Distribucion!E121</f>
        <v>2079</v>
      </c>
      <c r="E14" s="63">
        <f>Distribucion!F121</f>
        <v>0</v>
      </c>
      <c r="F14" s="184">
        <f>Distribucion!G121</f>
        <v>1945</v>
      </c>
      <c r="G14" s="64"/>
      <c r="H14" s="184"/>
      <c r="I14" s="54"/>
      <c r="J14" s="184"/>
      <c r="K14" s="54"/>
      <c r="L14" s="184"/>
      <c r="M14" s="54"/>
      <c r="N14" s="184"/>
      <c r="O14" s="54"/>
      <c r="P14" s="184"/>
      <c r="Q14" s="54"/>
      <c r="R14" s="184"/>
      <c r="S14" s="64"/>
      <c r="T14" s="184"/>
      <c r="U14" s="64"/>
      <c r="V14" s="184"/>
      <c r="W14" s="54"/>
      <c r="X14" s="184"/>
      <c r="Y14" s="54"/>
      <c r="Z14" s="184"/>
      <c r="AA14" s="54"/>
      <c r="AB14" s="66">
        <f t="shared" si="0"/>
        <v>4024</v>
      </c>
    </row>
    <row r="15" spans="1:28" ht="16.5" thickBot="1">
      <c r="A15" s="47">
        <v>10.6</v>
      </c>
      <c r="B15" s="234" t="s">
        <v>296</v>
      </c>
      <c r="C15" s="103" t="s">
        <v>371</v>
      </c>
      <c r="D15" s="216">
        <f>Distribucion!E146+Distribucion!E164+Distribucion!E85</f>
        <v>11262</v>
      </c>
      <c r="E15" s="63">
        <f>Distribucion!F146</f>
        <v>0</v>
      </c>
      <c r="F15" s="184">
        <f>Distribucion!G146+Distribucion!G164+Distribucion!G85</f>
        <v>10535</v>
      </c>
      <c r="G15" s="64"/>
      <c r="H15" s="184"/>
      <c r="I15" s="54"/>
      <c r="J15" s="184"/>
      <c r="K15" s="54"/>
      <c r="L15" s="184"/>
      <c r="M15" s="54"/>
      <c r="N15" s="184"/>
      <c r="O15" s="54"/>
      <c r="P15" s="184"/>
      <c r="Q15" s="54"/>
      <c r="R15" s="184"/>
      <c r="S15" s="64"/>
      <c r="T15" s="184"/>
      <c r="U15" s="64"/>
      <c r="V15" s="184"/>
      <c r="W15" s="54"/>
      <c r="X15" s="184"/>
      <c r="Y15" s="54"/>
      <c r="Z15" s="184"/>
      <c r="AA15" s="54">
        <f>SUM(D15:Z15)</f>
        <v>21797</v>
      </c>
      <c r="AB15" s="66">
        <f t="shared" si="0"/>
        <v>21797</v>
      </c>
    </row>
    <row r="16" spans="1:28" ht="17.25" thickBot="1">
      <c r="A16" s="71"/>
      <c r="B16" s="104"/>
      <c r="C16" s="105" t="s">
        <v>153</v>
      </c>
      <c r="D16" s="217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 spans="1:28" ht="15.75">
      <c r="A17" s="47" t="s">
        <v>109</v>
      </c>
      <c r="B17" s="234" t="s">
        <v>290</v>
      </c>
      <c r="C17" s="102" t="s">
        <v>373</v>
      </c>
      <c r="D17" s="216">
        <f>Distribucion!E122+Distribucion!E167</f>
        <v>775</v>
      </c>
      <c r="E17" s="63">
        <f>Distribucion!F122</f>
        <v>0</v>
      </c>
      <c r="F17" s="184">
        <f>Distribucion!G122+Distribucion!G167</f>
        <v>725</v>
      </c>
      <c r="G17" s="64"/>
      <c r="H17" s="184"/>
      <c r="I17" s="54"/>
      <c r="J17" s="184"/>
      <c r="K17" s="219"/>
      <c r="L17" s="184"/>
      <c r="M17" s="54"/>
      <c r="N17" s="184"/>
      <c r="O17" s="54"/>
      <c r="P17" s="184"/>
      <c r="Q17" s="54"/>
      <c r="R17" s="184"/>
      <c r="S17" s="64"/>
      <c r="T17" s="184"/>
      <c r="U17" s="64"/>
      <c r="V17" s="184"/>
      <c r="W17" s="54"/>
      <c r="X17" s="184"/>
      <c r="Y17" s="54"/>
      <c r="Z17" s="184"/>
      <c r="AA17" s="54">
        <f>SUM(D17:Z17)</f>
        <v>1500</v>
      </c>
      <c r="AB17" s="66">
        <f>SUM(D17:Z17)</f>
        <v>1500</v>
      </c>
    </row>
    <row r="18" spans="1:28" ht="16.5" thickBot="1">
      <c r="A18" s="47" t="s">
        <v>110</v>
      </c>
      <c r="B18" s="234" t="s">
        <v>294</v>
      </c>
      <c r="C18" s="62" t="s">
        <v>372</v>
      </c>
      <c r="D18" s="216">
        <f>Distribucion!E123+Distribucion!E130+Distribucion!E132+Distribucion!E131+Distribucion!E119+Distribucion!E120+Distribucion!E38</f>
        <v>23019</v>
      </c>
      <c r="E18" s="63">
        <f>Distribucion!F123</f>
        <v>0</v>
      </c>
      <c r="F18" s="184">
        <f>Distribucion!G123+Distribucion!G130+Distribucion!G132+Distribucion!G131+Distribucion!G119+Distribucion!G120+Distribucion!G38</f>
        <v>21534</v>
      </c>
      <c r="G18" s="64"/>
      <c r="H18" s="184"/>
      <c r="I18" s="54"/>
      <c r="J18" s="184"/>
      <c r="K18" s="219"/>
      <c r="L18" s="184"/>
      <c r="M18" s="54"/>
      <c r="N18" s="184"/>
      <c r="O18" s="54"/>
      <c r="P18" s="184"/>
      <c r="Q18" s="54"/>
      <c r="R18" s="184"/>
      <c r="S18" s="64"/>
      <c r="T18" s="184"/>
      <c r="U18" s="64"/>
      <c r="V18" s="184"/>
      <c r="W18" s="54"/>
      <c r="X18" s="184"/>
      <c r="Y18" s="54"/>
      <c r="Z18" s="184"/>
      <c r="AA18" s="54">
        <f>SUM(D18:Z18)</f>
        <v>44553</v>
      </c>
      <c r="AB18" s="66">
        <f>SUM(D18:Z18)</f>
        <v>44553</v>
      </c>
    </row>
    <row r="19" spans="1:28" ht="17.25" thickBot="1">
      <c r="A19" s="71"/>
      <c r="B19" s="104"/>
      <c r="C19" s="105" t="s">
        <v>132</v>
      </c>
      <c r="D19" s="217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 spans="1:28" ht="15.75">
      <c r="A20" s="47" t="s">
        <v>58</v>
      </c>
      <c r="B20" s="61" t="s">
        <v>213</v>
      </c>
      <c r="C20" s="62" t="s">
        <v>291</v>
      </c>
      <c r="D20" s="218">
        <f>Distribucion!E19+Distribucion!E22</f>
        <v>21732.907431561587</v>
      </c>
      <c r="E20" s="63">
        <f>Distribucion!F19</f>
        <v>0</v>
      </c>
      <c r="F20" s="220">
        <f>Distribucion!G19+Distribucion!G22</f>
        <v>9762.6125600000087</v>
      </c>
      <c r="G20" s="64"/>
      <c r="H20" s="220"/>
      <c r="I20" s="54"/>
      <c r="J20" s="220"/>
      <c r="K20" s="54"/>
      <c r="L20" s="220"/>
      <c r="M20" s="54"/>
      <c r="N20" s="220"/>
      <c r="O20" s="54"/>
      <c r="P20" s="220"/>
      <c r="Q20" s="64"/>
      <c r="R20" s="220"/>
      <c r="S20" s="64"/>
      <c r="T20" s="220"/>
      <c r="U20" s="64"/>
      <c r="V20" s="220"/>
      <c r="W20" s="54"/>
      <c r="X20" s="220"/>
      <c r="Y20" s="54"/>
      <c r="Z20" s="220"/>
      <c r="AA20" s="54">
        <f>SUM(D20:Z20)</f>
        <v>31495.519991561596</v>
      </c>
    </row>
    <row r="21" spans="1:28" ht="15.75">
      <c r="A21" s="47" t="s">
        <v>59</v>
      </c>
      <c r="B21" s="61" t="s">
        <v>218</v>
      </c>
      <c r="C21" s="62" t="s">
        <v>60</v>
      </c>
      <c r="D21" s="218">
        <f>Distribucion!E168</f>
        <v>66274.993915725878</v>
      </c>
      <c r="E21" s="63">
        <f>Distribucion!F168</f>
        <v>0</v>
      </c>
      <c r="F21" s="220">
        <f>Distribucion!G168</f>
        <v>22383.91272</v>
      </c>
      <c r="G21" s="64"/>
      <c r="H21" s="220"/>
      <c r="I21" s="54"/>
      <c r="J21" s="220"/>
      <c r="K21" s="54"/>
      <c r="L21" s="220"/>
      <c r="M21" s="54"/>
      <c r="N21" s="220"/>
      <c r="O21" s="54"/>
      <c r="P21" s="220"/>
      <c r="Q21" s="54"/>
      <c r="R21" s="220"/>
      <c r="S21" s="64"/>
      <c r="T21" s="220"/>
      <c r="U21" s="64"/>
      <c r="V21" s="220"/>
      <c r="W21" s="54"/>
      <c r="X21" s="220"/>
      <c r="Y21" s="54"/>
      <c r="Z21" s="220"/>
      <c r="AA21" s="54">
        <f>SUM(D21:Z21)</f>
        <v>88658.906635725871</v>
      </c>
    </row>
    <row r="22" spans="1:28" ht="15.75">
      <c r="A22" s="47" t="s">
        <v>61</v>
      </c>
      <c r="B22" s="61" t="s">
        <v>214</v>
      </c>
      <c r="C22" s="62" t="s">
        <v>155</v>
      </c>
      <c r="D22" s="218">
        <f>Distribucion!E169</f>
        <v>115346.95900339697</v>
      </c>
      <c r="E22" s="63">
        <f>Distribucion!F169</f>
        <v>0</v>
      </c>
      <c r="F22" s="220">
        <f>Distribucion!G169</f>
        <v>38205.058720000001</v>
      </c>
      <c r="G22" s="64"/>
      <c r="H22" s="220"/>
      <c r="I22" s="54"/>
      <c r="J22" s="220"/>
      <c r="K22" s="54"/>
      <c r="L22" s="220"/>
      <c r="M22" s="54"/>
      <c r="N22" s="220"/>
      <c r="O22" s="54"/>
      <c r="P22" s="220"/>
      <c r="Q22" s="54"/>
      <c r="R22" s="220"/>
      <c r="S22" s="64"/>
      <c r="T22" s="220"/>
      <c r="U22" s="64"/>
      <c r="V22" s="220"/>
      <c r="W22" s="54"/>
      <c r="X22" s="220"/>
      <c r="Y22" s="54"/>
      <c r="Z22" s="220"/>
      <c r="AA22" s="54">
        <f>SUM(D22:Z22)</f>
        <v>153552.01772339697</v>
      </c>
    </row>
    <row r="23" spans="1:28" ht="15.75">
      <c r="A23" s="47" t="s">
        <v>119</v>
      </c>
      <c r="B23" s="61" t="s">
        <v>216</v>
      </c>
      <c r="C23" s="62" t="s">
        <v>156</v>
      </c>
      <c r="D23" s="218">
        <f>Distribucion!E140</f>
        <v>324328</v>
      </c>
      <c r="E23" s="63">
        <f>Distribucion!F140</f>
        <v>0</v>
      </c>
      <c r="F23" s="220">
        <f>Distribucion!G140</f>
        <v>100000</v>
      </c>
      <c r="G23" s="64"/>
      <c r="H23" s="220"/>
      <c r="I23" s="54"/>
      <c r="J23" s="220"/>
      <c r="K23" s="54"/>
      <c r="L23" s="220"/>
      <c r="M23" s="54"/>
      <c r="N23" s="220"/>
      <c r="O23" s="54"/>
      <c r="P23" s="220"/>
      <c r="Q23" s="54"/>
      <c r="R23" s="220"/>
      <c r="S23" s="64"/>
      <c r="T23" s="220"/>
      <c r="U23" s="64"/>
      <c r="V23" s="220"/>
      <c r="W23" s="54"/>
      <c r="X23" s="220"/>
      <c r="Y23" s="54"/>
      <c r="Z23" s="220"/>
      <c r="AA23" s="54">
        <f>SUM(D23:Z23)</f>
        <v>424328</v>
      </c>
    </row>
    <row r="24" spans="1:28" ht="16.5" thickBot="1">
      <c r="A24" s="47" t="s">
        <v>120</v>
      </c>
      <c r="B24" s="61" t="s">
        <v>217</v>
      </c>
      <c r="C24" s="62" t="s">
        <v>115</v>
      </c>
      <c r="D24" s="218">
        <f>Distribucion!E141</f>
        <v>4963023.6600889508</v>
      </c>
      <c r="E24" s="63">
        <f>Distribucion!F141</f>
        <v>0</v>
      </c>
      <c r="F24" s="220">
        <f>Distribucion!G141</f>
        <v>214291.20000000001</v>
      </c>
      <c r="G24" s="64"/>
      <c r="H24" s="220"/>
      <c r="I24" s="54"/>
      <c r="J24" s="220"/>
      <c r="K24" s="54"/>
      <c r="L24" s="220"/>
      <c r="M24" s="54"/>
      <c r="N24" s="220"/>
      <c r="O24" s="54"/>
      <c r="P24" s="220"/>
      <c r="Q24" s="54"/>
      <c r="R24" s="220"/>
      <c r="S24" s="64"/>
      <c r="T24" s="220"/>
      <c r="U24" s="64"/>
      <c r="V24" s="220"/>
      <c r="W24" s="54"/>
      <c r="X24" s="220"/>
      <c r="Y24" s="54"/>
      <c r="Z24" s="220"/>
      <c r="AA24" s="54">
        <f>SUM(D24:Z24)</f>
        <v>5177314.860088951</v>
      </c>
    </row>
    <row r="25" spans="1:28" ht="17.25" thickBot="1">
      <c r="A25" s="71"/>
      <c r="B25" s="104"/>
      <c r="C25" s="105" t="s">
        <v>133</v>
      </c>
      <c r="D25" s="217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 spans="1:28" ht="15.75">
      <c r="A26" s="47" t="s">
        <v>84</v>
      </c>
      <c r="B26" s="234" t="s">
        <v>219</v>
      </c>
      <c r="C26" s="62" t="s">
        <v>367</v>
      </c>
      <c r="D26" s="216">
        <f>Distribucion!E72</f>
        <v>794</v>
      </c>
      <c r="E26" s="63">
        <f>Distribucion!F72</f>
        <v>0</v>
      </c>
      <c r="F26" s="184">
        <f>Distribucion!G72</f>
        <v>743</v>
      </c>
      <c r="G26" s="64"/>
      <c r="H26" s="184"/>
      <c r="I26" s="54"/>
      <c r="J26" s="184"/>
      <c r="K26" s="54"/>
      <c r="L26" s="184"/>
      <c r="M26" s="54"/>
      <c r="N26" s="184"/>
      <c r="O26" s="54"/>
      <c r="P26" s="184"/>
      <c r="Q26" s="54"/>
      <c r="R26" s="184"/>
      <c r="S26" s="64"/>
      <c r="T26" s="184"/>
      <c r="U26" s="64"/>
      <c r="V26" s="184"/>
      <c r="W26" s="54"/>
      <c r="X26" s="184"/>
      <c r="Y26" s="54"/>
      <c r="Z26" s="184"/>
      <c r="AA26" s="54">
        <f>SUM(D26:Z26)</f>
        <v>1537</v>
      </c>
      <c r="AB26" s="66">
        <f>SUM(D26:Z26)</f>
        <v>1537</v>
      </c>
    </row>
    <row r="27" spans="1:28" ht="15.75">
      <c r="A27" s="47" t="s">
        <v>85</v>
      </c>
      <c r="B27" s="61" t="s">
        <v>220</v>
      </c>
      <c r="C27" s="62" t="s">
        <v>157</v>
      </c>
      <c r="D27" s="218">
        <f>Distribucion!E73</f>
        <v>60234.113809805924</v>
      </c>
      <c r="E27" s="63">
        <f>Distribucion!F73</f>
        <v>0</v>
      </c>
      <c r="F27" s="220">
        <f>Distribucion!G73</f>
        <v>33049.144800000002</v>
      </c>
      <c r="G27" s="64"/>
      <c r="H27" s="220"/>
      <c r="I27" s="54"/>
      <c r="J27" s="220"/>
      <c r="K27" s="54"/>
      <c r="L27" s="220"/>
      <c r="M27" s="54"/>
      <c r="N27" s="220"/>
      <c r="O27" s="54"/>
      <c r="P27" s="220"/>
      <c r="Q27" s="54"/>
      <c r="R27" s="220"/>
      <c r="S27" s="64"/>
      <c r="T27" s="220"/>
      <c r="U27" s="64"/>
      <c r="V27" s="220"/>
      <c r="W27" s="54"/>
      <c r="X27" s="220"/>
      <c r="Y27" s="54"/>
      <c r="Z27" s="220"/>
      <c r="AA27" s="54">
        <f>SUM(D27:Z27)</f>
        <v>93283.258609805926</v>
      </c>
    </row>
    <row r="28" spans="1:28" ht="15.75">
      <c r="A28" s="47" t="s">
        <v>53</v>
      </c>
      <c r="B28" s="61" t="s">
        <v>221</v>
      </c>
      <c r="C28" s="62" t="s">
        <v>54</v>
      </c>
      <c r="D28" s="218">
        <f>Distribucion!E149</f>
        <v>100516.52676879511</v>
      </c>
      <c r="E28" s="63">
        <f>Distribucion!F149</f>
        <v>0</v>
      </c>
      <c r="F28" s="220">
        <f>Distribucion!G149</f>
        <v>26530.315999999981</v>
      </c>
      <c r="G28" s="64"/>
      <c r="H28" s="220"/>
      <c r="I28" s="54"/>
      <c r="J28" s="220"/>
      <c r="K28" s="54"/>
      <c r="L28" s="220"/>
      <c r="M28" s="54"/>
      <c r="N28" s="220"/>
      <c r="O28" s="54"/>
      <c r="P28" s="220"/>
      <c r="Q28" s="54"/>
      <c r="R28" s="220"/>
      <c r="S28" s="64"/>
      <c r="T28" s="220"/>
      <c r="U28" s="64"/>
      <c r="V28" s="220"/>
      <c r="W28" s="54"/>
      <c r="X28" s="220"/>
      <c r="Y28" s="54"/>
      <c r="Z28" s="220"/>
      <c r="AA28" s="54">
        <f>SUM(D28:Z28)</f>
        <v>127046.84276879509</v>
      </c>
    </row>
    <row r="29" spans="1:28" ht="15.75">
      <c r="A29" s="47" t="s">
        <v>55</v>
      </c>
      <c r="B29" s="234" t="s">
        <v>223</v>
      </c>
      <c r="C29" s="62" t="s">
        <v>366</v>
      </c>
      <c r="D29" s="216">
        <f>Distribucion!E150</f>
        <v>2038</v>
      </c>
      <c r="E29" s="63">
        <f>Distribucion!F150</f>
        <v>0</v>
      </c>
      <c r="F29" s="184">
        <f>Distribucion!G150</f>
        <v>1907</v>
      </c>
      <c r="G29" s="64"/>
      <c r="H29" s="184"/>
      <c r="I29" s="54"/>
      <c r="J29" s="184"/>
      <c r="K29" s="54"/>
      <c r="L29" s="184"/>
      <c r="M29" s="54"/>
      <c r="N29" s="184"/>
      <c r="O29" s="54"/>
      <c r="P29" s="184"/>
      <c r="Q29" s="54"/>
      <c r="R29" s="184"/>
      <c r="S29" s="64"/>
      <c r="T29" s="184"/>
      <c r="U29" s="64"/>
      <c r="V29" s="184"/>
      <c r="W29" s="54"/>
      <c r="X29" s="184"/>
      <c r="Y29" s="54"/>
      <c r="Z29" s="184"/>
      <c r="AA29" s="54">
        <f>SUM(D29:Z29)</f>
        <v>3945</v>
      </c>
      <c r="AB29" s="66">
        <f>SUM(D29:Z29)</f>
        <v>3945</v>
      </c>
    </row>
    <row r="30" spans="1:28" ht="15.75">
      <c r="A30" s="47" t="s">
        <v>86</v>
      </c>
      <c r="B30" s="61" t="s">
        <v>222</v>
      </c>
      <c r="C30" s="62" t="s">
        <v>87</v>
      </c>
      <c r="D30" s="218">
        <f>Distribucion!E170</f>
        <v>116110.23988075825</v>
      </c>
      <c r="E30" s="63">
        <f>Distribucion!F170</f>
        <v>0</v>
      </c>
      <c r="F30" s="220">
        <f>Distribucion!G170</f>
        <v>33365.392079999998</v>
      </c>
      <c r="G30" s="64"/>
      <c r="H30" s="220"/>
      <c r="I30" s="54"/>
      <c r="J30" s="220"/>
      <c r="K30" s="54"/>
      <c r="L30" s="220"/>
      <c r="M30" s="54"/>
      <c r="N30" s="220"/>
      <c r="O30" s="54"/>
      <c r="P30" s="220"/>
      <c r="Q30" s="54"/>
      <c r="R30" s="220"/>
      <c r="S30" s="64"/>
      <c r="T30" s="220"/>
      <c r="U30" s="64"/>
      <c r="V30" s="220"/>
      <c r="W30" s="54"/>
      <c r="X30" s="220"/>
      <c r="Y30" s="54"/>
      <c r="Z30" s="220"/>
      <c r="AA30" s="54">
        <f>SUM(D30:Z30)</f>
        <v>149475.63196075824</v>
      </c>
    </row>
    <row r="31" spans="1:28" ht="16.5" thickBot="1">
      <c r="A31" s="71"/>
      <c r="B31" s="234" t="s">
        <v>362</v>
      </c>
      <c r="C31" s="181" t="s">
        <v>368</v>
      </c>
      <c r="D31" s="216">
        <f>Distribucion!E79</f>
        <v>61320</v>
      </c>
      <c r="E31" s="182"/>
      <c r="F31" s="184">
        <f>Distribucion!G79</f>
        <v>55480</v>
      </c>
      <c r="G31" s="221"/>
      <c r="H31" s="184"/>
      <c r="I31" s="70"/>
      <c r="J31" s="184"/>
      <c r="K31" s="70"/>
      <c r="L31" s="184"/>
      <c r="M31" s="70"/>
      <c r="N31" s="184"/>
      <c r="O31" s="70"/>
      <c r="P31" s="184"/>
      <c r="Q31" s="70"/>
      <c r="R31" s="184"/>
      <c r="S31" s="221"/>
      <c r="T31" s="184"/>
      <c r="U31" s="221"/>
      <c r="V31" s="184"/>
      <c r="W31" s="70"/>
      <c r="X31" s="184"/>
      <c r="Y31" s="70"/>
      <c r="Z31" s="184"/>
      <c r="AA31" s="70"/>
      <c r="AB31" s="66">
        <f>SUM(D31:Z31)</f>
        <v>116800</v>
      </c>
    </row>
    <row r="32" spans="1:28" ht="17.25" thickBot="1">
      <c r="A32" s="71"/>
      <c r="B32" s="104"/>
      <c r="C32" s="105" t="s">
        <v>134</v>
      </c>
      <c r="D32" s="217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 spans="1:28" ht="15.75">
      <c r="A33" s="71"/>
      <c r="B33" s="61" t="s">
        <v>226</v>
      </c>
      <c r="C33" s="181" t="s">
        <v>57</v>
      </c>
      <c r="D33" s="218">
        <f>(Distribucion!E16+Distribucion!E158+Distribucion!E11+Distribucion!E23)*0.5</f>
        <v>50025.085008895039</v>
      </c>
      <c r="E33" s="69"/>
      <c r="F33" s="220">
        <f>(Distribucion!G16+Distribucion!G158+Distribucion!G11+Distribucion!G23)*0.5</f>
        <v>39810.119999999995</v>
      </c>
      <c r="G33" s="70"/>
      <c r="H33" s="220"/>
      <c r="I33" s="70"/>
      <c r="J33" s="220"/>
      <c r="K33" s="70"/>
      <c r="L33" s="220"/>
      <c r="M33" s="70"/>
      <c r="N33" s="220"/>
      <c r="O33" s="70"/>
      <c r="P33" s="220"/>
      <c r="Q33" s="70"/>
      <c r="R33" s="220"/>
      <c r="S33" s="70"/>
      <c r="T33" s="220"/>
      <c r="U33" s="70"/>
      <c r="V33" s="220"/>
      <c r="W33" s="70"/>
      <c r="X33" s="220"/>
      <c r="Y33" s="70"/>
      <c r="Z33" s="220"/>
      <c r="AA33" s="70"/>
    </row>
    <row r="34" spans="1:28" ht="16.5" thickBot="1">
      <c r="A34" s="47" t="s">
        <v>56</v>
      </c>
      <c r="B34" s="61" t="s">
        <v>225</v>
      </c>
      <c r="C34" s="181" t="s">
        <v>50</v>
      </c>
      <c r="D34" s="218">
        <f>(Distribucion!E16+Distribucion!E158+Distribucion!E11+Distribucion!E23)*0.5</f>
        <v>50025.085008895039</v>
      </c>
      <c r="E34" s="63">
        <f>Distribucion!F16</f>
        <v>0</v>
      </c>
      <c r="F34" s="220">
        <f>(Distribucion!G16+Distribucion!G158+Distribucion!G11+Distribucion!G23)*0.5</f>
        <v>39810.119999999995</v>
      </c>
      <c r="G34" s="64"/>
      <c r="H34" s="220"/>
      <c r="I34" s="54"/>
      <c r="J34" s="220"/>
      <c r="K34" s="54"/>
      <c r="L34" s="220"/>
      <c r="M34" s="54"/>
      <c r="N34" s="220"/>
      <c r="O34" s="54"/>
      <c r="P34" s="220"/>
      <c r="Q34" s="54"/>
      <c r="R34" s="220"/>
      <c r="S34" s="64"/>
      <c r="T34" s="220"/>
      <c r="U34" s="64"/>
      <c r="V34" s="220"/>
      <c r="W34" s="54"/>
      <c r="X34" s="220"/>
      <c r="Y34" s="54"/>
      <c r="Z34" s="220"/>
      <c r="AA34" s="54">
        <f>SUM(D34:Z34)</f>
        <v>89835.205008895035</v>
      </c>
    </row>
    <row r="35" spans="1:28" ht="17.25" thickBot="1">
      <c r="A35" s="71"/>
      <c r="B35" s="104"/>
      <c r="C35" s="105" t="s">
        <v>135</v>
      </c>
      <c r="D35" s="217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 spans="1:28" ht="16.5" thickBot="1">
      <c r="A36" s="47" t="s">
        <v>68</v>
      </c>
      <c r="B36" s="61" t="s">
        <v>228</v>
      </c>
      <c r="C36" s="62" t="s">
        <v>69</v>
      </c>
      <c r="D36" s="218">
        <f>Distribucion!E28</f>
        <v>3071273.4901334257</v>
      </c>
      <c r="E36" s="63">
        <f>Distribucion!F28</f>
        <v>0</v>
      </c>
      <c r="F36" s="220">
        <f>Distribucion!G28</f>
        <v>231436.79999999999</v>
      </c>
      <c r="G36" s="64"/>
      <c r="H36" s="220"/>
      <c r="I36" s="54"/>
      <c r="J36" s="220"/>
      <c r="K36" s="54"/>
      <c r="L36" s="220"/>
      <c r="M36" s="54"/>
      <c r="N36" s="220"/>
      <c r="O36" s="54"/>
      <c r="P36" s="220"/>
      <c r="Q36" s="54"/>
      <c r="R36" s="220"/>
      <c r="S36" s="64"/>
      <c r="T36" s="220"/>
      <c r="U36" s="64"/>
      <c r="V36" s="220"/>
      <c r="W36" s="54"/>
      <c r="X36" s="220"/>
      <c r="Y36" s="54"/>
      <c r="Z36" s="220"/>
      <c r="AA36" s="54">
        <f>SUM(D36:Z36)</f>
        <v>3302710.2901334255</v>
      </c>
    </row>
    <row r="37" spans="1:28" ht="17.25" thickBot="1">
      <c r="A37" s="71"/>
      <c r="B37" s="104"/>
      <c r="C37" s="105" t="s">
        <v>113</v>
      </c>
      <c r="D37" s="217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 spans="1:28" ht="16.5" thickBot="1">
      <c r="A38" s="47" t="s">
        <v>112</v>
      </c>
      <c r="B38" s="234" t="s">
        <v>230</v>
      </c>
      <c r="C38" s="181" t="s">
        <v>374</v>
      </c>
      <c r="D38" s="216">
        <f>Distribucion!E128+Distribucion!E151+Distribucion!E81</f>
        <v>9601</v>
      </c>
      <c r="E38" s="183">
        <f>Distribucion!F128</f>
        <v>0</v>
      </c>
      <c r="F38" s="184">
        <f>Distribucion!G128+Distribucion!G151+Distribucion!G81</f>
        <v>8981</v>
      </c>
      <c r="G38" s="64"/>
      <c r="H38" s="184"/>
      <c r="I38" s="54"/>
      <c r="J38" s="184"/>
      <c r="K38" s="54"/>
      <c r="L38" s="184"/>
      <c r="M38" s="54"/>
      <c r="N38" s="184"/>
      <c r="O38" s="54"/>
      <c r="P38" s="184"/>
      <c r="Q38" s="54"/>
      <c r="R38" s="184"/>
      <c r="S38" s="64"/>
      <c r="T38" s="184"/>
      <c r="U38" s="64"/>
      <c r="V38" s="184"/>
      <c r="W38" s="54"/>
      <c r="X38" s="184"/>
      <c r="Y38" s="54"/>
      <c r="Z38" s="184"/>
      <c r="AA38" s="54">
        <f>SUM(D38:Z38)</f>
        <v>18582</v>
      </c>
      <c r="AB38" s="66">
        <f>SUM(D38:Z38)</f>
        <v>18582</v>
      </c>
    </row>
    <row r="39" spans="1:28" ht="17.25" thickBot="1">
      <c r="A39" s="71"/>
      <c r="B39" s="104"/>
      <c r="C39" s="105" t="s">
        <v>136</v>
      </c>
      <c r="D39" s="217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 spans="1:28" ht="15.75">
      <c r="A40" s="47" t="s">
        <v>90</v>
      </c>
      <c r="B40" s="61" t="s">
        <v>231</v>
      </c>
      <c r="C40" s="62" t="s">
        <v>159</v>
      </c>
      <c r="D40" s="218">
        <f>Distribucion!E90</f>
        <v>2903</v>
      </c>
      <c r="E40" s="63">
        <f>Distribucion!F90</f>
        <v>0</v>
      </c>
      <c r="F40" s="220">
        <f>Distribucion!G90</f>
        <v>2903</v>
      </c>
      <c r="G40" s="64"/>
      <c r="H40" s="220"/>
      <c r="I40" s="54"/>
      <c r="J40" s="220"/>
      <c r="K40" s="54"/>
      <c r="L40" s="220"/>
      <c r="M40" s="54"/>
      <c r="N40" s="220"/>
      <c r="O40" s="54"/>
      <c r="P40" s="220"/>
      <c r="Q40" s="54"/>
      <c r="R40" s="220"/>
      <c r="S40" s="64"/>
      <c r="T40" s="220"/>
      <c r="U40" s="64"/>
      <c r="V40" s="220"/>
      <c r="W40" s="54"/>
      <c r="X40" s="220"/>
      <c r="Y40" s="54"/>
      <c r="Z40" s="220"/>
      <c r="AA40" s="54">
        <f>SUM(D40:Z40)</f>
        <v>5806</v>
      </c>
    </row>
    <row r="41" spans="1:28" ht="15.75">
      <c r="A41" s="47"/>
      <c r="B41" s="61" t="s">
        <v>233</v>
      </c>
      <c r="C41" s="62" t="s">
        <v>93</v>
      </c>
      <c r="D41" s="218">
        <f>Distribucion!E91</f>
        <v>55943.849408005539</v>
      </c>
      <c r="E41" s="63"/>
      <c r="F41" s="220">
        <f>Distribucion!G91</f>
        <v>17377.487999999998</v>
      </c>
      <c r="G41" s="64"/>
      <c r="H41" s="220"/>
      <c r="I41" s="54"/>
      <c r="J41" s="220"/>
      <c r="K41" s="54"/>
      <c r="L41" s="220"/>
      <c r="M41" s="54"/>
      <c r="N41" s="220"/>
      <c r="O41" s="54"/>
      <c r="P41" s="220"/>
      <c r="Q41" s="54"/>
      <c r="R41" s="220"/>
      <c r="S41" s="64"/>
      <c r="T41" s="220"/>
      <c r="U41" s="64"/>
      <c r="V41" s="220"/>
      <c r="W41" s="54"/>
      <c r="X41" s="220"/>
      <c r="Y41" s="54"/>
      <c r="Z41" s="220"/>
      <c r="AA41" s="54"/>
    </row>
    <row r="42" spans="1:28" ht="15.75">
      <c r="A42" s="47"/>
      <c r="B42" s="61" t="s">
        <v>234</v>
      </c>
      <c r="C42" s="181" t="s">
        <v>94</v>
      </c>
      <c r="D42" s="218">
        <f>Distribucion!E152+Distribucion!E154</f>
        <v>1039811.3571164559</v>
      </c>
      <c r="E42" s="63"/>
      <c r="F42" s="220">
        <f>Distribucion!G152+Distribucion!G154</f>
        <v>295871.39199999999</v>
      </c>
      <c r="G42" s="64"/>
      <c r="H42" s="220"/>
      <c r="I42" s="54"/>
      <c r="J42" s="220"/>
      <c r="K42" s="54"/>
      <c r="L42" s="220"/>
      <c r="M42" s="54"/>
      <c r="N42" s="220"/>
      <c r="O42" s="54"/>
      <c r="P42" s="220"/>
      <c r="Q42" s="54"/>
      <c r="R42" s="220"/>
      <c r="S42" s="64"/>
      <c r="T42" s="220"/>
      <c r="U42" s="64"/>
      <c r="V42" s="220"/>
      <c r="W42" s="54"/>
      <c r="X42" s="220"/>
      <c r="Y42" s="54"/>
      <c r="Z42" s="220"/>
      <c r="AA42" s="54"/>
    </row>
    <row r="43" spans="1:28" ht="15.75">
      <c r="A43" s="47"/>
      <c r="B43" s="61" t="s">
        <v>235</v>
      </c>
      <c r="C43" s="181" t="s">
        <v>95</v>
      </c>
      <c r="D43" s="218">
        <f>Distribucion!E153</f>
        <v>182206.89960533704</v>
      </c>
      <c r="E43" s="63"/>
      <c r="F43" s="220">
        <f>Distribucion!G153</f>
        <v>111584.992</v>
      </c>
      <c r="G43" s="64"/>
      <c r="H43" s="220"/>
      <c r="I43" s="54"/>
      <c r="J43" s="220"/>
      <c r="K43" s="54"/>
      <c r="L43" s="220"/>
      <c r="M43" s="54"/>
      <c r="N43" s="220"/>
      <c r="O43" s="54"/>
      <c r="P43" s="220"/>
      <c r="Q43" s="54"/>
      <c r="R43" s="220"/>
      <c r="S43" s="64"/>
      <c r="T43" s="220"/>
      <c r="U43" s="64"/>
      <c r="V43" s="220"/>
      <c r="W43" s="54"/>
      <c r="X43" s="220"/>
      <c r="Y43" s="54"/>
      <c r="Z43" s="220"/>
      <c r="AA43" s="54"/>
    </row>
    <row r="44" spans="1:28" ht="16.5" thickBot="1">
      <c r="A44" s="47" t="s">
        <v>70</v>
      </c>
      <c r="B44" s="61" t="s">
        <v>236</v>
      </c>
      <c r="C44" s="62" t="s">
        <v>161</v>
      </c>
      <c r="D44" s="218">
        <f>Distribucion!E155</f>
        <v>12624639.096448034</v>
      </c>
      <c r="E44" s="63">
        <f>Distribucion!F155</f>
        <v>0</v>
      </c>
      <c r="F44" s="220">
        <f>Distribucion!G155</f>
        <v>704264.92800000007</v>
      </c>
      <c r="G44" s="64"/>
      <c r="H44" s="220"/>
      <c r="I44" s="54"/>
      <c r="J44" s="220"/>
      <c r="K44" s="54"/>
      <c r="L44" s="220"/>
      <c r="M44" s="54"/>
      <c r="N44" s="220"/>
      <c r="O44" s="54"/>
      <c r="P44" s="220"/>
      <c r="Q44" s="54"/>
      <c r="R44" s="220"/>
      <c r="S44" s="64"/>
      <c r="T44" s="220"/>
      <c r="U44" s="64"/>
      <c r="V44" s="220"/>
      <c r="W44" s="54"/>
      <c r="X44" s="220"/>
      <c r="Y44" s="54"/>
      <c r="Z44" s="220"/>
      <c r="AA44" s="54">
        <f>SUM(D44:Z44)</f>
        <v>13328904.024448033</v>
      </c>
    </row>
    <row r="45" spans="1:28" ht="17.25" thickBot="1">
      <c r="A45" s="71"/>
      <c r="B45" s="104"/>
      <c r="C45" s="105" t="s">
        <v>137</v>
      </c>
      <c r="D45" s="217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spans="1:28" ht="15.75" customHeight="1">
      <c r="A46" s="47" t="s">
        <v>96</v>
      </c>
      <c r="B46" s="61" t="s">
        <v>237</v>
      </c>
      <c r="C46" s="62" t="s">
        <v>97</v>
      </c>
      <c r="D46" s="218">
        <f>Distribucion!E68</f>
        <v>57344.549013342563</v>
      </c>
      <c r="E46" s="63">
        <f>Distribucion!F68</f>
        <v>0</v>
      </c>
      <c r="F46" s="220">
        <f>Distribucion!G68</f>
        <v>69143.680000000008</v>
      </c>
      <c r="G46" s="54"/>
      <c r="H46" s="220"/>
      <c r="I46" s="54"/>
      <c r="J46" s="220"/>
      <c r="K46" s="54"/>
      <c r="L46" s="220"/>
      <c r="M46" s="54"/>
      <c r="N46" s="220"/>
      <c r="O46" s="54"/>
      <c r="P46" s="220"/>
      <c r="Q46" s="54"/>
      <c r="R46" s="220"/>
      <c r="S46" s="54"/>
      <c r="T46" s="220"/>
      <c r="U46" s="54"/>
      <c r="V46" s="220"/>
      <c r="W46" s="54"/>
      <c r="X46" s="220"/>
      <c r="Y46" s="54"/>
      <c r="Z46" s="220"/>
      <c r="AA46" s="54">
        <f>SUM(D46:Z46)</f>
        <v>126488.22901334257</v>
      </c>
    </row>
    <row r="47" spans="1:28" ht="15.75" customHeight="1" thickBot="1">
      <c r="A47" s="47" t="s">
        <v>98</v>
      </c>
      <c r="B47" s="61" t="s">
        <v>361</v>
      </c>
      <c r="C47" s="62" t="s">
        <v>347</v>
      </c>
      <c r="D47" s="218">
        <f>Distribucion!E69</f>
        <v>14336.137253335641</v>
      </c>
      <c r="E47" s="63" t="e">
        <f>Distribucion!#REF!</f>
        <v>#REF!</v>
      </c>
      <c r="F47" s="220">
        <f>Distribucion!G69</f>
        <v>17285.920000000002</v>
      </c>
      <c r="G47" s="54"/>
      <c r="H47" s="220"/>
      <c r="I47" s="54"/>
      <c r="J47" s="220"/>
      <c r="K47" s="54"/>
      <c r="L47" s="220"/>
      <c r="M47" s="54"/>
      <c r="N47" s="220"/>
      <c r="O47" s="54"/>
      <c r="P47" s="220"/>
      <c r="Q47" s="54"/>
      <c r="R47" s="220"/>
      <c r="S47" s="54"/>
      <c r="T47" s="220"/>
      <c r="U47" s="54"/>
      <c r="V47" s="220"/>
      <c r="W47" s="54"/>
      <c r="X47" s="220"/>
      <c r="Y47" s="54"/>
      <c r="Z47" s="220"/>
      <c r="AA47" s="54" t="e">
        <f>SUM(D47:Z47)</f>
        <v>#REF!</v>
      </c>
    </row>
    <row r="48" spans="1:28" ht="17.25" thickBot="1">
      <c r="A48" s="71"/>
      <c r="B48" s="104"/>
      <c r="C48" s="105" t="s">
        <v>138</v>
      </c>
      <c r="D48" s="217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 spans="1:28" ht="16.5" thickBot="1">
      <c r="A49" s="47" t="s">
        <v>76</v>
      </c>
      <c r="B49" s="234" t="s">
        <v>239</v>
      </c>
      <c r="C49" s="62" t="s">
        <v>376</v>
      </c>
      <c r="D49" s="216">
        <f>Distribucion!E47+Distribucion!E48+Distribucion!E59+Distribucion!E60+Distribucion!E161+Distribucion!E58+Distribucion!E46</f>
        <v>58932</v>
      </c>
      <c r="E49" s="183">
        <f>Distribucion!F47</f>
        <v>0</v>
      </c>
      <c r="F49" s="184">
        <f>Distribucion!G47+Distribucion!G48+Distribucion!G59+Distribucion!G60+Distribucion!G161+Distribucion!G58+Distribucion!G46</f>
        <v>55130</v>
      </c>
      <c r="G49" s="64"/>
      <c r="H49" s="184"/>
      <c r="I49" s="54"/>
      <c r="J49" s="184"/>
      <c r="K49" s="54"/>
      <c r="L49" s="184"/>
      <c r="M49" s="54"/>
      <c r="N49" s="184"/>
      <c r="O49" s="54"/>
      <c r="P49" s="184"/>
      <c r="Q49" s="54"/>
      <c r="R49" s="184"/>
      <c r="S49" s="64"/>
      <c r="T49" s="184"/>
      <c r="U49" s="64"/>
      <c r="V49" s="184"/>
      <c r="W49" s="54"/>
      <c r="X49" s="184"/>
      <c r="Y49" s="54"/>
      <c r="Z49" s="184"/>
      <c r="AA49" s="54">
        <f>SUM(D49:Z49)</f>
        <v>114062</v>
      </c>
      <c r="AB49" s="66">
        <f>SUM(D49:Z49)</f>
        <v>114062</v>
      </c>
    </row>
    <row r="50" spans="1:28" ht="17.25" thickBot="1">
      <c r="A50" s="71"/>
      <c r="B50" s="104"/>
      <c r="C50" s="105" t="s">
        <v>139</v>
      </c>
      <c r="D50" s="217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spans="1:28" ht="16.5" thickBot="1">
      <c r="A51" s="47" t="s">
        <v>92</v>
      </c>
      <c r="B51" s="234" t="s">
        <v>241</v>
      </c>
      <c r="C51" s="62" t="s">
        <v>382</v>
      </c>
      <c r="D51" s="216">
        <f>Distribucion!E86+Distribucion!E49+Distribucion!E50+Distribucion!E51+Distribucion!E52+Distribucion!E53+Distribucion!E54+Distribucion!E159</f>
        <v>47127</v>
      </c>
      <c r="E51" s="184">
        <f>Distribucion!F86</f>
        <v>0</v>
      </c>
      <c r="F51" s="184">
        <f>Distribucion!G86+Distribucion!G49+Distribucion!G50+Distribucion!G51+Distribucion!G52+Distribucion!G53+Distribucion!G54+Distribucion!G159</f>
        <v>44086</v>
      </c>
      <c r="G51" s="64"/>
      <c r="H51" s="184"/>
      <c r="I51" s="54"/>
      <c r="J51" s="184"/>
      <c r="K51" s="54"/>
      <c r="L51" s="184"/>
      <c r="M51" s="54"/>
      <c r="N51" s="184"/>
      <c r="O51" s="54"/>
      <c r="P51" s="184"/>
      <c r="Q51" s="54"/>
      <c r="R51" s="184"/>
      <c r="S51" s="64"/>
      <c r="T51" s="184"/>
      <c r="U51" s="64"/>
      <c r="V51" s="184"/>
      <c r="W51" s="54"/>
      <c r="X51" s="184"/>
      <c r="Y51" s="54"/>
      <c r="Z51" s="184"/>
      <c r="AA51" s="54">
        <f>SUM(D51:Z51)</f>
        <v>91213</v>
      </c>
      <c r="AB51" s="66">
        <f>SUM(D51:Z51)</f>
        <v>91213</v>
      </c>
    </row>
    <row r="52" spans="1:28" ht="17.25" thickBot="1">
      <c r="A52" s="71"/>
      <c r="B52" s="104"/>
      <c r="C52" s="105" t="s">
        <v>140</v>
      </c>
      <c r="D52" s="217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spans="1:28" ht="16.5" thickBot="1">
      <c r="A53" s="47">
        <v>42</v>
      </c>
      <c r="B53" s="234" t="s">
        <v>249</v>
      </c>
      <c r="C53" s="62" t="s">
        <v>383</v>
      </c>
      <c r="D53" s="216">
        <f>Distribucion!E55+Distribucion!E160+Distribucion!E57</f>
        <v>7043</v>
      </c>
      <c r="E53" s="183">
        <f>Distribucion!F55</f>
        <v>0</v>
      </c>
      <c r="F53" s="184">
        <f>Distribucion!G55+Distribucion!G160+Distribucion!G57</f>
        <v>6588</v>
      </c>
      <c r="G53" s="64"/>
      <c r="H53" s="184"/>
      <c r="I53" s="54"/>
      <c r="J53" s="184"/>
      <c r="K53" s="54"/>
      <c r="L53" s="184"/>
      <c r="M53" s="54"/>
      <c r="N53" s="184"/>
      <c r="O53" s="54"/>
      <c r="P53" s="184"/>
      <c r="Q53" s="54"/>
      <c r="R53" s="184"/>
      <c r="S53" s="64"/>
      <c r="T53" s="184"/>
      <c r="U53" s="64"/>
      <c r="V53" s="184"/>
      <c r="W53" s="54"/>
      <c r="X53" s="184"/>
      <c r="Y53" s="54"/>
      <c r="Z53" s="184"/>
      <c r="AA53" s="54"/>
      <c r="AB53" s="66">
        <f>SUM(D53:Z53)</f>
        <v>13631</v>
      </c>
    </row>
    <row r="54" spans="1:28" ht="17.25" thickBot="1">
      <c r="A54" s="71"/>
      <c r="B54" s="104"/>
      <c r="C54" s="105" t="s">
        <v>141</v>
      </c>
      <c r="D54" s="217"/>
      <c r="E54" s="69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 spans="1:28" ht="16.5" thickBot="1">
      <c r="A55" s="47" t="s">
        <v>83</v>
      </c>
      <c r="B55" s="234" t="s">
        <v>252</v>
      </c>
      <c r="C55" s="62" t="s">
        <v>384</v>
      </c>
      <c r="D55" s="216">
        <f>Distribucion!E65+Distribucion!E162</f>
        <v>36792</v>
      </c>
      <c r="E55" s="183">
        <f>Distribucion!F65</f>
        <v>0</v>
      </c>
      <c r="F55" s="184">
        <f>Distribucion!G65+Distribucion!G162</f>
        <v>34419</v>
      </c>
      <c r="G55" s="64"/>
      <c r="H55" s="184"/>
      <c r="I55" s="54"/>
      <c r="J55" s="184"/>
      <c r="K55" s="54"/>
      <c r="L55" s="184"/>
      <c r="M55" s="54"/>
      <c r="N55" s="184"/>
      <c r="O55" s="54"/>
      <c r="P55" s="184"/>
      <c r="Q55" s="54"/>
      <c r="R55" s="184"/>
      <c r="S55" s="64"/>
      <c r="T55" s="184"/>
      <c r="U55" s="64"/>
      <c r="V55" s="184"/>
      <c r="W55" s="54"/>
      <c r="X55" s="184"/>
      <c r="Y55" s="54"/>
      <c r="Z55" s="184"/>
      <c r="AA55" s="54">
        <f>SUM(D55:Z55)</f>
        <v>71211</v>
      </c>
      <c r="AB55" s="66">
        <f>SUM(D55:Z55)</f>
        <v>71211</v>
      </c>
    </row>
    <row r="56" spans="1:28" ht="17.25" thickBot="1">
      <c r="A56" s="71"/>
      <c r="B56" s="104"/>
      <c r="C56" s="105" t="s">
        <v>143</v>
      </c>
      <c r="D56" s="217"/>
      <c r="E56" s="69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1:28" ht="15.75">
      <c r="A57" s="47" t="s">
        <v>72</v>
      </c>
      <c r="B57" s="234" t="s">
        <v>259</v>
      </c>
      <c r="C57" s="62" t="s">
        <v>381</v>
      </c>
      <c r="D57" s="216">
        <f>Distribucion!E40</f>
        <v>1070</v>
      </c>
      <c r="E57" s="183">
        <f>Distribucion!F40</f>
        <v>0</v>
      </c>
      <c r="F57" s="184">
        <f>Distribucion!G40</f>
        <v>1001</v>
      </c>
      <c r="G57" s="64"/>
      <c r="H57" s="184"/>
      <c r="I57" s="54"/>
      <c r="J57" s="184"/>
      <c r="K57" s="54"/>
      <c r="L57" s="184"/>
      <c r="M57" s="54"/>
      <c r="N57" s="184"/>
      <c r="O57" s="54"/>
      <c r="P57" s="184"/>
      <c r="Q57" s="54"/>
      <c r="R57" s="184"/>
      <c r="S57" s="64"/>
      <c r="T57" s="184"/>
      <c r="U57" s="64"/>
      <c r="V57" s="184"/>
      <c r="W57" s="54"/>
      <c r="X57" s="184"/>
      <c r="Y57" s="54"/>
      <c r="Z57" s="184"/>
      <c r="AA57" s="54">
        <f t="shared" ref="AA57:AA64" si="1">SUM(D57:Z57)</f>
        <v>2071</v>
      </c>
      <c r="AB57" s="66">
        <f>SUM(D57:Z57)</f>
        <v>2071</v>
      </c>
    </row>
    <row r="58" spans="1:28" ht="15.75">
      <c r="A58" s="47" t="s">
        <v>71</v>
      </c>
      <c r="B58" s="61" t="s">
        <v>150</v>
      </c>
      <c r="C58" s="62" t="s">
        <v>166</v>
      </c>
      <c r="D58" s="218">
        <f>Distribucion!E35</f>
        <v>1306432</v>
      </c>
      <c r="E58" s="63">
        <f>Distribucion!F35</f>
        <v>0</v>
      </c>
      <c r="F58" s="220">
        <f>Distribucion!G35</f>
        <v>320000</v>
      </c>
      <c r="G58" s="64"/>
      <c r="H58" s="220"/>
      <c r="I58" s="54"/>
      <c r="J58" s="220"/>
      <c r="K58" s="54"/>
      <c r="L58" s="220"/>
      <c r="M58" s="54"/>
      <c r="N58" s="220"/>
      <c r="O58" s="54"/>
      <c r="P58" s="220"/>
      <c r="Q58" s="54"/>
      <c r="R58" s="220"/>
      <c r="S58" s="64"/>
      <c r="T58" s="220"/>
      <c r="U58" s="64"/>
      <c r="V58" s="220"/>
      <c r="W58" s="54"/>
      <c r="X58" s="220"/>
      <c r="Y58" s="54"/>
      <c r="Z58" s="220"/>
      <c r="AA58" s="54">
        <f t="shared" si="1"/>
        <v>1626432</v>
      </c>
    </row>
    <row r="59" spans="1:28" ht="15.75">
      <c r="A59" s="47" t="s">
        <v>65</v>
      </c>
      <c r="B59" s="61" t="s">
        <v>260</v>
      </c>
      <c r="C59" s="62" t="s">
        <v>167</v>
      </c>
      <c r="D59" s="218">
        <f>Distribucion!E26</f>
        <v>2763692</v>
      </c>
      <c r="E59" s="63">
        <f>Distribucion!F26</f>
        <v>0</v>
      </c>
      <c r="F59" s="220">
        <f>Distribucion!G26</f>
        <v>100000</v>
      </c>
      <c r="G59" s="64"/>
      <c r="H59" s="220"/>
      <c r="I59" s="54"/>
      <c r="J59" s="220"/>
      <c r="K59" s="54"/>
      <c r="L59" s="220"/>
      <c r="M59" s="54"/>
      <c r="N59" s="220"/>
      <c r="O59" s="54"/>
      <c r="P59" s="220"/>
      <c r="Q59" s="54"/>
      <c r="R59" s="220"/>
      <c r="S59" s="64"/>
      <c r="T59" s="220"/>
      <c r="U59" s="64"/>
      <c r="V59" s="220"/>
      <c r="W59" s="54"/>
      <c r="X59" s="220"/>
      <c r="Y59" s="54"/>
      <c r="Z59" s="220"/>
      <c r="AA59" s="54">
        <f t="shared" si="1"/>
        <v>2863692</v>
      </c>
    </row>
    <row r="60" spans="1:28" ht="15.75">
      <c r="A60" s="58" t="s">
        <v>74</v>
      </c>
      <c r="B60" s="61" t="s">
        <v>261</v>
      </c>
      <c r="C60" s="62" t="s">
        <v>75</v>
      </c>
      <c r="D60" s="218">
        <f>Distribucion!E43</f>
        <v>529108.97333658626</v>
      </c>
      <c r="E60" s="63">
        <f>Distribucion!F43</f>
        <v>0</v>
      </c>
      <c r="F60" s="220">
        <f>Distribucion!G43</f>
        <v>126931.82319999997</v>
      </c>
      <c r="G60" s="64"/>
      <c r="H60" s="220"/>
      <c r="I60" s="59"/>
      <c r="J60" s="220"/>
      <c r="K60" s="59"/>
      <c r="L60" s="220"/>
      <c r="M60" s="59"/>
      <c r="N60" s="220"/>
      <c r="O60" s="59"/>
      <c r="P60" s="220"/>
      <c r="Q60" s="59"/>
      <c r="R60" s="220"/>
      <c r="S60" s="64"/>
      <c r="T60" s="220"/>
      <c r="U60" s="64"/>
      <c r="V60" s="220"/>
      <c r="W60" s="54"/>
      <c r="X60" s="220"/>
      <c r="Y60" s="59"/>
      <c r="Z60" s="220"/>
      <c r="AA60" s="59">
        <f t="shared" si="1"/>
        <v>656040.79653658625</v>
      </c>
    </row>
    <row r="61" spans="1:28" ht="15.75">
      <c r="A61" s="58" t="s">
        <v>123</v>
      </c>
      <c r="B61" s="61" t="s">
        <v>262</v>
      </c>
      <c r="C61" s="62" t="s">
        <v>168</v>
      </c>
      <c r="D61" s="218">
        <f>Distribucion!E66</f>
        <v>56690.247143205721</v>
      </c>
      <c r="E61" s="63">
        <f>Distribucion!F66</f>
        <v>0</v>
      </c>
      <c r="F61" s="220">
        <f>Distribucion!G66</f>
        <v>13599.838199999998</v>
      </c>
      <c r="G61" s="64"/>
      <c r="H61" s="220"/>
      <c r="I61" s="59"/>
      <c r="J61" s="220"/>
      <c r="K61" s="59"/>
      <c r="L61" s="220"/>
      <c r="M61" s="59"/>
      <c r="N61" s="220"/>
      <c r="O61" s="59"/>
      <c r="P61" s="220"/>
      <c r="Q61" s="59"/>
      <c r="R61" s="220"/>
      <c r="S61" s="64"/>
      <c r="T61" s="220"/>
      <c r="U61" s="64"/>
      <c r="V61" s="220"/>
      <c r="W61" s="54"/>
      <c r="X61" s="220"/>
      <c r="Y61" s="59"/>
      <c r="Z61" s="220"/>
      <c r="AA61" s="59">
        <f t="shared" si="1"/>
        <v>70290.085343205719</v>
      </c>
    </row>
    <row r="62" spans="1:28" ht="15.75">
      <c r="A62" s="58" t="s">
        <v>124</v>
      </c>
      <c r="B62" s="61" t="s">
        <v>263</v>
      </c>
      <c r="C62" s="62" t="s">
        <v>52</v>
      </c>
      <c r="D62" s="218">
        <f>Distribucion!E147</f>
        <v>61888.549013342563</v>
      </c>
      <c r="E62" s="63">
        <f>Distribucion!F147</f>
        <v>0</v>
      </c>
      <c r="F62" s="220">
        <f>Distribucion!G147</f>
        <v>17992.079999999998</v>
      </c>
      <c r="G62" s="64"/>
      <c r="H62" s="220"/>
      <c r="I62" s="59"/>
      <c r="J62" s="220"/>
      <c r="K62" s="59"/>
      <c r="L62" s="220"/>
      <c r="M62" s="59"/>
      <c r="N62" s="220"/>
      <c r="O62" s="59"/>
      <c r="P62" s="220"/>
      <c r="Q62" s="59"/>
      <c r="R62" s="220"/>
      <c r="S62" s="64"/>
      <c r="T62" s="220"/>
      <c r="U62" s="64"/>
      <c r="V62" s="220"/>
      <c r="W62" s="54"/>
      <c r="X62" s="220"/>
      <c r="Y62" s="59"/>
      <c r="Z62" s="220"/>
      <c r="AA62" s="59">
        <f t="shared" si="1"/>
        <v>79880.629013342565</v>
      </c>
    </row>
    <row r="63" spans="1:28" ht="15.75">
      <c r="A63" s="58" t="s">
        <v>125</v>
      </c>
      <c r="B63" s="61" t="s">
        <v>264</v>
      </c>
      <c r="C63" s="62" t="s">
        <v>111</v>
      </c>
      <c r="D63" s="218">
        <f>Distribucion!E148</f>
        <v>233968.50978669204</v>
      </c>
      <c r="E63" s="63">
        <f>Distribucion!F148</f>
        <v>0</v>
      </c>
      <c r="F63" s="220">
        <f>Distribucion!G148</f>
        <v>113417.72</v>
      </c>
      <c r="G63" s="64"/>
      <c r="H63" s="220"/>
      <c r="I63" s="59"/>
      <c r="J63" s="220"/>
      <c r="K63" s="59"/>
      <c r="L63" s="220"/>
      <c r="M63" s="59"/>
      <c r="N63" s="220"/>
      <c r="O63" s="59"/>
      <c r="P63" s="220"/>
      <c r="Q63" s="59"/>
      <c r="R63" s="220"/>
      <c r="S63" s="64"/>
      <c r="T63" s="220"/>
      <c r="U63" s="64"/>
      <c r="V63" s="220"/>
      <c r="W63" s="54"/>
      <c r="X63" s="220"/>
      <c r="Y63" s="59"/>
      <c r="Z63" s="220"/>
      <c r="AA63" s="59">
        <f t="shared" si="1"/>
        <v>347386.22978669207</v>
      </c>
    </row>
    <row r="64" spans="1:28" ht="16.5" thickBot="1">
      <c r="A64" s="58" t="s">
        <v>126</v>
      </c>
      <c r="B64" s="61" t="s">
        <v>265</v>
      </c>
      <c r="C64" s="62" t="s">
        <v>73</v>
      </c>
      <c r="D64" s="218">
        <f>Distribucion!E42</f>
        <v>71807.646381393846</v>
      </c>
      <c r="E64" s="63">
        <f>Distribucion!F42</f>
        <v>0</v>
      </c>
      <c r="F64" s="220">
        <f>Distribucion!G42</f>
        <v>17226.461719999999</v>
      </c>
      <c r="G64" s="64"/>
      <c r="H64" s="220"/>
      <c r="I64" s="59"/>
      <c r="J64" s="220"/>
      <c r="K64" s="59"/>
      <c r="L64" s="220"/>
      <c r="M64" s="59"/>
      <c r="N64" s="220"/>
      <c r="O64" s="59"/>
      <c r="P64" s="220"/>
      <c r="Q64" s="59"/>
      <c r="R64" s="220"/>
      <c r="S64" s="64"/>
      <c r="T64" s="220"/>
      <c r="U64" s="64"/>
      <c r="V64" s="220"/>
      <c r="W64" s="54"/>
      <c r="X64" s="220"/>
      <c r="Y64" s="59"/>
      <c r="Z64" s="220"/>
      <c r="AA64" s="59">
        <f t="shared" si="1"/>
        <v>89034.108101393853</v>
      </c>
    </row>
    <row r="65" spans="1:28" ht="17.25" thickBot="1">
      <c r="A65" s="71"/>
      <c r="B65" s="104"/>
      <c r="C65" s="105" t="s">
        <v>127</v>
      </c>
      <c r="D65" s="217"/>
      <c r="E65" s="69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1:28" ht="16.5" thickBot="1">
      <c r="A66" s="47">
        <v>51.02</v>
      </c>
      <c r="B66" s="234" t="s">
        <v>297</v>
      </c>
      <c r="C66" s="62" t="s">
        <v>377</v>
      </c>
      <c r="D66" s="216">
        <f>Distribucion!E126</f>
        <v>132</v>
      </c>
      <c r="E66" s="184">
        <f>Distribucion!F126</f>
        <v>0</v>
      </c>
      <c r="F66" s="184">
        <f>Distribucion!G126</f>
        <v>124</v>
      </c>
      <c r="G66" s="64"/>
      <c r="H66" s="184"/>
      <c r="I66" s="54"/>
      <c r="J66" s="184"/>
      <c r="K66" s="54"/>
      <c r="L66" s="184"/>
      <c r="M66" s="60"/>
      <c r="N66" s="184"/>
      <c r="O66" s="54"/>
      <c r="P66" s="184"/>
      <c r="Q66" s="54"/>
      <c r="R66" s="184"/>
      <c r="S66" s="64"/>
      <c r="T66" s="184"/>
      <c r="U66" s="64"/>
      <c r="V66" s="184"/>
      <c r="W66" s="54"/>
      <c r="X66" s="184"/>
      <c r="Y66" s="54"/>
      <c r="Z66" s="184"/>
      <c r="AA66" s="54"/>
      <c r="AB66" s="66">
        <f>SUM(D66:Z66)</f>
        <v>256</v>
      </c>
    </row>
    <row r="67" spans="1:28" ht="17.25" thickBot="1">
      <c r="A67" s="71"/>
      <c r="B67" s="104"/>
      <c r="C67" s="105" t="s">
        <v>144</v>
      </c>
      <c r="D67" s="217"/>
      <c r="E67" s="69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1:28" ht="16.5" thickBot="1">
      <c r="A68" s="61">
        <v>52.02</v>
      </c>
      <c r="B68" s="234" t="s">
        <v>267</v>
      </c>
      <c r="C68" s="62" t="s">
        <v>378</v>
      </c>
      <c r="D68" s="216">
        <f>Distribucion!E88+Distribucion!E100+Distribucion!E157+Distribucion!E156</f>
        <v>45431</v>
      </c>
      <c r="E68" s="183">
        <f>Distribucion!F88</f>
        <v>0</v>
      </c>
      <c r="F68" s="184">
        <f>Distribucion!G88+Distribucion!G100+Distribucion!G157+Distribucion!G156</f>
        <v>42500</v>
      </c>
      <c r="G68" s="64"/>
      <c r="H68" s="184"/>
      <c r="I68" s="64"/>
      <c r="J68" s="184"/>
      <c r="K68" s="64"/>
      <c r="L68" s="184"/>
      <c r="M68" s="64"/>
      <c r="N68" s="184"/>
      <c r="O68" s="64"/>
      <c r="P68" s="184"/>
      <c r="Q68" s="64"/>
      <c r="R68" s="184"/>
      <c r="S68" s="64"/>
      <c r="T68" s="184"/>
      <c r="U68" s="64"/>
      <c r="V68" s="184"/>
      <c r="W68" s="54"/>
      <c r="X68" s="184"/>
      <c r="Y68" s="64"/>
      <c r="Z68" s="184"/>
      <c r="AA68" s="64">
        <f>SUM(D68:Z68)</f>
        <v>87931</v>
      </c>
      <c r="AB68" s="66">
        <f>SUM(D68:Z68)</f>
        <v>87931</v>
      </c>
    </row>
    <row r="69" spans="1:28" ht="17.25" thickBot="1">
      <c r="A69" s="71"/>
      <c r="B69" s="104"/>
      <c r="C69" s="105" t="s">
        <v>145</v>
      </c>
      <c r="D69" s="217"/>
      <c r="E69" s="69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1:28" ht="16.5" thickBot="1">
      <c r="A70" s="61">
        <v>61.5</v>
      </c>
      <c r="B70" s="234" t="s">
        <v>299</v>
      </c>
      <c r="C70" s="62" t="s">
        <v>380</v>
      </c>
      <c r="D70" s="216">
        <f>Distribucion!E171+Distribucion!E39</f>
        <v>5830</v>
      </c>
      <c r="E70" s="183">
        <f>Distribucion!F171</f>
        <v>0</v>
      </c>
      <c r="F70" s="184">
        <f>Distribucion!G171+Distribucion!G39</f>
        <v>5454</v>
      </c>
      <c r="G70" s="64"/>
      <c r="H70" s="184"/>
      <c r="I70" s="64"/>
      <c r="J70" s="184"/>
      <c r="K70" s="64"/>
      <c r="L70" s="184"/>
      <c r="M70" s="64"/>
      <c r="N70" s="184"/>
      <c r="O70" s="64"/>
      <c r="P70" s="184"/>
      <c r="Q70" s="64"/>
      <c r="R70" s="184"/>
      <c r="S70" s="64"/>
      <c r="T70" s="184"/>
      <c r="U70" s="64"/>
      <c r="V70" s="184"/>
      <c r="W70" s="54"/>
      <c r="X70" s="184"/>
      <c r="Y70" s="64"/>
      <c r="Z70" s="184"/>
      <c r="AA70" s="64"/>
      <c r="AB70" s="66">
        <f>SUM(D70:Z70)</f>
        <v>11284</v>
      </c>
    </row>
    <row r="71" spans="1:28" ht="17.25" thickBot="1">
      <c r="A71" s="71"/>
      <c r="B71" s="104"/>
      <c r="C71" s="105" t="s">
        <v>146</v>
      </c>
      <c r="D71" s="217"/>
      <c r="E71" s="69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1:28" ht="15.75">
      <c r="A72" s="47" t="s">
        <v>82</v>
      </c>
      <c r="B72" s="234" t="s">
        <v>295</v>
      </c>
      <c r="C72" s="62" t="s">
        <v>379</v>
      </c>
      <c r="D72" s="216">
        <f>Distribucion!E163+Distribucion!E137+Distribucion!E166+Distribucion!E135</f>
        <v>12136</v>
      </c>
      <c r="E72" s="183">
        <f>Distribucion!F163</f>
        <v>0</v>
      </c>
      <c r="F72" s="184">
        <f>Distribucion!G163+Distribucion!G137+Distribucion!G166+Distribucion!G135</f>
        <v>11353</v>
      </c>
      <c r="G72" s="64"/>
      <c r="H72" s="184"/>
      <c r="I72" s="54"/>
      <c r="J72" s="184"/>
      <c r="K72" s="54"/>
      <c r="L72" s="184"/>
      <c r="M72" s="54"/>
      <c r="N72" s="184"/>
      <c r="O72" s="54"/>
      <c r="P72" s="184"/>
      <c r="Q72" s="54"/>
      <c r="R72" s="184"/>
      <c r="S72" s="64"/>
      <c r="T72" s="184"/>
      <c r="U72" s="64"/>
      <c r="V72" s="184"/>
      <c r="W72" s="54"/>
      <c r="X72" s="184"/>
      <c r="Y72" s="54"/>
      <c r="Z72" s="184"/>
      <c r="AA72" s="54">
        <f>SUM(D72:Z72)</f>
        <v>23489</v>
      </c>
      <c r="AB72" s="66">
        <f>SUM(D72:Z72)</f>
        <v>23489</v>
      </c>
    </row>
    <row r="73" spans="1:28">
      <c r="A73" s="65"/>
      <c r="B73" s="65"/>
      <c r="D73" s="187"/>
      <c r="F73" s="72"/>
      <c r="G73" s="72"/>
      <c r="H73" s="72"/>
      <c r="I73" s="72"/>
      <c r="J73" s="72"/>
      <c r="K73" s="72"/>
      <c r="L73" s="72"/>
      <c r="M73" s="56"/>
      <c r="N73" s="72"/>
      <c r="O73" s="56"/>
      <c r="P73" s="72"/>
      <c r="Q73" s="56"/>
      <c r="R73" s="72"/>
      <c r="S73" s="72"/>
      <c r="T73" s="72"/>
      <c r="U73" s="72"/>
      <c r="V73" s="72"/>
      <c r="W73" s="56"/>
      <c r="X73" s="72"/>
      <c r="Y73" s="56"/>
      <c r="Z73" s="72"/>
    </row>
    <row r="74" spans="1:28">
      <c r="A74" s="65"/>
      <c r="B74" s="65"/>
      <c r="C74" s="67" t="s">
        <v>129</v>
      </c>
      <c r="D74" s="212">
        <f>SUM(D13:D72)</f>
        <v>28281689.87555594</v>
      </c>
      <c r="E74" s="53" t="e">
        <f>SUM(E13:E72)</f>
        <v>#REF!</v>
      </c>
      <c r="F74" s="54">
        <f>SUM(F13:F72)</f>
        <v>3034320.0000000005</v>
      </c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3" t="e">
        <f>SUM(AA13:AA72)</f>
        <v>#REF!</v>
      </c>
    </row>
    <row r="75" spans="1:28">
      <c r="D75" s="187"/>
      <c r="F75" s="72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8">
      <c r="D76" s="187">
        <f>D74-D3</f>
        <v>0</v>
      </c>
      <c r="F76" s="72">
        <f>F74-F3</f>
        <v>0</v>
      </c>
      <c r="G76" s="72">
        <f t="shared" ref="G76" si="2">G74-G3</f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</sheetData>
  <phoneticPr fontId="0" type="noConversion"/>
  <pageMargins left="0.39370078740157483" right="1.3779527559055118" top="0.39370078740157483" bottom="0.39370078740157483" header="0" footer="0"/>
  <pageSetup paperSize="5" scale="8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Medidores</vt:lpstr>
      <vt:lpstr>Distribucion</vt:lpstr>
      <vt:lpstr>CCOSTO</vt:lpstr>
      <vt:lpstr>Distribucion!Área_de_impresión</vt:lpstr>
      <vt:lpstr>CCOSTO!Títulos_a_imprimir</vt:lpstr>
    </vt:vector>
  </TitlesOfParts>
  <Company>ENAMI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ENAMI  VENTANAS</dc:creator>
  <cp:lastModifiedBy>Gomez Oyarzun Eric Eduardo (Codelco-Ventanas)</cp:lastModifiedBy>
  <cp:lastPrinted>2009-02-01T14:22:50Z</cp:lastPrinted>
  <dcterms:created xsi:type="dcterms:W3CDTF">2005-03-16T15:40:03Z</dcterms:created>
  <dcterms:modified xsi:type="dcterms:W3CDTF">2016-02-05T12:55:55Z</dcterms:modified>
</cp:coreProperties>
</file>