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EE\Projects\1016 Breadboard Power Supply\Extras\Notes\"/>
    </mc:Choice>
  </mc:AlternateContent>
  <xr:revisionPtr revIDLastSave="0" documentId="13_ncr:1_{241C8410-CBE9-4316-A30C-8797BB538701}" xr6:coauthVersionLast="47" xr6:coauthVersionMax="47" xr10:uidLastSave="{00000000-0000-0000-0000-000000000000}"/>
  <bookViews>
    <workbookView xWindow="23625" yWindow="15" windowWidth="14895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U25" i="1"/>
  <c r="U26" i="1"/>
  <c r="U27" i="1"/>
  <c r="U24" i="1"/>
  <c r="T27" i="1"/>
  <c r="T26" i="1"/>
  <c r="T25" i="1"/>
  <c r="T24" i="1"/>
  <c r="T19" i="1"/>
  <c r="U19" i="1" s="1"/>
  <c r="V19" i="1" s="1"/>
  <c r="P12" i="1"/>
  <c r="V26" i="1" l="1"/>
  <c r="W26" i="1" s="1"/>
  <c r="V24" i="1"/>
  <c r="W24" i="1" s="1"/>
  <c r="V27" i="1"/>
  <c r="W27" i="1" s="1"/>
  <c r="V25" i="1"/>
  <c r="W25" i="1" s="1"/>
  <c r="W19" i="1"/>
  <c r="T20" i="1"/>
  <c r="U20" i="1" s="1"/>
  <c r="V20" i="1" s="1"/>
  <c r="T18" i="1"/>
  <c r="U18" i="1" s="1"/>
  <c r="T17" i="1"/>
  <c r="U17" i="1" s="1"/>
  <c r="V17" i="1" s="1"/>
  <c r="W17" i="1" s="1"/>
  <c r="V18" i="1" l="1"/>
  <c r="W18" i="1"/>
  <c r="W20" i="1"/>
  <c r="B53" i="1" l="1"/>
  <c r="B50" i="1"/>
  <c r="J27" i="1"/>
  <c r="J24" i="1"/>
  <c r="J22" i="1"/>
  <c r="J17" i="1"/>
  <c r="J14" i="1"/>
  <c r="F36" i="1"/>
  <c r="F33" i="1"/>
  <c r="F26" i="1"/>
  <c r="F23" i="1"/>
  <c r="F17" i="1"/>
  <c r="F14" i="1"/>
  <c r="B44" i="1"/>
  <c r="B41" i="1"/>
  <c r="B34" i="1"/>
  <c r="B37" i="1" s="1"/>
  <c r="B33" i="1"/>
  <c r="B36" i="1" s="1"/>
  <c r="B17" i="1"/>
  <c r="B20" i="1" s="1"/>
  <c r="B30" i="1"/>
  <c r="B18" i="1"/>
  <c r="B21" i="1" s="1"/>
  <c r="B14" i="1"/>
  <c r="B22" i="1" l="1"/>
  <c r="B23" i="1"/>
</calcChain>
</file>

<file path=xl/sharedStrings.xml><?xml version="1.0" encoding="utf-8"?>
<sst xmlns="http://schemas.openxmlformats.org/spreadsheetml/2006/main" count="200" uniqueCount="114">
  <si>
    <t>1016 Breadboard Power Supply - Misc Calculations</t>
  </si>
  <si>
    <t>Zener Diode/Resistor</t>
  </si>
  <si>
    <t>Zener Voltage</t>
  </si>
  <si>
    <t>V</t>
  </si>
  <si>
    <t>Input V Low</t>
  </si>
  <si>
    <t>Input V High</t>
  </si>
  <si>
    <t>Imin Zener</t>
  </si>
  <si>
    <t>A</t>
  </si>
  <si>
    <t>Ω</t>
  </si>
  <si>
    <t>Rzener Calc</t>
  </si>
  <si>
    <t>Rzener User</t>
  </si>
  <si>
    <t>Imax Zener</t>
  </si>
  <si>
    <t>Przenerlow</t>
  </si>
  <si>
    <t>Przenerhigh</t>
  </si>
  <si>
    <t>Pzenerlow</t>
  </si>
  <si>
    <t>Pzenerhigh</t>
  </si>
  <si>
    <t>W</t>
  </si>
  <si>
    <t>Power On LED/Resistor</t>
  </si>
  <si>
    <t>LED Forward V</t>
  </si>
  <si>
    <t>Imin LED</t>
  </si>
  <si>
    <t>Rled Calc</t>
  </si>
  <si>
    <t>Rled User</t>
  </si>
  <si>
    <t>Imax LED</t>
  </si>
  <si>
    <t>Prledlow</t>
  </si>
  <si>
    <t>Prledhigh</t>
  </si>
  <si>
    <t>Pi Filter Inductor Power Handling</t>
  </si>
  <si>
    <t>Output V High</t>
  </si>
  <si>
    <t>Output I High</t>
  </si>
  <si>
    <t>Converter Eff</t>
  </si>
  <si>
    <t>%</t>
  </si>
  <si>
    <t>Input Current</t>
  </si>
  <si>
    <t>Rind</t>
  </si>
  <si>
    <t>Pindmax</t>
  </si>
  <si>
    <t>R1</t>
  </si>
  <si>
    <t>Vout</t>
  </si>
  <si>
    <t>R2 Calc</t>
  </si>
  <si>
    <t>R2 User</t>
  </si>
  <si>
    <t>Vout actual</t>
  </si>
  <si>
    <t>MCU Voltage Regulator Soft Start</t>
  </si>
  <si>
    <t>MCU Voltage Regulator Feedback</t>
  </si>
  <si>
    <t>Tstartup</t>
  </si>
  <si>
    <t>s</t>
  </si>
  <si>
    <t>Css Calc</t>
  </si>
  <si>
    <t>F</t>
  </si>
  <si>
    <t>Css User</t>
  </si>
  <si>
    <t>Tstartup Act</t>
  </si>
  <si>
    <t>Idiscg</t>
  </si>
  <si>
    <t>Voutmax</t>
  </si>
  <si>
    <t>Rpgdisc Calc</t>
  </si>
  <si>
    <t>Rpgdisc User</t>
  </si>
  <si>
    <t>Prdisc</t>
  </si>
  <si>
    <t>Rail Power Regulator FB Resistors</t>
  </si>
  <si>
    <t>Vout2</t>
  </si>
  <si>
    <t>R2 Dlt Calc</t>
  </si>
  <si>
    <t>Vout Actual</t>
  </si>
  <si>
    <t>Regulator Power Dissipation</t>
  </si>
  <si>
    <t>Iout</t>
  </si>
  <si>
    <t>Pout</t>
  </si>
  <si>
    <t>Reg Eff</t>
  </si>
  <si>
    <t>Preg</t>
  </si>
  <si>
    <t>LED Indicators</t>
  </si>
  <si>
    <t>Vcc</t>
  </si>
  <si>
    <t>MCU Voltage Regulator Disch Res</t>
  </si>
  <si>
    <t>Red</t>
  </si>
  <si>
    <t>Yellow</t>
  </si>
  <si>
    <t>Green</t>
  </si>
  <si>
    <t>Vf</t>
  </si>
  <si>
    <t>λ</t>
  </si>
  <si>
    <t>Wurth PN</t>
  </si>
  <si>
    <t>Rel Sen</t>
  </si>
  <si>
    <t>mcd@20mA</t>
  </si>
  <si>
    <t>LEDs</t>
  </si>
  <si>
    <t>Target λ</t>
  </si>
  <si>
    <t>Target I</t>
  </si>
  <si>
    <t>nm</t>
  </si>
  <si>
    <t>Target mcd</t>
  </si>
  <si>
    <t>mcd</t>
  </si>
  <si>
    <t>Target Rel</t>
  </si>
  <si>
    <t>Amber</t>
  </si>
  <si>
    <t>Use</t>
  </si>
  <si>
    <t>Error</t>
  </si>
  <si>
    <t>5V</t>
  </si>
  <si>
    <t>3V3</t>
  </si>
  <si>
    <t>Output</t>
  </si>
  <si>
    <t>Need mcd</t>
  </si>
  <si>
    <t>If</t>
  </si>
  <si>
    <t>Rf</t>
  </si>
  <si>
    <t>150060AS75003</t>
  </si>
  <si>
    <t>Pdr</t>
  </si>
  <si>
    <t>150060RS75003</t>
  </si>
  <si>
    <t>150060YS75003</t>
  </si>
  <si>
    <t>PN</t>
  </si>
  <si>
    <t>XL-1608SURC-06FJ</t>
  </si>
  <si>
    <t>XL-1608UOC-06FJ</t>
  </si>
  <si>
    <t>XL-1608UYC-06FJ</t>
  </si>
  <si>
    <t>XL-1608UGC-06A</t>
  </si>
  <si>
    <t>150060VS75003</t>
  </si>
  <si>
    <t>Rf User</t>
  </si>
  <si>
    <t>AC0603FR-07365RL</t>
  </si>
  <si>
    <t>AC0603FR-07210RL</t>
  </si>
  <si>
    <t>RC0603FR-07402RL</t>
  </si>
  <si>
    <t>RC0603FR-07887RL</t>
  </si>
  <si>
    <t>C227839</t>
  </si>
  <si>
    <t>C185331</t>
  </si>
  <si>
    <t>C273768</t>
  </si>
  <si>
    <t>C227706</t>
  </si>
  <si>
    <t>Distance from Rail Pins to Board Edge</t>
  </si>
  <si>
    <t>Closest Pin to BB Edge</t>
  </si>
  <si>
    <t>mil</t>
  </si>
  <si>
    <t>BB Edge to Housing Clearance</t>
  </si>
  <si>
    <t>Housing Thickness</t>
  </si>
  <si>
    <t>mm</t>
  </si>
  <si>
    <t>Housing to PCB Clearance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</si>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</sst>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9" formatCode="0.0000"/>
    <numFmt numFmtId="170" formatCode="0.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1" fontId="3" fillId="0" borderId="0" xfId="0" applyNumberFormat="1" applyFont="1"/>
    <xf numFmtId="48" fontId="3" fillId="0" borderId="0" xfId="0" applyNumberFormat="1" applyFont="1"/>
    <xf numFmtId="1" fontId="3" fillId="0" borderId="0" xfId="0" applyNumberFormat="1" applyFont="1"/>
    <xf numFmtId="0" fontId="3" fillId="2" borderId="0" xfId="0" applyFont="1" applyFill="1"/>
    <xf numFmtId="11" fontId="3" fillId="2" borderId="0" xfId="0" applyNumberFormat="1" applyFont="1" applyFill="1"/>
    <xf numFmtId="0" fontId="4" fillId="0" borderId="0" xfId="0" applyFont="1"/>
    <xf numFmtId="169" fontId="3" fillId="0" borderId="0" xfId="0" applyNumberFormat="1" applyFont="1"/>
    <xf numFmtId="17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abSelected="1" workbookViewId="0">
      <selection activeCell="H47" sqref="H47"/>
    </sheetView>
  </sheetViews>
  <sheetFormatPr defaultRowHeight="12" x14ac:dyDescent="0.2"/>
  <cols>
    <col min="1" max="1" width="18.7109375" style="3" customWidth="1"/>
    <col min="2" max="5" width="9.140625" style="3"/>
    <col min="6" max="6" width="10.42578125" style="3" bestFit="1" customWidth="1"/>
    <col min="7" max="12" width="9.140625" style="3"/>
    <col min="13" max="13" width="11" style="3" bestFit="1" customWidth="1"/>
    <col min="14" max="14" width="12.28515625" style="3" bestFit="1" customWidth="1"/>
    <col min="15" max="15" width="14.28515625" style="3" bestFit="1" customWidth="1"/>
    <col min="16" max="16384" width="9.140625" style="3"/>
  </cols>
  <sheetData>
    <row r="1" spans="1:24" ht="23.25" x14ac:dyDescent="0.35">
      <c r="A1" s="1" t="s">
        <v>0</v>
      </c>
    </row>
    <row r="3" spans="1:24" x14ac:dyDescent="0.2">
      <c r="A3" s="3" t="s">
        <v>4</v>
      </c>
      <c r="B3" s="3">
        <v>7</v>
      </c>
      <c r="C3" s="3" t="s">
        <v>3</v>
      </c>
    </row>
    <row r="4" spans="1:24" x14ac:dyDescent="0.2">
      <c r="A4" s="3" t="s">
        <v>5</v>
      </c>
      <c r="B4" s="3">
        <v>17</v>
      </c>
      <c r="C4" s="3" t="s">
        <v>3</v>
      </c>
    </row>
    <row r="5" spans="1:24" x14ac:dyDescent="0.2">
      <c r="A5" s="3" t="s">
        <v>26</v>
      </c>
      <c r="B5" s="3">
        <v>5</v>
      </c>
      <c r="C5" s="3" t="s">
        <v>3</v>
      </c>
    </row>
    <row r="6" spans="1:24" x14ac:dyDescent="0.2">
      <c r="A6" s="3" t="s">
        <v>27</v>
      </c>
      <c r="B6" s="3">
        <v>4</v>
      </c>
      <c r="C6" s="3" t="s">
        <v>7</v>
      </c>
    </row>
    <row r="7" spans="1:24" x14ac:dyDescent="0.2">
      <c r="A7" s="3" t="s">
        <v>28</v>
      </c>
      <c r="B7" s="3">
        <v>94</v>
      </c>
      <c r="C7" s="3" t="s">
        <v>29</v>
      </c>
      <c r="M7" s="2" t="s">
        <v>60</v>
      </c>
    </row>
    <row r="8" spans="1:24" x14ac:dyDescent="0.2">
      <c r="M8" s="3" t="s">
        <v>61</v>
      </c>
      <c r="N8" s="3">
        <v>3.3</v>
      </c>
      <c r="O8" s="3" t="s">
        <v>3</v>
      </c>
    </row>
    <row r="10" spans="1:24" x14ac:dyDescent="0.2">
      <c r="A10" s="2" t="s">
        <v>1</v>
      </c>
      <c r="E10" s="2" t="s">
        <v>39</v>
      </c>
      <c r="I10" s="2" t="s">
        <v>51</v>
      </c>
      <c r="M10" s="3" t="s">
        <v>72</v>
      </c>
      <c r="N10" s="3">
        <v>525</v>
      </c>
      <c r="O10" s="3" t="s">
        <v>74</v>
      </c>
    </row>
    <row r="11" spans="1:24" x14ac:dyDescent="0.2">
      <c r="A11" s="3" t="s">
        <v>2</v>
      </c>
      <c r="B11" s="3">
        <v>5.0999999999999996</v>
      </c>
      <c r="C11" s="3" t="s">
        <v>3</v>
      </c>
      <c r="E11" s="3" t="s">
        <v>33</v>
      </c>
      <c r="F11" s="8">
        <v>100000</v>
      </c>
      <c r="G11" s="3" t="s">
        <v>8</v>
      </c>
      <c r="I11" s="3" t="s">
        <v>33</v>
      </c>
      <c r="J11" s="8">
        <v>220000</v>
      </c>
      <c r="K11" s="3" t="s">
        <v>8</v>
      </c>
      <c r="M11" s="3" t="s">
        <v>73</v>
      </c>
      <c r="N11" s="3">
        <v>1E-3</v>
      </c>
      <c r="O11" s="3" t="s">
        <v>7</v>
      </c>
    </row>
    <row r="12" spans="1:24" x14ac:dyDescent="0.2">
      <c r="A12" s="3" t="s">
        <v>6</v>
      </c>
      <c r="B12" s="3">
        <v>1E-3</v>
      </c>
      <c r="C12" s="3" t="s">
        <v>7</v>
      </c>
      <c r="E12" s="3" t="s">
        <v>34</v>
      </c>
      <c r="F12" s="3">
        <v>3.3</v>
      </c>
      <c r="G12" s="3" t="s">
        <v>3</v>
      </c>
      <c r="I12" s="3" t="s">
        <v>34</v>
      </c>
      <c r="J12" s="3">
        <v>5</v>
      </c>
      <c r="K12" s="3" t="s">
        <v>3</v>
      </c>
      <c r="M12" s="3" t="s">
        <v>75</v>
      </c>
      <c r="N12" s="3">
        <v>80</v>
      </c>
      <c r="O12" s="3" t="s">
        <v>76</v>
      </c>
      <c r="P12" s="3">
        <f>(N12*N14)*(N13/100)</f>
        <v>28</v>
      </c>
      <c r="Q12" s="3" t="s">
        <v>76</v>
      </c>
    </row>
    <row r="13" spans="1:24" x14ac:dyDescent="0.2">
      <c r="M13" s="3" t="s">
        <v>77</v>
      </c>
      <c r="N13" s="3">
        <v>50</v>
      </c>
      <c r="O13" s="3" t="s">
        <v>29</v>
      </c>
    </row>
    <row r="14" spans="1:24" x14ac:dyDescent="0.2">
      <c r="A14" s="3" t="s">
        <v>9</v>
      </c>
      <c r="B14" s="3">
        <f>(B3-B11)/B12</f>
        <v>1900.0000000000002</v>
      </c>
      <c r="C14" s="3" t="s">
        <v>8</v>
      </c>
      <c r="E14" s="3" t="s">
        <v>35</v>
      </c>
      <c r="F14" s="3">
        <f>F11/(F12/0.8-1)</f>
        <v>32000.000000000007</v>
      </c>
      <c r="G14" s="3" t="s">
        <v>8</v>
      </c>
      <c r="I14" s="3" t="s">
        <v>35</v>
      </c>
      <c r="J14" s="7">
        <f>J11/(J12/0.8-1)</f>
        <v>41904.761904761908</v>
      </c>
      <c r="K14" s="3" t="s">
        <v>8</v>
      </c>
      <c r="M14" s="3" t="s">
        <v>69</v>
      </c>
      <c r="N14" s="3">
        <v>0.7</v>
      </c>
      <c r="P14" s="3">
        <v>1</v>
      </c>
    </row>
    <row r="15" spans="1:24" x14ac:dyDescent="0.2">
      <c r="A15" s="3" t="s">
        <v>10</v>
      </c>
      <c r="B15" s="8">
        <v>1910</v>
      </c>
      <c r="C15" s="3" t="s">
        <v>8</v>
      </c>
      <c r="E15" s="3" t="s">
        <v>36</v>
      </c>
      <c r="F15" s="8">
        <v>31600</v>
      </c>
      <c r="G15" s="3" t="s">
        <v>8</v>
      </c>
      <c r="I15" s="3" t="s">
        <v>36</v>
      </c>
      <c r="J15" s="8">
        <v>42200</v>
      </c>
      <c r="K15" s="3" t="s">
        <v>8</v>
      </c>
    </row>
    <row r="16" spans="1:24" x14ac:dyDescent="0.2">
      <c r="M16" s="10" t="s">
        <v>71</v>
      </c>
      <c r="N16" s="2" t="s">
        <v>79</v>
      </c>
      <c r="O16" s="2" t="s">
        <v>68</v>
      </c>
      <c r="P16" s="2" t="s">
        <v>66</v>
      </c>
      <c r="Q16" s="2" t="s">
        <v>67</v>
      </c>
      <c r="R16" s="2" t="s">
        <v>69</v>
      </c>
      <c r="S16" s="2" t="s">
        <v>70</v>
      </c>
      <c r="T16" s="2" t="s">
        <v>84</v>
      </c>
      <c r="U16" s="2" t="s">
        <v>85</v>
      </c>
      <c r="V16" s="2" t="s">
        <v>86</v>
      </c>
      <c r="W16" s="2" t="s">
        <v>88</v>
      </c>
      <c r="X16" s="2" t="s">
        <v>97</v>
      </c>
    </row>
    <row r="17" spans="1:27" x14ac:dyDescent="0.2">
      <c r="A17" s="3" t="s">
        <v>6</v>
      </c>
      <c r="B17" s="4">
        <f>(B3-B11)/B15</f>
        <v>9.9476439790575932E-4</v>
      </c>
      <c r="C17" s="3" t="s">
        <v>7</v>
      </c>
      <c r="E17" s="3" t="s">
        <v>37</v>
      </c>
      <c r="F17" s="3">
        <f>0.8*((F11/F15)+1)</f>
        <v>3.3316455696202532</v>
      </c>
      <c r="G17" s="3" t="s">
        <v>3</v>
      </c>
      <c r="I17" s="3" t="s">
        <v>37</v>
      </c>
      <c r="J17" s="3">
        <f>0.8*((J11/J15)+1)</f>
        <v>4.9706161137440761</v>
      </c>
      <c r="K17" s="3" t="s">
        <v>3</v>
      </c>
      <c r="M17" s="3" t="s">
        <v>63</v>
      </c>
      <c r="N17" s="3" t="s">
        <v>80</v>
      </c>
      <c r="O17" s="3" t="s">
        <v>89</v>
      </c>
      <c r="P17" s="3">
        <v>2</v>
      </c>
      <c r="Q17" s="3">
        <v>625</v>
      </c>
      <c r="R17" s="3">
        <v>0.3</v>
      </c>
      <c r="S17" s="3">
        <v>530</v>
      </c>
      <c r="T17" s="3">
        <f>$P$12/R17</f>
        <v>93.333333333333343</v>
      </c>
      <c r="U17" s="11">
        <f>(T17/S17)*0.02</f>
        <v>3.5220125786163525E-3</v>
      </c>
      <c r="V17" s="12">
        <f>($N$8-P17)/U17</f>
        <v>369.10714285714278</v>
      </c>
      <c r="W17" s="4">
        <f>U17^2*V17</f>
        <v>4.5786163522012575E-3</v>
      </c>
      <c r="X17" s="3">
        <v>365</v>
      </c>
      <c r="Y17" s="3" t="s">
        <v>98</v>
      </c>
      <c r="AA17" s="3" t="s">
        <v>102</v>
      </c>
    </row>
    <row r="18" spans="1:27" x14ac:dyDescent="0.2">
      <c r="A18" s="3" t="s">
        <v>11</v>
      </c>
      <c r="B18" s="4">
        <f>(B4-B11)/B15</f>
        <v>6.2303664921465971E-3</v>
      </c>
      <c r="C18" s="3" t="s">
        <v>7</v>
      </c>
      <c r="M18" s="3" t="s">
        <v>78</v>
      </c>
      <c r="N18" s="3" t="s">
        <v>83</v>
      </c>
      <c r="O18" s="3" t="s">
        <v>87</v>
      </c>
      <c r="P18" s="3">
        <v>2</v>
      </c>
      <c r="Q18" s="3">
        <v>605</v>
      </c>
      <c r="R18" s="3">
        <v>0.5</v>
      </c>
      <c r="S18" s="3">
        <v>350</v>
      </c>
      <c r="T18" s="3">
        <f>$P$12/R18</f>
        <v>56</v>
      </c>
      <c r="U18" s="11">
        <f t="shared" ref="U18:U21" si="0">(T18/S18)*0.02</f>
        <v>3.2000000000000002E-3</v>
      </c>
      <c r="V18" s="12">
        <f t="shared" ref="V18:V21" si="1">($N$8-P18)/U18</f>
        <v>406.24999999999994</v>
      </c>
      <c r="W18" s="4">
        <f t="shared" ref="W18:W21" si="2">U18^2*V18</f>
        <v>4.1599999999999996E-3</v>
      </c>
      <c r="X18" s="3">
        <v>402</v>
      </c>
      <c r="Y18" s="3" t="s">
        <v>100</v>
      </c>
      <c r="AA18" s="3" t="s">
        <v>103</v>
      </c>
    </row>
    <row r="19" spans="1:27" x14ac:dyDescent="0.2">
      <c r="M19" s="3" t="s">
        <v>64</v>
      </c>
      <c r="N19" s="3" t="s">
        <v>82</v>
      </c>
      <c r="O19" s="3" t="s">
        <v>90</v>
      </c>
      <c r="P19" s="3">
        <v>2</v>
      </c>
      <c r="Q19" s="3">
        <v>590</v>
      </c>
      <c r="R19" s="3">
        <v>0.7</v>
      </c>
      <c r="S19" s="3">
        <v>550</v>
      </c>
      <c r="T19" s="3">
        <f>$P$12/R19</f>
        <v>40</v>
      </c>
      <c r="U19" s="11">
        <f t="shared" si="0"/>
        <v>1.4545454545454545E-3</v>
      </c>
      <c r="V19" s="12">
        <f t="shared" si="1"/>
        <v>893.74999999999989</v>
      </c>
      <c r="W19" s="4">
        <f t="shared" si="2"/>
        <v>1.8909090909090902E-3</v>
      </c>
      <c r="X19" s="3">
        <v>887</v>
      </c>
      <c r="Y19" s="3" t="s">
        <v>101</v>
      </c>
      <c r="AA19" s="3" t="s">
        <v>104</v>
      </c>
    </row>
    <row r="20" spans="1:27" x14ac:dyDescent="0.2">
      <c r="A20" s="3" t="s">
        <v>12</v>
      </c>
      <c r="B20" s="4">
        <f>B17^2*B15</f>
        <v>1.8900523560209429E-3</v>
      </c>
      <c r="C20" s="3" t="s">
        <v>16</v>
      </c>
      <c r="E20" s="2" t="s">
        <v>38</v>
      </c>
      <c r="I20" s="3" t="s">
        <v>52</v>
      </c>
      <c r="J20" s="3">
        <v>3.3</v>
      </c>
      <c r="K20" s="3" t="s">
        <v>3</v>
      </c>
      <c r="M20" s="3" t="s">
        <v>65</v>
      </c>
      <c r="N20" s="3" t="s">
        <v>81</v>
      </c>
      <c r="O20" s="3" t="s">
        <v>96</v>
      </c>
      <c r="P20" s="3">
        <v>2</v>
      </c>
      <c r="Q20" s="3">
        <v>570</v>
      </c>
      <c r="R20" s="3">
        <v>0.9</v>
      </c>
      <c r="S20" s="3">
        <v>100</v>
      </c>
      <c r="T20" s="3">
        <f>$P$12/R20</f>
        <v>31.111111111111111</v>
      </c>
      <c r="U20" s="11">
        <f t="shared" si="0"/>
        <v>6.2222222222222227E-3</v>
      </c>
      <c r="V20" s="12">
        <f t="shared" si="1"/>
        <v>208.92857142857139</v>
      </c>
      <c r="W20" s="4">
        <f t="shared" si="2"/>
        <v>8.0888888888888885E-3</v>
      </c>
      <c r="X20" s="3">
        <v>210</v>
      </c>
      <c r="Y20" s="3" t="s">
        <v>99</v>
      </c>
      <c r="AA20" s="3" t="s">
        <v>105</v>
      </c>
    </row>
    <row r="21" spans="1:27" x14ac:dyDescent="0.2">
      <c r="A21" s="3" t="s">
        <v>13</v>
      </c>
      <c r="B21" s="4">
        <f>B18^2*B15</f>
        <v>7.4141361256544511E-2</v>
      </c>
      <c r="C21" s="3" t="s">
        <v>16</v>
      </c>
      <c r="E21" s="3" t="s">
        <v>40</v>
      </c>
      <c r="F21" s="4">
        <v>1E-3</v>
      </c>
      <c r="G21" s="3" t="s">
        <v>41</v>
      </c>
      <c r="U21" s="11"/>
      <c r="V21" s="12"/>
      <c r="W21" s="4"/>
    </row>
    <row r="22" spans="1:27" x14ac:dyDescent="0.2">
      <c r="A22" s="3" t="s">
        <v>14</v>
      </c>
      <c r="B22" s="4">
        <f>B11*B17</f>
        <v>5.0732984293193721E-3</v>
      </c>
      <c r="C22" s="3" t="s">
        <v>16</v>
      </c>
      <c r="I22" s="3" t="s">
        <v>35</v>
      </c>
      <c r="J22" s="3">
        <f>J11/(J20/0.8-1)</f>
        <v>70400.000000000015</v>
      </c>
      <c r="K22" s="3" t="s">
        <v>8</v>
      </c>
    </row>
    <row r="23" spans="1:27" x14ac:dyDescent="0.2">
      <c r="A23" s="3" t="s">
        <v>15</v>
      </c>
      <c r="B23" s="4">
        <f>B11*B18</f>
        <v>3.1774869109947645E-2</v>
      </c>
      <c r="C23" s="3" t="s">
        <v>16</v>
      </c>
      <c r="E23" s="3" t="s">
        <v>42</v>
      </c>
      <c r="F23" s="6">
        <f>F21*(0.0000025/1.25)</f>
        <v>2.0000000000000005E-9</v>
      </c>
      <c r="G23" s="3" t="s">
        <v>43</v>
      </c>
      <c r="M23" s="10" t="s">
        <v>71</v>
      </c>
      <c r="N23" s="2" t="s">
        <v>79</v>
      </c>
      <c r="O23" s="2" t="s">
        <v>91</v>
      </c>
      <c r="P23" s="2" t="s">
        <v>66</v>
      </c>
      <c r="Q23" s="2" t="s">
        <v>67</v>
      </c>
      <c r="R23" s="2" t="s">
        <v>69</v>
      </c>
      <c r="S23" s="2" t="s">
        <v>70</v>
      </c>
      <c r="T23" s="2" t="s">
        <v>84</v>
      </c>
      <c r="U23" s="2" t="s">
        <v>85</v>
      </c>
      <c r="V23" s="2" t="s">
        <v>86</v>
      </c>
      <c r="W23" s="2" t="s">
        <v>88</v>
      </c>
    </row>
    <row r="24" spans="1:27" x14ac:dyDescent="0.2">
      <c r="E24" s="3" t="s">
        <v>44</v>
      </c>
      <c r="F24" s="9">
        <v>3.3000000000000002E-9</v>
      </c>
      <c r="G24" s="3" t="s">
        <v>43</v>
      </c>
      <c r="I24" s="3" t="s">
        <v>53</v>
      </c>
      <c r="J24" s="3">
        <f>J22-J15</f>
        <v>28200.000000000015</v>
      </c>
      <c r="K24" s="3" t="s">
        <v>8</v>
      </c>
      <c r="M24" s="3" t="s">
        <v>63</v>
      </c>
      <c r="N24" s="3" t="s">
        <v>80</v>
      </c>
      <c r="O24" s="3" t="s">
        <v>92</v>
      </c>
      <c r="P24" s="3">
        <v>2</v>
      </c>
      <c r="Q24" s="3">
        <v>625</v>
      </c>
      <c r="R24" s="3">
        <v>0.3</v>
      </c>
      <c r="S24" s="3">
        <v>450</v>
      </c>
      <c r="T24" s="3">
        <f>$P$12/R24</f>
        <v>93.333333333333343</v>
      </c>
      <c r="U24" s="11">
        <f>MIN((T24/S24)*0.02,0.02)</f>
        <v>4.1481481481481491E-3</v>
      </c>
      <c r="V24" s="12">
        <f>($N$8-P24)/U24</f>
        <v>313.39285714285705</v>
      </c>
      <c r="W24" s="4">
        <f>U24^2*V24</f>
        <v>5.3925925925925938E-3</v>
      </c>
    </row>
    <row r="25" spans="1:27" x14ac:dyDescent="0.2">
      <c r="I25" s="3" t="s">
        <v>36</v>
      </c>
      <c r="J25" s="8">
        <v>28000</v>
      </c>
      <c r="K25" s="3" t="s">
        <v>8</v>
      </c>
      <c r="M25" s="3" t="s">
        <v>78</v>
      </c>
      <c r="N25" s="3" t="s">
        <v>83</v>
      </c>
      <c r="O25" s="3" t="s">
        <v>93</v>
      </c>
      <c r="P25" s="3">
        <v>2.1</v>
      </c>
      <c r="Q25" s="3">
        <v>605</v>
      </c>
      <c r="R25" s="3">
        <v>0.5</v>
      </c>
      <c r="S25" s="3">
        <v>450</v>
      </c>
      <c r="T25" s="3">
        <f>$P$12/R25</f>
        <v>56</v>
      </c>
      <c r="U25" s="11">
        <f t="shared" ref="U25:U28" si="3">MIN((T25/S25)*0.02,0.02)</f>
        <v>2.488888888888889E-3</v>
      </c>
      <c r="V25" s="12">
        <f t="shared" ref="V25:V28" si="4">($N$8-P25)/U25</f>
        <v>482.142857142857</v>
      </c>
      <c r="W25" s="4">
        <f t="shared" ref="W25:W28" si="5">U25^2*V25</f>
        <v>2.9866666666666661E-3</v>
      </c>
    </row>
    <row r="26" spans="1:27" x14ac:dyDescent="0.2">
      <c r="A26" s="2" t="s">
        <v>17</v>
      </c>
      <c r="E26" s="3" t="s">
        <v>45</v>
      </c>
      <c r="F26" s="5">
        <f>F24*1.25/0.0000025</f>
        <v>1.65E-3</v>
      </c>
      <c r="G26" s="3" t="s">
        <v>41</v>
      </c>
      <c r="M26" s="3" t="s">
        <v>64</v>
      </c>
      <c r="N26" s="3" t="s">
        <v>82</v>
      </c>
      <c r="O26" s="3" t="s">
        <v>94</v>
      </c>
      <c r="P26" s="3">
        <v>2.1</v>
      </c>
      <c r="Q26" s="3">
        <v>590</v>
      </c>
      <c r="R26" s="3">
        <v>0.7</v>
      </c>
      <c r="S26" s="3">
        <v>450</v>
      </c>
      <c r="T26" s="3">
        <f>$P$12/R26</f>
        <v>40</v>
      </c>
      <c r="U26" s="11">
        <f t="shared" si="3"/>
        <v>1.7777777777777779E-3</v>
      </c>
      <c r="V26" s="12">
        <f t="shared" si="4"/>
        <v>674.99999999999977</v>
      </c>
      <c r="W26" s="4">
        <f t="shared" si="5"/>
        <v>2.133333333333333E-3</v>
      </c>
    </row>
    <row r="27" spans="1:27" x14ac:dyDescent="0.2">
      <c r="A27" s="3" t="s">
        <v>18</v>
      </c>
      <c r="B27" s="3">
        <v>2</v>
      </c>
      <c r="C27" s="3" t="s">
        <v>3</v>
      </c>
      <c r="I27" s="3" t="s">
        <v>54</v>
      </c>
      <c r="J27" s="3">
        <f>0.8*((J11/(J15+J25))+1)</f>
        <v>3.3071225071225072</v>
      </c>
      <c r="K27" s="3" t="s">
        <v>3</v>
      </c>
      <c r="M27" s="3" t="s">
        <v>65</v>
      </c>
      <c r="N27" s="3" t="s">
        <v>81</v>
      </c>
      <c r="O27" s="3" t="s">
        <v>95</v>
      </c>
      <c r="P27" s="3">
        <v>2.7</v>
      </c>
      <c r="Q27" s="3">
        <v>530</v>
      </c>
      <c r="R27" s="3">
        <v>0.7</v>
      </c>
      <c r="S27" s="3">
        <v>350</v>
      </c>
      <c r="T27" s="3">
        <f>$P$12/R27</f>
        <v>40</v>
      </c>
      <c r="U27" s="11">
        <f t="shared" si="3"/>
        <v>2.2857142857142859E-3</v>
      </c>
      <c r="V27" s="12">
        <f t="shared" si="4"/>
        <v>262.49999999999983</v>
      </c>
      <c r="W27" s="4">
        <f t="shared" si="5"/>
        <v>1.3714285714285708E-3</v>
      </c>
    </row>
    <row r="28" spans="1:27" x14ac:dyDescent="0.2">
      <c r="A28" s="3" t="s">
        <v>19</v>
      </c>
      <c r="B28" s="3">
        <v>2.5000000000000001E-3</v>
      </c>
      <c r="C28" s="3" t="s">
        <v>7</v>
      </c>
      <c r="U28" s="11"/>
      <c r="V28" s="12"/>
      <c r="W28" s="4"/>
    </row>
    <row r="29" spans="1:27" x14ac:dyDescent="0.2">
      <c r="E29" s="2" t="s">
        <v>62</v>
      </c>
    </row>
    <row r="30" spans="1:27" x14ac:dyDescent="0.2">
      <c r="A30" s="3" t="s">
        <v>20</v>
      </c>
      <c r="B30" s="3">
        <f>(B3-B27)/B28</f>
        <v>2000</v>
      </c>
      <c r="C30" s="3" t="s">
        <v>8</v>
      </c>
      <c r="E30" s="3" t="s">
        <v>46</v>
      </c>
      <c r="F30" s="3">
        <v>3.0000000000000001E-3</v>
      </c>
      <c r="G30" s="3" t="s">
        <v>7</v>
      </c>
    </row>
    <row r="31" spans="1:27" x14ac:dyDescent="0.2">
      <c r="A31" s="3" t="s">
        <v>21</v>
      </c>
      <c r="B31" s="8">
        <v>2000</v>
      </c>
      <c r="C31" s="3" t="s">
        <v>8</v>
      </c>
      <c r="E31" s="3" t="s">
        <v>47</v>
      </c>
      <c r="F31" s="3">
        <v>5</v>
      </c>
      <c r="G31" s="3" t="s">
        <v>3</v>
      </c>
      <c r="N31" s="4"/>
    </row>
    <row r="32" spans="1:27" x14ac:dyDescent="0.2">
      <c r="N32" s="4"/>
    </row>
    <row r="33" spans="1:14" x14ac:dyDescent="0.2">
      <c r="A33" s="3" t="s">
        <v>19</v>
      </c>
      <c r="B33" s="4">
        <f>(B3-B27)/B31</f>
        <v>2.5000000000000001E-3</v>
      </c>
      <c r="C33" s="3" t="s">
        <v>7</v>
      </c>
      <c r="E33" s="3" t="s">
        <v>48</v>
      </c>
      <c r="F33" s="3">
        <f>F31/F30</f>
        <v>1666.6666666666667</v>
      </c>
      <c r="G33" s="3" t="s">
        <v>8</v>
      </c>
      <c r="N33" s="4"/>
    </row>
    <row r="34" spans="1:14" x14ac:dyDescent="0.2">
      <c r="A34" s="3" t="s">
        <v>22</v>
      </c>
      <c r="B34" s="4">
        <f>(B4-B27)/B31</f>
        <v>7.4999999999999997E-3</v>
      </c>
      <c r="C34" s="3" t="s">
        <v>7</v>
      </c>
      <c r="E34" s="3" t="s">
        <v>49</v>
      </c>
      <c r="F34" s="8">
        <v>1600</v>
      </c>
      <c r="G34" s="3" t="s">
        <v>8</v>
      </c>
      <c r="N34" s="4"/>
    </row>
    <row r="35" spans="1:14" x14ac:dyDescent="0.2">
      <c r="B35" s="4"/>
    </row>
    <row r="36" spans="1:14" x14ac:dyDescent="0.2">
      <c r="A36" s="3" t="s">
        <v>23</v>
      </c>
      <c r="B36" s="4">
        <f>B33^2*B31</f>
        <v>1.2500000000000001E-2</v>
      </c>
      <c r="C36" s="3" t="s">
        <v>16</v>
      </c>
      <c r="E36" s="3" t="s">
        <v>50</v>
      </c>
      <c r="F36" s="3">
        <f>F30^2*F34</f>
        <v>1.44E-2</v>
      </c>
      <c r="G36" s="3" t="s">
        <v>16</v>
      </c>
    </row>
    <row r="37" spans="1:14" x14ac:dyDescent="0.2">
      <c r="A37" s="3" t="s">
        <v>24</v>
      </c>
      <c r="B37" s="4">
        <f>B34^2*B31</f>
        <v>0.1125</v>
      </c>
      <c r="C37" s="3" t="s">
        <v>16</v>
      </c>
    </row>
    <row r="40" spans="1:14" x14ac:dyDescent="0.2">
      <c r="A40" s="2" t="s">
        <v>25</v>
      </c>
      <c r="E40" s="2" t="s">
        <v>106</v>
      </c>
    </row>
    <row r="41" spans="1:14" x14ac:dyDescent="0.2">
      <c r="A41" s="3" t="s">
        <v>30</v>
      </c>
      <c r="B41" s="4">
        <f>((B5*B6)/(B7/100))/B3</f>
        <v>3.0395136778115499</v>
      </c>
      <c r="C41" s="3" t="s">
        <v>7</v>
      </c>
      <c r="E41" s="3" t="s">
        <v>107</v>
      </c>
      <c r="G41" s="3">
        <v>350</v>
      </c>
      <c r="H41" s="3" t="s">
        <v>108</v>
      </c>
    </row>
    <row r="42" spans="1:14" x14ac:dyDescent="0.2">
      <c r="B42" s="4"/>
      <c r="E42" s="3" t="s">
        <v>109</v>
      </c>
      <c r="G42" s="3">
        <v>150</v>
      </c>
      <c r="H42" s="3" t="s">
        <v>108</v>
      </c>
    </row>
    <row r="43" spans="1:14" x14ac:dyDescent="0.2">
      <c r="A43" s="3" t="s">
        <v>31</v>
      </c>
      <c r="B43" s="4">
        <v>2.1999999999999999E-2</v>
      </c>
      <c r="C43" s="3" t="s">
        <v>8</v>
      </c>
      <c r="E43" s="3" t="s">
        <v>110</v>
      </c>
      <c r="G43" s="3">
        <v>60</v>
      </c>
      <c r="H43" s="3" t="s">
        <v>108</v>
      </c>
      <c r="I43" s="3">
        <v>1.5</v>
      </c>
      <c r="J43" s="3" t="s">
        <v>111</v>
      </c>
    </row>
    <row r="44" spans="1:14" x14ac:dyDescent="0.2">
      <c r="A44" s="3" t="s">
        <v>32</v>
      </c>
      <c r="B44" s="4">
        <f>B41^2*B43</f>
        <v>0.20325015474727687</v>
      </c>
      <c r="C44" s="3" t="s">
        <v>16</v>
      </c>
      <c r="E44" s="3" t="s">
        <v>112</v>
      </c>
      <c r="G44" s="3">
        <v>40</v>
      </c>
      <c r="H44" s="3" t="s">
        <v>108</v>
      </c>
      <c r="I44" s="3">
        <v>1</v>
      </c>
      <c r="J44" s="3" t="s">
        <v>111</v>
      </c>
    </row>
    <row r="46" spans="1:14" x14ac:dyDescent="0.2">
      <c r="E46" s="3" t="s">
        <v>113</v>
      </c>
      <c r="G46" s="3">
        <f>SUM(G41:G44)</f>
        <v>600</v>
      </c>
      <c r="H46" s="3" t="s">
        <v>108</v>
      </c>
    </row>
    <row r="47" spans="1:14" x14ac:dyDescent="0.2">
      <c r="A47" s="2" t="s">
        <v>55</v>
      </c>
    </row>
    <row r="48" spans="1:14" x14ac:dyDescent="0.2">
      <c r="A48" s="3" t="s">
        <v>34</v>
      </c>
      <c r="B48" s="3">
        <v>5</v>
      </c>
      <c r="C48" s="3" t="s">
        <v>3</v>
      </c>
    </row>
    <row r="49" spans="1:3" x14ac:dyDescent="0.2">
      <c r="A49" s="3" t="s">
        <v>56</v>
      </c>
      <c r="B49" s="3">
        <v>2</v>
      </c>
      <c r="C49" s="3" t="s">
        <v>7</v>
      </c>
    </row>
    <row r="50" spans="1:3" x14ac:dyDescent="0.2">
      <c r="A50" s="3" t="s">
        <v>57</v>
      </c>
      <c r="B50" s="3">
        <f>B48*B49</f>
        <v>10</v>
      </c>
      <c r="C50" s="3" t="s">
        <v>16</v>
      </c>
    </row>
    <row r="51" spans="1:3" x14ac:dyDescent="0.2">
      <c r="A51" s="3" t="s">
        <v>58</v>
      </c>
      <c r="B51" s="3">
        <v>93</v>
      </c>
      <c r="C51" s="3" t="s">
        <v>29</v>
      </c>
    </row>
    <row r="53" spans="1:3" x14ac:dyDescent="0.2">
      <c r="A53" s="3" t="s">
        <v>59</v>
      </c>
      <c r="B53" s="3">
        <f>(1-(B51/100))*B50</f>
        <v>0.69999999999999951</v>
      </c>
      <c r="C53" s="3" t="s">
        <v>16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Wilson</dc:creator>
  <cp:lastModifiedBy>Dan Wilson</cp:lastModifiedBy>
  <dcterms:created xsi:type="dcterms:W3CDTF">2015-06-05T18:17:20Z</dcterms:created>
  <dcterms:modified xsi:type="dcterms:W3CDTF">2023-10-08T18:34:06Z</dcterms:modified>
</cp:coreProperties>
</file>