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ocuments\2. UIUC\3. 2019 Spring\FIN 300\Project\bond\"/>
    </mc:Choice>
  </mc:AlternateContent>
  <xr:revisionPtr revIDLastSave="0" documentId="13_ncr:1_{28C43415-9508-436D-B34D-9C0D41E064BE}" xr6:coauthVersionLast="36" xr6:coauthVersionMax="36" xr10:uidLastSave="{00000000-0000-0000-0000-000000000000}"/>
  <bookViews>
    <workbookView xWindow="0" yWindow="0" windowWidth="23040" windowHeight="8532" activeTab="3" xr2:uid="{7A158FF0-0373-4FD4-873E-9B80B98BCF25}"/>
  </bookViews>
  <sheets>
    <sheet name="Yield to Maturity " sheetId="2" r:id="rId1"/>
    <sheet name="Yield to Call " sheetId="3" r:id="rId2"/>
    <sheet name="Call Schedule" sheetId="4" r:id="rId3"/>
    <sheet name="Price to Yield Curve" sheetId="5" r:id="rId4"/>
  </sheets>
  <externalReferences>
    <externalReference r:id="rId5"/>
    <externalReference r:id="rId6"/>
  </externalReferences>
  <definedNames>
    <definedName name="CoupRemain" localSheetId="2">'[1]Yield to Maturity '!$I$8</definedName>
    <definedName name="CoupRemain" localSheetId="3">'[1]Yield to Maturity '!$I$8</definedName>
    <definedName name="CoupRemain" localSheetId="1">'[1]Yield to Maturity '!$I$8</definedName>
    <definedName name="CoupRemain">'Yield to Maturity '!$I$8</definedName>
    <definedName name="RemainCoup" localSheetId="2">'[1]Yield to Call '!$I$8</definedName>
    <definedName name="RemainCoup" localSheetId="3">'[1]Yield to Call '!$I$8</definedName>
    <definedName name="RemainCoup" localSheetId="1">'Yield to Call '!$I$8</definedName>
    <definedName name="RemainCo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" l="1"/>
  <c r="H6" i="4"/>
  <c r="B47" i="5" l="1"/>
  <c r="B48" i="5"/>
  <c r="B49" i="5"/>
  <c r="B5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10" i="5"/>
  <c r="B5" i="5"/>
  <c r="B4" i="5"/>
  <c r="H12" i="4"/>
  <c r="H11" i="4"/>
  <c r="H10" i="4"/>
  <c r="H9" i="4"/>
  <c r="H8" i="4"/>
  <c r="H7" i="4"/>
  <c r="F6" i="4"/>
  <c r="J6" i="4" s="1"/>
  <c r="F7" i="4"/>
  <c r="F5" i="4"/>
  <c r="C13" i="4"/>
  <c r="I7" i="4" s="1"/>
  <c r="C12" i="4"/>
  <c r="C7" i="4"/>
  <c r="C8" i="4"/>
  <c r="C9" i="4"/>
  <c r="C10" i="4"/>
  <c r="C6" i="4"/>
  <c r="J11" i="4"/>
  <c r="D24" i="3"/>
  <c r="I6" i="3"/>
  <c r="F5" i="3"/>
  <c r="I11" i="3" s="1"/>
  <c r="F6" i="3"/>
  <c r="F4" i="3"/>
  <c r="C10" i="3"/>
  <c r="A23" i="3"/>
  <c r="F10" i="3"/>
  <c r="I11" i="2"/>
  <c r="A28" i="5" l="1"/>
  <c r="J10" i="4"/>
  <c r="J9" i="4"/>
  <c r="J8" i="4"/>
  <c r="J12" i="4"/>
  <c r="J7" i="4"/>
  <c r="A24" i="3"/>
  <c r="D22" i="3"/>
  <c r="D23" i="3"/>
  <c r="B28" i="5" l="1"/>
  <c r="K8" i="4"/>
  <c r="K9" i="4"/>
  <c r="K7" i="4"/>
  <c r="K10" i="4"/>
  <c r="K12" i="4"/>
  <c r="K11" i="4"/>
  <c r="D35" i="2" l="1"/>
  <c r="I8" i="2"/>
  <c r="I8" i="3" s="1"/>
  <c r="I7" i="2"/>
  <c r="I7" i="3" s="1"/>
  <c r="I6" i="2"/>
  <c r="I5" i="2"/>
  <c r="I5" i="3" s="1"/>
  <c r="I4" i="2"/>
  <c r="I4" i="3" s="1"/>
  <c r="F11" i="3" s="1"/>
  <c r="F12" i="3" s="1"/>
  <c r="D25" i="2"/>
  <c r="F10" i="2"/>
  <c r="A24" i="2"/>
  <c r="A25" i="2"/>
  <c r="D26" i="2"/>
  <c r="D34" i="2"/>
  <c r="B34" i="2" l="1"/>
  <c r="B25" i="2"/>
  <c r="B29" i="2"/>
  <c r="B33" i="2"/>
  <c r="C22" i="3"/>
  <c r="C23" i="3" s="1"/>
  <c r="B26" i="2"/>
  <c r="B30" i="2"/>
  <c r="B23" i="2"/>
  <c r="B27" i="2"/>
  <c r="B31" i="2"/>
  <c r="B35" i="2"/>
  <c r="B24" i="3"/>
  <c r="B22" i="3"/>
  <c r="B23" i="3"/>
  <c r="B24" i="2"/>
  <c r="B28" i="2"/>
  <c r="B32" i="2"/>
  <c r="C23" i="2"/>
  <c r="E23" i="2" s="1"/>
  <c r="D31" i="2"/>
  <c r="D30" i="2"/>
  <c r="D27" i="2"/>
  <c r="D23" i="2"/>
  <c r="F11" i="2"/>
  <c r="F12" i="2" s="1"/>
  <c r="D32" i="2"/>
  <c r="D28" i="2"/>
  <c r="A26" i="2"/>
  <c r="D24" i="2"/>
  <c r="D33" i="2"/>
  <c r="D29" i="2"/>
  <c r="E23" i="3" l="1"/>
  <c r="C24" i="3"/>
  <c r="E22" i="3"/>
  <c r="C24" i="2"/>
  <c r="C25" i="2" s="1"/>
  <c r="E25" i="2" s="1"/>
  <c r="A27" i="2"/>
  <c r="E24" i="3" l="1"/>
  <c r="E20" i="3" s="1"/>
  <c r="G23" i="3" s="1"/>
  <c r="H23" i="3" s="1"/>
  <c r="E24" i="2"/>
  <c r="C26" i="2"/>
  <c r="E26" i="2" s="1"/>
  <c r="A28" i="2"/>
  <c r="G24" i="3" l="1"/>
  <c r="H24" i="3" s="1"/>
  <c r="F23" i="3"/>
  <c r="G22" i="3"/>
  <c r="F24" i="3"/>
  <c r="F22" i="3"/>
  <c r="C27" i="2"/>
  <c r="E27" i="2" s="1"/>
  <c r="A29" i="2"/>
  <c r="G20" i="3" l="1"/>
  <c r="I10" i="3"/>
  <c r="I12" i="3" s="1"/>
  <c r="H22" i="3"/>
  <c r="H20" i="3" s="1"/>
  <c r="I14" i="3" s="1"/>
  <c r="I15" i="3" s="1"/>
  <c r="F20" i="3"/>
  <c r="C28" i="2"/>
  <c r="E28" i="2" s="1"/>
  <c r="C29" i="2"/>
  <c r="E29" i="2" s="1"/>
  <c r="A30" i="2"/>
  <c r="A31" i="2" l="1"/>
  <c r="C30" i="2"/>
  <c r="E30" i="2" s="1"/>
  <c r="A32" i="2" l="1"/>
  <c r="C31" i="2"/>
  <c r="E31" i="2" s="1"/>
  <c r="C32" i="2" l="1"/>
  <c r="E32" i="2" s="1"/>
  <c r="A33" i="2"/>
  <c r="C33" i="2" l="1"/>
  <c r="E33" i="2" s="1"/>
  <c r="A34" i="2"/>
  <c r="A35" i="2" l="1"/>
  <c r="C34" i="2"/>
  <c r="E34" i="2" s="1"/>
  <c r="C35" i="2" l="1"/>
  <c r="E35" i="2" s="1"/>
  <c r="E21" i="2" l="1"/>
  <c r="F25" i="2" l="1"/>
  <c r="G25" i="2" s="1"/>
  <c r="H25" i="2" s="1"/>
  <c r="F23" i="2"/>
  <c r="G23" i="2" s="1"/>
  <c r="F24" i="2"/>
  <c r="G24" i="2" s="1"/>
  <c r="H24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G21" i="2" l="1"/>
  <c r="I10" i="2" s="1"/>
  <c r="I12" i="2" s="1"/>
  <c r="B7" i="5" s="1"/>
  <c r="H23" i="2"/>
  <c r="H21" i="2" s="1"/>
  <c r="I14" i="2" s="1"/>
  <c r="I15" i="2" s="1"/>
  <c r="C48" i="5" l="1"/>
  <c r="C47" i="5"/>
  <c r="C29" i="5"/>
  <c r="C37" i="5"/>
  <c r="C45" i="5"/>
  <c r="C17" i="5"/>
  <c r="C12" i="5"/>
  <c r="C20" i="5"/>
  <c r="C30" i="5"/>
  <c r="C38" i="5"/>
  <c r="C50" i="5"/>
  <c r="C41" i="5"/>
  <c r="C21" i="5"/>
  <c r="C25" i="5"/>
  <c r="C42" i="5"/>
  <c r="C26" i="5"/>
  <c r="C43" i="5"/>
  <c r="C15" i="5"/>
  <c r="C18" i="5"/>
  <c r="C46" i="5"/>
  <c r="C49" i="5"/>
  <c r="C31" i="5"/>
  <c r="C39" i="5"/>
  <c r="C11" i="5"/>
  <c r="C19" i="5"/>
  <c r="C14" i="5"/>
  <c r="C23" i="5"/>
  <c r="C32" i="5"/>
  <c r="C40" i="5"/>
  <c r="C24" i="5"/>
  <c r="C33" i="5"/>
  <c r="C13" i="5"/>
  <c r="C16" i="5"/>
  <c r="C34" i="5"/>
  <c r="C22" i="5"/>
  <c r="C35" i="5"/>
  <c r="C10" i="5"/>
  <c r="C27" i="5"/>
  <c r="C44" i="5"/>
  <c r="C36" i="5"/>
  <c r="C28" i="5"/>
</calcChain>
</file>

<file path=xl/sharedStrings.xml><?xml version="1.0" encoding="utf-8"?>
<sst xmlns="http://schemas.openxmlformats.org/spreadsheetml/2006/main" count="120" uniqueCount="62">
  <si>
    <t>YIELD TO MATURITY</t>
  </si>
  <si>
    <t>Bond Particulars</t>
  </si>
  <si>
    <t>Symbol:</t>
  </si>
  <si>
    <t>CUSIP:</t>
  </si>
  <si>
    <t>Issuer:</t>
  </si>
  <si>
    <t>Coupon:</t>
  </si>
  <si>
    <t>Maturity:</t>
  </si>
  <si>
    <t>TGI4532213</t>
  </si>
  <si>
    <t>896818AP6</t>
  </si>
  <si>
    <t>Triumph Group</t>
  </si>
  <si>
    <t>Market Data</t>
  </si>
  <si>
    <t>Settlement:</t>
  </si>
  <si>
    <t>Price:</t>
  </si>
  <si>
    <t>Principal:</t>
  </si>
  <si>
    <t>Base price:</t>
  </si>
  <si>
    <t>Price Date: (NASD)</t>
  </si>
  <si>
    <t>Date Calculations</t>
  </si>
  <si>
    <t>Days to Accrue</t>
  </si>
  <si>
    <t>Days to Next Coupon</t>
  </si>
  <si>
    <t>Coupon</t>
  </si>
  <si>
    <t>Date of Next Coupon</t>
  </si>
  <si>
    <t>Coupons Remaining</t>
  </si>
  <si>
    <t>Duration (calculated)</t>
  </si>
  <si>
    <t>Modified Duration</t>
  </si>
  <si>
    <t>days</t>
  </si>
  <si>
    <t>years</t>
  </si>
  <si>
    <t>Modified Convexity</t>
  </si>
  <si>
    <t>Yield to Maturity</t>
  </si>
  <si>
    <t>Date</t>
  </si>
  <si>
    <t>Time</t>
  </si>
  <si>
    <t>PV</t>
  </si>
  <si>
    <t>NPV/Price</t>
  </si>
  <si>
    <t>Duration</t>
  </si>
  <si>
    <t>Convexity</t>
  </si>
  <si>
    <t>Price</t>
  </si>
  <si>
    <t>Total Payments</t>
  </si>
  <si>
    <t>years squared</t>
  </si>
  <si>
    <t>Convexity (excel)</t>
  </si>
  <si>
    <t>Invoice Price:</t>
  </si>
  <si>
    <t>Duration (excel)</t>
  </si>
  <si>
    <t>Accrued Interest:</t>
  </si>
  <si>
    <t>Price Calculations</t>
  </si>
  <si>
    <t>Issuer</t>
  </si>
  <si>
    <t>Settlement</t>
  </si>
  <si>
    <t>YIELD TO FIRST CALL</t>
  </si>
  <si>
    <t>First Call Date:</t>
  </si>
  <si>
    <t>Call Price:</t>
  </si>
  <si>
    <t>Yield to First Call</t>
  </si>
  <si>
    <t>Total Payments:</t>
  </si>
  <si>
    <t>CALL SCHEDULE</t>
  </si>
  <si>
    <t>Call Schedule</t>
  </si>
  <si>
    <t xml:space="preserve">Price Date: (NASD) </t>
  </si>
  <si>
    <t>Call</t>
  </si>
  <si>
    <t>Call Price</t>
  </si>
  <si>
    <t>Yield to Call</t>
  </si>
  <si>
    <t>Yield to Worst</t>
  </si>
  <si>
    <t xml:space="preserve">Price: </t>
  </si>
  <si>
    <t>PRICE TO YIELD CURVE</t>
  </si>
  <si>
    <t>Yield</t>
  </si>
  <si>
    <t>Modified Duration:</t>
  </si>
  <si>
    <t>Duration Only</t>
  </si>
  <si>
    <t>TRIUMPH GROUP INC 7.750% August 15,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</si>
</sst>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[$-409]mmmm\ d\,\ yyyy;@"/>
    <numFmt numFmtId="166" formatCode="0.000"/>
    <numFmt numFmtId="167" formatCode="_([$$-409]* #,##0.00_);_([$$-409]* \(#,##0.00\);_([$$-409]* &quot;-&quot;??_);_(@_)"/>
    <numFmt numFmtId="168" formatCode="0.0000"/>
    <numFmt numFmtId="169" formatCode="#,##0.000000_);\(#,##0.000000\)"/>
    <numFmt numFmtId="170" formatCode="#\ ???/180"/>
    <numFmt numFmtId="171" formatCode="[$-F800]dddd\,\ mmmm\ dd\,\ yyyy"/>
    <numFmt numFmtId="172" formatCode="mmmm\ dd\,\ yyyy"/>
    <numFmt numFmtId="173" formatCode="0.000000"/>
    <numFmt numFmtId="174" formatCode="0.0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indexed="9"/>
      <name val="Times New Roman"/>
      <family val="1"/>
    </font>
    <font>
      <b/>
      <sz val="11"/>
      <color indexed="17"/>
      <name val="Times New Roman"/>
      <family val="1"/>
    </font>
    <font>
      <sz val="11"/>
      <color indexed="17"/>
      <name val="Times New Roman"/>
      <family val="1"/>
    </font>
    <font>
      <sz val="11"/>
      <color indexed="12"/>
      <name val="Times New Roman"/>
      <family val="1"/>
    </font>
    <font>
      <sz val="11"/>
      <name val="Times New Roman"/>
      <family val="1"/>
    </font>
    <font>
      <b/>
      <sz val="11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auto="1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4" fontId="0" fillId="0" borderId="0" xfId="1" applyFont="1"/>
    <xf numFmtId="2" fontId="0" fillId="0" borderId="0" xfId="0" applyNumberFormat="1"/>
    <xf numFmtId="0" fontId="4" fillId="2" borderId="0" xfId="0" applyFont="1" applyFill="1"/>
    <xf numFmtId="169" fontId="0" fillId="0" borderId="0" xfId="0" applyNumberFormat="1"/>
    <xf numFmtId="44" fontId="0" fillId="0" borderId="0" xfId="0" applyNumberFormat="1"/>
    <xf numFmtId="17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9" fontId="0" fillId="0" borderId="0" xfId="2" applyFont="1"/>
    <xf numFmtId="164" fontId="3" fillId="0" borderId="0" xfId="2" applyNumberFormat="1" applyFont="1"/>
    <xf numFmtId="0" fontId="5" fillId="2" borderId="3" xfId="0" applyFont="1" applyFill="1" applyBorder="1"/>
    <xf numFmtId="44" fontId="3" fillId="0" borderId="0" xfId="1" applyFont="1"/>
    <xf numFmtId="44" fontId="6" fillId="0" borderId="0" xfId="1" applyFont="1" applyFill="1" applyBorder="1"/>
    <xf numFmtId="168" fontId="0" fillId="0" borderId="0" xfId="2" applyNumberFormat="1" applyFont="1"/>
    <xf numFmtId="44" fontId="7" fillId="0" borderId="0" xfId="1" applyFont="1" applyFill="1"/>
    <xf numFmtId="0" fontId="0" fillId="0" borderId="1" xfId="0" applyBorder="1"/>
    <xf numFmtId="0" fontId="0" fillId="0" borderId="4" xfId="0" applyBorder="1"/>
    <xf numFmtId="0" fontId="0" fillId="0" borderId="5" xfId="0" applyBorder="1"/>
    <xf numFmtId="171" fontId="0" fillId="0" borderId="0" xfId="0" applyNumberFormat="1"/>
    <xf numFmtId="8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8" fillId="2" borderId="1" xfId="0" applyFont="1" applyFill="1" applyBorder="1"/>
    <xf numFmtId="174" fontId="0" fillId="0" borderId="0" xfId="2" applyNumberFormat="1" applyFont="1"/>
    <xf numFmtId="170" fontId="0" fillId="0" borderId="0" xfId="0" applyNumberFormat="1" applyAlignment="1">
      <alignment horizontal="center"/>
    </xf>
    <xf numFmtId="0" fontId="4" fillId="0" borderId="0" xfId="0" applyFont="1" applyFill="1"/>
    <xf numFmtId="0" fontId="9" fillId="0" borderId="0" xfId="0" applyFont="1"/>
    <xf numFmtId="0" fontId="10" fillId="2" borderId="11" xfId="0" applyFont="1" applyFill="1" applyBorder="1"/>
    <xf numFmtId="0" fontId="10" fillId="2" borderId="0" xfId="0" applyFont="1" applyFill="1" applyBorder="1"/>
    <xf numFmtId="171" fontId="11" fillId="0" borderId="0" xfId="0" applyNumberFormat="1" applyFont="1" applyFill="1"/>
    <xf numFmtId="0" fontId="9" fillId="0" borderId="12" xfId="0" applyFont="1" applyBorder="1"/>
    <xf numFmtId="0" fontId="11" fillId="0" borderId="0" xfId="0" applyFont="1" applyFill="1"/>
    <xf numFmtId="165" fontId="11" fillId="0" borderId="0" xfId="0" applyNumberFormat="1" applyFont="1" applyFill="1"/>
    <xf numFmtId="165" fontId="12" fillId="0" borderId="0" xfId="0" applyNumberFormat="1" applyFont="1" applyFill="1"/>
    <xf numFmtId="166" fontId="12" fillId="0" borderId="0" xfId="0" applyNumberFormat="1" applyFont="1" applyFill="1"/>
    <xf numFmtId="164" fontId="9" fillId="0" borderId="0" xfId="2" applyNumberFormat="1" applyFont="1"/>
    <xf numFmtId="2" fontId="11" fillId="0" borderId="0" xfId="0" applyNumberFormat="1" applyFont="1" applyFill="1"/>
    <xf numFmtId="165" fontId="9" fillId="0" borderId="0" xfId="0" applyNumberFormat="1" applyFont="1"/>
    <xf numFmtId="166" fontId="13" fillId="0" borderId="0" xfId="0" applyNumberFormat="1" applyFont="1" applyFill="1"/>
    <xf numFmtId="164" fontId="11" fillId="0" borderId="0" xfId="2" applyNumberFormat="1" applyFont="1" applyFill="1"/>
    <xf numFmtId="164" fontId="9" fillId="0" borderId="0" xfId="0" applyNumberFormat="1" applyFont="1"/>
    <xf numFmtId="10" fontId="9" fillId="0" borderId="0" xfId="0" applyNumberFormat="1" applyFont="1"/>
    <xf numFmtId="0" fontId="10" fillId="2" borderId="13" xfId="0" applyFont="1" applyFill="1" applyBorder="1"/>
    <xf numFmtId="166" fontId="11" fillId="0" borderId="0" xfId="0" applyNumberFormat="1" applyFont="1" applyFill="1"/>
    <xf numFmtId="165" fontId="14" fillId="0" borderId="0" xfId="0" applyNumberFormat="1" applyFont="1"/>
    <xf numFmtId="165" fontId="14" fillId="0" borderId="0" xfId="0" applyNumberFormat="1" applyFont="1" applyFill="1"/>
    <xf numFmtId="0" fontId="10" fillId="2" borderId="10" xfId="0" applyFont="1" applyFill="1" applyBorder="1"/>
    <xf numFmtId="164" fontId="11" fillId="0" borderId="0" xfId="0" applyNumberFormat="1" applyFont="1" applyFill="1"/>
    <xf numFmtId="168" fontId="11" fillId="0" borderId="0" xfId="0" applyNumberFormat="1" applyFont="1" applyFill="1"/>
    <xf numFmtId="0" fontId="10" fillId="2" borderId="1" xfId="0" applyFont="1" applyFill="1" applyBorder="1"/>
    <xf numFmtId="10" fontId="13" fillId="0" borderId="0" xfId="2" applyNumberFormat="1" applyFont="1" applyFill="1"/>
    <xf numFmtId="164" fontId="15" fillId="0" borderId="0" xfId="2" applyNumberFormat="1" applyFont="1" applyFill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2" fillId="2" borderId="6" xfId="0" applyFont="1" applyFill="1" applyBorder="1" applyAlignment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/>
    <xf numFmtId="0" fontId="2" fillId="2" borderId="3" xfId="0" applyFont="1" applyFill="1" applyBorder="1" applyAlignment="1"/>
    <xf numFmtId="0" fontId="0" fillId="0" borderId="3" xfId="0" applyBorder="1" applyAlignment="1"/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/>
    <xf numFmtId="0" fontId="10" fillId="2" borderId="10" xfId="0" applyFont="1" applyFill="1" applyBorder="1"/>
    <xf numFmtId="0" fontId="10" fillId="2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i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Call Schedule </a:t>
            </a:r>
          </a:p>
          <a:p>
            <a:pPr>
              <a:defRPr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213993548666647"/>
          <c:y val="3.2861302017947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62520652843"/>
          <c:y val="0.17989134143213781"/>
          <c:w val="0.85948871421596551"/>
          <c:h val="0.59583091932818233"/>
        </c:manualLayout>
      </c:layout>
      <c:scatterChart>
        <c:scatterStyle val="lineMarker"/>
        <c:varyColors val="0"/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'Call Schedule'!$H$6:$H$12</c:f>
              <c:numCache>
                <c:formatCode>[$-409]mmmm\ d\,\ yyyy;@</c:formatCode>
                <c:ptCount val="7"/>
                <c:pt idx="0">
                  <c:v>43692</c:v>
                </c:pt>
                <c:pt idx="1">
                  <c:v>44058</c:v>
                </c:pt>
                <c:pt idx="2">
                  <c:v>44423</c:v>
                </c:pt>
                <c:pt idx="3">
                  <c:v>44788</c:v>
                </c:pt>
                <c:pt idx="4">
                  <c:v>45153</c:v>
                </c:pt>
                <c:pt idx="5">
                  <c:v>45519</c:v>
                </c:pt>
                <c:pt idx="6">
                  <c:v>45884</c:v>
                </c:pt>
              </c:numCache>
            </c:numRef>
          </c:xVal>
          <c:yVal>
            <c:numRef>
              <c:f>'Call Schedule'!$J$6:$J$12</c:f>
              <c:numCache>
                <c:formatCode>0.000%</c:formatCode>
                <c:ptCount val="7"/>
                <c:pt idx="0">
                  <c:v>0.16928636289953566</c:v>
                </c:pt>
                <c:pt idx="1">
                  <c:v>0.14511140931772484</c:v>
                </c:pt>
                <c:pt idx="2">
                  <c:v>0.10963272576716694</c:v>
                </c:pt>
                <c:pt idx="3">
                  <c:v>9.5338450231681304E-2</c:v>
                </c:pt>
                <c:pt idx="4">
                  <c:v>8.7787930000662331E-2</c:v>
                </c:pt>
                <c:pt idx="5">
                  <c:v>8.6199245865728871E-2</c:v>
                </c:pt>
                <c:pt idx="6">
                  <c:v>8.5111219367582217E-2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B-4429-ADA2-521CB9F0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76752"/>
        <c:axId val="520577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rgbClr val="800000"/>
                    </a:solidFill>
                    <a:round/>
                  </a:ln>
                  <a:effectLst/>
                </c:spPr>
                <c:marker>
                  <c:symbol val="diamond"/>
                  <c:size val="10"/>
                  <c:spPr>
                    <a:noFill/>
                    <a:ln w="9525">
                      <a:solidFill>
                        <a:srgbClr val="800000">
                          <a:alpha val="69000"/>
                        </a:srgb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'Call Schedule'!$H$6:$H$12</c15:sqref>
                        </c15:formulaRef>
                      </c:ext>
                    </c:extLst>
                    <c:numCache>
                      <c:formatCode>[$-409]mmmm\ d\,\ yyyy;@</c:formatCode>
                      <c:ptCount val="7"/>
                      <c:pt idx="0">
                        <c:v>43692</c:v>
                      </c:pt>
                      <c:pt idx="1">
                        <c:v>44058</c:v>
                      </c:pt>
                      <c:pt idx="2">
                        <c:v>44423</c:v>
                      </c:pt>
                      <c:pt idx="3">
                        <c:v>44788</c:v>
                      </c:pt>
                      <c:pt idx="4">
                        <c:v>45153</c:v>
                      </c:pt>
                      <c:pt idx="5">
                        <c:v>45519</c:v>
                      </c:pt>
                      <c:pt idx="6">
                        <c:v>45884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'Call Schedule'!$J$6:$J$12</c15:sqref>
                        </c15:formulaRef>
                      </c:ext>
                    </c:extLst>
                    <c:numCache>
                      <c:formatCode>0.000%</c:formatCode>
                      <c:ptCount val="7"/>
                      <c:pt idx="0">
                        <c:v>0.16928636289953566</c:v>
                      </c:pt>
                      <c:pt idx="1">
                        <c:v>0.14511140931772484</c:v>
                      </c:pt>
                      <c:pt idx="2">
                        <c:v>0.10963272576716694</c:v>
                      </c:pt>
                      <c:pt idx="3">
                        <c:v>9.5338450231681304E-2</c:v>
                      </c:pt>
                      <c:pt idx="4">
                        <c:v>8.7787930000662331E-2</c:v>
                      </c:pt>
                      <c:pt idx="5">
                        <c:v>8.6199245865728871E-2</c:v>
                      </c:pt>
                      <c:pt idx="6">
                        <c:v>8.5111219367582217E-2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50B-4429-ADA2-521CB9F0F8DE}"/>
                  </c:ext>
                </c:extLst>
              </c15:ser>
            </c15:filteredScatterSeries>
          </c:ext>
        </c:extLst>
      </c:scatterChart>
      <c:valAx>
        <c:axId val="520576752"/>
        <c:scaling>
          <c:orientation val="minMax"/>
        </c:scaling>
        <c:delete val="0"/>
        <c:axPos val="b"/>
        <c:numFmt formatCode="[$-409]mmmm\ d\,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77736"/>
        <c:crosses val="autoZero"/>
        <c:crossBetween val="midCat"/>
      </c:valAx>
      <c:valAx>
        <c:axId val="5205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7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6">
                    <a:lumMod val="75000"/>
                  </a:schemeClr>
                </a:solidFill>
              </a:rPr>
              <a:t>TRIUMPH GROUP INC </a:t>
            </a:r>
            <a:br>
              <a:rPr lang="en-US" b="1" i="1">
                <a:solidFill>
                  <a:schemeClr val="accent6">
                    <a:lumMod val="75000"/>
                  </a:schemeClr>
                </a:solidFill>
              </a:rPr>
            </a:br>
            <a:r>
              <a:rPr lang="en-US" b="1" i="1">
                <a:solidFill>
                  <a:schemeClr val="accent6">
                    <a:lumMod val="75000"/>
                  </a:schemeClr>
                </a:solidFill>
              </a:rPr>
              <a:t>7.750% </a:t>
            </a:r>
            <a:br>
              <a:rPr lang="en-US" b="1" i="1">
                <a:solidFill>
                  <a:schemeClr val="accent6">
                    <a:lumMod val="75000"/>
                  </a:schemeClr>
                </a:solidFill>
              </a:rPr>
            </a:br>
            <a:r>
              <a:rPr lang="en-US" b="1" i="1">
                <a:solidFill>
                  <a:schemeClr val="accent6">
                    <a:lumMod val="75000"/>
                  </a:schemeClr>
                </a:solidFill>
              </a:rPr>
              <a:t>August 15, 2025</a:t>
            </a:r>
            <a:endParaRPr lang="en-US" b="1" i="1" baseline="0">
              <a:solidFill>
                <a:schemeClr val="accent6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65684812364900835"/>
          <c:y val="4.5937862243656709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9697261460409"/>
          <c:y val="0.18496799368905165"/>
          <c:w val="0.75605639747292908"/>
          <c:h val="0.7152702734209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'Price to Yield Curve'!$B$9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'Price to Yield Curve'!$A$10:$A$50</c:f>
              <c:numCache>
                <c:formatCode>0.00%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 formatCode="0.000%">
                  <c:v>8.5111208019378867E-2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</c:numCache>
            </c:numRef>
          </c:xVal>
          <c:yVal>
            <c:numRef>
              <c:f>'Price to Yield Curve'!$B$10:$B$50</c:f>
              <c:numCache>
                <c:formatCode>_([$$-409]* #,##0.00_);_([$$-409]* \(#,##0.00\);_([$$-409]* "-"??_);_(@_)</c:formatCode>
                <c:ptCount val="41"/>
                <c:pt idx="0">
                  <c:v>149.83680555555554</c:v>
                </c:pt>
                <c:pt idx="1">
                  <c:v>145.82307209823628</c:v>
                </c:pt>
                <c:pt idx="2">
                  <c:v>141.93747695822591</c:v>
                </c:pt>
                <c:pt idx="3">
                  <c:v>138.17551356507414</c:v>
                </c:pt>
                <c:pt idx="4">
                  <c:v>134.53284621922404</c:v>
                </c:pt>
                <c:pt idx="5">
                  <c:v>131.00530317697985</c:v>
                </c:pt>
                <c:pt idx="6">
                  <c:v>127.58887003232145</c:v>
                </c:pt>
                <c:pt idx="7">
                  <c:v>124.2796833821062</c:v>
                </c:pt>
                <c:pt idx="8">
                  <c:v>121.07402476184591</c:v>
                </c:pt>
                <c:pt idx="9">
                  <c:v>117.96831483985149</c:v>
                </c:pt>
                <c:pt idx="10">
                  <c:v>114.95910785812481</c:v>
                </c:pt>
                <c:pt idx="11">
                  <c:v>112.04308630891883</c:v>
                </c:pt>
                <c:pt idx="12">
                  <c:v>109.21705583641754</c:v>
                </c:pt>
                <c:pt idx="13">
                  <c:v>106.47794035347697</c:v>
                </c:pt>
                <c:pt idx="14">
                  <c:v>103.82277736385026</c:v>
                </c:pt>
                <c:pt idx="15">
                  <c:v>101.24871348076027</c:v>
                </c:pt>
                <c:pt idx="16">
                  <c:v>98.753000133116743</c:v>
                </c:pt>
                <c:pt idx="17">
                  <c:v>96.332989451075136</c:v>
                </c:pt>
                <c:pt idx="18">
                  <c:v>96.280005404905481</c:v>
                </c:pt>
                <c:pt idx="19">
                  <c:v>93.986130323028618</c:v>
                </c:pt>
                <c:pt idx="20">
                  <c:v>91.709964616484143</c:v>
                </c:pt>
                <c:pt idx="21">
                  <c:v>89.502123555628742</c:v>
                </c:pt>
                <c:pt idx="22">
                  <c:v>87.360324248719763</c:v>
                </c:pt>
                <c:pt idx="23">
                  <c:v>85.282366358755766</c:v>
                </c:pt>
                <c:pt idx="24">
                  <c:v>81.309567232652128</c:v>
                </c:pt>
                <c:pt idx="25">
                  <c:v>79.410710015220971</c:v>
                </c:pt>
                <c:pt idx="26">
                  <c:v>77.567656500437806</c:v>
                </c:pt>
                <c:pt idx="27">
                  <c:v>75.778573778265198</c:v>
                </c:pt>
                <c:pt idx="28">
                  <c:v>74.041694195815595</c:v>
                </c:pt>
                <c:pt idx="29">
                  <c:v>72.355312871208369</c:v>
                </c:pt>
                <c:pt idx="30">
                  <c:v>70.71778530803482</c:v>
                </c:pt>
                <c:pt idx="31">
                  <c:v>69.1275251061316</c:v>
                </c:pt>
                <c:pt idx="32">
                  <c:v>67.583001764550801</c:v>
                </c:pt>
                <c:pt idx="33">
                  <c:v>66.082738572803493</c:v>
                </c:pt>
                <c:pt idx="34">
                  <c:v>64.625310586625929</c:v>
                </c:pt>
                <c:pt idx="35">
                  <c:v>63.209342684689901</c:v>
                </c:pt>
                <c:pt idx="36">
                  <c:v>61.833507702833579</c:v>
                </c:pt>
                <c:pt idx="37">
                  <c:v>60.496524642545353</c:v>
                </c:pt>
                <c:pt idx="38">
                  <c:v>59.197156950574637</c:v>
                </c:pt>
                <c:pt idx="39">
                  <c:v>57.934210866686612</c:v>
                </c:pt>
                <c:pt idx="40">
                  <c:v>56.706533836705177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F-412F-ABE1-AD9AE53AFA2A}"/>
            </c:ext>
          </c:extLst>
        </c:ser>
        <c:ser>
          <c:idx val="1"/>
          <c:order val="1"/>
          <c:tx>
            <c:v>duration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A5-460E-A566-4C5F920D060F}"/>
              </c:ext>
            </c:extLst>
          </c:dPt>
          <c:xVal>
            <c:numRef>
              <c:f>'Price to Yield Curve'!$A$10:$A$50</c:f>
              <c:numCache>
                <c:formatCode>0.00%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 formatCode="0.000%">
                  <c:v>8.5111208019378867E-2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</c:numCache>
            </c:numRef>
          </c:xVal>
          <c:yVal>
            <c:numRef>
              <c:f>'Price to Yield Curve'!$C$10:$C$50</c:f>
              <c:numCache>
                <c:formatCode>0.0000</c:formatCode>
                <c:ptCount val="41"/>
                <c:pt idx="0">
                  <c:v>136.59128151282067</c:v>
                </c:pt>
                <c:pt idx="1">
                  <c:v>134.22312798457784</c:v>
                </c:pt>
                <c:pt idx="2">
                  <c:v>131.85497445633499</c:v>
                </c:pt>
                <c:pt idx="3">
                  <c:v>129.48682092809213</c:v>
                </c:pt>
                <c:pt idx="4">
                  <c:v>127.11866739984927</c:v>
                </c:pt>
                <c:pt idx="5">
                  <c:v>124.75051387160643</c:v>
                </c:pt>
                <c:pt idx="6">
                  <c:v>122.38236034336359</c:v>
                </c:pt>
                <c:pt idx="7">
                  <c:v>120.01420681512072</c:v>
                </c:pt>
                <c:pt idx="8">
                  <c:v>117.64605328687787</c:v>
                </c:pt>
                <c:pt idx="9">
                  <c:v>115.277899758635</c:v>
                </c:pt>
                <c:pt idx="10">
                  <c:v>112.90974623039216</c:v>
                </c:pt>
                <c:pt idx="11">
                  <c:v>110.5415927021493</c:v>
                </c:pt>
                <c:pt idx="12">
                  <c:v>108.17343917390646</c:v>
                </c:pt>
                <c:pt idx="13">
                  <c:v>105.80528564566362</c:v>
                </c:pt>
                <c:pt idx="14">
                  <c:v>103.43713211742075</c:v>
                </c:pt>
                <c:pt idx="15">
                  <c:v>101.0689785891779</c:v>
                </c:pt>
                <c:pt idx="16">
                  <c:v>98.700825060935045</c:v>
                </c:pt>
                <c:pt idx="17">
                  <c:v>96.332671532692203</c:v>
                </c:pt>
                <c:pt idx="18">
                  <c:v>96.28</c:v>
                </c:pt>
                <c:pt idx="19">
                  <c:v>93.964518004449346</c:v>
                </c:pt>
                <c:pt idx="20">
                  <c:v>91.596364476206489</c:v>
                </c:pt>
                <c:pt idx="21">
                  <c:v>89.228210947963632</c:v>
                </c:pt>
                <c:pt idx="22">
                  <c:v>86.860057419720789</c:v>
                </c:pt>
                <c:pt idx="23">
                  <c:v>84.491903891477932</c:v>
                </c:pt>
                <c:pt idx="24">
                  <c:v>79.755596834992232</c:v>
                </c:pt>
                <c:pt idx="25">
                  <c:v>77.387443306749361</c:v>
                </c:pt>
                <c:pt idx="26">
                  <c:v>75.019289778506518</c:v>
                </c:pt>
                <c:pt idx="27">
                  <c:v>72.651136250263662</c:v>
                </c:pt>
                <c:pt idx="28">
                  <c:v>70.282982722020819</c:v>
                </c:pt>
                <c:pt idx="29">
                  <c:v>67.914829193777976</c:v>
                </c:pt>
                <c:pt idx="30">
                  <c:v>65.546675665535105</c:v>
                </c:pt>
                <c:pt idx="31">
                  <c:v>63.178522137292262</c:v>
                </c:pt>
                <c:pt idx="32">
                  <c:v>60.810368609049398</c:v>
                </c:pt>
                <c:pt idx="33">
                  <c:v>58.442215080806548</c:v>
                </c:pt>
                <c:pt idx="34">
                  <c:v>56.074061552563691</c:v>
                </c:pt>
                <c:pt idx="35">
                  <c:v>53.705908024320848</c:v>
                </c:pt>
                <c:pt idx="36">
                  <c:v>51.337754496077991</c:v>
                </c:pt>
                <c:pt idx="37">
                  <c:v>48.969600967835142</c:v>
                </c:pt>
                <c:pt idx="38">
                  <c:v>46.601447439592285</c:v>
                </c:pt>
                <c:pt idx="39">
                  <c:v>44.233293911349435</c:v>
                </c:pt>
                <c:pt idx="40">
                  <c:v>41.865140383106578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7F-412F-ABE1-AD9AE53AFA2A}"/>
            </c:ext>
          </c:extLst>
        </c:ser>
        <c:ser>
          <c:idx val="2"/>
          <c:order val="2"/>
          <c:tx>
            <c:v>Intercept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'Price to Yield Curve'!#REF!</c:f>
            </c:numRef>
          </c:xVal>
          <c:yVal>
            <c:numRef>
              <c:f>'Price to Yield Curve'!#REF!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7F-412F-ABE1-AD9AE53A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38920"/>
        <c:axId val="508936296"/>
      </c:scatterChart>
      <c:valAx>
        <c:axId val="508938920"/>
        <c:scaling>
          <c:orientation val="minMax"/>
          <c:max val="0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6296"/>
        <c:crosses val="autoZero"/>
        <c:crossBetween val="midCat"/>
        <c:majorUnit val="5.000000000000001E-2"/>
        <c:minorUnit val="1.0000000000000002E-2"/>
      </c:valAx>
      <c:valAx>
        <c:axId val="50893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285231</xdr:colOff>
      <xdr:row>12</xdr:row>
      <xdr:rowOff>134259</xdr:rowOff>
    </xdr:from>
    <xdr:to>
      <xdr:col>10</xdr:col>
      <xdr:colOff>749075</xdr:colOff>
      <xdr:row>34</xdr:row>
      <xdr:rowOff>175261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E8CBB-D02D-48FD-B285-4DBB25FBA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12865</xdr:colOff>
      <xdr:row>4</xdr:row>
      <xdr:rowOff>13783</xdr:rowOff>
    </xdr:from>
    <xdr:to>
      <xdr:col>11</xdr:col>
      <xdr:colOff>629769</xdr:colOff>
      <xdr:row>24</xdr:row>
      <xdr:rowOff>121921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B36EB-56FA-4E8A-BD8F-889B1A055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0.35678</cdr:x>
      <cdr:y>0.06564</cdr:y>
    </cdr:from>
    <cdr:to>
      <cdr:x>0.95059</cdr:x>
      <cdr:y>0.23442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8CE6D5-11E5-4EE0-AFAC-6F149F09BB04}"/>
            </a:ext>
          </a:extLst>
        </cdr:cNvPr>
        <cdr:cNvSpPr txBox="1"/>
      </cdr:nvSpPr>
      <cdr:spPr>
        <a:xfrm xmlns:a="http://schemas.openxmlformats.org/drawingml/2006/main">
          <a:off x="2028825" y="283370"/>
          <a:ext cx="3376612" cy="728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endParaRPr lang="en-US" sz="1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so/AppData/Local/Temp/Bond%20Project%20FIN%20300%20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rin%20Florentyna/AppData/Local/Temp/Temp1_FIN%20300%20(3).zip/past%20exams/Fin%20300/Projects/Bo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Yield to Maturity "/>
      <sheetName val="Yield to Call "/>
      <sheetName val="Call Schedule"/>
      <sheetName val="Price to Yield Curve"/>
    </sheetNames>
    <sheetDataSet>
      <sheetData sheetId="0" refreshError="1"/>
      <sheetData sheetId="1">
        <row r="8">
          <cell r="I8">
            <v>16</v>
          </cell>
        </row>
      </sheetData>
      <sheetData sheetId="2">
        <row r="8">
          <cell r="I8">
            <v>6</v>
          </cell>
        </row>
      </sheetData>
      <sheetData sheetId="3">
        <row r="6">
          <cell r="H6">
            <v>43997</v>
          </cell>
        </row>
      </sheetData>
      <sheetData sheetId="4">
        <row r="9">
          <cell r="B9" t="str">
            <v>Price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 To Maturity"/>
      <sheetName val="Yield To First Call"/>
      <sheetName val="Call Schedule"/>
      <sheetName val="Price Yield Curve"/>
    </sheetNames>
    <sheetDataSet>
      <sheetData sheetId="0" refreshError="1"/>
      <sheetData sheetId="1" refreshError="1"/>
      <sheetData sheetId="2">
        <row r="6">
          <cell r="H6">
            <v>43480</v>
          </cell>
          <cell r="J6">
            <v>8.6100977807059872E-2</v>
          </cell>
        </row>
        <row r="7">
          <cell r="H7">
            <v>43845</v>
          </cell>
          <cell r="J7">
            <v>6.1188009653682283E-2</v>
          </cell>
        </row>
        <row r="8">
          <cell r="H8">
            <v>44211</v>
          </cell>
          <cell r="J8">
            <v>5.9115631833365052E-2</v>
          </cell>
        </row>
        <row r="9">
          <cell r="H9">
            <v>44576</v>
          </cell>
          <cell r="J9">
            <v>5.812464893621401E-2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D019-A686-43B9-AE61-D137D1D81AE0}">
  <dimension ref="A1:J48"/>
  <sheetViews>
    <sheetView topLeftCell="A4" zoomScale="85" zoomScaleNormal="85" workbookViewId="0">
      <selection activeCell="F17" sqref="F17"/>
    </sheetView>
  </sheetViews>
  <sheetFormatPr defaultRowHeight="14.4" x14ac:dyDescent="0.3"/>
  <cols>
    <col min="1" max="1" width="3.21875" customWidth="1"/>
    <col min="2" max="2" width="18" customWidth="1"/>
    <col min="3" max="3" width="21.109375" customWidth="1"/>
    <col min="4" max="4" width="14" customWidth="1"/>
    <col min="5" max="5" width="17.77734375" customWidth="1"/>
    <col min="6" max="6" width="25.88671875" customWidth="1"/>
    <col min="7" max="7" width="8.33203125" customWidth="1"/>
    <col min="8" max="8" width="21.21875" customWidth="1"/>
    <col min="9" max="9" width="17.88671875" bestFit="1" customWidth="1"/>
    <col min="10" max="10" width="11.44140625" customWidth="1"/>
  </cols>
  <sheetData>
    <row r="1" spans="1:10" ht="15" thickBot="1" x14ac:dyDescent="0.3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3"/>
    </row>
    <row r="2" spans="1:10" ht="15" thickTop="1" x14ac:dyDescent="0.3">
      <c r="A2" s="14"/>
      <c r="C2" s="26"/>
    </row>
    <row r="3" spans="1:10" ht="15" thickBot="1" x14ac:dyDescent="0.35">
      <c r="A3" s="14"/>
      <c r="B3" s="68" t="s">
        <v>1</v>
      </c>
      <c r="C3" s="69"/>
      <c r="D3" s="25"/>
      <c r="E3" s="66" t="s">
        <v>10</v>
      </c>
      <c r="F3" s="67"/>
      <c r="G3" s="24"/>
      <c r="H3" s="64" t="s">
        <v>16</v>
      </c>
      <c r="I3" s="64"/>
      <c r="J3" s="64"/>
    </row>
    <row r="4" spans="1:10" x14ac:dyDescent="0.3">
      <c r="A4" s="14"/>
      <c r="E4" t="s">
        <v>15</v>
      </c>
      <c r="F4" s="27">
        <v>43532</v>
      </c>
      <c r="H4" t="s">
        <v>17</v>
      </c>
      <c r="I4">
        <f>COUPDAYBS(F5,C9,2)</f>
        <v>25</v>
      </c>
      <c r="J4" t="s">
        <v>24</v>
      </c>
    </row>
    <row r="5" spans="1:10" x14ac:dyDescent="0.3">
      <c r="A5" s="14"/>
      <c r="B5" t="s">
        <v>2</v>
      </c>
      <c r="C5" t="s">
        <v>7</v>
      </c>
      <c r="E5" t="s">
        <v>43</v>
      </c>
      <c r="F5" s="27">
        <f>DATE(2019,3,10)</f>
        <v>43534</v>
      </c>
      <c r="H5" t="s">
        <v>18</v>
      </c>
      <c r="I5">
        <f>COUPDAYSNC(F5,C9,2)</f>
        <v>155</v>
      </c>
      <c r="J5" t="s">
        <v>24</v>
      </c>
    </row>
    <row r="6" spans="1:10" x14ac:dyDescent="0.3">
      <c r="A6" s="14"/>
      <c r="B6" t="s">
        <v>3</v>
      </c>
      <c r="C6" t="s">
        <v>8</v>
      </c>
      <c r="E6" t="s">
        <v>12</v>
      </c>
      <c r="F6" s="3">
        <v>96.28</v>
      </c>
      <c r="H6" t="s">
        <v>19</v>
      </c>
      <c r="I6">
        <f>C8/2*F9</f>
        <v>387.5</v>
      </c>
    </row>
    <row r="7" spans="1:10" x14ac:dyDescent="0.3">
      <c r="A7" s="14"/>
      <c r="B7" t="s">
        <v>42</v>
      </c>
      <c r="C7" t="s">
        <v>9</v>
      </c>
      <c r="H7" t="s">
        <v>20</v>
      </c>
      <c r="I7" s="2">
        <f>COUPNCD(F5,C9,2)</f>
        <v>43692</v>
      </c>
    </row>
    <row r="8" spans="1:10" ht="15" thickBot="1" x14ac:dyDescent="0.35">
      <c r="A8" s="14"/>
      <c r="B8" t="s">
        <v>5</v>
      </c>
      <c r="C8" s="1">
        <v>7.7499999999999999E-2</v>
      </c>
      <c r="E8" s="66" t="s">
        <v>41</v>
      </c>
      <c r="F8" s="67"/>
      <c r="H8" t="s">
        <v>21</v>
      </c>
      <c r="I8">
        <f>COUPNUM(F5,C9,2)</f>
        <v>13</v>
      </c>
    </row>
    <row r="9" spans="1:10" x14ac:dyDescent="0.3">
      <c r="A9" s="14"/>
      <c r="B9" t="s">
        <v>6</v>
      </c>
      <c r="C9" s="2">
        <v>45884</v>
      </c>
      <c r="E9" t="s">
        <v>13</v>
      </c>
      <c r="F9" s="23">
        <v>10000</v>
      </c>
    </row>
    <row r="10" spans="1:10" x14ac:dyDescent="0.3">
      <c r="A10" s="14"/>
      <c r="E10" t="s">
        <v>14</v>
      </c>
      <c r="F10" s="20">
        <f>(F6/100)*F9</f>
        <v>9628</v>
      </c>
      <c r="H10" t="s">
        <v>22</v>
      </c>
      <c r="I10" s="22">
        <f>G21/2</f>
        <v>5.1286492148419285</v>
      </c>
      <c r="J10" t="s">
        <v>25</v>
      </c>
    </row>
    <row r="11" spans="1:10" x14ac:dyDescent="0.3">
      <c r="A11" s="14"/>
      <c r="E11" t="s">
        <v>40</v>
      </c>
      <c r="F11" s="21">
        <f>(I4/180)*I6</f>
        <v>53.81944444444445</v>
      </c>
      <c r="H11" t="s">
        <v>39</v>
      </c>
      <c r="I11" s="5">
        <f>DURATION(F5,C9,C8,F17,2,0)</f>
        <v>5.1286492148419294</v>
      </c>
      <c r="J11" t="s">
        <v>25</v>
      </c>
    </row>
    <row r="12" spans="1:10" x14ac:dyDescent="0.3">
      <c r="A12" s="14"/>
      <c r="E12" t="s">
        <v>38</v>
      </c>
      <c r="F12" s="20">
        <f>F10+F11</f>
        <v>9681.8194444444453</v>
      </c>
      <c r="H12" t="s">
        <v>23</v>
      </c>
      <c r="I12" s="5">
        <f>I10/(1+F17/2)</f>
        <v>4.9193052103092079</v>
      </c>
    </row>
    <row r="13" spans="1:10" x14ac:dyDescent="0.3">
      <c r="A13" s="14"/>
    </row>
    <row r="14" spans="1:10" x14ac:dyDescent="0.3">
      <c r="A14" s="14"/>
      <c r="H14" t="s">
        <v>37</v>
      </c>
      <c r="I14">
        <f>H21/4</f>
        <v>32.820740610215559</v>
      </c>
      <c r="J14" t="s">
        <v>36</v>
      </c>
    </row>
    <row r="15" spans="1:10" x14ac:dyDescent="0.3">
      <c r="A15" s="14"/>
      <c r="H15" t="s">
        <v>26</v>
      </c>
      <c r="I15">
        <f>I14/((1+F17/2)^2)</f>
        <v>30.196035179992784</v>
      </c>
    </row>
    <row r="16" spans="1:10" x14ac:dyDescent="0.3">
      <c r="A16" s="14"/>
    </row>
    <row r="17" spans="1:10" ht="15" thickBot="1" x14ac:dyDescent="0.35">
      <c r="A17" s="14"/>
      <c r="E17" s="19" t="s">
        <v>27</v>
      </c>
      <c r="F17" s="18">
        <v>8.5111208019378867E-2</v>
      </c>
    </row>
    <row r="18" spans="1:10" x14ac:dyDescent="0.3">
      <c r="A18" s="14"/>
      <c r="F18" s="17"/>
    </row>
    <row r="19" spans="1:10" x14ac:dyDescent="0.3">
      <c r="A19" s="14"/>
    </row>
    <row r="20" spans="1:10" ht="15" thickBot="1" x14ac:dyDescent="0.35">
      <c r="A20" s="14"/>
      <c r="B20" s="16"/>
      <c r="C20" s="15"/>
      <c r="D20" s="12" t="s">
        <v>35</v>
      </c>
      <c r="E20" s="12" t="s">
        <v>34</v>
      </c>
      <c r="F20" s="15"/>
      <c r="G20" s="15"/>
      <c r="H20" s="65"/>
      <c r="I20" s="65"/>
      <c r="J20" s="65"/>
    </row>
    <row r="21" spans="1:10" x14ac:dyDescent="0.3">
      <c r="A21" s="14"/>
      <c r="E21" s="6">
        <f>SUM(E23:E38)</f>
        <v>9681.819984934993</v>
      </c>
      <c r="F21" s="9">
        <v>1</v>
      </c>
      <c r="G21" s="5">
        <f>SUM(G23:G38)</f>
        <v>10.257298429683857</v>
      </c>
      <c r="H21">
        <f>SUM(H23:H38)</f>
        <v>131.28296244086224</v>
      </c>
    </row>
    <row r="22" spans="1:10" ht="15" thickBot="1" x14ac:dyDescent="0.35">
      <c r="A22" s="14"/>
      <c r="B22" s="13" t="s">
        <v>28</v>
      </c>
      <c r="C22" s="12" t="s">
        <v>29</v>
      </c>
      <c r="D22" s="12" t="s">
        <v>19</v>
      </c>
      <c r="E22" s="12" t="s">
        <v>30</v>
      </c>
      <c r="F22" s="12" t="s">
        <v>31</v>
      </c>
      <c r="G22" s="12" t="s">
        <v>32</v>
      </c>
      <c r="H22" s="64" t="s">
        <v>33</v>
      </c>
      <c r="I22" s="64"/>
      <c r="J22" s="64"/>
    </row>
    <row r="23" spans="1:10" x14ac:dyDescent="0.3">
      <c r="A23" s="8">
        <v>1</v>
      </c>
      <c r="B23" s="2">
        <f>EDATE($I$7,6*(A23-1))</f>
        <v>43692</v>
      </c>
      <c r="C23" s="11">
        <f>IF($A23&gt;CoupRemain,"",$I$5/"180")</f>
        <v>0.86111111111111116</v>
      </c>
      <c r="D23" s="10">
        <f t="shared" ref="D23:D34" si="0">$I$6</f>
        <v>387.5</v>
      </c>
      <c r="E23" s="7">
        <f t="shared" ref="E23:E35" si="1">D23/((1+(F$17/2))^C23)</f>
        <v>373.84042462595119</v>
      </c>
      <c r="F23" s="9">
        <f t="shared" ref="F23:F35" si="2">IFERROR(E23/$E$21,"")</f>
        <v>3.8612618826589479E-2</v>
      </c>
      <c r="G23" s="5">
        <f t="shared" ref="G23:G35" si="3">F23*C23</f>
        <v>3.3249755100674273E-2</v>
      </c>
      <c r="H23">
        <f t="shared" ref="H23:H35" si="4">G23*(C23+1)</f>
        <v>6.188148865958823E-2</v>
      </c>
    </row>
    <row r="24" spans="1:10" x14ac:dyDescent="0.3">
      <c r="A24" s="8">
        <f t="shared" ref="A24:A35" si="5">A23+1</f>
        <v>2</v>
      </c>
      <c r="B24" s="2">
        <f t="shared" ref="B24:B35" si="6">EDATE($I$7,6*(A24-1))</f>
        <v>43876</v>
      </c>
      <c r="C24" s="11">
        <f t="shared" ref="C24:C35" si="7">IF($A24&gt;CoupRemain,"",1+C23)</f>
        <v>1.8611111111111112</v>
      </c>
      <c r="D24" s="10">
        <f t="shared" si="0"/>
        <v>387.5</v>
      </c>
      <c r="E24" s="7">
        <f t="shared" si="1"/>
        <v>358.58080201013115</v>
      </c>
      <c r="F24" s="9">
        <f t="shared" si="2"/>
        <v>3.7036507864026229E-2</v>
      </c>
      <c r="G24" s="5">
        <f t="shared" si="3"/>
        <v>6.8929056302493255E-2</v>
      </c>
      <c r="H24">
        <f t="shared" si="4"/>
        <v>0.19721368886546681</v>
      </c>
    </row>
    <row r="25" spans="1:10" x14ac:dyDescent="0.3">
      <c r="A25" s="8">
        <f t="shared" si="5"/>
        <v>3</v>
      </c>
      <c r="B25" s="2">
        <f t="shared" si="6"/>
        <v>44058</v>
      </c>
      <c r="C25" s="11">
        <f t="shared" si="7"/>
        <v>2.8611111111111112</v>
      </c>
      <c r="D25" s="10">
        <f t="shared" si="0"/>
        <v>387.5</v>
      </c>
      <c r="E25" s="7">
        <f t="shared" si="1"/>
        <v>343.94405500389843</v>
      </c>
      <c r="F25" s="9">
        <f t="shared" si="2"/>
        <v>3.5524731459485794E-2</v>
      </c>
      <c r="G25" s="5">
        <f t="shared" si="3"/>
        <v>0.10164020389797325</v>
      </c>
      <c r="H25">
        <f t="shared" si="4"/>
        <v>0.39244412060606337</v>
      </c>
    </row>
    <row r="26" spans="1:10" x14ac:dyDescent="0.3">
      <c r="A26" s="8">
        <f t="shared" si="5"/>
        <v>4</v>
      </c>
      <c r="B26" s="2">
        <f t="shared" si="6"/>
        <v>44242</v>
      </c>
      <c r="C26" s="11">
        <f t="shared" si="7"/>
        <v>3.8611111111111112</v>
      </c>
      <c r="D26" s="10">
        <f t="shared" si="0"/>
        <v>387.5</v>
      </c>
      <c r="E26" s="7">
        <f t="shared" si="1"/>
        <v>329.90475873045307</v>
      </c>
      <c r="F26" s="9">
        <f t="shared" si="2"/>
        <v>3.4074663569844114E-2</v>
      </c>
      <c r="G26" s="5">
        <f t="shared" si="3"/>
        <v>0.13156606211689811</v>
      </c>
      <c r="H26">
        <f t="shared" si="4"/>
        <v>0.63955724640158795</v>
      </c>
    </row>
    <row r="27" spans="1:10" x14ac:dyDescent="0.3">
      <c r="A27" s="8">
        <f t="shared" si="5"/>
        <v>5</v>
      </c>
      <c r="B27" s="2">
        <f t="shared" si="6"/>
        <v>44423</v>
      </c>
      <c r="C27" s="11">
        <f t="shared" si="7"/>
        <v>4.8611111111111107</v>
      </c>
      <c r="D27" s="10">
        <f t="shared" si="0"/>
        <v>387.5</v>
      </c>
      <c r="E27" s="7">
        <f t="shared" si="1"/>
        <v>316.43852611950177</v>
      </c>
      <c r="F27" s="9">
        <f t="shared" si="2"/>
        <v>3.268378534323952E-2</v>
      </c>
      <c r="G27" s="5">
        <f t="shared" si="3"/>
        <v>0.1588795120851921</v>
      </c>
      <c r="H27">
        <f t="shared" si="4"/>
        <v>0.93121047361043141</v>
      </c>
    </row>
    <row r="28" spans="1:10" x14ac:dyDescent="0.3">
      <c r="A28" s="8">
        <f t="shared" si="5"/>
        <v>6</v>
      </c>
      <c r="B28" s="2">
        <f t="shared" si="6"/>
        <v>44607</v>
      </c>
      <c r="C28" s="11">
        <f t="shared" si="7"/>
        <v>5.8611111111111107</v>
      </c>
      <c r="D28" s="10">
        <f t="shared" si="0"/>
        <v>387.5</v>
      </c>
      <c r="E28" s="7">
        <f t="shared" si="1"/>
        <v>303.52196554550466</v>
      </c>
      <c r="F28" s="9">
        <f t="shared" si="2"/>
        <v>3.1349680743681232E-2</v>
      </c>
      <c r="G28" s="5">
        <f t="shared" si="3"/>
        <v>0.18374396213657609</v>
      </c>
      <c r="H28">
        <f t="shared" si="4"/>
        <v>1.2606877402148415</v>
      </c>
    </row>
    <row r="29" spans="1:10" x14ac:dyDescent="0.3">
      <c r="A29" s="8">
        <f t="shared" si="5"/>
        <v>7</v>
      </c>
      <c r="B29" s="2">
        <f t="shared" si="6"/>
        <v>44788</v>
      </c>
      <c r="C29" s="11">
        <f t="shared" si="7"/>
        <v>6.8611111111111107</v>
      </c>
      <c r="D29" s="10">
        <f t="shared" si="0"/>
        <v>387.5</v>
      </c>
      <c r="E29" s="7">
        <f t="shared" si="1"/>
        <v>291.13264019506795</v>
      </c>
      <c r="F29" s="9">
        <f t="shared" si="2"/>
        <v>3.0070032354255004E-2</v>
      </c>
      <c r="G29" s="5">
        <f t="shared" si="3"/>
        <v>0.2063138330972496</v>
      </c>
      <c r="H29">
        <f t="shared" si="4"/>
        <v>1.621855965736712</v>
      </c>
    </row>
    <row r="30" spans="1:10" x14ac:dyDescent="0.3">
      <c r="A30" s="8">
        <f t="shared" si="5"/>
        <v>8</v>
      </c>
      <c r="B30" s="2">
        <f t="shared" si="6"/>
        <v>44972</v>
      </c>
      <c r="C30" s="11">
        <f t="shared" si="7"/>
        <v>7.8611111111111107</v>
      </c>
      <c r="D30" s="10">
        <f t="shared" si="0"/>
        <v>387.5</v>
      </c>
      <c r="E30" s="7">
        <f t="shared" si="1"/>
        <v>279.24902909290023</v>
      </c>
      <c r="F30" s="9">
        <f t="shared" si="2"/>
        <v>2.8842617351635794E-2</v>
      </c>
      <c r="G30" s="5">
        <f t="shared" si="3"/>
        <v>0.22673501973647026</v>
      </c>
      <c r="H30">
        <f t="shared" si="4"/>
        <v>2.0091242026648337</v>
      </c>
    </row>
    <row r="31" spans="1:10" x14ac:dyDescent="0.3">
      <c r="A31" s="8">
        <f t="shared" si="5"/>
        <v>9</v>
      </c>
      <c r="B31" s="2">
        <f t="shared" si="6"/>
        <v>45153</v>
      </c>
      <c r="C31" s="11">
        <f t="shared" si="7"/>
        <v>8.8611111111111107</v>
      </c>
      <c r="D31" s="10">
        <f t="shared" si="0"/>
        <v>387.5</v>
      </c>
      <c r="E31" s="7">
        <f t="shared" si="1"/>
        <v>267.85048971863267</v>
      </c>
      <c r="F31" s="9">
        <f t="shared" si="2"/>
        <v>2.7665303644914971E-2</v>
      </c>
      <c r="G31" s="5">
        <f t="shared" si="3"/>
        <v>0.24514532952021875</v>
      </c>
      <c r="H31">
        <f t="shared" si="4"/>
        <v>2.4174053327688236</v>
      </c>
    </row>
    <row r="32" spans="1:10" x14ac:dyDescent="0.3">
      <c r="A32" s="8">
        <f t="shared" si="5"/>
        <v>10</v>
      </c>
      <c r="B32" s="2">
        <f t="shared" si="6"/>
        <v>45337</v>
      </c>
      <c r="C32" s="11">
        <f t="shared" si="7"/>
        <v>9.8611111111111107</v>
      </c>
      <c r="D32" s="10">
        <f t="shared" si="0"/>
        <v>387.5</v>
      </c>
      <c r="E32" s="7">
        <f t="shared" si="1"/>
        <v>256.91722214956633</v>
      </c>
      <c r="F32" s="9">
        <f t="shared" si="2"/>
        <v>2.6536046172035015E-2</v>
      </c>
      <c r="G32" s="5">
        <f t="shared" si="3"/>
        <v>0.26167489975201197</v>
      </c>
      <c r="H32">
        <f t="shared" si="4"/>
        <v>2.8420801611954634</v>
      </c>
    </row>
    <row r="33" spans="1:8" x14ac:dyDescent="0.3">
      <c r="A33" s="8">
        <f t="shared" si="5"/>
        <v>11</v>
      </c>
      <c r="B33" s="2">
        <f t="shared" si="6"/>
        <v>45519</v>
      </c>
      <c r="C33" s="11">
        <f t="shared" si="7"/>
        <v>10.861111111111111</v>
      </c>
      <c r="D33" s="10">
        <f t="shared" si="0"/>
        <v>387.5</v>
      </c>
      <c r="E33" s="7">
        <f t="shared" si="1"/>
        <v>246.43023466706003</v>
      </c>
      <c r="F33" s="9">
        <f t="shared" si="2"/>
        <v>2.5452883347398311E-2</v>
      </c>
      <c r="G33" s="5">
        <f t="shared" si="3"/>
        <v>0.27644659413424277</v>
      </c>
      <c r="H33">
        <f t="shared" si="4"/>
        <v>3.2789637693144904</v>
      </c>
    </row>
    <row r="34" spans="1:8" x14ac:dyDescent="0.3">
      <c r="A34" s="8">
        <f t="shared" si="5"/>
        <v>12</v>
      </c>
      <c r="B34" s="2">
        <f t="shared" si="6"/>
        <v>45703</v>
      </c>
      <c r="C34" s="11">
        <f t="shared" si="7"/>
        <v>11.861111111111111</v>
      </c>
      <c r="D34" s="10">
        <f t="shared" si="0"/>
        <v>387.5</v>
      </c>
      <c r="E34" s="7">
        <f t="shared" si="1"/>
        <v>236.37131076681618</v>
      </c>
      <c r="F34" s="9">
        <f t="shared" si="2"/>
        <v>2.4413933654479452E-2</v>
      </c>
      <c r="G34" s="5">
        <f t="shared" si="3"/>
        <v>0.28957637973507572</v>
      </c>
      <c r="H34">
        <f t="shared" si="4"/>
        <v>3.7242739949261128</v>
      </c>
    </row>
    <row r="35" spans="1:8" x14ac:dyDescent="0.3">
      <c r="A35" s="8">
        <f t="shared" si="5"/>
        <v>13</v>
      </c>
      <c r="B35" s="2">
        <f t="shared" si="6"/>
        <v>45884</v>
      </c>
      <c r="C35" s="11">
        <f t="shared" si="7"/>
        <v>12.861111111111111</v>
      </c>
      <c r="D35" s="10">
        <f>$I$6+F9</f>
        <v>10387.5</v>
      </c>
      <c r="E35" s="7">
        <f t="shared" si="1"/>
        <v>6077.638526309509</v>
      </c>
      <c r="F35" s="9">
        <f t="shared" si="2"/>
        <v>0.62773719566841502</v>
      </c>
      <c r="G35" s="5">
        <f t="shared" si="3"/>
        <v>8.073397822068781</v>
      </c>
      <c r="H35">
        <f t="shared" si="4"/>
        <v>111.90626425589782</v>
      </c>
    </row>
    <row r="36" spans="1:8" x14ac:dyDescent="0.3">
      <c r="A36" s="34"/>
      <c r="B36" s="2"/>
      <c r="C36" s="11"/>
      <c r="D36" s="10"/>
      <c r="E36" s="7"/>
      <c r="F36" s="9"/>
      <c r="G36" s="5"/>
    </row>
    <row r="37" spans="1:8" x14ac:dyDescent="0.3">
      <c r="A37" s="34"/>
      <c r="B37" s="2"/>
      <c r="C37" s="11"/>
      <c r="D37" s="10"/>
      <c r="E37" s="7"/>
      <c r="F37" s="9"/>
      <c r="G37" s="5"/>
    </row>
    <row r="38" spans="1:8" x14ac:dyDescent="0.3">
      <c r="A38" s="34"/>
      <c r="B38" s="2"/>
      <c r="C38" s="11"/>
      <c r="D38" s="10"/>
      <c r="E38" s="7"/>
      <c r="F38" s="9"/>
      <c r="G38" s="5"/>
    </row>
    <row r="39" spans="1:8" x14ac:dyDescent="0.3">
      <c r="A39" s="34"/>
      <c r="B39" s="2"/>
    </row>
    <row r="40" spans="1:8" x14ac:dyDescent="0.3">
      <c r="A40" s="34"/>
      <c r="B40" s="2"/>
    </row>
    <row r="41" spans="1:8" x14ac:dyDescent="0.3">
      <c r="A41" s="34"/>
      <c r="B41" s="2"/>
    </row>
    <row r="42" spans="1:8" x14ac:dyDescent="0.3">
      <c r="A42" s="34"/>
      <c r="B42" s="2"/>
    </row>
    <row r="43" spans="1:8" x14ac:dyDescent="0.3">
      <c r="A43" s="34"/>
      <c r="B43" s="2"/>
    </row>
    <row r="44" spans="1:8" x14ac:dyDescent="0.3">
      <c r="A44" s="34"/>
      <c r="B44" s="2"/>
    </row>
    <row r="45" spans="1:8" x14ac:dyDescent="0.3">
      <c r="A45" s="34"/>
      <c r="B45" s="2"/>
    </row>
    <row r="46" spans="1:8" x14ac:dyDescent="0.3">
      <c r="A46" s="34"/>
      <c r="B46" s="2"/>
    </row>
    <row r="47" spans="1:8" x14ac:dyDescent="0.3">
      <c r="A47" s="34"/>
      <c r="B47" s="2"/>
    </row>
    <row r="48" spans="1:8" x14ac:dyDescent="0.3">
      <c r="A48" s="34"/>
      <c r="B48" s="2"/>
    </row>
  </sheetData>
  <mergeCells count="7">
    <mergeCell ref="A1:J1"/>
    <mergeCell ref="H3:J3"/>
    <mergeCell ref="H20:J20"/>
    <mergeCell ref="H22:J22"/>
    <mergeCell ref="E3:F3"/>
    <mergeCell ref="B3:C3"/>
    <mergeCell ref="E8:F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E44F-CF6A-49FC-84B5-21F17C9A71D4}">
  <dimension ref="A1:J27"/>
  <sheetViews>
    <sheetView zoomScale="90" zoomScaleNormal="90" workbookViewId="0">
      <selection activeCell="F16" sqref="F16"/>
    </sheetView>
  </sheetViews>
  <sheetFormatPr defaultRowHeight="14.4" x14ac:dyDescent="0.3"/>
  <cols>
    <col min="1" max="1" width="2.5546875" customWidth="1"/>
    <col min="2" max="2" width="25" customWidth="1"/>
    <col min="3" max="3" width="15.44140625" customWidth="1"/>
    <col min="4" max="4" width="15.88671875" customWidth="1"/>
    <col min="5" max="5" width="17.77734375" customWidth="1"/>
    <col min="6" max="6" width="22.33203125" bestFit="1" customWidth="1"/>
    <col min="7" max="7" width="13.33203125" bestFit="1" customWidth="1"/>
    <col min="8" max="8" width="19.44140625" customWidth="1"/>
    <col min="9" max="9" width="15.44140625" bestFit="1" customWidth="1"/>
  </cols>
  <sheetData>
    <row r="1" spans="1:10" ht="15" thickBot="1" x14ac:dyDescent="0.35">
      <c r="A1" s="66" t="s">
        <v>44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3">
      <c r="A2" s="70"/>
    </row>
    <row r="3" spans="1:10" ht="15" thickBot="1" x14ac:dyDescent="0.35">
      <c r="A3" s="71"/>
      <c r="B3" s="66" t="s">
        <v>1</v>
      </c>
      <c r="C3" s="67"/>
      <c r="E3" s="66" t="s">
        <v>10</v>
      </c>
      <c r="F3" s="67"/>
      <c r="H3" s="12" t="s">
        <v>16</v>
      </c>
      <c r="I3" s="14"/>
      <c r="J3" s="14"/>
    </row>
    <row r="4" spans="1:10" x14ac:dyDescent="0.3">
      <c r="A4" s="71"/>
      <c r="E4" t="s">
        <v>15</v>
      </c>
      <c r="F4" s="27">
        <f>'Yield to Maturity '!F4</f>
        <v>43532</v>
      </c>
      <c r="H4" t="s">
        <v>17</v>
      </c>
      <c r="I4">
        <f>'Yield to Maturity '!I4</f>
        <v>25</v>
      </c>
      <c r="J4" t="s">
        <v>24</v>
      </c>
    </row>
    <row r="5" spans="1:10" x14ac:dyDescent="0.3">
      <c r="A5" s="71"/>
      <c r="B5" t="s">
        <v>2</v>
      </c>
      <c r="C5" t="s">
        <v>7</v>
      </c>
      <c r="E5" t="s">
        <v>43</v>
      </c>
      <c r="F5" s="27">
        <f>'Yield to Maturity '!F5</f>
        <v>43534</v>
      </c>
      <c r="H5" t="s">
        <v>18</v>
      </c>
      <c r="I5">
        <f>'Yield to Maturity '!I5</f>
        <v>155</v>
      </c>
      <c r="J5" t="s">
        <v>24</v>
      </c>
    </row>
    <row r="6" spans="1:10" x14ac:dyDescent="0.3">
      <c r="A6" s="71"/>
      <c r="B6" t="s">
        <v>3</v>
      </c>
      <c r="C6" t="s">
        <v>8</v>
      </c>
      <c r="E6" t="s">
        <v>12</v>
      </c>
      <c r="F6" s="3">
        <f>'Yield to Maturity '!F6</f>
        <v>96.28</v>
      </c>
      <c r="H6" t="s">
        <v>19</v>
      </c>
      <c r="I6" s="6">
        <f>'Yield to Maturity '!I6</f>
        <v>387.5</v>
      </c>
    </row>
    <row r="7" spans="1:10" x14ac:dyDescent="0.3">
      <c r="A7" s="71"/>
      <c r="B7" t="s">
        <v>42</v>
      </c>
      <c r="C7" t="s">
        <v>9</v>
      </c>
      <c r="H7" t="s">
        <v>20</v>
      </c>
      <c r="I7" s="2">
        <f>'Yield to Maturity '!I7</f>
        <v>43692</v>
      </c>
    </row>
    <row r="8" spans="1:10" ht="15" thickBot="1" x14ac:dyDescent="0.35">
      <c r="A8" s="71"/>
      <c r="B8" t="s">
        <v>5</v>
      </c>
      <c r="C8" s="1">
        <v>7.7499999999999999E-2</v>
      </c>
      <c r="E8" s="66" t="s">
        <v>41</v>
      </c>
      <c r="F8" s="67"/>
      <c r="H8" t="s">
        <v>21</v>
      </c>
      <c r="I8">
        <f>'Yield to Maturity '!I8</f>
        <v>13</v>
      </c>
    </row>
    <row r="9" spans="1:10" x14ac:dyDescent="0.3">
      <c r="A9" s="71"/>
      <c r="B9" t="s">
        <v>6</v>
      </c>
      <c r="C9" s="2">
        <v>45884</v>
      </c>
      <c r="E9" t="s">
        <v>13</v>
      </c>
      <c r="F9" s="23">
        <v>10000</v>
      </c>
    </row>
    <row r="10" spans="1:10" x14ac:dyDescent="0.3">
      <c r="A10" s="71"/>
      <c r="B10" t="s">
        <v>45</v>
      </c>
      <c r="C10" s="29">
        <f>DATE(2020,8,15)</f>
        <v>44058</v>
      </c>
      <c r="E10" t="s">
        <v>14</v>
      </c>
      <c r="F10" s="20">
        <f>(F6/100)*F9</f>
        <v>9628</v>
      </c>
      <c r="H10" t="s">
        <v>22</v>
      </c>
      <c r="I10">
        <f>SUM(G22:G27)/2</f>
        <v>1.3753088962855982</v>
      </c>
      <c r="J10" t="s">
        <v>25</v>
      </c>
    </row>
    <row r="11" spans="1:10" x14ac:dyDescent="0.3">
      <c r="A11" s="71"/>
      <c r="B11" t="s">
        <v>46</v>
      </c>
      <c r="C11">
        <v>105.813</v>
      </c>
      <c r="E11" t="s">
        <v>40</v>
      </c>
      <c r="F11" s="21">
        <f>(I4/180)*I6</f>
        <v>53.81944444444445</v>
      </c>
      <c r="H11" t="s">
        <v>39</v>
      </c>
      <c r="I11">
        <f>DURATION(F5,C10,C8,F16,2,0)</f>
        <v>1.3724539572919685</v>
      </c>
      <c r="J11" t="s">
        <v>25</v>
      </c>
    </row>
    <row r="12" spans="1:10" x14ac:dyDescent="0.3">
      <c r="A12" s="71"/>
      <c r="E12" t="s">
        <v>38</v>
      </c>
      <c r="F12" s="20">
        <f>F10+F11</f>
        <v>9681.8194444444453</v>
      </c>
      <c r="H12" t="s">
        <v>23</v>
      </c>
      <c r="I12">
        <f>I10/(1+(F16/2))</f>
        <v>1.2822727164516661</v>
      </c>
    </row>
    <row r="13" spans="1:10" x14ac:dyDescent="0.3">
      <c r="A13" s="71"/>
    </row>
    <row r="14" spans="1:10" x14ac:dyDescent="0.3">
      <c r="A14" s="71"/>
      <c r="H14" t="s">
        <v>37</v>
      </c>
      <c r="I14" s="30">
        <f>H20</f>
        <v>5.2450810652553237</v>
      </c>
    </row>
    <row r="15" spans="1:10" x14ac:dyDescent="0.3">
      <c r="A15" s="71"/>
      <c r="H15" t="s">
        <v>26</v>
      </c>
      <c r="I15">
        <f>I14/((1+(F16/2))^2)</f>
        <v>4.5594504842215517</v>
      </c>
    </row>
    <row r="16" spans="1:10" ht="15" thickBot="1" x14ac:dyDescent="0.35">
      <c r="A16" s="71"/>
      <c r="E16" s="31" t="s">
        <v>47</v>
      </c>
      <c r="F16" s="32">
        <v>0.14511137707333274</v>
      </c>
    </row>
    <row r="17" spans="1:10" x14ac:dyDescent="0.3">
      <c r="A17" s="71"/>
    </row>
    <row r="18" spans="1:10" x14ac:dyDescent="0.3">
      <c r="A18" s="71"/>
    </row>
    <row r="19" spans="1:10" ht="15" thickBot="1" x14ac:dyDescent="0.35">
      <c r="A19" s="71"/>
      <c r="B19" s="15"/>
      <c r="C19" s="15"/>
      <c r="D19" s="12" t="s">
        <v>48</v>
      </c>
      <c r="E19" s="12" t="s">
        <v>34</v>
      </c>
      <c r="F19" s="15"/>
      <c r="G19" s="15"/>
      <c r="H19" s="72"/>
      <c r="I19" s="72"/>
      <c r="J19" s="72"/>
    </row>
    <row r="20" spans="1:10" x14ac:dyDescent="0.3">
      <c r="A20" s="71"/>
      <c r="E20" s="28">
        <f>SUM(E22:E27)</f>
        <v>9681.8198447775339</v>
      </c>
      <c r="F20" s="30">
        <f>SUM(F22:F27)</f>
        <v>1</v>
      </c>
      <c r="G20" s="30">
        <f>SUM(G22:G27)</f>
        <v>2.7506177925711963</v>
      </c>
      <c r="H20" s="30">
        <f>SUM(H22:H27)</f>
        <v>5.2450810652553237</v>
      </c>
    </row>
    <row r="21" spans="1:10" ht="15" thickBot="1" x14ac:dyDescent="0.35">
      <c r="A21" s="71"/>
      <c r="B21" s="12" t="s">
        <v>28</v>
      </c>
      <c r="C21" s="12" t="s">
        <v>29</v>
      </c>
      <c r="D21" s="12" t="s">
        <v>19</v>
      </c>
      <c r="E21" s="12" t="s">
        <v>30</v>
      </c>
      <c r="F21" s="12" t="s">
        <v>31</v>
      </c>
      <c r="G21" s="12" t="s">
        <v>32</v>
      </c>
      <c r="H21" s="73" t="s">
        <v>33</v>
      </c>
      <c r="I21" s="73"/>
      <c r="J21" s="73"/>
    </row>
    <row r="22" spans="1:10" x14ac:dyDescent="0.3">
      <c r="A22" s="8">
        <v>1</v>
      </c>
      <c r="B22" s="2">
        <f>EDATE($I$7,6*(A22-1))</f>
        <v>43692</v>
      </c>
      <c r="C22" s="33">
        <f>IF($A22&gt;RemainCoup,"", $I$5/"180")</f>
        <v>0.86111111111111116</v>
      </c>
      <c r="D22" s="6">
        <f>$I$6</f>
        <v>387.5</v>
      </c>
      <c r="E22" s="28">
        <f>D22/((1+(F$16/2))^C22)</f>
        <v>364.8184849995767</v>
      </c>
      <c r="F22" s="30">
        <f t="shared" ref="F22:F24" si="0">E22/$E$20</f>
        <v>3.7680776016129167E-2</v>
      </c>
      <c r="G22">
        <f t="shared" ref="G22:G24" si="1">($C22)*$E22/$E$20</f>
        <v>3.2447334902777895E-2</v>
      </c>
      <c r="H22">
        <f t="shared" ref="H22:H24" si="2">G22*((C22/2)+(1/2))</f>
        <v>3.0194047756751653E-2</v>
      </c>
    </row>
    <row r="23" spans="1:10" x14ac:dyDescent="0.3">
      <c r="A23" s="8">
        <f>A22+1</f>
        <v>2</v>
      </c>
      <c r="B23" s="2">
        <f t="shared" ref="B23:B24" si="3">EDATE($I$7,6*(A23-1))</f>
        <v>43876</v>
      </c>
      <c r="C23" s="33">
        <f>IF($A23&gt;RemainCoup,"", 1+C22)</f>
        <v>1.8611111111111112</v>
      </c>
      <c r="D23" s="6">
        <f t="shared" ref="D23" si="4">$I$6</f>
        <v>387.5</v>
      </c>
      <c r="E23" s="28">
        <f t="shared" ref="E23" si="5">D23/((1+(F$16/2))^C23)</f>
        <v>340.13943415592172</v>
      </c>
      <c r="F23" s="30">
        <f t="shared" si="0"/>
        <v>3.5131766507656738E-2</v>
      </c>
      <c r="G23">
        <f t="shared" si="1"/>
        <v>6.5384121000361159E-2</v>
      </c>
      <c r="H23">
        <f t="shared" si="2"/>
        <v>9.3535617542183327E-2</v>
      </c>
    </row>
    <row r="24" spans="1:10" x14ac:dyDescent="0.3">
      <c r="A24" s="8">
        <f t="shared" ref="A24" si="6">A23+1</f>
        <v>3</v>
      </c>
      <c r="B24" s="2">
        <f t="shared" si="3"/>
        <v>44058</v>
      </c>
      <c r="C24" s="33">
        <f>IF($A24&gt;RemainCoup,"", 1+C23)</f>
        <v>2.8611111111111112</v>
      </c>
      <c r="D24" s="6">
        <f>(F9*C11/100)+$I$6</f>
        <v>10968.8</v>
      </c>
      <c r="E24" s="28">
        <f>D24/((1+(F$16/2))^C24)</f>
        <v>8976.8619256220354</v>
      </c>
      <c r="F24" s="30">
        <f t="shared" si="0"/>
        <v>0.92718745747621412</v>
      </c>
      <c r="G24">
        <f t="shared" si="1"/>
        <v>2.6527863366680573</v>
      </c>
      <c r="H24">
        <f t="shared" si="2"/>
        <v>5.1213513999563887</v>
      </c>
    </row>
    <row r="25" spans="1:10" x14ac:dyDescent="0.3">
      <c r="A25" s="34"/>
      <c r="B25" s="29"/>
      <c r="C25" s="33"/>
      <c r="D25" s="6"/>
      <c r="E25" s="28"/>
      <c r="F25" s="30"/>
    </row>
    <row r="26" spans="1:10" x14ac:dyDescent="0.3">
      <c r="A26" s="34"/>
      <c r="B26" s="29"/>
      <c r="C26" s="33"/>
      <c r="D26" s="6"/>
      <c r="E26" s="28"/>
      <c r="F26" s="30"/>
    </row>
    <row r="27" spans="1:10" x14ac:dyDescent="0.3">
      <c r="A27" s="34"/>
      <c r="B27" s="29"/>
      <c r="C27" s="33"/>
      <c r="D27" s="6"/>
      <c r="E27" s="28"/>
      <c r="F27" s="30"/>
    </row>
  </sheetData>
  <mergeCells count="7">
    <mergeCell ref="A1:J1"/>
    <mergeCell ref="A2:A21"/>
    <mergeCell ref="B3:C3"/>
    <mergeCell ref="E3:F3"/>
    <mergeCell ref="E8:F8"/>
    <mergeCell ref="H19:J19"/>
    <mergeCell ref="H21:J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9187-599F-4FC1-A18F-2FE43E5B4C86}">
  <dimension ref="A1:L36"/>
  <sheetViews>
    <sheetView topLeftCell="B4" zoomScale="80" zoomScaleNormal="80" workbookViewId="0">
      <selection activeCell="F5" sqref="F5"/>
    </sheetView>
  </sheetViews>
  <sheetFormatPr defaultRowHeight="14.4" x14ac:dyDescent="0.3"/>
  <cols>
    <col min="2" max="2" width="20.21875" customWidth="1"/>
    <col min="3" max="3" width="16" bestFit="1" customWidth="1"/>
    <col min="5" max="5" width="18.77734375" bestFit="1" customWidth="1"/>
    <col min="6" max="6" width="29" bestFit="1" customWidth="1"/>
    <col min="8" max="8" width="16" customWidth="1"/>
    <col min="9" max="9" width="11.44140625" customWidth="1"/>
    <col min="10" max="10" width="11.33203125" customWidth="1"/>
    <col min="11" max="11" width="12.21875" customWidth="1"/>
  </cols>
  <sheetData>
    <row r="1" spans="1:12" ht="15" thickBot="1" x14ac:dyDescent="0.3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5" thickBot="1" x14ac:dyDescent="0.35">
      <c r="A2" s="74" t="s">
        <v>49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35"/>
    </row>
    <row r="3" spans="1:12" ht="15" thickBot="1" x14ac:dyDescent="0.3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5" thickBot="1" x14ac:dyDescent="0.35">
      <c r="A4" s="36"/>
      <c r="B4" s="74" t="s">
        <v>1</v>
      </c>
      <c r="C4" s="74"/>
      <c r="D4" s="35"/>
      <c r="E4" s="74" t="s">
        <v>10</v>
      </c>
      <c r="F4" s="74"/>
      <c r="G4" s="35"/>
      <c r="H4" s="74" t="s">
        <v>50</v>
      </c>
      <c r="I4" s="74"/>
      <c r="J4" s="74"/>
      <c r="K4" s="74"/>
      <c r="L4" s="35"/>
    </row>
    <row r="5" spans="1:12" ht="15" thickBot="1" x14ac:dyDescent="0.35">
      <c r="A5" s="37"/>
      <c r="B5" s="35"/>
      <c r="C5" s="35"/>
      <c r="D5" s="35"/>
      <c r="E5" s="35" t="s">
        <v>51</v>
      </c>
      <c r="F5" s="38">
        <f>'Yield to Maturity '!F4</f>
        <v>43532</v>
      </c>
      <c r="G5" s="35"/>
      <c r="H5" s="39" t="s">
        <v>52</v>
      </c>
      <c r="I5" s="39" t="s">
        <v>53</v>
      </c>
      <c r="J5" s="39" t="s">
        <v>54</v>
      </c>
      <c r="K5" s="39" t="s">
        <v>55</v>
      </c>
      <c r="L5" s="35"/>
    </row>
    <row r="6" spans="1:12" x14ac:dyDescent="0.3">
      <c r="A6" s="37"/>
      <c r="B6" s="35" t="s">
        <v>2</v>
      </c>
      <c r="C6" s="40" t="str">
        <f>'Yield to Maturity '!C5</f>
        <v>TGI4532213</v>
      </c>
      <c r="D6" s="35"/>
      <c r="E6" s="35" t="s">
        <v>11</v>
      </c>
      <c r="F6" s="38">
        <f>'Yield to Maturity '!F5</f>
        <v>43534</v>
      </c>
      <c r="G6" s="35"/>
      <c r="H6" s="2">
        <f>DATE(2019,8,15)</f>
        <v>43692</v>
      </c>
      <c r="I6" s="3">
        <v>100</v>
      </c>
      <c r="J6" s="44">
        <f>YIELD($F$6,$H6,$C$9,$F$7,$I6,2,0)</f>
        <v>0.16928636289953566</v>
      </c>
      <c r="L6" s="35"/>
    </row>
    <row r="7" spans="1:12" x14ac:dyDescent="0.3">
      <c r="A7" s="37"/>
      <c r="B7" s="35" t="s">
        <v>3</v>
      </c>
      <c r="C7" s="40" t="str">
        <f>'Yield to Maturity '!C6</f>
        <v>896818AP6</v>
      </c>
      <c r="D7" s="35"/>
      <c r="E7" s="35" t="s">
        <v>56</v>
      </c>
      <c r="F7" s="52">
        <f>'Yield to Maturity '!F6</f>
        <v>96.28</v>
      </c>
      <c r="G7" s="35"/>
      <c r="H7" s="42">
        <f>DATE(2020,8,15)</f>
        <v>44058</v>
      </c>
      <c r="I7" s="43">
        <f>C13</f>
        <v>105.813</v>
      </c>
      <c r="J7" s="44">
        <f>YIELD($F$6,$H7,$C$9,$F$7,$I7,2,0)</f>
        <v>0.14511140931772484</v>
      </c>
      <c r="K7" s="35" t="str">
        <f>IF(MIN($J$7:$J$12)=J7,"Yield to Worst","")</f>
        <v/>
      </c>
      <c r="L7" s="35"/>
    </row>
    <row r="8" spans="1:12" x14ac:dyDescent="0.3">
      <c r="A8" s="37"/>
      <c r="B8" s="35" t="s">
        <v>4</v>
      </c>
      <c r="C8" s="40" t="str">
        <f>'Yield to Maturity '!C7</f>
        <v>Triumph Group</v>
      </c>
      <c r="D8" s="35"/>
      <c r="E8" s="35"/>
      <c r="F8" s="35"/>
      <c r="G8" s="35"/>
      <c r="H8" s="53">
        <f>DATE(2021,8,15)</f>
        <v>44423</v>
      </c>
      <c r="I8" s="47">
        <v>103.875</v>
      </c>
      <c r="J8" s="44">
        <f>YIELD($F$6,$H8,$C$9,$F$7,$I8,2,0)</f>
        <v>0.10963272576716694</v>
      </c>
      <c r="K8" s="35" t="str">
        <f>IF(MIN($J$7:$J$12)=J8,"Yield to Worst","")</f>
        <v/>
      </c>
      <c r="L8" s="35"/>
    </row>
    <row r="9" spans="1:12" x14ac:dyDescent="0.3">
      <c r="A9" s="37"/>
      <c r="B9" s="35" t="s">
        <v>5</v>
      </c>
      <c r="C9" s="48">
        <f>'Yield to Maturity '!C8</f>
        <v>7.7499999999999999E-2</v>
      </c>
      <c r="D9" s="35"/>
      <c r="E9" s="35"/>
      <c r="F9" s="35"/>
      <c r="G9" s="35"/>
      <c r="H9" s="54">
        <f>DATE(2022,8,15)</f>
        <v>44788</v>
      </c>
      <c r="I9" s="47">
        <v>101.938</v>
      </c>
      <c r="J9" s="44">
        <f>YIELD($F$6,$H9,$C$9,$F$7,$I9,2,0)</f>
        <v>9.5338450231681304E-2</v>
      </c>
      <c r="K9" s="35" t="str">
        <f>IF(MIN($J$7:$J$12)=J9,"Yield to Worst","")</f>
        <v/>
      </c>
      <c r="L9" s="35"/>
    </row>
    <row r="10" spans="1:12" x14ac:dyDescent="0.3">
      <c r="A10" s="37"/>
      <c r="B10" s="35" t="s">
        <v>6</v>
      </c>
      <c r="C10" s="41">
        <f>'Yield to Maturity '!C9</f>
        <v>45884</v>
      </c>
      <c r="D10" s="35"/>
      <c r="E10" s="35"/>
      <c r="F10" s="35"/>
      <c r="G10" s="35"/>
      <c r="H10" s="53">
        <f>DATE(2023,8,15)</f>
        <v>45153</v>
      </c>
      <c r="I10" s="47">
        <v>100</v>
      </c>
      <c r="J10" s="44">
        <f>YIELD($F$6,$H10,$C$9,$F$7,$I10,2,0)</f>
        <v>8.7787930000662331E-2</v>
      </c>
      <c r="K10" s="35" t="str">
        <f>IF(MIN($J$7:$J$12)=J10,"Yield to Worst","")</f>
        <v/>
      </c>
      <c r="L10" s="35"/>
    </row>
    <row r="11" spans="1:12" x14ac:dyDescent="0.3">
      <c r="A11" s="37"/>
      <c r="B11" s="35"/>
      <c r="C11" s="35"/>
      <c r="D11" s="35"/>
      <c r="E11" s="35"/>
      <c r="F11" s="35"/>
      <c r="G11" s="35"/>
      <c r="H11" s="54">
        <f>DATE(2024,8,15)</f>
        <v>45519</v>
      </c>
      <c r="I11" s="47">
        <v>100</v>
      </c>
      <c r="J11" s="44">
        <f>YIELD($F$6,$H11,$C$9,$F$7,$I11,2,0)</f>
        <v>8.6199245865728871E-2</v>
      </c>
      <c r="K11" s="35" t="str">
        <f>IF(MIN($J$7:$J$12)=J11,"Yield to Worst","")</f>
        <v/>
      </c>
      <c r="L11" s="35"/>
    </row>
    <row r="12" spans="1:12" x14ac:dyDescent="0.3">
      <c r="A12" s="37"/>
      <c r="B12" s="35" t="s">
        <v>45</v>
      </c>
      <c r="C12" s="41">
        <f>'Yield to Call '!C10</f>
        <v>44058</v>
      </c>
      <c r="D12" s="35"/>
      <c r="E12" s="35"/>
      <c r="F12" s="35"/>
      <c r="G12" s="35"/>
      <c r="H12" s="53">
        <f>DATE(2025,8,15)</f>
        <v>45884</v>
      </c>
      <c r="I12" s="47">
        <v>100</v>
      </c>
      <c r="J12" s="49">
        <f>YIELD($F$6,$H12,$C$9,$F$7,$I12,2,0)</f>
        <v>8.5111219367582217E-2</v>
      </c>
      <c r="K12" s="35" t="str">
        <f>IF(MIN($J$7:$J$12)=J12,"Yield to Worst","")</f>
        <v>Yield to Worst</v>
      </c>
      <c r="L12" s="35"/>
    </row>
    <row r="13" spans="1:12" x14ac:dyDescent="0.3">
      <c r="A13" s="37"/>
      <c r="B13" s="35" t="s">
        <v>46</v>
      </c>
      <c r="C13" s="52">
        <f>'Yield to Call '!C11</f>
        <v>105.813</v>
      </c>
      <c r="D13" s="35"/>
      <c r="E13" s="35"/>
      <c r="F13" s="35"/>
      <c r="G13" s="35"/>
      <c r="L13" s="35"/>
    </row>
    <row r="14" spans="1:12" x14ac:dyDescent="0.3">
      <c r="A14" s="37"/>
      <c r="B14" s="35"/>
      <c r="C14" s="35"/>
      <c r="D14" s="35"/>
      <c r="E14" s="35"/>
      <c r="F14" s="35"/>
      <c r="G14" s="35"/>
      <c r="L14" s="35"/>
    </row>
    <row r="15" spans="1:12" x14ac:dyDescent="0.3">
      <c r="A15" s="37"/>
      <c r="B15" s="35"/>
      <c r="C15" s="35"/>
      <c r="D15" s="35"/>
      <c r="E15" s="35"/>
      <c r="F15" s="35"/>
      <c r="G15" s="35"/>
      <c r="H15" s="46"/>
      <c r="I15" s="35"/>
      <c r="J15" s="35"/>
      <c r="K15" s="35"/>
      <c r="L15" s="35"/>
    </row>
    <row r="16" spans="1:12" x14ac:dyDescent="0.3">
      <c r="A16" s="3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x14ac:dyDescent="0.3">
      <c r="A17" s="37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  <row r="18" spans="1:12" x14ac:dyDescent="0.3">
      <c r="A18" s="3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7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7"/>
      <c r="B21" s="35"/>
      <c r="C21" s="50"/>
      <c r="D21" s="35"/>
      <c r="E21" s="35"/>
      <c r="F21" s="35"/>
      <c r="G21" s="35"/>
      <c r="H21" s="35"/>
      <c r="I21" s="35"/>
      <c r="J21" s="35"/>
      <c r="K21" s="35"/>
      <c r="L21" s="35"/>
    </row>
    <row r="22" spans="1:12" x14ac:dyDescent="0.3">
      <c r="A22" s="3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x14ac:dyDescent="0.3">
      <c r="A23" s="3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3">
      <c r="A24" s="3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3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x14ac:dyDescent="0.3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 x14ac:dyDescent="0.3">
      <c r="A27" s="3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</row>
    <row r="28" spans="1:12" x14ac:dyDescent="0.3">
      <c r="A28" s="3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 x14ac:dyDescent="0.3">
      <c r="A29" s="3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 x14ac:dyDescent="0.3">
      <c r="A30" s="3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 x14ac:dyDescent="0.3">
      <c r="A31" s="3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</row>
    <row r="32" spans="1:12" x14ac:dyDescent="0.3">
      <c r="A32" s="3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</row>
    <row r="33" spans="1:12" x14ac:dyDescent="0.3">
      <c r="A33" s="3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 x14ac:dyDescent="0.3">
      <c r="A34" s="3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 ht="15" thickBot="1" x14ac:dyDescent="0.35">
      <c r="A35" s="51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12" x14ac:dyDescent="0.3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</sheetData>
  <mergeCells count="4">
    <mergeCell ref="A2:K2"/>
    <mergeCell ref="B4:C4"/>
    <mergeCell ref="E4:F4"/>
    <mergeCell ref="H4:K4"/>
  </mergeCells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F58D-6FC4-4E79-ACB5-ADBB78F2D41A}">
  <dimension ref="A1:L50"/>
  <sheetViews>
    <sheetView tabSelected="1" zoomScaleNormal="100" workbookViewId="0">
      <selection activeCell="C28" sqref="C28"/>
    </sheetView>
  </sheetViews>
  <sheetFormatPr defaultRowHeight="14.4" x14ac:dyDescent="0.3"/>
  <cols>
    <col min="1" max="1" width="19.88671875" customWidth="1"/>
    <col min="3" max="3" width="18.88671875" customWidth="1"/>
  </cols>
  <sheetData>
    <row r="1" spans="1:12" ht="15" thickBot="1" x14ac:dyDescent="0.35">
      <c r="A1" s="74" t="s">
        <v>57</v>
      </c>
      <c r="B1" s="74"/>
      <c r="C1" s="74"/>
      <c r="D1" s="74"/>
      <c r="E1" s="74"/>
      <c r="F1" s="74"/>
      <c r="G1" s="74"/>
      <c r="H1" s="74"/>
      <c r="I1" s="74"/>
      <c r="J1" s="74"/>
      <c r="K1" s="14"/>
      <c r="L1" s="14"/>
    </row>
    <row r="2" spans="1:12" ht="15" thickBot="1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2" ht="15" thickBot="1" x14ac:dyDescent="0.35">
      <c r="A3" s="55" t="s">
        <v>58</v>
      </c>
      <c r="B3" s="55" t="s">
        <v>34</v>
      </c>
      <c r="C3" s="55"/>
      <c r="D3" s="35"/>
      <c r="E3" s="75" t="s">
        <v>61</v>
      </c>
      <c r="F3" s="75"/>
      <c r="G3" s="75"/>
      <c r="H3" s="75"/>
      <c r="I3" s="75"/>
      <c r="J3" s="75"/>
      <c r="K3" s="14"/>
      <c r="L3" s="14"/>
    </row>
    <row r="4" spans="1:12" x14ac:dyDescent="0.3">
      <c r="A4" s="35" t="s">
        <v>34</v>
      </c>
      <c r="B4" s="45">
        <f>'Yield to Maturity '!F6</f>
        <v>96.28</v>
      </c>
      <c r="C4" s="35"/>
      <c r="D4" s="35"/>
      <c r="E4" s="35"/>
      <c r="F4" s="35"/>
      <c r="G4" s="35"/>
      <c r="H4" s="35"/>
      <c r="I4" s="35"/>
      <c r="J4" s="35"/>
    </row>
    <row r="5" spans="1:12" x14ac:dyDescent="0.3">
      <c r="A5" s="35" t="s">
        <v>27</v>
      </c>
      <c r="B5" s="56">
        <f>'Yield to Maturity '!F17</f>
        <v>8.5111208019378867E-2</v>
      </c>
      <c r="C5" s="35"/>
      <c r="D5" s="35"/>
      <c r="E5" s="35"/>
      <c r="F5" s="35"/>
      <c r="G5" s="35"/>
      <c r="H5" s="35"/>
      <c r="I5" s="35"/>
      <c r="J5" s="35"/>
    </row>
    <row r="6" spans="1:12" x14ac:dyDescent="0.3">
      <c r="A6" s="35"/>
      <c r="B6" s="35"/>
      <c r="C6" s="35"/>
      <c r="D6" s="35"/>
      <c r="E6" s="35"/>
      <c r="F6" s="35"/>
      <c r="G6" s="35"/>
      <c r="H6" s="35"/>
      <c r="I6" s="35"/>
      <c r="J6" s="35"/>
    </row>
    <row r="7" spans="1:12" x14ac:dyDescent="0.3">
      <c r="A7" s="35" t="s">
        <v>59</v>
      </c>
      <c r="B7" s="57">
        <f>'Yield to Maturity '!I12</f>
        <v>4.9193052103092079</v>
      </c>
      <c r="C7" s="35" t="s">
        <v>25</v>
      </c>
      <c r="D7" s="35"/>
      <c r="E7" s="35"/>
      <c r="F7" s="35"/>
      <c r="G7" s="35"/>
      <c r="H7" s="35"/>
      <c r="I7" s="35"/>
      <c r="J7" s="35"/>
    </row>
    <row r="8" spans="1:12" x14ac:dyDescent="0.3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2" ht="15" thickBot="1" x14ac:dyDescent="0.35">
      <c r="A9" s="58" t="s">
        <v>58</v>
      </c>
      <c r="B9" s="58" t="s">
        <v>34</v>
      </c>
      <c r="C9" s="58" t="s">
        <v>60</v>
      </c>
      <c r="D9" s="35"/>
      <c r="E9" s="35"/>
      <c r="F9" s="35"/>
      <c r="G9" s="35"/>
      <c r="H9" s="35"/>
      <c r="I9" s="35"/>
      <c r="J9" s="35"/>
    </row>
    <row r="10" spans="1:12" x14ac:dyDescent="0.3">
      <c r="A10" s="59">
        <v>0</v>
      </c>
      <c r="B10" s="4">
        <f>PRICE('Yield to Maturity '!$F$5,'Yield to Maturity '!$C$9,'Yield to Maturity '!$C$8,'Price to Yield Curve'!A10,100,2,0)</f>
        <v>149.83680555555554</v>
      </c>
      <c r="C10" s="5">
        <f>(1-(($A10-$B$5)*$B$7))*$B$4</f>
        <v>136.59128151282067</v>
      </c>
      <c r="D10" s="35"/>
      <c r="E10" s="35"/>
      <c r="F10" s="35"/>
      <c r="G10" s="35"/>
      <c r="H10" s="35"/>
      <c r="I10" s="35"/>
      <c r="J10" s="35"/>
    </row>
    <row r="11" spans="1:12" x14ac:dyDescent="0.3">
      <c r="A11" s="59">
        <v>5.0000000000000001E-3</v>
      </c>
      <c r="B11" s="4">
        <f>PRICE('Yield to Maturity '!$F$5,'Yield to Maturity '!$C$9,'Yield to Maturity '!$C$8,'Price to Yield Curve'!A11,100,2,0)</f>
        <v>145.82307209823628</v>
      </c>
      <c r="C11" s="5">
        <f t="shared" ref="C11:C50" si="0">(1-(($A11-$B$5)*$B$7))*$B$4</f>
        <v>134.22312798457784</v>
      </c>
      <c r="D11" s="35"/>
      <c r="E11" s="35"/>
      <c r="F11" s="35"/>
      <c r="G11" s="35"/>
      <c r="H11" s="35"/>
      <c r="I11" s="35"/>
      <c r="J11" s="35"/>
    </row>
    <row r="12" spans="1:12" x14ac:dyDescent="0.3">
      <c r="A12" s="59">
        <v>0.01</v>
      </c>
      <c r="B12" s="4">
        <f>PRICE('Yield to Maturity '!$F$5,'Yield to Maturity '!$C$9,'Yield to Maturity '!$C$8,'Price to Yield Curve'!A12,100,2,0)</f>
        <v>141.93747695822591</v>
      </c>
      <c r="C12" s="5">
        <f t="shared" si="0"/>
        <v>131.85497445633499</v>
      </c>
      <c r="D12" s="35"/>
      <c r="E12" s="35"/>
      <c r="F12" s="35"/>
      <c r="G12" s="35"/>
      <c r="H12" s="35"/>
      <c r="I12" s="35"/>
      <c r="J12" s="35"/>
    </row>
    <row r="13" spans="1:12" x14ac:dyDescent="0.3">
      <c r="A13" s="59">
        <v>1.4999999999999999E-2</v>
      </c>
      <c r="B13" s="4">
        <f>PRICE('Yield to Maturity '!$F$5,'Yield to Maturity '!$C$9,'Yield to Maturity '!$C$8,'Price to Yield Curve'!A13,100,2,0)</f>
        <v>138.17551356507414</v>
      </c>
      <c r="C13" s="5">
        <f t="shared" si="0"/>
        <v>129.48682092809213</v>
      </c>
      <c r="D13" s="35"/>
      <c r="E13" s="35"/>
      <c r="F13" s="35"/>
      <c r="G13" s="35"/>
      <c r="H13" s="35"/>
      <c r="I13" s="35"/>
      <c r="J13" s="35"/>
    </row>
    <row r="14" spans="1:12" x14ac:dyDescent="0.3">
      <c r="A14" s="59">
        <v>0.02</v>
      </c>
      <c r="B14" s="4">
        <f>PRICE('Yield to Maturity '!$F$5,'Yield to Maturity '!$C$9,'Yield to Maturity '!$C$8,'Price to Yield Curve'!A14,100,2,0)</f>
        <v>134.53284621922404</v>
      </c>
      <c r="C14" s="5">
        <f t="shared" si="0"/>
        <v>127.11866739984927</v>
      </c>
      <c r="D14" s="35"/>
      <c r="E14" s="35"/>
      <c r="F14" s="35"/>
      <c r="G14" s="35"/>
      <c r="H14" s="35"/>
      <c r="I14" s="35"/>
      <c r="J14" s="35"/>
    </row>
    <row r="15" spans="1:12" x14ac:dyDescent="0.3">
      <c r="A15" s="59">
        <v>2.5000000000000001E-2</v>
      </c>
      <c r="B15" s="4">
        <f>PRICE('Yield to Maturity '!$F$5,'Yield to Maturity '!$C$9,'Yield to Maturity '!$C$8,'Price to Yield Curve'!A15,100,2,0)</f>
        <v>131.00530317697985</v>
      </c>
      <c r="C15" s="5">
        <f t="shared" si="0"/>
        <v>124.75051387160643</v>
      </c>
      <c r="D15" s="35"/>
      <c r="E15" s="35"/>
      <c r="F15" s="35"/>
      <c r="G15" s="35"/>
      <c r="H15" s="35"/>
      <c r="I15" s="35"/>
      <c r="J15" s="35"/>
    </row>
    <row r="16" spans="1:12" x14ac:dyDescent="0.3">
      <c r="A16" s="59">
        <v>0.03</v>
      </c>
      <c r="B16" s="4">
        <f>PRICE('Yield to Maturity '!$F$5,'Yield to Maturity '!$C$9,'Yield to Maturity '!$C$8,'Price to Yield Curve'!A16,100,2,0)</f>
        <v>127.58887003232145</v>
      </c>
      <c r="C16" s="5">
        <f t="shared" si="0"/>
        <v>122.38236034336359</v>
      </c>
      <c r="D16" s="35"/>
      <c r="E16" s="35"/>
      <c r="F16" s="35"/>
      <c r="G16" s="35"/>
      <c r="H16" s="35"/>
      <c r="I16" s="35"/>
      <c r="J16" s="35"/>
    </row>
    <row r="17" spans="1:10" x14ac:dyDescent="0.3">
      <c r="A17" s="59">
        <v>3.5000000000000003E-2</v>
      </c>
      <c r="B17" s="4">
        <f>PRICE('Yield to Maturity '!$F$5,'Yield to Maturity '!$C$9,'Yield to Maturity '!$C$8,'Price to Yield Curve'!A17,100,2,0)</f>
        <v>124.2796833821062</v>
      </c>
      <c r="C17" s="5">
        <f t="shared" si="0"/>
        <v>120.01420681512072</v>
      </c>
      <c r="D17" s="35"/>
      <c r="E17" s="35"/>
      <c r="F17" s="35"/>
      <c r="G17" s="35"/>
      <c r="H17" s="35"/>
      <c r="I17" s="35"/>
      <c r="J17" s="35"/>
    </row>
    <row r="18" spans="1:10" x14ac:dyDescent="0.3">
      <c r="A18" s="59">
        <v>0.04</v>
      </c>
      <c r="B18" s="4">
        <f>PRICE('Yield to Maturity '!$F$5,'Yield to Maturity '!$C$9,'Yield to Maturity '!$C$8,'Price to Yield Curve'!A18,100,2,0)</f>
        <v>121.07402476184591</v>
      </c>
      <c r="C18" s="5">
        <f t="shared" si="0"/>
        <v>117.64605328687787</v>
      </c>
      <c r="D18" s="35"/>
      <c r="E18" s="35"/>
      <c r="F18" s="35"/>
      <c r="G18" s="35"/>
      <c r="H18" s="35"/>
      <c r="I18" s="35"/>
      <c r="J18" s="35"/>
    </row>
    <row r="19" spans="1:10" x14ac:dyDescent="0.3">
      <c r="A19" s="59">
        <v>4.4999999999999998E-2</v>
      </c>
      <c r="B19" s="4">
        <f>PRICE('Yield to Maturity '!$F$5,'Yield to Maturity '!$C$9,'Yield to Maturity '!$C$8,'Price to Yield Curve'!A19,100,2,0)</f>
        <v>117.96831483985149</v>
      </c>
      <c r="C19" s="5">
        <f t="shared" si="0"/>
        <v>115.277899758635</v>
      </c>
      <c r="D19" s="35"/>
      <c r="E19" s="35"/>
      <c r="F19" s="35"/>
      <c r="G19" s="35"/>
      <c r="H19" s="35"/>
      <c r="I19" s="35"/>
      <c r="J19" s="35"/>
    </row>
    <row r="20" spans="1:10" x14ac:dyDescent="0.3">
      <c r="A20" s="59">
        <v>0.05</v>
      </c>
      <c r="B20" s="4">
        <f>PRICE('Yield to Maturity '!$F$5,'Yield to Maturity '!$C$9,'Yield to Maturity '!$C$8,'Price to Yield Curve'!A20,100,2,0)</f>
        <v>114.95910785812481</v>
      </c>
      <c r="C20" s="5">
        <f>(1-(($A20-$B$5)*$B$7))*$B$4</f>
        <v>112.90974623039216</v>
      </c>
      <c r="D20" s="35"/>
      <c r="E20" s="35"/>
      <c r="I20" s="35"/>
      <c r="J20" s="35"/>
    </row>
    <row r="21" spans="1:10" x14ac:dyDescent="0.3">
      <c r="A21" s="59">
        <v>5.5E-2</v>
      </c>
      <c r="B21" s="4">
        <f>PRICE('Yield to Maturity '!$F$5,'Yield to Maturity '!$C$9,'Yield to Maturity '!$C$8,'Price to Yield Curve'!A21,100,2,0)</f>
        <v>112.04308630891883</v>
      </c>
      <c r="C21" s="5">
        <f>(1-(($A21-$B$5)*$B$7))*$B$4</f>
        <v>110.5415927021493</v>
      </c>
      <c r="D21" s="35"/>
      <c r="E21" s="35"/>
      <c r="F21" s="35"/>
      <c r="G21" s="35"/>
      <c r="H21" s="35"/>
      <c r="I21" s="35"/>
      <c r="J21" s="35"/>
    </row>
    <row r="22" spans="1:10" x14ac:dyDescent="0.3">
      <c r="A22" s="59">
        <v>0.06</v>
      </c>
      <c r="B22" s="4">
        <f>PRICE('Yield to Maturity '!$F$5,'Yield to Maturity '!$C$9,'Yield to Maturity '!$C$8,'Price to Yield Curve'!A22,100,2,0)</f>
        <v>109.21705583641754</v>
      </c>
      <c r="C22" s="5">
        <f>(1-(($A22-$B$5)*$B$7))*$B$4</f>
        <v>108.17343917390646</v>
      </c>
      <c r="D22" s="35"/>
      <c r="E22" s="35"/>
      <c r="F22" s="35"/>
      <c r="G22" s="35"/>
      <c r="H22" s="35"/>
      <c r="I22" s="35"/>
      <c r="J22" s="35"/>
    </row>
    <row r="23" spans="1:10" x14ac:dyDescent="0.3">
      <c r="A23" s="59">
        <v>6.5000000000000002E-2</v>
      </c>
      <c r="B23" s="4">
        <f>PRICE('Yield to Maturity '!$F$5,'Yield to Maturity '!$C$9,'Yield to Maturity '!$C$8,'Price to Yield Curve'!A23,100,2,0)</f>
        <v>106.47794035347697</v>
      </c>
      <c r="C23" s="5">
        <f t="shared" si="0"/>
        <v>105.80528564566362</v>
      </c>
      <c r="D23" s="35"/>
      <c r="E23" s="35"/>
      <c r="F23" s="35"/>
      <c r="G23" s="35"/>
      <c r="H23" s="35"/>
      <c r="I23" s="35"/>
      <c r="J23" s="35"/>
    </row>
    <row r="24" spans="1:10" x14ac:dyDescent="0.3">
      <c r="A24" s="59">
        <v>7.0000000000000007E-2</v>
      </c>
      <c r="B24" s="4">
        <f>PRICE('Yield to Maturity '!$F$5,'Yield to Maturity '!$C$9,'Yield to Maturity '!$C$8,'Price to Yield Curve'!A24,100,2,0)</f>
        <v>103.82277736385026</v>
      </c>
      <c r="C24" s="5">
        <f t="shared" si="0"/>
        <v>103.43713211742075</v>
      </c>
      <c r="D24" s="35"/>
      <c r="E24" s="35"/>
      <c r="F24" s="35"/>
      <c r="G24" s="35"/>
      <c r="H24" s="35"/>
      <c r="I24" s="35"/>
      <c r="J24" s="35"/>
    </row>
    <row r="25" spans="1:10" x14ac:dyDescent="0.3">
      <c r="A25" s="59">
        <v>7.4999999999999997E-2</v>
      </c>
      <c r="B25" s="4">
        <f>PRICE('Yield to Maturity '!$F$5,'Yield to Maturity '!$C$9,'Yield to Maturity '!$C$8,'Price to Yield Curve'!A25,100,2,0)</f>
        <v>101.24871348076027</v>
      </c>
      <c r="C25" s="5">
        <f t="shared" si="0"/>
        <v>101.0689785891779</v>
      </c>
      <c r="D25" s="35"/>
      <c r="E25" s="35"/>
      <c r="F25" s="35"/>
      <c r="G25" s="35"/>
      <c r="H25" s="35"/>
      <c r="I25" s="35"/>
      <c r="J25" s="35"/>
    </row>
    <row r="26" spans="1:10" x14ac:dyDescent="0.3">
      <c r="A26" s="59">
        <v>0.08</v>
      </c>
      <c r="B26" s="4">
        <f>PRICE('Yield to Maturity '!$F$5,'Yield to Maturity '!$C$9,'Yield to Maturity '!$C$8,'Price to Yield Curve'!A26,100,2,0)</f>
        <v>98.753000133116743</v>
      </c>
      <c r="C26" s="5">
        <f t="shared" si="0"/>
        <v>98.700825060935045</v>
      </c>
      <c r="D26" s="35"/>
      <c r="E26" s="35"/>
      <c r="F26" s="35"/>
      <c r="G26" s="35"/>
      <c r="H26" s="35"/>
      <c r="I26" s="35"/>
      <c r="J26" s="35"/>
    </row>
    <row r="27" spans="1:10" x14ac:dyDescent="0.3">
      <c r="A27" s="59">
        <v>8.5000000000000006E-2</v>
      </c>
      <c r="B27" s="4">
        <f>PRICE('Yield to Maturity '!$F$5,'Yield to Maturity '!$C$9,'Yield to Maturity '!$C$8,'Price to Yield Curve'!A27,100,2,0)</f>
        <v>96.332989451075136</v>
      </c>
      <c r="C27" s="5">
        <f t="shared" si="0"/>
        <v>96.332671532692203</v>
      </c>
      <c r="D27" s="35"/>
      <c r="E27" s="35"/>
      <c r="F27" s="35"/>
      <c r="G27" s="35"/>
      <c r="H27" s="35"/>
      <c r="I27" s="35"/>
      <c r="J27" s="35"/>
    </row>
    <row r="28" spans="1:10" x14ac:dyDescent="0.3">
      <c r="A28" s="60">
        <f>B5</f>
        <v>8.5111208019378867E-2</v>
      </c>
      <c r="B28" s="4">
        <f>PRICE('Yield to Maturity '!$F$5,'Yield to Maturity '!$C$9,'Yield to Maturity '!$C$8,'Price to Yield Curve'!A28,100,2,0)</f>
        <v>96.280005404905481</v>
      </c>
      <c r="C28" s="5">
        <f t="shared" si="0"/>
        <v>96.28</v>
      </c>
      <c r="D28" s="35"/>
      <c r="E28" s="35"/>
      <c r="F28" s="35"/>
      <c r="G28" s="35"/>
      <c r="H28" s="35"/>
      <c r="I28" s="35"/>
      <c r="J28" s="35"/>
    </row>
    <row r="29" spans="1:10" x14ac:dyDescent="0.3">
      <c r="A29" s="59">
        <v>0.09</v>
      </c>
      <c r="B29" s="4">
        <f>PRICE('Yield to Maturity '!$F$5,'Yield to Maturity '!$C$9,'Yield to Maturity '!$C$8,'Price to Yield Curve'!A29,100,2,0)</f>
        <v>93.986130323028618</v>
      </c>
      <c r="C29" s="5">
        <f t="shared" si="0"/>
        <v>93.964518004449346</v>
      </c>
      <c r="D29" s="35"/>
      <c r="E29" s="35"/>
      <c r="F29" s="35"/>
      <c r="G29" s="35"/>
      <c r="H29" s="35"/>
      <c r="I29" s="35"/>
      <c r="J29" s="35"/>
    </row>
    <row r="30" spans="1:10" x14ac:dyDescent="0.3">
      <c r="A30" s="59">
        <v>9.5000000000000001E-2</v>
      </c>
      <c r="B30" s="4">
        <f>PRICE('Yield to Maturity '!$F$5,'Yield to Maturity '!$C$9,'Yield to Maturity '!$C$8,'Price to Yield Curve'!A30,100,2,0)</f>
        <v>91.709964616484143</v>
      </c>
      <c r="C30" s="5">
        <f t="shared" si="0"/>
        <v>91.596364476206489</v>
      </c>
      <c r="D30" s="35"/>
      <c r="E30" s="35"/>
      <c r="F30" s="35"/>
      <c r="G30" s="35"/>
      <c r="H30" s="35"/>
      <c r="I30" s="35"/>
      <c r="J30" s="35"/>
    </row>
    <row r="31" spans="1:10" x14ac:dyDescent="0.3">
      <c r="A31" s="59">
        <v>0.1</v>
      </c>
      <c r="B31" s="4">
        <f>PRICE('Yield to Maturity '!$F$5,'Yield to Maturity '!$C$9,'Yield to Maturity '!$C$8,'Price to Yield Curve'!A31,100,2,0)</f>
        <v>89.502123555628742</v>
      </c>
      <c r="C31" s="5">
        <f t="shared" si="0"/>
        <v>89.228210947963632</v>
      </c>
      <c r="D31" s="35"/>
      <c r="E31" s="35"/>
      <c r="F31" s="35"/>
      <c r="G31" s="35"/>
      <c r="H31" s="35"/>
      <c r="I31" s="35"/>
      <c r="J31" s="35"/>
    </row>
    <row r="32" spans="1:10" x14ac:dyDescent="0.3">
      <c r="A32" s="59">
        <v>0.105</v>
      </c>
      <c r="B32" s="4">
        <f>PRICE('Yield to Maturity '!$F$5,'Yield to Maturity '!$C$9,'Yield to Maturity '!$C$8,'Price to Yield Curve'!A32,100,2,0)</f>
        <v>87.360324248719763</v>
      </c>
      <c r="C32" s="5">
        <f t="shared" si="0"/>
        <v>86.860057419720789</v>
      </c>
      <c r="D32" s="35"/>
      <c r="E32" s="35"/>
      <c r="F32" s="35"/>
      <c r="G32" s="35"/>
      <c r="H32" s="35"/>
      <c r="I32" s="35"/>
      <c r="J32" s="35"/>
    </row>
    <row r="33" spans="1:10" x14ac:dyDescent="0.3">
      <c r="A33" s="59">
        <v>0.11</v>
      </c>
      <c r="B33" s="4">
        <f>PRICE('Yield to Maturity '!$F$5,'Yield to Maturity '!$C$9,'Yield to Maturity '!$C$8,'Price to Yield Curve'!A33,100,2,0)</f>
        <v>85.282366358755766</v>
      </c>
      <c r="C33" s="5">
        <f t="shared" si="0"/>
        <v>84.491903891477932</v>
      </c>
      <c r="D33" s="35"/>
      <c r="E33" s="35"/>
      <c r="F33" s="35"/>
      <c r="G33" s="35"/>
      <c r="H33" s="35"/>
      <c r="I33" s="35"/>
      <c r="J33" s="35"/>
    </row>
    <row r="34" spans="1:10" x14ac:dyDescent="0.3">
      <c r="A34" s="59">
        <v>0.12</v>
      </c>
      <c r="B34" s="4">
        <f>PRICE('Yield to Maturity '!$F$5,'Yield to Maturity '!$C$9,'Yield to Maturity '!$C$8,'Price to Yield Curve'!A34,100,2,0)</f>
        <v>81.309567232652128</v>
      </c>
      <c r="C34" s="5">
        <f t="shared" si="0"/>
        <v>79.755596834992232</v>
      </c>
      <c r="D34" s="35"/>
      <c r="E34" s="35"/>
      <c r="F34" s="35"/>
      <c r="G34" s="35"/>
      <c r="H34" s="35"/>
      <c r="I34" s="35"/>
      <c r="J34" s="35"/>
    </row>
    <row r="35" spans="1:10" x14ac:dyDescent="0.3">
      <c r="A35" s="59">
        <v>0.125</v>
      </c>
      <c r="B35" s="4">
        <f>PRICE('Yield to Maturity '!$F$5,'Yield to Maturity '!$C$9,'Yield to Maturity '!$C$8,'Price to Yield Curve'!A35,100,2,0)</f>
        <v>79.410710015220971</v>
      </c>
      <c r="C35" s="5">
        <f t="shared" si="0"/>
        <v>77.387443306749361</v>
      </c>
      <c r="D35" s="35"/>
      <c r="E35" s="35"/>
      <c r="F35" s="35"/>
      <c r="G35" s="35"/>
      <c r="H35" s="35"/>
      <c r="I35" s="35"/>
      <c r="J35" s="35"/>
    </row>
    <row r="36" spans="1:10" x14ac:dyDescent="0.3">
      <c r="A36" s="59">
        <v>0.13</v>
      </c>
      <c r="B36" s="4">
        <f>PRICE('Yield to Maturity '!$F$5,'Yield to Maturity '!$C$9,'Yield to Maturity '!$C$8,'Price to Yield Curve'!A36,100,2,0)</f>
        <v>77.567656500437806</v>
      </c>
      <c r="C36" s="5">
        <f t="shared" si="0"/>
        <v>75.019289778506518</v>
      </c>
      <c r="D36" s="35"/>
      <c r="E36" s="35"/>
      <c r="F36" s="35"/>
      <c r="G36" s="35"/>
      <c r="H36" s="35"/>
      <c r="I36" s="35"/>
      <c r="J36" s="35"/>
    </row>
    <row r="37" spans="1:10" x14ac:dyDescent="0.3">
      <c r="A37" s="59">
        <v>0.13500000000000001</v>
      </c>
      <c r="B37" s="4">
        <f>PRICE('Yield to Maturity '!$F$5,'Yield to Maturity '!$C$9,'Yield to Maturity '!$C$8,'Price to Yield Curve'!A37,100,2,0)</f>
        <v>75.778573778265198</v>
      </c>
      <c r="C37" s="5">
        <f t="shared" si="0"/>
        <v>72.651136250263662</v>
      </c>
      <c r="D37" s="35"/>
      <c r="E37" s="35"/>
      <c r="F37" s="35"/>
      <c r="G37" s="35"/>
      <c r="H37" s="35"/>
      <c r="I37" s="35"/>
      <c r="J37" s="35"/>
    </row>
    <row r="38" spans="1:10" x14ac:dyDescent="0.3">
      <c r="A38" s="59">
        <v>0.14000000000000001</v>
      </c>
      <c r="B38" s="4">
        <f>PRICE('Yield to Maturity '!$F$5,'Yield to Maturity '!$C$9,'Yield to Maturity '!$C$8,'Price to Yield Curve'!A38,100,2,0)</f>
        <v>74.041694195815595</v>
      </c>
      <c r="C38" s="5">
        <f t="shared" si="0"/>
        <v>70.282982722020819</v>
      </c>
      <c r="D38" s="35"/>
      <c r="E38" s="35"/>
      <c r="F38" s="35"/>
      <c r="G38" s="35"/>
      <c r="H38" s="35"/>
      <c r="I38" s="35"/>
      <c r="J38" s="35"/>
    </row>
    <row r="39" spans="1:10" x14ac:dyDescent="0.3">
      <c r="A39" s="59">
        <v>0.14499999999999999</v>
      </c>
      <c r="B39" s="4">
        <f>PRICE('Yield to Maturity '!$F$5,'Yield to Maturity '!$C$9,'Yield to Maturity '!$C$8,'Price to Yield Curve'!A39,100,2,0)</f>
        <v>72.355312871208369</v>
      </c>
      <c r="C39" s="5">
        <f t="shared" si="0"/>
        <v>67.914829193777976</v>
      </c>
      <c r="D39" s="35"/>
      <c r="E39" s="35"/>
      <c r="F39" s="35"/>
      <c r="G39" s="35"/>
      <c r="H39" s="35"/>
      <c r="I39" s="35"/>
      <c r="J39" s="35"/>
    </row>
    <row r="40" spans="1:10" x14ac:dyDescent="0.3">
      <c r="A40" s="59">
        <v>0.15</v>
      </c>
      <c r="B40" s="4">
        <f>PRICE('Yield to Maturity '!$F$5,'Yield to Maturity '!$C$9,'Yield to Maturity '!$C$8,'Price to Yield Curve'!A40,100,2,0)</f>
        <v>70.71778530803482</v>
      </c>
      <c r="C40" s="5">
        <f t="shared" si="0"/>
        <v>65.546675665535105</v>
      </c>
      <c r="D40" s="35"/>
      <c r="E40" s="35"/>
      <c r="F40" s="35"/>
      <c r="G40" s="35"/>
      <c r="H40" s="35"/>
      <c r="I40" s="35"/>
      <c r="J40" s="35"/>
    </row>
    <row r="41" spans="1:10" x14ac:dyDescent="0.3">
      <c r="A41" s="59">
        <v>0.155</v>
      </c>
      <c r="B41" s="4">
        <f>PRICE('Yield to Maturity '!$F$5,'Yield to Maturity '!$C$9,'Yield to Maturity '!$C$8,'Price to Yield Curve'!A41,100,2,0)</f>
        <v>69.1275251061316</v>
      </c>
      <c r="C41" s="5">
        <f t="shared" si="0"/>
        <v>63.178522137292262</v>
      </c>
      <c r="D41" s="35"/>
      <c r="E41" s="35"/>
      <c r="F41" s="35"/>
      <c r="G41" s="35"/>
      <c r="H41" s="35"/>
      <c r="I41" s="35"/>
      <c r="J41" s="35"/>
    </row>
    <row r="42" spans="1:10" x14ac:dyDescent="0.3">
      <c r="A42" s="59">
        <v>0.16</v>
      </c>
      <c r="B42" s="4">
        <f>PRICE('Yield to Maturity '!$F$5,'Yield to Maturity '!$C$9,'Yield to Maturity '!$C$8,'Price to Yield Curve'!A42,100,2,0)</f>
        <v>67.583001764550801</v>
      </c>
      <c r="C42" s="5">
        <f t="shared" si="0"/>
        <v>60.810368609049398</v>
      </c>
      <c r="D42" s="35"/>
      <c r="E42" s="35"/>
      <c r="F42" s="35"/>
      <c r="G42" s="35"/>
      <c r="H42" s="35"/>
      <c r="I42" s="35"/>
      <c r="J42" s="35"/>
    </row>
    <row r="43" spans="1:10" x14ac:dyDescent="0.3">
      <c r="A43" s="59">
        <v>0.16500000000000001</v>
      </c>
      <c r="B43" s="4">
        <f>PRICE('Yield to Maturity '!$F$5,'Yield to Maturity '!$C$9,'Yield to Maturity '!$C$8,'Price to Yield Curve'!A43,100,2,0)</f>
        <v>66.082738572803493</v>
      </c>
      <c r="C43" s="5">
        <f t="shared" si="0"/>
        <v>58.442215080806548</v>
      </c>
      <c r="D43" s="35"/>
      <c r="E43" s="35"/>
      <c r="F43" s="35"/>
      <c r="G43" s="35"/>
      <c r="H43" s="35"/>
      <c r="I43" s="35"/>
      <c r="J43" s="35"/>
    </row>
    <row r="44" spans="1:10" x14ac:dyDescent="0.3">
      <c r="A44" s="59">
        <v>0.17</v>
      </c>
      <c r="B44" s="4">
        <f>PRICE('Yield to Maturity '!$F$5,'Yield to Maturity '!$C$9,'Yield to Maturity '!$C$8,'Price to Yield Curve'!A44,100,2,0)</f>
        <v>64.625310586625929</v>
      </c>
      <c r="C44" s="5">
        <f t="shared" si="0"/>
        <v>56.074061552563691</v>
      </c>
      <c r="D44" s="35"/>
      <c r="E44" s="35"/>
      <c r="F44" s="35"/>
      <c r="G44" s="35"/>
      <c r="H44" s="35"/>
      <c r="I44" s="35"/>
      <c r="J44" s="35"/>
    </row>
    <row r="45" spans="1:10" x14ac:dyDescent="0.3">
      <c r="A45" s="59">
        <v>0.17499999999999999</v>
      </c>
      <c r="B45" s="4">
        <f>PRICE('Yield to Maturity '!$F$5,'Yield to Maturity '!$C$9,'Yield to Maturity '!$C$8,'Price to Yield Curve'!A45,100,2,0)</f>
        <v>63.209342684689901</v>
      </c>
      <c r="C45" s="5">
        <f t="shared" si="0"/>
        <v>53.705908024320848</v>
      </c>
      <c r="D45" s="35"/>
      <c r="E45" s="35"/>
      <c r="F45" s="35"/>
      <c r="G45" s="35"/>
      <c r="H45" s="35"/>
      <c r="I45" s="35"/>
      <c r="J45" s="35"/>
    </row>
    <row r="46" spans="1:10" x14ac:dyDescent="0.3">
      <c r="A46" s="59">
        <v>0.18</v>
      </c>
      <c r="B46" s="4">
        <f>PRICE('Yield to Maturity '!$F$5,'Yield to Maturity '!$C$9,'Yield to Maturity '!$C$8,'Price to Yield Curve'!A46,100,2,0)</f>
        <v>61.833507702833579</v>
      </c>
      <c r="C46" s="5">
        <f t="shared" si="0"/>
        <v>51.337754496077991</v>
      </c>
      <c r="D46" s="35"/>
      <c r="E46" s="35"/>
      <c r="F46" s="35"/>
      <c r="G46" s="35"/>
      <c r="H46" s="35"/>
      <c r="I46" s="35"/>
      <c r="J46" s="35"/>
    </row>
    <row r="47" spans="1:10" x14ac:dyDescent="0.3">
      <c r="A47" s="59">
        <v>0.185</v>
      </c>
      <c r="B47" s="4">
        <f>PRICE('Yield to Maturity '!$F$5,'Yield to Maturity '!$C$9,'Yield to Maturity '!$C$8,'Price to Yield Curve'!A47,100,2,0)</f>
        <v>60.496524642545353</v>
      </c>
      <c r="C47" s="5">
        <f t="shared" si="0"/>
        <v>48.969600967835142</v>
      </c>
    </row>
    <row r="48" spans="1:10" x14ac:dyDescent="0.3">
      <c r="A48" s="59">
        <v>0.19</v>
      </c>
      <c r="B48" s="4">
        <f>PRICE('Yield to Maturity '!$F$5,'Yield to Maturity '!$C$9,'Yield to Maturity '!$C$8,'Price to Yield Curve'!A48,100,2,0)</f>
        <v>59.197156950574637</v>
      </c>
      <c r="C48" s="5">
        <f t="shared" si="0"/>
        <v>46.601447439592285</v>
      </c>
    </row>
    <row r="49" spans="1:3" x14ac:dyDescent="0.3">
      <c r="A49" s="59">
        <v>0.19500000000000001</v>
      </c>
      <c r="B49" s="4">
        <f>PRICE('Yield to Maturity '!$F$5,'Yield to Maturity '!$C$9,'Yield to Maturity '!$C$8,'Price to Yield Curve'!A49,100,2,0)</f>
        <v>57.934210866686612</v>
      </c>
      <c r="C49" s="5">
        <f t="shared" si="0"/>
        <v>44.233293911349435</v>
      </c>
    </row>
    <row r="50" spans="1:3" x14ac:dyDescent="0.3">
      <c r="A50" s="59">
        <v>0.2</v>
      </c>
      <c r="B50" s="4">
        <f>PRICE('Yield to Maturity '!$F$5,'Yield to Maturity '!$C$9,'Yield to Maturity '!$C$8,'Price to Yield Curve'!A50,100,2,0)</f>
        <v>56.706533836705177</v>
      </c>
      <c r="C50" s="5">
        <f t="shared" si="0"/>
        <v>41.865140383106578</v>
      </c>
    </row>
  </sheetData>
  <mergeCells count="2">
    <mergeCell ref="A1:J1"/>
    <mergeCell ref="E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Yield to Maturity </vt:lpstr>
      <vt:lpstr>Yield to Call </vt:lpstr>
      <vt:lpstr>Call Schedule</vt:lpstr>
      <vt:lpstr>Price to Yield Curve</vt:lpstr>
      <vt:lpstr>CoupRemain</vt:lpstr>
      <vt:lpstr>'Yield to Call '!RemainCoup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Phurwo</dc:creator>
  <cp:lastModifiedBy>Wilson Phurwo</cp:lastModifiedBy>
  <dcterms:created xsi:type="dcterms:W3CDTF">2019-04-04T18:04:43Z</dcterms:created>
  <dcterms:modified xsi:type="dcterms:W3CDTF">2019-04-07T03:12:35Z</dcterms:modified>
</cp:coreProperties>
</file>