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so\Documents\2. UIUC\3. 2019 Spring\FIN 300\Project\equity-analysis\"/>
    </mc:Choice>
  </mc:AlternateContent>
  <xr:revisionPtr revIDLastSave="0" documentId="13_ncr:1_{E932EFD8-6167-44A7-AE69-D599F2138F7A}" xr6:coauthVersionLast="36" xr6:coauthVersionMax="36" xr10:uidLastSave="{00000000-0000-0000-0000-000000000000}"/>
  <bookViews>
    <workbookView xWindow="0" yWindow="0" windowWidth="23040" windowHeight="8532" activeTab="8" xr2:uid="{5FA7915B-876F-45A6-A960-09C55BD3F312}"/>
  </bookViews>
  <sheets>
    <sheet name="Data" sheetId="1" r:id="rId1"/>
    <sheet name="Candlestick" sheetId="2" r:id="rId2"/>
    <sheet name="Returns" sheetId="4" r:id="rId3"/>
    <sheet name="EPF" sheetId="6" r:id="rId4"/>
    <sheet name="R(CSX)" sheetId="5" r:id="rId5"/>
    <sheet name="R(CSCO)" sheetId="7" r:id="rId6"/>
    <sheet name="R(50-50 Portfolio)" sheetId="8" r:id="rId7"/>
    <sheet name="R(MVP)" sheetId="9" r:id="rId8"/>
    <sheet name="CAPM" sheetId="10" r:id="rId9"/>
  </sheets>
  <definedNames>
    <definedName name="alpha" localSheetId="6">'R(50-50 Portfolio)'!$H$11</definedName>
    <definedName name="alpha" localSheetId="5">'R(CSCO)'!$H$11</definedName>
    <definedName name="alpha" localSheetId="7">'R(MVP)'!$H$11</definedName>
    <definedName name="alpha">'R(CSX)'!$H$11</definedName>
    <definedName name="beta" localSheetId="6">'R(50-50 Portfolio)'!$H$12</definedName>
    <definedName name="beta" localSheetId="5">'R(CSCO)'!$H$12</definedName>
    <definedName name="beta" localSheetId="7">'R(MVP)'!$H$12</definedName>
    <definedName name="beta">'R(CSX)'!$H$12</definedName>
    <definedName name="k" localSheetId="6">'R(50-50 Portfolio)'!$H$8</definedName>
    <definedName name="k" localSheetId="5">'R(CSCO)'!$H$8</definedName>
    <definedName name="k" localSheetId="7">'R(MVP)'!$H$8</definedName>
    <definedName name="k">'R(CSX)'!$H$8</definedName>
    <definedName name="N" localSheetId="6">'R(50-50 Portfolio)'!$H$7</definedName>
    <definedName name="N" localSheetId="5">'R(CSCO)'!$H$7</definedName>
    <definedName name="N" localSheetId="7">'R(MVP)'!$H$7</definedName>
    <definedName name="N">'R(CSX)'!$H$7</definedName>
    <definedName name="rho" localSheetId="6">'R(50-50 Portfolio)'!$H$3</definedName>
    <definedName name="rho" localSheetId="5">'R(CSCO)'!$H$3</definedName>
    <definedName name="rho" localSheetId="7">'R(MVP)'!$H$3</definedName>
    <definedName name="rho">'R(CSX)'!$H$3</definedName>
    <definedName name="RR" localSheetId="6">'R(50-50 Portfolio)'!$H$4</definedName>
    <definedName name="RR" localSheetId="5">'R(CSCO)'!$H$4</definedName>
    <definedName name="RR" localSheetId="7">'R(MVP)'!$H$4</definedName>
    <definedName name="RR">'R(CSX)'!$H$4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8" i="6" l="1"/>
  <c r="B10" i="6"/>
  <c r="C43" i="4" l="1"/>
  <c r="D43" i="4"/>
  <c r="E43" i="4"/>
  <c r="F43" i="4"/>
  <c r="B43" i="4"/>
  <c r="H5" i="10" l="1"/>
  <c r="H6" i="10"/>
  <c r="H7" i="10"/>
  <c r="H8" i="10"/>
  <c r="H4" i="10"/>
  <c r="G5" i="10"/>
  <c r="G6" i="10"/>
  <c r="G7" i="10"/>
  <c r="G8" i="10"/>
  <c r="G4" i="10"/>
  <c r="F5" i="10"/>
  <c r="F6" i="10"/>
  <c r="F7" i="10"/>
  <c r="F8" i="10"/>
  <c r="F4" i="10"/>
  <c r="E8" i="10"/>
  <c r="E7" i="10"/>
  <c r="E6" i="10"/>
  <c r="C8" i="10"/>
  <c r="C7" i="10"/>
  <c r="C6" i="10"/>
  <c r="C5" i="10"/>
  <c r="C4" i="10"/>
  <c r="B9" i="10"/>
  <c r="B7" i="10"/>
  <c r="B6" i="10"/>
  <c r="B5" i="10"/>
  <c r="B4" i="10"/>
  <c r="A9" i="10"/>
  <c r="A8" i="10"/>
  <c r="A7" i="10"/>
  <c r="A6" i="10"/>
  <c r="A5" i="10"/>
  <c r="A4" i="10"/>
  <c r="C2" i="4"/>
  <c r="C2" i="7" s="1"/>
  <c r="B2" i="4"/>
  <c r="D2" i="9"/>
  <c r="C38" i="9"/>
  <c r="B38" i="9"/>
  <c r="A38" i="9"/>
  <c r="C37" i="9"/>
  <c r="B37" i="9"/>
  <c r="A37" i="9"/>
  <c r="C36" i="9"/>
  <c r="B36" i="9"/>
  <c r="A36" i="9"/>
  <c r="C35" i="9"/>
  <c r="B35" i="9"/>
  <c r="A35" i="9"/>
  <c r="C34" i="9"/>
  <c r="B34" i="9"/>
  <c r="A34" i="9"/>
  <c r="C33" i="9"/>
  <c r="B33" i="9"/>
  <c r="A33" i="9"/>
  <c r="C32" i="9"/>
  <c r="B32" i="9"/>
  <c r="A32" i="9"/>
  <c r="C31" i="9"/>
  <c r="B31" i="9"/>
  <c r="A31" i="9"/>
  <c r="C30" i="9"/>
  <c r="B30" i="9"/>
  <c r="A30" i="9"/>
  <c r="C29" i="9"/>
  <c r="B29" i="9"/>
  <c r="A29" i="9"/>
  <c r="C28" i="9"/>
  <c r="B28" i="9"/>
  <c r="A28" i="9"/>
  <c r="C27" i="9"/>
  <c r="B27" i="9"/>
  <c r="A27" i="9"/>
  <c r="C26" i="9"/>
  <c r="B26" i="9"/>
  <c r="A26" i="9"/>
  <c r="C25" i="9"/>
  <c r="B25" i="9"/>
  <c r="A25" i="9"/>
  <c r="C24" i="9"/>
  <c r="B24" i="9"/>
  <c r="A24" i="9"/>
  <c r="C23" i="9"/>
  <c r="B23" i="9"/>
  <c r="A23" i="9"/>
  <c r="C22" i="9"/>
  <c r="B22" i="9"/>
  <c r="A22" i="9"/>
  <c r="C21" i="9"/>
  <c r="B21" i="9"/>
  <c r="A21" i="9"/>
  <c r="C20" i="9"/>
  <c r="B20" i="9"/>
  <c r="A20" i="9"/>
  <c r="C19" i="9"/>
  <c r="B19" i="9"/>
  <c r="A19" i="9"/>
  <c r="C18" i="9"/>
  <c r="B18" i="9"/>
  <c r="A18" i="9"/>
  <c r="C17" i="9"/>
  <c r="B17" i="9"/>
  <c r="A17" i="9"/>
  <c r="C16" i="9"/>
  <c r="B16" i="9"/>
  <c r="A16" i="9"/>
  <c r="C15" i="9"/>
  <c r="B15" i="9"/>
  <c r="A15" i="9"/>
  <c r="C14" i="9"/>
  <c r="B14" i="9"/>
  <c r="A14" i="9"/>
  <c r="C13" i="9"/>
  <c r="B13" i="9"/>
  <c r="A13" i="9"/>
  <c r="C12" i="9"/>
  <c r="B12" i="9"/>
  <c r="A12" i="9"/>
  <c r="C11" i="9"/>
  <c r="B11" i="9"/>
  <c r="A11" i="9"/>
  <c r="C10" i="9"/>
  <c r="B10" i="9"/>
  <c r="A10" i="9"/>
  <c r="C9" i="9"/>
  <c r="B9" i="9"/>
  <c r="A9" i="9"/>
  <c r="C8" i="9"/>
  <c r="B8" i="9"/>
  <c r="A8" i="9"/>
  <c r="C7" i="9"/>
  <c r="B7" i="9"/>
  <c r="A7" i="9"/>
  <c r="C6" i="9"/>
  <c r="B6" i="9"/>
  <c r="A6" i="9"/>
  <c r="C5" i="9"/>
  <c r="B5" i="9"/>
  <c r="A5" i="9"/>
  <c r="C4" i="9"/>
  <c r="B4" i="9"/>
  <c r="A4" i="9"/>
  <c r="C3" i="9"/>
  <c r="B3" i="9"/>
  <c r="A3" i="9"/>
  <c r="C2" i="9"/>
  <c r="G19" i="9" s="1"/>
  <c r="B2" i="9"/>
  <c r="B1" i="9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" i="8"/>
  <c r="D2" i="8"/>
  <c r="C38" i="8"/>
  <c r="B38" i="8"/>
  <c r="A38" i="8"/>
  <c r="C37" i="8"/>
  <c r="B37" i="8"/>
  <c r="A37" i="8"/>
  <c r="C36" i="8"/>
  <c r="B36" i="8"/>
  <c r="A36" i="8"/>
  <c r="C35" i="8"/>
  <c r="B35" i="8"/>
  <c r="A35" i="8"/>
  <c r="C34" i="8"/>
  <c r="B34" i="8"/>
  <c r="A34" i="8"/>
  <c r="C33" i="8"/>
  <c r="B33" i="8"/>
  <c r="A33" i="8"/>
  <c r="C32" i="8"/>
  <c r="B32" i="8"/>
  <c r="A32" i="8"/>
  <c r="C31" i="8"/>
  <c r="B31" i="8"/>
  <c r="A31" i="8"/>
  <c r="C30" i="8"/>
  <c r="B30" i="8"/>
  <c r="A30" i="8"/>
  <c r="C29" i="8"/>
  <c r="B29" i="8"/>
  <c r="A29" i="8"/>
  <c r="C28" i="8"/>
  <c r="B28" i="8"/>
  <c r="A28" i="8"/>
  <c r="C27" i="8"/>
  <c r="B27" i="8"/>
  <c r="A27" i="8"/>
  <c r="C26" i="8"/>
  <c r="B26" i="8"/>
  <c r="A26" i="8"/>
  <c r="C25" i="8"/>
  <c r="B25" i="8"/>
  <c r="A25" i="8"/>
  <c r="C24" i="8"/>
  <c r="B24" i="8"/>
  <c r="A24" i="8"/>
  <c r="C23" i="8"/>
  <c r="B23" i="8"/>
  <c r="A23" i="8"/>
  <c r="C22" i="8"/>
  <c r="B22" i="8"/>
  <c r="A22" i="8"/>
  <c r="C21" i="8"/>
  <c r="B21" i="8"/>
  <c r="A21" i="8"/>
  <c r="C20" i="8"/>
  <c r="B20" i="8"/>
  <c r="A20" i="8"/>
  <c r="C19" i="8"/>
  <c r="B19" i="8"/>
  <c r="A19" i="8"/>
  <c r="C18" i="8"/>
  <c r="B18" i="8"/>
  <c r="A18" i="8"/>
  <c r="C17" i="8"/>
  <c r="B17" i="8"/>
  <c r="A17" i="8"/>
  <c r="C16" i="8"/>
  <c r="B16" i="8"/>
  <c r="A16" i="8"/>
  <c r="C15" i="8"/>
  <c r="B15" i="8"/>
  <c r="A15" i="8"/>
  <c r="C14" i="8"/>
  <c r="B14" i="8"/>
  <c r="A14" i="8"/>
  <c r="C13" i="8"/>
  <c r="B13" i="8"/>
  <c r="A13" i="8"/>
  <c r="C12" i="8"/>
  <c r="B12" i="8"/>
  <c r="A12" i="8"/>
  <c r="C11" i="8"/>
  <c r="B11" i="8"/>
  <c r="A11" i="8"/>
  <c r="C10" i="8"/>
  <c r="B10" i="8"/>
  <c r="A10" i="8"/>
  <c r="C9" i="8"/>
  <c r="B9" i="8"/>
  <c r="A9" i="8"/>
  <c r="C8" i="8"/>
  <c r="B8" i="8"/>
  <c r="A8" i="8"/>
  <c r="C7" i="8"/>
  <c r="B7" i="8"/>
  <c r="A7" i="8"/>
  <c r="C6" i="8"/>
  <c r="B6" i="8"/>
  <c r="A6" i="8"/>
  <c r="C5" i="8"/>
  <c r="B5" i="8"/>
  <c r="A5" i="8"/>
  <c r="C4" i="8"/>
  <c r="B4" i="8"/>
  <c r="A4" i="8"/>
  <c r="C3" i="8"/>
  <c r="B3" i="8"/>
  <c r="A3" i="8"/>
  <c r="C2" i="8"/>
  <c r="G19" i="8" s="1"/>
  <c r="B2" i="8"/>
  <c r="B1" i="8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C38" i="7"/>
  <c r="B38" i="7"/>
  <c r="A38" i="7"/>
  <c r="C37" i="7"/>
  <c r="B37" i="7"/>
  <c r="A37" i="7"/>
  <c r="C36" i="7"/>
  <c r="B36" i="7"/>
  <c r="A36" i="7"/>
  <c r="C35" i="7"/>
  <c r="B35" i="7"/>
  <c r="A35" i="7"/>
  <c r="C34" i="7"/>
  <c r="B34" i="7"/>
  <c r="A34" i="7"/>
  <c r="C33" i="7"/>
  <c r="B33" i="7"/>
  <c r="A33" i="7"/>
  <c r="C32" i="7"/>
  <c r="B32" i="7"/>
  <c r="A32" i="7"/>
  <c r="C31" i="7"/>
  <c r="B31" i="7"/>
  <c r="A31" i="7"/>
  <c r="C30" i="7"/>
  <c r="B30" i="7"/>
  <c r="A30" i="7"/>
  <c r="C29" i="7"/>
  <c r="B29" i="7"/>
  <c r="A29" i="7"/>
  <c r="C28" i="7"/>
  <c r="B28" i="7"/>
  <c r="A28" i="7"/>
  <c r="C27" i="7"/>
  <c r="B27" i="7"/>
  <c r="A27" i="7"/>
  <c r="C26" i="7"/>
  <c r="B26" i="7"/>
  <c r="A26" i="7"/>
  <c r="C25" i="7"/>
  <c r="B25" i="7"/>
  <c r="A25" i="7"/>
  <c r="C24" i="7"/>
  <c r="B24" i="7"/>
  <c r="A24" i="7"/>
  <c r="C23" i="7"/>
  <c r="B23" i="7"/>
  <c r="A23" i="7"/>
  <c r="C22" i="7"/>
  <c r="B22" i="7"/>
  <c r="A22" i="7"/>
  <c r="C21" i="7"/>
  <c r="B21" i="7"/>
  <c r="A21" i="7"/>
  <c r="C20" i="7"/>
  <c r="B20" i="7"/>
  <c r="A20" i="7"/>
  <c r="C19" i="7"/>
  <c r="B19" i="7"/>
  <c r="A19" i="7"/>
  <c r="C18" i="7"/>
  <c r="B18" i="7"/>
  <c r="A18" i="7"/>
  <c r="C17" i="7"/>
  <c r="B17" i="7"/>
  <c r="A17" i="7"/>
  <c r="C16" i="7"/>
  <c r="B16" i="7"/>
  <c r="A16" i="7"/>
  <c r="C15" i="7"/>
  <c r="B15" i="7"/>
  <c r="A15" i="7"/>
  <c r="C14" i="7"/>
  <c r="B14" i="7"/>
  <c r="A14" i="7"/>
  <c r="C13" i="7"/>
  <c r="B13" i="7"/>
  <c r="A13" i="7"/>
  <c r="C12" i="7"/>
  <c r="B12" i="7"/>
  <c r="A12" i="7"/>
  <c r="C11" i="7"/>
  <c r="B11" i="7"/>
  <c r="A11" i="7"/>
  <c r="C10" i="7"/>
  <c r="B10" i="7"/>
  <c r="A10" i="7"/>
  <c r="C9" i="7"/>
  <c r="B9" i="7"/>
  <c r="A9" i="7"/>
  <c r="C8" i="7"/>
  <c r="B8" i="7"/>
  <c r="A8" i="7"/>
  <c r="C7" i="7"/>
  <c r="B7" i="7"/>
  <c r="A7" i="7"/>
  <c r="C6" i="7"/>
  <c r="B6" i="7"/>
  <c r="A6" i="7"/>
  <c r="C5" i="7"/>
  <c r="B5" i="7"/>
  <c r="A5" i="7"/>
  <c r="C4" i="7"/>
  <c r="B4" i="7"/>
  <c r="A4" i="7"/>
  <c r="C3" i="7"/>
  <c r="B3" i="7"/>
  <c r="A3" i="7"/>
  <c r="B2" i="7"/>
  <c r="B1" i="7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" i="4"/>
  <c r="C39" i="2"/>
  <c r="D39" i="2"/>
  <c r="E39" i="2"/>
  <c r="F39" i="2"/>
  <c r="B39" i="2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" i="4"/>
  <c r="G19" i="7" l="1"/>
  <c r="H11" i="7"/>
  <c r="G18" i="9"/>
  <c r="G17" i="9"/>
  <c r="H11" i="8"/>
  <c r="H12" i="8"/>
  <c r="H19" i="8" s="1"/>
  <c r="G18" i="8"/>
  <c r="H6" i="8"/>
  <c r="H3" i="8"/>
  <c r="H7" i="8"/>
  <c r="G17" i="8"/>
  <c r="H12" i="7"/>
  <c r="H19" i="7" s="1"/>
  <c r="G18" i="7"/>
  <c r="H6" i="7"/>
  <c r="H3" i="7"/>
  <c r="H7" i="7"/>
  <c r="G17" i="7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3" i="6"/>
  <c r="F2" i="6"/>
  <c r="C2" i="6"/>
  <c r="B2" i="6"/>
  <c r="E2" i="6" s="1"/>
  <c r="A4" i="6"/>
  <c r="A5" i="6"/>
  <c r="A3" i="6"/>
  <c r="E41" i="4"/>
  <c r="C4" i="6" s="1"/>
  <c r="F38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C6" i="6"/>
  <c r="C42" i="4"/>
  <c r="H18" i="8" l="1"/>
  <c r="H17" i="8"/>
  <c r="H13" i="8"/>
  <c r="H4" i="8"/>
  <c r="H5" i="8" s="1"/>
  <c r="H13" i="7"/>
  <c r="H4" i="7"/>
  <c r="H5" i="7" s="1"/>
  <c r="H18" i="7"/>
  <c r="H17" i="7"/>
  <c r="E42" i="4"/>
  <c r="C5" i="6" s="1"/>
  <c r="F3" i="4"/>
  <c r="E40" i="4"/>
  <c r="C3" i="6" s="1"/>
  <c r="D42" i="4"/>
  <c r="B5" i="6" s="1"/>
  <c r="H8" i="6" s="1"/>
  <c r="B1" i="5"/>
  <c r="D38" i="5"/>
  <c r="C38" i="5"/>
  <c r="H52" i="6" l="1"/>
  <c r="H99" i="6"/>
  <c r="H91" i="6"/>
  <c r="H75" i="6"/>
  <c r="H59" i="6"/>
  <c r="H51" i="6"/>
  <c r="H43" i="6"/>
  <c r="H27" i="6"/>
  <c r="H19" i="6"/>
  <c r="H11" i="6"/>
  <c r="H22" i="6"/>
  <c r="H58" i="6"/>
  <c r="H3" i="6"/>
  <c r="H98" i="6"/>
  <c r="H42" i="6"/>
  <c r="H88" i="6"/>
  <c r="H46" i="6"/>
  <c r="H28" i="6"/>
  <c r="H60" i="6"/>
  <c r="H92" i="6"/>
  <c r="H97" i="6"/>
  <c r="H89" i="6"/>
  <c r="H81" i="6"/>
  <c r="H73" i="6"/>
  <c r="H65" i="6"/>
  <c r="H57" i="6"/>
  <c r="H49" i="6"/>
  <c r="H41" i="6"/>
  <c r="H33" i="6"/>
  <c r="H25" i="6"/>
  <c r="H17" i="6"/>
  <c r="H9" i="6"/>
  <c r="H26" i="6"/>
  <c r="H72" i="6"/>
  <c r="H50" i="6"/>
  <c r="H34" i="6"/>
  <c r="H10" i="6"/>
  <c r="H56" i="6"/>
  <c r="H102" i="6"/>
  <c r="H78" i="6"/>
  <c r="H4" i="6"/>
  <c r="H36" i="6"/>
  <c r="H68" i="6"/>
  <c r="H100" i="6"/>
  <c r="H95" i="6"/>
  <c r="H87" i="6"/>
  <c r="H79" i="6"/>
  <c r="H71" i="6"/>
  <c r="H63" i="6"/>
  <c r="H55" i="6"/>
  <c r="H47" i="6"/>
  <c r="H39" i="6"/>
  <c r="H31" i="6"/>
  <c r="H23" i="6"/>
  <c r="H15" i="6"/>
  <c r="H7" i="6"/>
  <c r="H40" i="6"/>
  <c r="H86" i="6"/>
  <c r="H64" i="6"/>
  <c r="H48" i="6"/>
  <c r="H24" i="6"/>
  <c r="H70" i="6"/>
  <c r="H14" i="6"/>
  <c r="H96" i="6"/>
  <c r="H20" i="6"/>
  <c r="H84" i="6"/>
  <c r="H83" i="6"/>
  <c r="H67" i="6"/>
  <c r="H35" i="6"/>
  <c r="H30" i="6"/>
  <c r="H12" i="6"/>
  <c r="H44" i="6"/>
  <c r="H76" i="6"/>
  <c r="H101" i="6"/>
  <c r="H93" i="6"/>
  <c r="H85" i="6"/>
  <c r="H77" i="6"/>
  <c r="H69" i="6"/>
  <c r="H61" i="6"/>
  <c r="H53" i="6"/>
  <c r="H45" i="6"/>
  <c r="H37" i="6"/>
  <c r="H29" i="6"/>
  <c r="H21" i="6"/>
  <c r="H13" i="6"/>
  <c r="H5" i="6"/>
  <c r="H54" i="6"/>
  <c r="H90" i="6"/>
  <c r="H16" i="6"/>
  <c r="H62" i="6"/>
  <c r="H38" i="6"/>
  <c r="H74" i="6"/>
  <c r="H32" i="6"/>
  <c r="H103" i="6"/>
  <c r="F42" i="4"/>
  <c r="F41" i="4"/>
  <c r="F40" i="4"/>
  <c r="H66" i="6"/>
  <c r="H80" i="6"/>
  <c r="H94" i="6"/>
  <c r="H6" i="6"/>
  <c r="H18" i="6"/>
  <c r="H82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B3" i="4"/>
  <c r="B4" i="4"/>
  <c r="B4" i="5" s="1"/>
  <c r="B5" i="4"/>
  <c r="B5" i="5" s="1"/>
  <c r="B6" i="4"/>
  <c r="B6" i="5" s="1"/>
  <c r="B7" i="4"/>
  <c r="B7" i="5" s="1"/>
  <c r="B8" i="4"/>
  <c r="B8" i="5" s="1"/>
  <c r="B9" i="4"/>
  <c r="B9" i="5" s="1"/>
  <c r="B10" i="4"/>
  <c r="B10" i="5" s="1"/>
  <c r="B11" i="4"/>
  <c r="B11" i="5" s="1"/>
  <c r="B12" i="4"/>
  <c r="B12" i="5" s="1"/>
  <c r="B13" i="4"/>
  <c r="B13" i="5" s="1"/>
  <c r="B14" i="4"/>
  <c r="B14" i="5" s="1"/>
  <c r="B15" i="4"/>
  <c r="B15" i="5" s="1"/>
  <c r="B16" i="4"/>
  <c r="B16" i="5" s="1"/>
  <c r="B17" i="4"/>
  <c r="B17" i="5" s="1"/>
  <c r="B18" i="4"/>
  <c r="B18" i="5" s="1"/>
  <c r="B19" i="4"/>
  <c r="B19" i="5" s="1"/>
  <c r="B20" i="4"/>
  <c r="B20" i="5" s="1"/>
  <c r="B21" i="4"/>
  <c r="B21" i="5" s="1"/>
  <c r="B22" i="4"/>
  <c r="B22" i="5" s="1"/>
  <c r="B23" i="4"/>
  <c r="B23" i="5" s="1"/>
  <c r="B24" i="4"/>
  <c r="B24" i="5" s="1"/>
  <c r="B25" i="4"/>
  <c r="B25" i="5" s="1"/>
  <c r="B26" i="4"/>
  <c r="B26" i="5" s="1"/>
  <c r="B27" i="4"/>
  <c r="B27" i="5" s="1"/>
  <c r="B28" i="4"/>
  <c r="B28" i="5" s="1"/>
  <c r="B29" i="4"/>
  <c r="B29" i="5" s="1"/>
  <c r="B30" i="4"/>
  <c r="B30" i="5" s="1"/>
  <c r="B31" i="4"/>
  <c r="B31" i="5" s="1"/>
  <c r="B32" i="4"/>
  <c r="B32" i="5" s="1"/>
  <c r="B33" i="4"/>
  <c r="B33" i="5" s="1"/>
  <c r="B34" i="4"/>
  <c r="B34" i="5" s="1"/>
  <c r="B35" i="4"/>
  <c r="B35" i="5" s="1"/>
  <c r="B36" i="4"/>
  <c r="B36" i="5" s="1"/>
  <c r="B37" i="4"/>
  <c r="B37" i="5" s="1"/>
  <c r="B38" i="4"/>
  <c r="B38" i="5" s="1"/>
  <c r="D2" i="4"/>
  <c r="D2" i="5" s="1"/>
  <c r="C2" i="5"/>
  <c r="H12" i="5" s="1"/>
  <c r="B2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H11" i="5" l="1"/>
  <c r="B9" i="6"/>
  <c r="I12" i="6" s="1"/>
  <c r="B3" i="5"/>
  <c r="B42" i="4"/>
  <c r="I14" i="6"/>
  <c r="I58" i="6"/>
  <c r="I77" i="6"/>
  <c r="I101" i="6"/>
  <c r="I95" i="6"/>
  <c r="G19" i="5"/>
  <c r="G18" i="5"/>
  <c r="G17" i="5"/>
  <c r="H7" i="5"/>
  <c r="H6" i="5"/>
  <c r="H3" i="5"/>
  <c r="D41" i="4"/>
  <c r="B4" i="6" s="1"/>
  <c r="C41" i="4"/>
  <c r="B41" i="4"/>
  <c r="B40" i="4"/>
  <c r="D40" i="4"/>
  <c r="B3" i="6" s="1"/>
  <c r="C40" i="4"/>
  <c r="C1" i="2"/>
  <c r="B3" i="2"/>
  <c r="C3" i="2"/>
  <c r="D3" i="2"/>
  <c r="E3" i="2"/>
  <c r="F3" i="2"/>
  <c r="B4" i="2"/>
  <c r="C4" i="2"/>
  <c r="D4" i="2"/>
  <c r="E4" i="2"/>
  <c r="F4" i="2"/>
  <c r="B5" i="2"/>
  <c r="C5" i="2"/>
  <c r="D5" i="2"/>
  <c r="E5" i="2"/>
  <c r="F5" i="2"/>
  <c r="B6" i="2"/>
  <c r="C6" i="2"/>
  <c r="D6" i="2"/>
  <c r="E6" i="2"/>
  <c r="F6" i="2"/>
  <c r="B7" i="2"/>
  <c r="C7" i="2"/>
  <c r="D7" i="2"/>
  <c r="E7" i="2"/>
  <c r="F7" i="2"/>
  <c r="B8" i="2"/>
  <c r="C8" i="2"/>
  <c r="D8" i="2"/>
  <c r="E8" i="2"/>
  <c r="F8" i="2"/>
  <c r="B9" i="2"/>
  <c r="C9" i="2"/>
  <c r="D9" i="2"/>
  <c r="E9" i="2"/>
  <c r="F9" i="2"/>
  <c r="B10" i="2"/>
  <c r="C10" i="2"/>
  <c r="D10" i="2"/>
  <c r="E10" i="2"/>
  <c r="F10" i="2"/>
  <c r="B11" i="2"/>
  <c r="C11" i="2"/>
  <c r="D11" i="2"/>
  <c r="E11" i="2"/>
  <c r="F11" i="2"/>
  <c r="B12" i="2"/>
  <c r="C12" i="2"/>
  <c r="D12" i="2"/>
  <c r="E12" i="2"/>
  <c r="F12" i="2"/>
  <c r="B13" i="2"/>
  <c r="C13" i="2"/>
  <c r="D13" i="2"/>
  <c r="E13" i="2"/>
  <c r="F13" i="2"/>
  <c r="B14" i="2"/>
  <c r="C14" i="2"/>
  <c r="D14" i="2"/>
  <c r="E14" i="2"/>
  <c r="F14" i="2"/>
  <c r="B15" i="2"/>
  <c r="C15" i="2"/>
  <c r="D15" i="2"/>
  <c r="E15" i="2"/>
  <c r="F15" i="2"/>
  <c r="B16" i="2"/>
  <c r="C16" i="2"/>
  <c r="D16" i="2"/>
  <c r="E16" i="2"/>
  <c r="F16" i="2"/>
  <c r="B17" i="2"/>
  <c r="C17" i="2"/>
  <c r="D17" i="2"/>
  <c r="E17" i="2"/>
  <c r="F17" i="2"/>
  <c r="B18" i="2"/>
  <c r="C18" i="2"/>
  <c r="D18" i="2"/>
  <c r="E18" i="2"/>
  <c r="F18" i="2"/>
  <c r="B19" i="2"/>
  <c r="C19" i="2"/>
  <c r="D19" i="2"/>
  <c r="E19" i="2"/>
  <c r="F19" i="2"/>
  <c r="B20" i="2"/>
  <c r="C20" i="2"/>
  <c r="D20" i="2"/>
  <c r="E20" i="2"/>
  <c r="F20" i="2"/>
  <c r="B21" i="2"/>
  <c r="C21" i="2"/>
  <c r="D21" i="2"/>
  <c r="E21" i="2"/>
  <c r="F21" i="2"/>
  <c r="B22" i="2"/>
  <c r="C22" i="2"/>
  <c r="D22" i="2"/>
  <c r="E22" i="2"/>
  <c r="F22" i="2"/>
  <c r="B23" i="2"/>
  <c r="C23" i="2"/>
  <c r="D23" i="2"/>
  <c r="E23" i="2"/>
  <c r="F23" i="2"/>
  <c r="B24" i="2"/>
  <c r="C24" i="2"/>
  <c r="D24" i="2"/>
  <c r="E24" i="2"/>
  <c r="F24" i="2"/>
  <c r="B25" i="2"/>
  <c r="C25" i="2"/>
  <c r="D25" i="2"/>
  <c r="E25" i="2"/>
  <c r="F25" i="2"/>
  <c r="B26" i="2"/>
  <c r="C26" i="2"/>
  <c r="D26" i="2"/>
  <c r="E26" i="2"/>
  <c r="F26" i="2"/>
  <c r="B27" i="2"/>
  <c r="C27" i="2"/>
  <c r="D27" i="2"/>
  <c r="E27" i="2"/>
  <c r="F27" i="2"/>
  <c r="B28" i="2"/>
  <c r="C28" i="2"/>
  <c r="D28" i="2"/>
  <c r="E28" i="2"/>
  <c r="F28" i="2"/>
  <c r="B29" i="2"/>
  <c r="C29" i="2"/>
  <c r="D29" i="2"/>
  <c r="E29" i="2"/>
  <c r="F29" i="2"/>
  <c r="B30" i="2"/>
  <c r="C30" i="2"/>
  <c r="D30" i="2"/>
  <c r="E30" i="2"/>
  <c r="F30" i="2"/>
  <c r="B31" i="2"/>
  <c r="C31" i="2"/>
  <c r="D31" i="2"/>
  <c r="E31" i="2"/>
  <c r="F31" i="2"/>
  <c r="B32" i="2"/>
  <c r="C32" i="2"/>
  <c r="D32" i="2"/>
  <c r="E32" i="2"/>
  <c r="F32" i="2"/>
  <c r="B33" i="2"/>
  <c r="C33" i="2"/>
  <c r="D33" i="2"/>
  <c r="E33" i="2"/>
  <c r="F33" i="2"/>
  <c r="B34" i="2"/>
  <c r="C34" i="2"/>
  <c r="D34" i="2"/>
  <c r="E34" i="2"/>
  <c r="F34" i="2"/>
  <c r="B35" i="2"/>
  <c r="C35" i="2"/>
  <c r="D35" i="2"/>
  <c r="E35" i="2"/>
  <c r="F35" i="2"/>
  <c r="B36" i="2"/>
  <c r="C36" i="2"/>
  <c r="D36" i="2"/>
  <c r="E36" i="2"/>
  <c r="F36" i="2"/>
  <c r="B37" i="2"/>
  <c r="C37" i="2"/>
  <c r="D37" i="2"/>
  <c r="E37" i="2"/>
  <c r="F37" i="2"/>
  <c r="B38" i="2"/>
  <c r="C38" i="2"/>
  <c r="D38" i="2"/>
  <c r="E38" i="2"/>
  <c r="F38" i="2"/>
  <c r="C2" i="2"/>
  <c r="D2" i="2"/>
  <c r="E2" i="2"/>
  <c r="F2" i="2"/>
  <c r="B2" i="2"/>
  <c r="B1" i="2"/>
  <c r="I86" i="6" l="1"/>
  <c r="I70" i="6"/>
  <c r="I21" i="6"/>
  <c r="I84" i="6"/>
  <c r="I65" i="6"/>
  <c r="I54" i="6"/>
  <c r="I39" i="6"/>
  <c r="I6" i="6"/>
  <c r="I89" i="6"/>
  <c r="I52" i="6"/>
  <c r="I43" i="6"/>
  <c r="I7" i="6"/>
  <c r="I66" i="6"/>
  <c r="I46" i="6"/>
  <c r="I24" i="6"/>
  <c r="I103" i="6"/>
  <c r="I34" i="6"/>
  <c r="I47" i="6"/>
  <c r="I15" i="6"/>
  <c r="I78" i="6"/>
  <c r="I41" i="6"/>
  <c r="I3" i="6"/>
  <c r="I72" i="6"/>
  <c r="I48" i="6"/>
  <c r="I20" i="6"/>
  <c r="I71" i="6"/>
  <c r="B11" i="6"/>
  <c r="G44" i="4" s="1"/>
  <c r="I49" i="6"/>
  <c r="I82" i="6"/>
  <c r="I23" i="6"/>
  <c r="I42" i="6"/>
  <c r="B12" i="6"/>
  <c r="G45" i="4" s="1"/>
  <c r="G38" i="4" s="1"/>
  <c r="D38" i="9" s="1"/>
  <c r="I67" i="6"/>
  <c r="I35" i="6"/>
  <c r="I96" i="6"/>
  <c r="I68" i="6"/>
  <c r="I40" i="6"/>
  <c r="I8" i="6"/>
  <c r="I87" i="6"/>
  <c r="I11" i="6"/>
  <c r="I50" i="6"/>
  <c r="I98" i="6"/>
  <c r="I27" i="6"/>
  <c r="I75" i="6"/>
  <c r="I69" i="6"/>
  <c r="I26" i="6"/>
  <c r="I99" i="6"/>
  <c r="I62" i="6"/>
  <c r="I19" i="6"/>
  <c r="I88" i="6"/>
  <c r="I64" i="6"/>
  <c r="I32" i="6"/>
  <c r="I4" i="6"/>
  <c r="I81" i="6"/>
  <c r="I22" i="6"/>
  <c r="I79" i="6"/>
  <c r="I29" i="6"/>
  <c r="I85" i="6"/>
  <c r="I97" i="6"/>
  <c r="I45" i="6"/>
  <c r="I63" i="6"/>
  <c r="I37" i="6"/>
  <c r="I5" i="6"/>
  <c r="I83" i="6"/>
  <c r="I57" i="6"/>
  <c r="I25" i="6"/>
  <c r="I100" i="6"/>
  <c r="I80" i="6"/>
  <c r="I56" i="6"/>
  <c r="I36" i="6"/>
  <c r="I16" i="6"/>
  <c r="I102" i="6"/>
  <c r="I74" i="6"/>
  <c r="I33" i="6"/>
  <c r="I93" i="6"/>
  <c r="I61" i="6"/>
  <c r="I18" i="6"/>
  <c r="I91" i="6"/>
  <c r="I59" i="6"/>
  <c r="I17" i="6"/>
  <c r="I90" i="6"/>
  <c r="I55" i="6"/>
  <c r="I13" i="6"/>
  <c r="I53" i="6"/>
  <c r="I31" i="6"/>
  <c r="I10" i="6"/>
  <c r="I94" i="6"/>
  <c r="I73" i="6"/>
  <c r="I51" i="6"/>
  <c r="I30" i="6"/>
  <c r="I9" i="6"/>
  <c r="I92" i="6"/>
  <c r="I76" i="6"/>
  <c r="I60" i="6"/>
  <c r="I44" i="6"/>
  <c r="I28" i="6"/>
  <c r="G6" i="6"/>
  <c r="G93" i="6"/>
  <c r="G100" i="6"/>
  <c r="G25" i="6"/>
  <c r="G86" i="6"/>
  <c r="G61" i="6"/>
  <c r="G72" i="6"/>
  <c r="G4" i="6"/>
  <c r="G92" i="6"/>
  <c r="G78" i="6"/>
  <c r="G64" i="6"/>
  <c r="G49" i="6"/>
  <c r="G35" i="6"/>
  <c r="G21" i="6"/>
  <c r="G52" i="6"/>
  <c r="G38" i="6"/>
  <c r="G24" i="6"/>
  <c r="G9" i="6"/>
  <c r="G10" i="6"/>
  <c r="G26" i="6"/>
  <c r="G42" i="6"/>
  <c r="G58" i="6"/>
  <c r="G74" i="6"/>
  <c r="G90" i="6"/>
  <c r="G76" i="6"/>
  <c r="G62" i="6"/>
  <c r="G48" i="6"/>
  <c r="G33" i="6"/>
  <c r="G19" i="6"/>
  <c r="G60" i="6"/>
  <c r="G46" i="6"/>
  <c r="G32" i="6"/>
  <c r="G17" i="6"/>
  <c r="G3" i="6"/>
  <c r="G91" i="6"/>
  <c r="G77" i="6"/>
  <c r="G20" i="6"/>
  <c r="G15" i="6"/>
  <c r="G31" i="6"/>
  <c r="G47" i="6"/>
  <c r="G63" i="6"/>
  <c r="G79" i="6"/>
  <c r="G95" i="6"/>
  <c r="G101" i="6"/>
  <c r="G44" i="6"/>
  <c r="G30" i="6"/>
  <c r="G16" i="6"/>
  <c r="G75" i="6"/>
  <c r="G54" i="6"/>
  <c r="G57" i="6"/>
  <c r="G68" i="6"/>
  <c r="G29" i="6"/>
  <c r="G40" i="6"/>
  <c r="G11" i="6"/>
  <c r="G99" i="6"/>
  <c r="G85" i="6"/>
  <c r="G28" i="6"/>
  <c r="G14" i="6"/>
  <c r="G102" i="6"/>
  <c r="G88" i="6"/>
  <c r="G73" i="6"/>
  <c r="G59" i="6"/>
  <c r="G45" i="6"/>
  <c r="G18" i="6"/>
  <c r="G34" i="6"/>
  <c r="G50" i="6"/>
  <c r="G66" i="6"/>
  <c r="G82" i="6"/>
  <c r="G98" i="6"/>
  <c r="G97" i="6"/>
  <c r="G83" i="6"/>
  <c r="G69" i="6"/>
  <c r="G12" i="6"/>
  <c r="G22" i="6"/>
  <c r="G43" i="6"/>
  <c r="G89" i="6"/>
  <c r="G36" i="6"/>
  <c r="G8" i="6"/>
  <c r="G96" i="6"/>
  <c r="G81" i="6"/>
  <c r="G67" i="6"/>
  <c r="G53" i="6"/>
  <c r="G84" i="6"/>
  <c r="G70" i="6"/>
  <c r="G56" i="6"/>
  <c r="G41" i="6"/>
  <c r="G27" i="6"/>
  <c r="G13" i="6"/>
  <c r="G7" i="6"/>
  <c r="G23" i="6"/>
  <c r="G39" i="6"/>
  <c r="G55" i="6"/>
  <c r="G71" i="6"/>
  <c r="G87" i="6"/>
  <c r="G103" i="6"/>
  <c r="G94" i="6"/>
  <c r="G80" i="6"/>
  <c r="G65" i="6"/>
  <c r="G51" i="6"/>
  <c r="G37" i="6"/>
  <c r="G5" i="6"/>
  <c r="G22" i="4"/>
  <c r="D22" i="9" s="1"/>
  <c r="G21" i="4"/>
  <c r="D21" i="9" s="1"/>
  <c r="H18" i="5"/>
  <c r="H19" i="5"/>
  <c r="H17" i="5"/>
  <c r="H4" i="5"/>
  <c r="H5" i="5" s="1"/>
  <c r="H13" i="5"/>
  <c r="G36" i="4" l="1"/>
  <c r="D36" i="9" s="1"/>
  <c r="G10" i="4"/>
  <c r="D10" i="9" s="1"/>
  <c r="G35" i="4"/>
  <c r="D35" i="9" s="1"/>
  <c r="G23" i="4"/>
  <c r="D23" i="9" s="1"/>
  <c r="G15" i="4"/>
  <c r="D15" i="9" s="1"/>
  <c r="G6" i="4"/>
  <c r="D6" i="9" s="1"/>
  <c r="G8" i="4"/>
  <c r="D8" i="9" s="1"/>
  <c r="G3" i="4"/>
  <c r="G24" i="4"/>
  <c r="D24" i="9" s="1"/>
  <c r="G12" i="4"/>
  <c r="D12" i="9" s="1"/>
  <c r="G37" i="4"/>
  <c r="D37" i="9" s="1"/>
  <c r="G16" i="4"/>
  <c r="D16" i="9" s="1"/>
  <c r="G31" i="4"/>
  <c r="D31" i="9" s="1"/>
  <c r="G9" i="4"/>
  <c r="D9" i="9" s="1"/>
  <c r="G34" i="4"/>
  <c r="D34" i="9" s="1"/>
  <c r="G18" i="4"/>
  <c r="D18" i="9" s="1"/>
  <c r="G28" i="4"/>
  <c r="D28" i="9" s="1"/>
  <c r="G13" i="4"/>
  <c r="D13" i="9" s="1"/>
  <c r="G29" i="4"/>
  <c r="D29" i="9" s="1"/>
  <c r="G32" i="4"/>
  <c r="D32" i="9" s="1"/>
  <c r="G11" i="4"/>
  <c r="D11" i="9" s="1"/>
  <c r="G25" i="4"/>
  <c r="D25" i="9" s="1"/>
  <c r="G4" i="4"/>
  <c r="D4" i="9" s="1"/>
  <c r="G30" i="4"/>
  <c r="D30" i="9" s="1"/>
  <c r="G14" i="4"/>
  <c r="D14" i="9" s="1"/>
  <c r="G17" i="4"/>
  <c r="D17" i="9" s="1"/>
  <c r="G33" i="4"/>
  <c r="D33" i="9" s="1"/>
  <c r="G19" i="4"/>
  <c r="D19" i="9" s="1"/>
  <c r="G27" i="4"/>
  <c r="D27" i="9" s="1"/>
  <c r="G5" i="4"/>
  <c r="D5" i="9" s="1"/>
  <c r="G20" i="4"/>
  <c r="D20" i="9" s="1"/>
  <c r="G7" i="4"/>
  <c r="D7" i="9" s="1"/>
  <c r="G26" i="4"/>
  <c r="D26" i="9" s="1"/>
  <c r="G41" i="4" l="1"/>
  <c r="C9" i="10" s="1"/>
  <c r="F9" i="10" s="1"/>
  <c r="D3" i="9"/>
  <c r="H11" i="9" s="1"/>
  <c r="G40" i="4"/>
  <c r="G42" i="4"/>
  <c r="G43" i="4" s="1"/>
  <c r="H6" i="9" l="1"/>
  <c r="H3" i="9"/>
  <c r="H12" i="9"/>
  <c r="H17" i="9" s="1"/>
  <c r="H7" i="9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H4" i="9" l="1"/>
  <c r="H5" i="9" s="1"/>
  <c r="H13" i="9"/>
  <c r="H19" i="9"/>
  <c r="E9" i="10"/>
  <c r="G9" i="10" s="1"/>
  <c r="H9" i="10" s="1"/>
  <c r="H18" i="9"/>
</calcChain>
</file>

<file path=xl/sharedStrings.xml><?xml version="1.0" encoding="utf-8"?>
<sst xmlns="http://schemas.openxmlformats.org/spreadsheetml/2006/main" count="176" uniqueCount="73">
  <si>
    <t>Date</t>
  </si>
  <si>
    <t>Open</t>
  </si>
  <si>
    <t>High</t>
  </si>
  <si>
    <t>Low</t>
  </si>
  <si>
    <t>Close</t>
  </si>
  <si>
    <t>Volume</t>
  </si>
  <si>
    <t>Div</t>
  </si>
  <si>
    <t>Split</t>
  </si>
  <si>
    <t>CSX</t>
  </si>
  <si>
    <t>CSX Corporation</t>
  </si>
  <si>
    <t>Standard &amp; Poor 500</t>
  </si>
  <si>
    <t>3 Month T-Bill</t>
  </si>
  <si>
    <t>Rate</t>
  </si>
  <si>
    <t>TB3MS</t>
  </si>
  <si>
    <t>*</t>
  </si>
  <si>
    <t>Data from Yahoo Finance</t>
  </si>
  <si>
    <t>https://finance.yahoo.com/quote/CSX/history</t>
  </si>
  <si>
    <t>https://finance.yahoo.com/quote/^GSPC/history</t>
  </si>
  <si>
    <t>Federal Reserve of St. Louis</t>
  </si>
  <si>
    <t>https://fred.stlouisfed.org/series/TB3MS</t>
  </si>
  <si>
    <t>Rates of Return</t>
  </si>
  <si>
    <t>N:</t>
  </si>
  <si>
    <t>Mean:</t>
  </si>
  <si>
    <t>Market Model</t>
  </si>
  <si>
    <t>Regression Statistics</t>
  </si>
  <si>
    <t>Multiple R</t>
  </si>
  <si>
    <t>R Square</t>
  </si>
  <si>
    <t>Adjusted R Square</t>
  </si>
  <si>
    <t>Standard Error</t>
  </si>
  <si>
    <t>Observations</t>
  </si>
  <si>
    <t>Estimated Parameters</t>
  </si>
  <si>
    <t>rho</t>
  </si>
  <si>
    <t>RR</t>
  </si>
  <si>
    <t>N</t>
  </si>
  <si>
    <t>k</t>
  </si>
  <si>
    <t>Regression Coefficients</t>
  </si>
  <si>
    <t>Alpha</t>
  </si>
  <si>
    <t>Beta</t>
  </si>
  <si>
    <t>Characteristic Line</t>
  </si>
  <si>
    <t>Rm</t>
  </si>
  <si>
    <t>E[R]</t>
  </si>
  <si>
    <t>Minimum</t>
  </si>
  <si>
    <t>Mean</t>
  </si>
  <si>
    <t>Maximum</t>
  </si>
  <si>
    <t>alpha</t>
  </si>
  <si>
    <t>beta</t>
  </si>
  <si>
    <t>t Statistics</t>
  </si>
  <si>
    <t>CSCO</t>
  </si>
  <si>
    <t>https://finance.yahoo.com/quote/CSCO/history</t>
  </si>
  <si>
    <t>Standard Deviaton:</t>
  </si>
  <si>
    <t>Correlation Coefficient:</t>
  </si>
  <si>
    <t>Risk</t>
  </si>
  <si>
    <t>EPF</t>
  </si>
  <si>
    <t>Inputs</t>
  </si>
  <si>
    <t>Minimum Variance Portfolio</t>
  </si>
  <si>
    <t>Minimum Variance:</t>
  </si>
  <si>
    <t>Observation:</t>
  </si>
  <si>
    <t>50/50 Portfolio</t>
  </si>
  <si>
    <t>MVP</t>
  </si>
  <si>
    <t>Portfolios</t>
  </si>
  <si>
    <t>Efficient Portfolio Frontier</t>
  </si>
  <si>
    <t>Cisco Systems</t>
  </si>
  <si>
    <t>Capital Asset Pricing Model</t>
  </si>
  <si>
    <t>Asset</t>
  </si>
  <si>
    <t>Cisco System</t>
  </si>
  <si>
    <t>SML Calculations (Annual Returns)</t>
  </si>
  <si>
    <t>Observed Annual</t>
  </si>
  <si>
    <t>Calculated</t>
  </si>
  <si>
    <t>Abnormal</t>
  </si>
  <si>
    <t>Observed Monthly Return</t>
  </si>
  <si>
    <t>S&amp;P 500</t>
  </si>
  <si>
    <t>Coefficient of Variation</t>
  </si>
  <si>
    <t>CSX Corporation January 2016 - January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</si>
</sst>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0.000%"/>
    <numFmt numFmtId="165" formatCode="[$-409]mmmm\-yy;@"/>
    <numFmt numFmtId="166" formatCode="0.000"/>
    <numFmt numFmtId="167" formatCode="0.00000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color indexed="16"/>
      <name val="Calibri"/>
      <family val="2"/>
      <scheme val="minor"/>
    </font>
    <font>
      <sz val="11"/>
      <color indexed="12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16"/>
      <name val="Calibri"/>
      <family val="2"/>
      <scheme val="minor"/>
    </font>
    <font>
      <sz val="11"/>
      <color indexed="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17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rgb="FF8E0000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8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16"/>
      </top>
      <bottom style="medium">
        <color indexed="16"/>
      </bottom>
      <diagonal/>
    </border>
    <border>
      <left/>
      <right/>
      <top/>
      <bottom style="medium">
        <color indexed="16"/>
      </bottom>
      <diagonal/>
    </border>
    <border>
      <left/>
      <right/>
      <top style="medium">
        <color indexed="16"/>
      </top>
      <bottom/>
      <diagonal/>
    </border>
    <border>
      <left/>
      <right/>
      <top style="medium">
        <color indexed="8"/>
      </top>
      <bottom style="medium">
        <color indexed="16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60">
    <xf numFmtId="0" fontId="0" fillId="0" borderId="0" xfId="0"/>
    <xf numFmtId="1" fontId="0" fillId="0" borderId="0" xfId="0" applyNumberFormat="1"/>
    <xf numFmtId="1" fontId="0" fillId="0" borderId="0" xfId="1" applyNumberFormat="1" applyFont="1"/>
    <xf numFmtId="0" fontId="0" fillId="0" borderId="0" xfId="0" applyAlignment="1">
      <alignment horizontal="right"/>
    </xf>
    <xf numFmtId="0" fontId="2" fillId="0" borderId="0" xfId="0" applyFont="1"/>
    <xf numFmtId="0" fontId="3" fillId="2" borderId="1" xfId="0" applyFont="1" applyFill="1" applyBorder="1"/>
    <xf numFmtId="1" fontId="3" fillId="2" borderId="1" xfId="0" applyNumberFormat="1" applyFont="1" applyFill="1" applyBorder="1"/>
    <xf numFmtId="0" fontId="4" fillId="0" borderId="3" xfId="0" applyFont="1" applyFill="1" applyBorder="1"/>
    <xf numFmtId="1" fontId="4" fillId="0" borderId="3" xfId="0" applyNumberFormat="1" applyFont="1" applyFill="1" applyBorder="1"/>
    <xf numFmtId="44" fontId="5" fillId="0" borderId="0" xfId="1" applyFont="1" applyFill="1"/>
    <xf numFmtId="3" fontId="5" fillId="0" borderId="0" xfId="0" applyNumberFormat="1" applyFont="1" applyFill="1"/>
    <xf numFmtId="0" fontId="5" fillId="0" borderId="0" xfId="0" applyFont="1" applyFill="1"/>
    <xf numFmtId="0" fontId="8" fillId="0" borderId="2" xfId="0" applyFont="1" applyFill="1" applyBorder="1"/>
    <xf numFmtId="0" fontId="7" fillId="0" borderId="4" xfId="0" applyFont="1" applyFill="1" applyBorder="1"/>
    <xf numFmtId="17" fontId="0" fillId="0" borderId="0" xfId="0" applyNumberFormat="1"/>
    <xf numFmtId="164" fontId="0" fillId="0" borderId="0" xfId="2" applyNumberFormat="1" applyFont="1"/>
    <xf numFmtId="164" fontId="0" fillId="0" borderId="0" xfId="0" applyNumberFormat="1"/>
    <xf numFmtId="165" fontId="0" fillId="0" borderId="0" xfId="0" applyNumberFormat="1"/>
    <xf numFmtId="165" fontId="6" fillId="0" borderId="0" xfId="0" applyNumberFormat="1" applyFont="1" applyFill="1" applyBorder="1"/>
    <xf numFmtId="0" fontId="9" fillId="0" borderId="0" xfId="3"/>
    <xf numFmtId="2" fontId="5" fillId="0" borderId="0" xfId="0" applyNumberFormat="1" applyFont="1" applyFill="1"/>
    <xf numFmtId="165" fontId="5" fillId="0" borderId="0" xfId="0" applyNumberFormat="1" applyFont="1" applyFill="1"/>
    <xf numFmtId="164" fontId="10" fillId="0" borderId="0" xfId="2" applyNumberFormat="1" applyFont="1" applyFill="1"/>
    <xf numFmtId="0" fontId="2" fillId="0" borderId="0" xfId="0" applyFont="1" applyAlignment="1">
      <alignment horizontal="right"/>
    </xf>
    <xf numFmtId="0" fontId="0" fillId="0" borderId="0" xfId="0" applyFill="1" applyBorder="1" applyAlignment="1"/>
    <xf numFmtId="44" fontId="10" fillId="0" borderId="0" xfId="1" applyFont="1" applyFill="1"/>
    <xf numFmtId="14" fontId="12" fillId="0" borderId="0" xfId="0" applyNumberFormat="1" applyFont="1"/>
    <xf numFmtId="44" fontId="12" fillId="0" borderId="0" xfId="1" applyFont="1"/>
    <xf numFmtId="3" fontId="12" fillId="0" borderId="0" xfId="0" applyNumberFormat="1" applyFont="1"/>
    <xf numFmtId="0" fontId="3" fillId="2" borderId="2" xfId="0" applyFont="1" applyFill="1" applyBorder="1"/>
    <xf numFmtId="0" fontId="4" fillId="0" borderId="4" xfId="0" applyFont="1" applyFill="1" applyBorder="1"/>
    <xf numFmtId="1" fontId="4" fillId="0" borderId="4" xfId="0" applyNumberFormat="1" applyFont="1" applyFill="1" applyBorder="1"/>
    <xf numFmtId="1" fontId="3" fillId="2" borderId="2" xfId="0" applyNumberFormat="1" applyFont="1" applyFill="1" applyBorder="1"/>
    <xf numFmtId="9" fontId="0" fillId="0" borderId="0" xfId="2" applyFont="1"/>
    <xf numFmtId="0" fontId="10" fillId="0" borderId="0" xfId="0" applyFont="1" applyFill="1" applyBorder="1"/>
    <xf numFmtId="164" fontId="10" fillId="0" borderId="0" xfId="2" applyNumberFormat="1" applyFont="1" applyFill="1" applyBorder="1"/>
    <xf numFmtId="9" fontId="0" fillId="0" borderId="0" xfId="0" applyNumberFormat="1"/>
    <xf numFmtId="9" fontId="14" fillId="0" borderId="0" xfId="2" applyFont="1"/>
    <xf numFmtId="9" fontId="12" fillId="0" borderId="0" xfId="0" applyNumberFormat="1" applyFont="1"/>
    <xf numFmtId="0" fontId="0" fillId="0" borderId="0" xfId="0" applyBorder="1"/>
    <xf numFmtId="0" fontId="11" fillId="0" borderId="0" xfId="0" applyFont="1" applyFill="1" applyBorder="1" applyAlignment="1">
      <alignment horizontal="centerContinuous"/>
    </xf>
    <xf numFmtId="0" fontId="11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wrapText="1"/>
    </xf>
    <xf numFmtId="0" fontId="10" fillId="0" borderId="0" xfId="0" applyFont="1" applyFill="1"/>
    <xf numFmtId="166" fontId="10" fillId="0" borderId="0" xfId="0" applyNumberFormat="1" applyFont="1" applyFill="1"/>
    <xf numFmtId="167" fontId="0" fillId="0" borderId="0" xfId="2" applyNumberFormat="1" applyFont="1"/>
    <xf numFmtId="0" fontId="3" fillId="2" borderId="2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 vertical="center"/>
    </xf>
    <xf numFmtId="0" fontId="13" fillId="3" borderId="0" xfId="0" applyFont="1" applyFill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8E0000"/>
      <color rgb="FF9A0000"/>
      <color rgb="FF0000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Candlestick!$H$1</c:f>
          <c:strCache>
            <c:ptCount val="1"/>
            <c:pt idx="0">
              <c:v>CSX Corporation January 2016 - January 2019</c:v>
            </c:pt>
          </c:strCache>
        </c:strRef>
      </c:tx>
      <c:layout>
        <c:manualLayout>
          <c:xMode val="edge"/>
          <c:yMode val="edge"/>
          <c:x val="6.0823710552803771E-2"/>
          <c:y val="3.46336182775015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9A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Candlestick!$C$2</c:f>
              <c:strCache>
                <c:ptCount val="1"/>
                <c:pt idx="0">
                  <c:v>Open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Candlestick!$B$3:$B$39</c:f>
              <c:numCache>
                <c:formatCode>[$-409]mmmm\-yy;@</c:formatCode>
                <c:ptCount val="37"/>
                <c:pt idx="0">
                  <c:v>43466</c:v>
                </c:pt>
                <c:pt idx="1">
                  <c:v>43435</c:v>
                </c:pt>
                <c:pt idx="2">
                  <c:v>43405</c:v>
                </c:pt>
                <c:pt idx="3">
                  <c:v>43374</c:v>
                </c:pt>
                <c:pt idx="4">
                  <c:v>43344</c:v>
                </c:pt>
                <c:pt idx="5">
                  <c:v>43313</c:v>
                </c:pt>
                <c:pt idx="6">
                  <c:v>43282</c:v>
                </c:pt>
                <c:pt idx="7">
                  <c:v>43252</c:v>
                </c:pt>
                <c:pt idx="8">
                  <c:v>43221</c:v>
                </c:pt>
                <c:pt idx="9">
                  <c:v>43191</c:v>
                </c:pt>
                <c:pt idx="10">
                  <c:v>43160</c:v>
                </c:pt>
                <c:pt idx="11">
                  <c:v>43132</c:v>
                </c:pt>
                <c:pt idx="12">
                  <c:v>43101</c:v>
                </c:pt>
                <c:pt idx="13">
                  <c:v>43070</c:v>
                </c:pt>
                <c:pt idx="14">
                  <c:v>43040</c:v>
                </c:pt>
                <c:pt idx="15">
                  <c:v>43009</c:v>
                </c:pt>
                <c:pt idx="16">
                  <c:v>42979</c:v>
                </c:pt>
                <c:pt idx="17">
                  <c:v>42948</c:v>
                </c:pt>
                <c:pt idx="18">
                  <c:v>42917</c:v>
                </c:pt>
                <c:pt idx="19">
                  <c:v>42887</c:v>
                </c:pt>
                <c:pt idx="20">
                  <c:v>42856</c:v>
                </c:pt>
                <c:pt idx="21">
                  <c:v>42826</c:v>
                </c:pt>
                <c:pt idx="22">
                  <c:v>42795</c:v>
                </c:pt>
                <c:pt idx="23">
                  <c:v>42767</c:v>
                </c:pt>
                <c:pt idx="24">
                  <c:v>42736</c:v>
                </c:pt>
                <c:pt idx="25">
                  <c:v>42705</c:v>
                </c:pt>
                <c:pt idx="26">
                  <c:v>42675</c:v>
                </c:pt>
                <c:pt idx="27">
                  <c:v>42644</c:v>
                </c:pt>
                <c:pt idx="28">
                  <c:v>42614</c:v>
                </c:pt>
                <c:pt idx="29">
                  <c:v>42583</c:v>
                </c:pt>
                <c:pt idx="30">
                  <c:v>42552</c:v>
                </c:pt>
                <c:pt idx="31">
                  <c:v>42522</c:v>
                </c:pt>
                <c:pt idx="32">
                  <c:v>42491</c:v>
                </c:pt>
                <c:pt idx="33">
                  <c:v>42461</c:v>
                </c:pt>
                <c:pt idx="34">
                  <c:v>42430</c:v>
                </c:pt>
                <c:pt idx="35">
                  <c:v>42401</c:v>
                </c:pt>
                <c:pt idx="36">
                  <c:v>42370</c:v>
                </c:pt>
              </c:numCache>
            </c:numRef>
          </c:cat>
          <c:val>
            <c:numRef>
              <c:f>Candlestick!$C$3:$C$39</c:f>
              <c:numCache>
                <c:formatCode>_("$"* #,##0.00_);_("$"* \(#,##0.00\);_("$"* "-"??_);_(@_)</c:formatCode>
                <c:ptCount val="37"/>
                <c:pt idx="0">
                  <c:v>60.759998000000003</c:v>
                </c:pt>
                <c:pt idx="1">
                  <c:v>73.809997999999993</c:v>
                </c:pt>
                <c:pt idx="2">
                  <c:v>69.129997000000003</c:v>
                </c:pt>
                <c:pt idx="3">
                  <c:v>74.379997000000003</c:v>
                </c:pt>
                <c:pt idx="4">
                  <c:v>74.160004000000001</c:v>
                </c:pt>
                <c:pt idx="5">
                  <c:v>70.739998</c:v>
                </c:pt>
                <c:pt idx="6">
                  <c:v>63.540000999999997</c:v>
                </c:pt>
                <c:pt idx="7">
                  <c:v>65.220000999999996</c:v>
                </c:pt>
                <c:pt idx="8">
                  <c:v>59.290000999999997</c:v>
                </c:pt>
                <c:pt idx="9">
                  <c:v>55.48</c:v>
                </c:pt>
                <c:pt idx="10">
                  <c:v>53.950001</c:v>
                </c:pt>
                <c:pt idx="11">
                  <c:v>56.099997999999999</c:v>
                </c:pt>
                <c:pt idx="12">
                  <c:v>55.630001</c:v>
                </c:pt>
                <c:pt idx="13">
                  <c:v>55.23</c:v>
                </c:pt>
                <c:pt idx="14">
                  <c:v>50.73</c:v>
                </c:pt>
                <c:pt idx="15">
                  <c:v>52.810001</c:v>
                </c:pt>
                <c:pt idx="16">
                  <c:v>50.380001</c:v>
                </c:pt>
                <c:pt idx="17">
                  <c:v>49.290000999999997</c:v>
                </c:pt>
                <c:pt idx="18">
                  <c:v>54.75</c:v>
                </c:pt>
                <c:pt idx="19">
                  <c:v>54.209999000000003</c:v>
                </c:pt>
                <c:pt idx="20">
                  <c:v>50.869999</c:v>
                </c:pt>
                <c:pt idx="21">
                  <c:v>46.66</c:v>
                </c:pt>
                <c:pt idx="22">
                  <c:v>49.200001</c:v>
                </c:pt>
                <c:pt idx="23">
                  <c:v>46.549999</c:v>
                </c:pt>
                <c:pt idx="24">
                  <c:v>36.150002000000001</c:v>
                </c:pt>
                <c:pt idx="25">
                  <c:v>36.07</c:v>
                </c:pt>
                <c:pt idx="26">
                  <c:v>30.639999</c:v>
                </c:pt>
                <c:pt idx="27">
                  <c:v>30.33</c:v>
                </c:pt>
                <c:pt idx="28">
                  <c:v>28.370000999999998</c:v>
                </c:pt>
                <c:pt idx="29">
                  <c:v>28.33</c:v>
                </c:pt>
                <c:pt idx="30">
                  <c:v>26.110001</c:v>
                </c:pt>
                <c:pt idx="31">
                  <c:v>26.18</c:v>
                </c:pt>
                <c:pt idx="32">
                  <c:v>27.27</c:v>
                </c:pt>
                <c:pt idx="33">
                  <c:v>25.639999</c:v>
                </c:pt>
                <c:pt idx="34">
                  <c:v>24.450001</c:v>
                </c:pt>
                <c:pt idx="35">
                  <c:v>22.6</c:v>
                </c:pt>
                <c:pt idx="36">
                  <c:v>25.370000999999998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1B-4073-AAC0-A6ABC04C4588}"/>
            </c:ext>
          </c:extLst>
        </c:ser>
        <c:ser>
          <c:idx val="1"/>
          <c:order val="1"/>
          <c:tx>
            <c:strRef>
              <c:f>Candlestick!$D$2</c:f>
              <c:strCache>
                <c:ptCount val="1"/>
                <c:pt idx="0">
                  <c:v>High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Candlestick!$B$3:$B$39</c:f>
              <c:numCache>
                <c:formatCode>[$-409]mmmm\-yy;@</c:formatCode>
                <c:ptCount val="37"/>
                <c:pt idx="0">
                  <c:v>43466</c:v>
                </c:pt>
                <c:pt idx="1">
                  <c:v>43435</c:v>
                </c:pt>
                <c:pt idx="2">
                  <c:v>43405</c:v>
                </c:pt>
                <c:pt idx="3">
                  <c:v>43374</c:v>
                </c:pt>
                <c:pt idx="4">
                  <c:v>43344</c:v>
                </c:pt>
                <c:pt idx="5">
                  <c:v>43313</c:v>
                </c:pt>
                <c:pt idx="6">
                  <c:v>43282</c:v>
                </c:pt>
                <c:pt idx="7">
                  <c:v>43252</c:v>
                </c:pt>
                <c:pt idx="8">
                  <c:v>43221</c:v>
                </c:pt>
                <c:pt idx="9">
                  <c:v>43191</c:v>
                </c:pt>
                <c:pt idx="10">
                  <c:v>43160</c:v>
                </c:pt>
                <c:pt idx="11">
                  <c:v>43132</c:v>
                </c:pt>
                <c:pt idx="12">
                  <c:v>43101</c:v>
                </c:pt>
                <c:pt idx="13">
                  <c:v>43070</c:v>
                </c:pt>
                <c:pt idx="14">
                  <c:v>43040</c:v>
                </c:pt>
                <c:pt idx="15">
                  <c:v>43009</c:v>
                </c:pt>
                <c:pt idx="16">
                  <c:v>42979</c:v>
                </c:pt>
                <c:pt idx="17">
                  <c:v>42948</c:v>
                </c:pt>
                <c:pt idx="18">
                  <c:v>42917</c:v>
                </c:pt>
                <c:pt idx="19">
                  <c:v>42887</c:v>
                </c:pt>
                <c:pt idx="20">
                  <c:v>42856</c:v>
                </c:pt>
                <c:pt idx="21">
                  <c:v>42826</c:v>
                </c:pt>
                <c:pt idx="22">
                  <c:v>42795</c:v>
                </c:pt>
                <c:pt idx="23">
                  <c:v>42767</c:v>
                </c:pt>
                <c:pt idx="24">
                  <c:v>42736</c:v>
                </c:pt>
                <c:pt idx="25">
                  <c:v>42705</c:v>
                </c:pt>
                <c:pt idx="26">
                  <c:v>42675</c:v>
                </c:pt>
                <c:pt idx="27">
                  <c:v>42644</c:v>
                </c:pt>
                <c:pt idx="28">
                  <c:v>42614</c:v>
                </c:pt>
                <c:pt idx="29">
                  <c:v>42583</c:v>
                </c:pt>
                <c:pt idx="30">
                  <c:v>42552</c:v>
                </c:pt>
                <c:pt idx="31">
                  <c:v>42522</c:v>
                </c:pt>
                <c:pt idx="32">
                  <c:v>42491</c:v>
                </c:pt>
                <c:pt idx="33">
                  <c:v>42461</c:v>
                </c:pt>
                <c:pt idx="34">
                  <c:v>42430</c:v>
                </c:pt>
                <c:pt idx="35">
                  <c:v>42401</c:v>
                </c:pt>
                <c:pt idx="36">
                  <c:v>42370</c:v>
                </c:pt>
              </c:numCache>
            </c:numRef>
          </c:cat>
          <c:val>
            <c:numRef>
              <c:f>Candlestick!$D$3:$D$39</c:f>
              <c:numCache>
                <c:formatCode>_("$"* #,##0.00_);_("$"* \(#,##0.00\);_("$"* "-"??_);_(@_)</c:formatCode>
                <c:ptCount val="37"/>
                <c:pt idx="0">
                  <c:v>67.769997000000004</c:v>
                </c:pt>
                <c:pt idx="1">
                  <c:v>73.900002000000001</c:v>
                </c:pt>
                <c:pt idx="2">
                  <c:v>73.610000999999997</c:v>
                </c:pt>
                <c:pt idx="3">
                  <c:v>75.660004000000001</c:v>
                </c:pt>
                <c:pt idx="4">
                  <c:v>74.910004000000001</c:v>
                </c:pt>
                <c:pt idx="5">
                  <c:v>76.239998</c:v>
                </c:pt>
                <c:pt idx="6">
                  <c:v>72.220000999999996</c:v>
                </c:pt>
                <c:pt idx="7">
                  <c:v>67.690002000000007</c:v>
                </c:pt>
                <c:pt idx="8">
                  <c:v>65.930000000000007</c:v>
                </c:pt>
                <c:pt idx="9">
                  <c:v>61.5</c:v>
                </c:pt>
                <c:pt idx="10">
                  <c:v>58.400002000000001</c:v>
                </c:pt>
                <c:pt idx="11">
                  <c:v>57.099997999999999</c:v>
                </c:pt>
                <c:pt idx="12">
                  <c:v>60.040000999999997</c:v>
                </c:pt>
                <c:pt idx="13">
                  <c:v>58.349997999999999</c:v>
                </c:pt>
                <c:pt idx="14">
                  <c:v>56.169998</c:v>
                </c:pt>
                <c:pt idx="15">
                  <c:v>54.990001999999997</c:v>
                </c:pt>
                <c:pt idx="16">
                  <c:v>54.299999</c:v>
                </c:pt>
                <c:pt idx="17">
                  <c:v>51.380001</c:v>
                </c:pt>
                <c:pt idx="18">
                  <c:v>55.48</c:v>
                </c:pt>
                <c:pt idx="19">
                  <c:v>55.060001</c:v>
                </c:pt>
                <c:pt idx="20">
                  <c:v>54.43</c:v>
                </c:pt>
                <c:pt idx="21">
                  <c:v>51.66</c:v>
                </c:pt>
                <c:pt idx="22">
                  <c:v>50.310001</c:v>
                </c:pt>
                <c:pt idx="23">
                  <c:v>49.599997999999999</c:v>
                </c:pt>
                <c:pt idx="24">
                  <c:v>49.130001</c:v>
                </c:pt>
                <c:pt idx="25">
                  <c:v>37.419998</c:v>
                </c:pt>
                <c:pt idx="26">
                  <c:v>36.090000000000003</c:v>
                </c:pt>
                <c:pt idx="27">
                  <c:v>31.73</c:v>
                </c:pt>
                <c:pt idx="28">
                  <c:v>30.6</c:v>
                </c:pt>
                <c:pt idx="29">
                  <c:v>28.879999000000002</c:v>
                </c:pt>
                <c:pt idx="30">
                  <c:v>29.41</c:v>
                </c:pt>
                <c:pt idx="31">
                  <c:v>27.41</c:v>
                </c:pt>
                <c:pt idx="32">
                  <c:v>27.540001</c:v>
                </c:pt>
                <c:pt idx="33">
                  <c:v>27.969999000000001</c:v>
                </c:pt>
                <c:pt idx="34">
                  <c:v>27.27</c:v>
                </c:pt>
                <c:pt idx="35">
                  <c:v>25.709999</c:v>
                </c:pt>
                <c:pt idx="36">
                  <c:v>25.99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1B-4073-AAC0-A6ABC04C4588}"/>
            </c:ext>
          </c:extLst>
        </c:ser>
        <c:ser>
          <c:idx val="2"/>
          <c:order val="2"/>
          <c:tx>
            <c:strRef>
              <c:f>Candlestick!$E$2</c:f>
              <c:strCache>
                <c:ptCount val="1"/>
                <c:pt idx="0">
                  <c:v>Low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Candlestick!$B$3:$B$39</c:f>
              <c:numCache>
                <c:formatCode>[$-409]mmmm\-yy;@</c:formatCode>
                <c:ptCount val="37"/>
                <c:pt idx="0">
                  <c:v>43466</c:v>
                </c:pt>
                <c:pt idx="1">
                  <c:v>43435</c:v>
                </c:pt>
                <c:pt idx="2">
                  <c:v>43405</c:v>
                </c:pt>
                <c:pt idx="3">
                  <c:v>43374</c:v>
                </c:pt>
                <c:pt idx="4">
                  <c:v>43344</c:v>
                </c:pt>
                <c:pt idx="5">
                  <c:v>43313</c:v>
                </c:pt>
                <c:pt idx="6">
                  <c:v>43282</c:v>
                </c:pt>
                <c:pt idx="7">
                  <c:v>43252</c:v>
                </c:pt>
                <c:pt idx="8">
                  <c:v>43221</c:v>
                </c:pt>
                <c:pt idx="9">
                  <c:v>43191</c:v>
                </c:pt>
                <c:pt idx="10">
                  <c:v>43160</c:v>
                </c:pt>
                <c:pt idx="11">
                  <c:v>43132</c:v>
                </c:pt>
                <c:pt idx="12">
                  <c:v>43101</c:v>
                </c:pt>
                <c:pt idx="13">
                  <c:v>43070</c:v>
                </c:pt>
                <c:pt idx="14">
                  <c:v>43040</c:v>
                </c:pt>
                <c:pt idx="15">
                  <c:v>43009</c:v>
                </c:pt>
                <c:pt idx="16">
                  <c:v>42979</c:v>
                </c:pt>
                <c:pt idx="17">
                  <c:v>42948</c:v>
                </c:pt>
                <c:pt idx="18">
                  <c:v>42917</c:v>
                </c:pt>
                <c:pt idx="19">
                  <c:v>42887</c:v>
                </c:pt>
                <c:pt idx="20">
                  <c:v>42856</c:v>
                </c:pt>
                <c:pt idx="21">
                  <c:v>42826</c:v>
                </c:pt>
                <c:pt idx="22">
                  <c:v>42795</c:v>
                </c:pt>
                <c:pt idx="23">
                  <c:v>42767</c:v>
                </c:pt>
                <c:pt idx="24">
                  <c:v>42736</c:v>
                </c:pt>
                <c:pt idx="25">
                  <c:v>42705</c:v>
                </c:pt>
                <c:pt idx="26">
                  <c:v>42675</c:v>
                </c:pt>
                <c:pt idx="27">
                  <c:v>42644</c:v>
                </c:pt>
                <c:pt idx="28">
                  <c:v>42614</c:v>
                </c:pt>
                <c:pt idx="29">
                  <c:v>42583</c:v>
                </c:pt>
                <c:pt idx="30">
                  <c:v>42552</c:v>
                </c:pt>
                <c:pt idx="31">
                  <c:v>42522</c:v>
                </c:pt>
                <c:pt idx="32">
                  <c:v>42491</c:v>
                </c:pt>
                <c:pt idx="33">
                  <c:v>42461</c:v>
                </c:pt>
                <c:pt idx="34">
                  <c:v>42430</c:v>
                </c:pt>
                <c:pt idx="35">
                  <c:v>42401</c:v>
                </c:pt>
                <c:pt idx="36">
                  <c:v>42370</c:v>
                </c:pt>
              </c:numCache>
            </c:numRef>
          </c:cat>
          <c:val>
            <c:numRef>
              <c:f>Candlestick!$E$3:$E$39</c:f>
              <c:numCache>
                <c:formatCode>_("$"* #,##0.00_);_("$"* \(#,##0.00\);_("$"* "-"??_);_(@_)</c:formatCode>
                <c:ptCount val="37"/>
                <c:pt idx="0">
                  <c:v>60.02</c:v>
                </c:pt>
                <c:pt idx="1">
                  <c:v>58.470001000000003</c:v>
                </c:pt>
                <c:pt idx="2">
                  <c:v>68.580001999999993</c:v>
                </c:pt>
                <c:pt idx="3">
                  <c:v>63.650002000000001</c:v>
                </c:pt>
                <c:pt idx="4">
                  <c:v>72.690002000000007</c:v>
                </c:pt>
                <c:pt idx="5">
                  <c:v>70.089995999999999</c:v>
                </c:pt>
                <c:pt idx="6">
                  <c:v>63.23</c:v>
                </c:pt>
                <c:pt idx="7">
                  <c:v>62.720001000000003</c:v>
                </c:pt>
                <c:pt idx="8">
                  <c:v>57.970001000000003</c:v>
                </c:pt>
                <c:pt idx="9">
                  <c:v>53.529998999999997</c:v>
                </c:pt>
                <c:pt idx="10">
                  <c:v>53.130001</c:v>
                </c:pt>
                <c:pt idx="11">
                  <c:v>48.43</c:v>
                </c:pt>
                <c:pt idx="12">
                  <c:v>55.02</c:v>
                </c:pt>
                <c:pt idx="13">
                  <c:v>51.5</c:v>
                </c:pt>
                <c:pt idx="14">
                  <c:v>48.259998000000003</c:v>
                </c:pt>
                <c:pt idx="15">
                  <c:v>50.389999000000003</c:v>
                </c:pt>
                <c:pt idx="16">
                  <c:v>48.689999</c:v>
                </c:pt>
                <c:pt idx="17">
                  <c:v>47.990001999999997</c:v>
                </c:pt>
                <c:pt idx="18">
                  <c:v>48.860000999999997</c:v>
                </c:pt>
                <c:pt idx="19">
                  <c:v>51.759998000000003</c:v>
                </c:pt>
                <c:pt idx="20">
                  <c:v>48.77</c:v>
                </c:pt>
                <c:pt idx="21">
                  <c:v>46.040000999999997</c:v>
                </c:pt>
                <c:pt idx="22">
                  <c:v>45.41</c:v>
                </c:pt>
                <c:pt idx="23">
                  <c:v>46.099997999999999</c:v>
                </c:pt>
                <c:pt idx="24">
                  <c:v>35.590000000000003</c:v>
                </c:pt>
                <c:pt idx="25">
                  <c:v>35.790000999999997</c:v>
                </c:pt>
                <c:pt idx="26">
                  <c:v>30.15</c:v>
                </c:pt>
                <c:pt idx="27">
                  <c:v>30.01</c:v>
                </c:pt>
                <c:pt idx="28">
                  <c:v>27.889999</c:v>
                </c:pt>
                <c:pt idx="29">
                  <c:v>27.459999</c:v>
                </c:pt>
                <c:pt idx="30">
                  <c:v>25.33</c:v>
                </c:pt>
                <c:pt idx="31">
                  <c:v>24.43</c:v>
                </c:pt>
                <c:pt idx="32">
                  <c:v>24.93</c:v>
                </c:pt>
                <c:pt idx="33">
                  <c:v>24.360001</c:v>
                </c:pt>
                <c:pt idx="34">
                  <c:v>24.26</c:v>
                </c:pt>
                <c:pt idx="35">
                  <c:v>21.639999</c:v>
                </c:pt>
                <c:pt idx="36">
                  <c:v>21.33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1B-4073-AAC0-A6ABC04C4588}"/>
            </c:ext>
          </c:extLst>
        </c:ser>
        <c:ser>
          <c:idx val="3"/>
          <c:order val="3"/>
          <c:tx>
            <c:strRef>
              <c:f>Candlestick!$F$2</c:f>
              <c:strCache>
                <c:ptCount val="1"/>
                <c:pt idx="0">
                  <c:v>Close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Candlestick!$B$3:$B$39</c:f>
              <c:numCache>
                <c:formatCode>[$-409]mmmm\-yy;@</c:formatCode>
                <c:ptCount val="37"/>
                <c:pt idx="0">
                  <c:v>43466</c:v>
                </c:pt>
                <c:pt idx="1">
                  <c:v>43435</c:v>
                </c:pt>
                <c:pt idx="2">
                  <c:v>43405</c:v>
                </c:pt>
                <c:pt idx="3">
                  <c:v>43374</c:v>
                </c:pt>
                <c:pt idx="4">
                  <c:v>43344</c:v>
                </c:pt>
                <c:pt idx="5">
                  <c:v>43313</c:v>
                </c:pt>
                <c:pt idx="6">
                  <c:v>43282</c:v>
                </c:pt>
                <c:pt idx="7">
                  <c:v>43252</c:v>
                </c:pt>
                <c:pt idx="8">
                  <c:v>43221</c:v>
                </c:pt>
                <c:pt idx="9">
                  <c:v>43191</c:v>
                </c:pt>
                <c:pt idx="10">
                  <c:v>43160</c:v>
                </c:pt>
                <c:pt idx="11">
                  <c:v>43132</c:v>
                </c:pt>
                <c:pt idx="12">
                  <c:v>43101</c:v>
                </c:pt>
                <c:pt idx="13">
                  <c:v>43070</c:v>
                </c:pt>
                <c:pt idx="14">
                  <c:v>43040</c:v>
                </c:pt>
                <c:pt idx="15">
                  <c:v>43009</c:v>
                </c:pt>
                <c:pt idx="16">
                  <c:v>42979</c:v>
                </c:pt>
                <c:pt idx="17">
                  <c:v>42948</c:v>
                </c:pt>
                <c:pt idx="18">
                  <c:v>42917</c:v>
                </c:pt>
                <c:pt idx="19">
                  <c:v>42887</c:v>
                </c:pt>
                <c:pt idx="20">
                  <c:v>42856</c:v>
                </c:pt>
                <c:pt idx="21">
                  <c:v>42826</c:v>
                </c:pt>
                <c:pt idx="22">
                  <c:v>42795</c:v>
                </c:pt>
                <c:pt idx="23">
                  <c:v>42767</c:v>
                </c:pt>
                <c:pt idx="24">
                  <c:v>42736</c:v>
                </c:pt>
                <c:pt idx="25">
                  <c:v>42705</c:v>
                </c:pt>
                <c:pt idx="26">
                  <c:v>42675</c:v>
                </c:pt>
                <c:pt idx="27">
                  <c:v>42644</c:v>
                </c:pt>
                <c:pt idx="28">
                  <c:v>42614</c:v>
                </c:pt>
                <c:pt idx="29">
                  <c:v>42583</c:v>
                </c:pt>
                <c:pt idx="30">
                  <c:v>42552</c:v>
                </c:pt>
                <c:pt idx="31">
                  <c:v>42522</c:v>
                </c:pt>
                <c:pt idx="32">
                  <c:v>42491</c:v>
                </c:pt>
                <c:pt idx="33">
                  <c:v>42461</c:v>
                </c:pt>
                <c:pt idx="34">
                  <c:v>42430</c:v>
                </c:pt>
                <c:pt idx="35">
                  <c:v>42401</c:v>
                </c:pt>
                <c:pt idx="36">
                  <c:v>42370</c:v>
                </c:pt>
              </c:numCache>
            </c:numRef>
          </c:cat>
          <c:val>
            <c:numRef>
              <c:f>Candlestick!$F$3:$F$39</c:f>
              <c:numCache>
                <c:formatCode>_("$"* #,##0.00_);_("$"* \(#,##0.00\);_("$"* "-"??_);_(@_)</c:formatCode>
                <c:ptCount val="37"/>
                <c:pt idx="0">
                  <c:v>65.699996999999996</c:v>
                </c:pt>
                <c:pt idx="1">
                  <c:v>62.130001</c:v>
                </c:pt>
                <c:pt idx="2">
                  <c:v>72.629997000000003</c:v>
                </c:pt>
                <c:pt idx="3">
                  <c:v>68.860000999999997</c:v>
                </c:pt>
                <c:pt idx="4">
                  <c:v>74.050003000000004</c:v>
                </c:pt>
                <c:pt idx="5">
                  <c:v>74.160004000000001</c:v>
                </c:pt>
                <c:pt idx="6">
                  <c:v>70.680000000000007</c:v>
                </c:pt>
                <c:pt idx="7">
                  <c:v>63.779998999999997</c:v>
                </c:pt>
                <c:pt idx="8">
                  <c:v>64.650002000000001</c:v>
                </c:pt>
                <c:pt idx="9">
                  <c:v>59.389999000000003</c:v>
                </c:pt>
                <c:pt idx="10">
                  <c:v>55.709999000000003</c:v>
                </c:pt>
                <c:pt idx="11">
                  <c:v>53.720001000000003</c:v>
                </c:pt>
                <c:pt idx="12">
                  <c:v>56.77</c:v>
                </c:pt>
                <c:pt idx="13">
                  <c:v>55.009998000000003</c:v>
                </c:pt>
                <c:pt idx="14">
                  <c:v>55.75</c:v>
                </c:pt>
                <c:pt idx="15">
                  <c:v>50.43</c:v>
                </c:pt>
                <c:pt idx="16">
                  <c:v>54.259998000000003</c:v>
                </c:pt>
                <c:pt idx="17">
                  <c:v>50.200001</c:v>
                </c:pt>
                <c:pt idx="18">
                  <c:v>49.34</c:v>
                </c:pt>
                <c:pt idx="19">
                  <c:v>54.560001</c:v>
                </c:pt>
                <c:pt idx="20">
                  <c:v>54.169998</c:v>
                </c:pt>
                <c:pt idx="21">
                  <c:v>50.84</c:v>
                </c:pt>
                <c:pt idx="22">
                  <c:v>46.549999</c:v>
                </c:pt>
                <c:pt idx="23">
                  <c:v>48.560001</c:v>
                </c:pt>
                <c:pt idx="24">
                  <c:v>46.389999000000003</c:v>
                </c:pt>
                <c:pt idx="25">
                  <c:v>35.93</c:v>
                </c:pt>
                <c:pt idx="26">
                  <c:v>35.810001</c:v>
                </c:pt>
                <c:pt idx="27">
                  <c:v>30.51</c:v>
                </c:pt>
                <c:pt idx="28">
                  <c:v>30.5</c:v>
                </c:pt>
                <c:pt idx="29">
                  <c:v>28.280000999999999</c:v>
                </c:pt>
                <c:pt idx="30">
                  <c:v>28.33</c:v>
                </c:pt>
                <c:pt idx="31">
                  <c:v>26.08</c:v>
                </c:pt>
                <c:pt idx="32">
                  <c:v>26.43</c:v>
                </c:pt>
                <c:pt idx="33">
                  <c:v>27.27</c:v>
                </c:pt>
                <c:pt idx="34">
                  <c:v>25.75</c:v>
                </c:pt>
                <c:pt idx="35">
                  <c:v>24.139999</c:v>
                </c:pt>
                <c:pt idx="36">
                  <c:v>23.02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1B-4073-AAC0-A6ABC04C4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rgbClr val="8E0000"/>
              </a:solidFill>
              <a:ln w="9525" cap="flat" cmpd="sng" algn="ctr">
                <a:solidFill>
                  <a:srgbClr val="8E0000"/>
                </a:solidFill>
                <a:round/>
              </a:ln>
              <a:effectLst/>
            </c:spPr>
          </c:downBars>
        </c:upDownBars>
        <c:axId val="582886976"/>
        <c:axId val="582887304"/>
      </c:stockChart>
      <c:dateAx>
        <c:axId val="58288697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rgbClr val="9A0000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887304"/>
        <c:crosses val="autoZero"/>
        <c:auto val="1"/>
        <c:lblOffset val="100"/>
        <c:baseTimeUnit val="months"/>
        <c:majorUnit val="3"/>
        <c:majorTimeUnit val="months"/>
      </c:dateAx>
      <c:valAx>
        <c:axId val="582887304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out"/>
        <c:minorTickMark val="none"/>
        <c:tickLblPos val="nextTo"/>
        <c:spPr>
          <a:noFill/>
          <a:ln>
            <a:solidFill>
              <a:srgbClr val="9A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88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9A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Efficient Portfolio</a:t>
            </a:r>
            <a:r>
              <a:rPr lang="en-US" baseline="0"/>
              <a:t> Frontier</a:t>
            </a:r>
            <a:endParaRPr lang="en-US"/>
          </a:p>
        </c:rich>
      </c:tx>
      <c:layout>
        <c:manualLayout>
          <c:xMode val="edge"/>
          <c:yMode val="edge"/>
          <c:x val="4.7908384512660752E-2"/>
          <c:y val="2.58212565870466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EPF!$H$2</c:f>
              <c:strCache>
                <c:ptCount val="1"/>
                <c:pt idx="0">
                  <c:v>Risk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EPF!$H$3:$H$103</c:f>
              <c:numCache>
                <c:formatCode>0.000%</c:formatCode>
                <c:ptCount val="101"/>
                <c:pt idx="0">
                  <c:v>7.8158844228694457E-2</c:v>
                </c:pt>
                <c:pt idx="1">
                  <c:v>7.7473790751527966E-2</c:v>
                </c:pt>
                <c:pt idx="2">
                  <c:v>7.6792382107580853E-2</c:v>
                </c:pt>
                <c:pt idx="3">
                  <c:v>7.6114716186824333E-2</c:v>
                </c:pt>
                <c:pt idx="4">
                  <c:v>7.5440893849051671E-2</c:v>
                </c:pt>
                <c:pt idx="5">
                  <c:v>7.4771019007272441E-2</c:v>
                </c:pt>
                <c:pt idx="6">
                  <c:v>7.4105198711877554E-2</c:v>
                </c:pt>
                <c:pt idx="7">
                  <c:v>7.3443543235377551E-2</c:v>
                </c:pt>
                <c:pt idx="8">
                  <c:v>7.2786166157489271E-2</c:v>
                </c:pt>
                <c:pt idx="9">
                  <c:v>7.2133184450316967E-2</c:v>
                </c:pt>
                <c:pt idx="10">
                  <c:v>7.1484718563342001E-2</c:v>
                </c:pt>
                <c:pt idx="11">
                  <c:v>7.0840892507900585E-2</c:v>
                </c:pt>
                <c:pt idx="12">
                  <c:v>7.0201833940792366E-2</c:v>
                </c:pt>
                <c:pt idx="13">
                  <c:v>6.9567674246622607E-2</c:v>
                </c:pt>
                <c:pt idx="14">
                  <c:v>6.893854861843815E-2</c:v>
                </c:pt>
                <c:pt idx="15">
                  <c:v>6.8314596136171912E-2</c:v>
                </c:pt>
                <c:pt idx="16">
                  <c:v>6.7695959842362347E-2</c:v>
                </c:pt>
                <c:pt idx="17">
                  <c:v>6.7082786814563297E-2</c:v>
                </c:pt>
                <c:pt idx="18">
                  <c:v>6.647522823380532E-2</c:v>
                </c:pt>
                <c:pt idx="19">
                  <c:v>6.5873439448413645E-2</c:v>
                </c:pt>
                <c:pt idx="20">
                  <c:v>6.5277580032428284E-2</c:v>
                </c:pt>
                <c:pt idx="21">
                  <c:v>6.4687813837810984E-2</c:v>
                </c:pt>
                <c:pt idx="22">
                  <c:v>6.4104309039560284E-2</c:v>
                </c:pt>
                <c:pt idx="23">
                  <c:v>6.3527238172791378E-2</c:v>
                </c:pt>
                <c:pt idx="24">
                  <c:v>6.2956778160771706E-2</c:v>
                </c:pt>
                <c:pt idx="25">
                  <c:v>6.2393110332837481E-2</c:v>
                </c:pt>
                <c:pt idx="26">
                  <c:v>6.1836420431050108E-2</c:v>
                </c:pt>
                <c:pt idx="27">
                  <c:v>6.1286898604387713E-2</c:v>
                </c:pt>
                <c:pt idx="28">
                  <c:v>6.0744739389204397E-2</c:v>
                </c:pt>
                <c:pt idx="29">
                  <c:v>6.0210141674631269E-2</c:v>
                </c:pt>
                <c:pt idx="30">
                  <c:v>5.968330865153948E-2</c:v>
                </c:pt>
                <c:pt idx="31">
                  <c:v>5.9164447743637709E-2</c:v>
                </c:pt>
                <c:pt idx="32">
                  <c:v>5.8653770519236835E-2</c:v>
                </c:pt>
                <c:pt idx="33">
                  <c:v>5.815149258218489E-2</c:v>
                </c:pt>
                <c:pt idx="34">
                  <c:v>5.7657833440456829E-2</c:v>
                </c:pt>
                <c:pt idx="35">
                  <c:v>5.7173016350879811E-2</c:v>
                </c:pt>
                <c:pt idx="36">
                  <c:v>5.6697268138486426E-2</c:v>
                </c:pt>
                <c:pt idx="37">
                  <c:v>5.6230818989019139E-2</c:v>
                </c:pt>
                <c:pt idx="38">
                  <c:v>5.5773902213160531E-2</c:v>
                </c:pt>
                <c:pt idx="39">
                  <c:v>5.5326753981139176E-2</c:v>
                </c:pt>
                <c:pt idx="40">
                  <c:v>5.4889613026462086E-2</c:v>
                </c:pt>
                <c:pt idx="41">
                  <c:v>5.4462720317653653E-2</c:v>
                </c:pt>
                <c:pt idx="42">
                  <c:v>5.4046318697040963E-2</c:v>
                </c:pt>
                <c:pt idx="43">
                  <c:v>5.3640652485817376E-2</c:v>
                </c:pt>
                <c:pt idx="44">
                  <c:v>5.3245967054841657E-2</c:v>
                </c:pt>
                <c:pt idx="45">
                  <c:v>5.2862508360891174E-2</c:v>
                </c:pt>
                <c:pt idx="46">
                  <c:v>5.2490522448383425E-2</c:v>
                </c:pt>
                <c:pt idx="47">
                  <c:v>5.2130254916911256E-2</c:v>
                </c:pt>
                <c:pt idx="48">
                  <c:v>5.1781950355302434E-2</c:v>
                </c:pt>
                <c:pt idx="49">
                  <c:v>5.1445851743311725E-2</c:v>
                </c:pt>
                <c:pt idx="50">
                  <c:v>5.1122199822479925E-2</c:v>
                </c:pt>
                <c:pt idx="51">
                  <c:v>5.0811232438145712E-2</c:v>
                </c:pt>
                <c:pt idx="52">
                  <c:v>5.0513183855068228E-2</c:v>
                </c:pt>
                <c:pt idx="53">
                  <c:v>5.0228284049602272E-2</c:v>
                </c:pt>
                <c:pt idx="54">
                  <c:v>4.9956757981859515E-2</c:v>
                </c:pt>
                <c:pt idx="55">
                  <c:v>4.9698824851776811E-2</c:v>
                </c:pt>
                <c:pt idx="56">
                  <c:v>4.9454697343488438E-2</c:v>
                </c:pt>
                <c:pt idx="57">
                  <c:v>4.9224580862851877E-2</c:v>
                </c:pt>
                <c:pt idx="58">
                  <c:v>4.9008672773395906E-2</c:v>
                </c:pt>
                <c:pt idx="59">
                  <c:v>4.8807161636332634E-2</c:v>
                </c:pt>
                <c:pt idx="60">
                  <c:v>4.8620226460593066E-2</c:v>
                </c:pt>
                <c:pt idx="61">
                  <c:v>4.8448035969093285E-2</c:v>
                </c:pt>
                <c:pt idx="62">
                  <c:v>4.8290747887609994E-2</c:v>
                </c:pt>
                <c:pt idx="63">
                  <c:v>4.8148508262726188E-2</c:v>
                </c:pt>
                <c:pt idx="64">
                  <c:v>4.8021450815295699E-2</c:v>
                </c:pt>
                <c:pt idx="65">
                  <c:v>4.7909696335761379E-2</c:v>
                </c:pt>
                <c:pt idx="66">
                  <c:v>4.7813352127442595E-2</c:v>
                </c:pt>
                <c:pt idx="67">
                  <c:v>4.7732511503583396E-2</c:v>
                </c:pt>
                <c:pt idx="68">
                  <c:v>4.7667253343522668E-2</c:v>
                </c:pt>
                <c:pt idx="69">
                  <c:v>4.761764171281873E-2</c:v>
                </c:pt>
                <c:pt idx="70">
                  <c:v>4.7583725551538371E-2</c:v>
                </c:pt>
                <c:pt idx="71">
                  <c:v>4.7565538434215446E-2</c:v>
                </c:pt>
                <c:pt idx="72">
                  <c:v>4.7563098404209095E-2</c:v>
                </c:pt>
                <c:pt idx="73">
                  <c:v>4.7576407884360905E-2</c:v>
                </c:pt>
                <c:pt idx="74">
                  <c:v>4.7605453664980743E-2</c:v>
                </c:pt>
                <c:pt idx="75">
                  <c:v>4.7650206969300023E-2</c:v>
                </c:pt>
                <c:pt idx="76">
                  <c:v>4.7710623595637262E-2</c:v>
                </c:pt>
                <c:pt idx="77">
                  <c:v>4.7786644134642675E-2</c:v>
                </c:pt>
                <c:pt idx="78">
                  <c:v>4.787819425914399E-2</c:v>
                </c:pt>
                <c:pt idx="79">
                  <c:v>4.7985185083321585E-2</c:v>
                </c:pt>
                <c:pt idx="80">
                  <c:v>4.8107513587212929E-2</c:v>
                </c:pt>
                <c:pt idx="81">
                  <c:v>4.8245063101897551E-2</c:v>
                </c:pt>
                <c:pt idx="82">
                  <c:v>4.8397703850154149E-2</c:v>
                </c:pt>
                <c:pt idx="83">
                  <c:v>4.8565293536921246E-2</c:v>
                </c:pt>
                <c:pt idx="84">
                  <c:v>4.8747677983534486E-2</c:v>
                </c:pt>
                <c:pt idx="85">
                  <c:v>4.8944691799462495E-2</c:v>
                </c:pt>
                <c:pt idx="86">
                  <c:v>4.9156159085116891E-2</c:v>
                </c:pt>
                <c:pt idx="87">
                  <c:v>4.9381894159268712E-2</c:v>
                </c:pt>
                <c:pt idx="88">
                  <c:v>4.9621702304657636E-2</c:v>
                </c:pt>
                <c:pt idx="89">
                  <c:v>4.987538052552444E-2</c:v>
                </c:pt>
                <c:pt idx="90">
                  <c:v>5.0142718311023078E-2</c:v>
                </c:pt>
                <c:pt idx="91">
                  <c:v>5.0423498398765504E-2</c:v>
                </c:pt>
                <c:pt idx="92">
                  <c:v>5.0717497533109362E-2</c:v>
                </c:pt>
                <c:pt idx="93">
                  <c:v>5.1024487213205301E-2</c:v>
                </c:pt>
                <c:pt idx="94">
                  <c:v>5.1344234426263458E-2</c:v>
                </c:pt>
                <c:pt idx="95">
                  <c:v>5.1676502361969058E-2</c:v>
                </c:pt>
                <c:pt idx="96">
                  <c:v>5.2021051104461924E-2</c:v>
                </c:pt>
                <c:pt idx="97">
                  <c:v>5.2377638298785827E-2</c:v>
                </c:pt>
                <c:pt idx="98">
                  <c:v>5.2746019789200987E-2</c:v>
                </c:pt>
                <c:pt idx="99">
                  <c:v>5.3125950227229608E-2</c:v>
                </c:pt>
                <c:pt idx="100">
                  <c:v>5.3517183647762319E-2</c:v>
                </c:pt>
              </c:numCache>
            </c:numRef>
          </c:xVal>
          <c:yVal>
            <c:numRef>
              <c:f>EPF!$G$3:$G$103</c:f>
              <c:numCache>
                <c:formatCode>0.000%</c:formatCode>
                <c:ptCount val="101"/>
                <c:pt idx="0">
                  <c:v>3.3890651179348613E-2</c:v>
                </c:pt>
                <c:pt idx="1">
                  <c:v>3.3783018220036903E-2</c:v>
                </c:pt>
                <c:pt idx="2">
                  <c:v>3.36753852607252E-2</c:v>
                </c:pt>
                <c:pt idx="3">
                  <c:v>3.3567752301413491E-2</c:v>
                </c:pt>
                <c:pt idx="4">
                  <c:v>3.3460119342101788E-2</c:v>
                </c:pt>
                <c:pt idx="5">
                  <c:v>3.3352486382790078E-2</c:v>
                </c:pt>
                <c:pt idx="6">
                  <c:v>3.3244853423478375E-2</c:v>
                </c:pt>
                <c:pt idx="7">
                  <c:v>3.3137220464166665E-2</c:v>
                </c:pt>
                <c:pt idx="8">
                  <c:v>3.3029587504854956E-2</c:v>
                </c:pt>
                <c:pt idx="9">
                  <c:v>3.2921954545543253E-2</c:v>
                </c:pt>
                <c:pt idx="10">
                  <c:v>3.2814321586231543E-2</c:v>
                </c:pt>
                <c:pt idx="11">
                  <c:v>3.2706688626919833E-2</c:v>
                </c:pt>
                <c:pt idx="12">
                  <c:v>3.259905566760813E-2</c:v>
                </c:pt>
                <c:pt idx="13">
                  <c:v>3.249142270829642E-2</c:v>
                </c:pt>
                <c:pt idx="14">
                  <c:v>3.2383789748984711E-2</c:v>
                </c:pt>
                <c:pt idx="15">
                  <c:v>3.2276156789673008E-2</c:v>
                </c:pt>
                <c:pt idx="16">
                  <c:v>3.2168523830361298E-2</c:v>
                </c:pt>
                <c:pt idx="17">
                  <c:v>3.2060890871049595E-2</c:v>
                </c:pt>
                <c:pt idx="18">
                  <c:v>3.1953257911737885E-2</c:v>
                </c:pt>
                <c:pt idx="19">
                  <c:v>3.1845624952426183E-2</c:v>
                </c:pt>
                <c:pt idx="20">
                  <c:v>3.1737991993114473E-2</c:v>
                </c:pt>
                <c:pt idx="21">
                  <c:v>3.163035903380277E-2</c:v>
                </c:pt>
                <c:pt idx="22">
                  <c:v>3.1522726074491053E-2</c:v>
                </c:pt>
                <c:pt idx="23">
                  <c:v>3.141509311517935E-2</c:v>
                </c:pt>
                <c:pt idx="24">
                  <c:v>3.130746015586764E-2</c:v>
                </c:pt>
                <c:pt idx="25">
                  <c:v>3.1199827196555938E-2</c:v>
                </c:pt>
                <c:pt idx="26">
                  <c:v>3.1092194237244231E-2</c:v>
                </c:pt>
                <c:pt idx="27">
                  <c:v>3.0984561277932525E-2</c:v>
                </c:pt>
                <c:pt idx="28">
                  <c:v>3.0876928318620815E-2</c:v>
                </c:pt>
                <c:pt idx="29">
                  <c:v>3.0769295359309105E-2</c:v>
                </c:pt>
                <c:pt idx="30">
                  <c:v>3.0661662399997399E-2</c:v>
                </c:pt>
                <c:pt idx="31">
                  <c:v>3.0554029440685693E-2</c:v>
                </c:pt>
                <c:pt idx="32">
                  <c:v>3.0446396481373986E-2</c:v>
                </c:pt>
                <c:pt idx="33">
                  <c:v>3.033876352206228E-2</c:v>
                </c:pt>
                <c:pt idx="34">
                  <c:v>3.0231130562750574E-2</c:v>
                </c:pt>
                <c:pt idx="35">
                  <c:v>3.0123497603438867E-2</c:v>
                </c:pt>
                <c:pt idx="36">
                  <c:v>3.0015864644127161E-2</c:v>
                </c:pt>
                <c:pt idx="37">
                  <c:v>2.9908231684815455E-2</c:v>
                </c:pt>
                <c:pt idx="38">
                  <c:v>2.9800598725503745E-2</c:v>
                </c:pt>
                <c:pt idx="39">
                  <c:v>2.9692965766192035E-2</c:v>
                </c:pt>
                <c:pt idx="40">
                  <c:v>2.9585332806880332E-2</c:v>
                </c:pt>
                <c:pt idx="41">
                  <c:v>2.9477699847568622E-2</c:v>
                </c:pt>
                <c:pt idx="42">
                  <c:v>2.9370066888256916E-2</c:v>
                </c:pt>
                <c:pt idx="43">
                  <c:v>2.926243392894521E-2</c:v>
                </c:pt>
                <c:pt idx="44">
                  <c:v>2.9154800969633504E-2</c:v>
                </c:pt>
                <c:pt idx="45">
                  <c:v>2.9047168010321797E-2</c:v>
                </c:pt>
                <c:pt idx="46">
                  <c:v>2.8939535051010091E-2</c:v>
                </c:pt>
                <c:pt idx="47">
                  <c:v>2.8831902091698381E-2</c:v>
                </c:pt>
                <c:pt idx="48">
                  <c:v>2.8724269132386675E-2</c:v>
                </c:pt>
                <c:pt idx="49">
                  <c:v>2.8616636173074965E-2</c:v>
                </c:pt>
                <c:pt idx="50">
                  <c:v>2.8509003213763262E-2</c:v>
                </c:pt>
                <c:pt idx="51">
                  <c:v>2.8401370254451552E-2</c:v>
                </c:pt>
                <c:pt idx="52">
                  <c:v>2.8293737295139849E-2</c:v>
                </c:pt>
                <c:pt idx="53">
                  <c:v>2.818610433582814E-2</c:v>
                </c:pt>
                <c:pt idx="54">
                  <c:v>2.8078471376516433E-2</c:v>
                </c:pt>
                <c:pt idx="55">
                  <c:v>2.7970838417204727E-2</c:v>
                </c:pt>
                <c:pt idx="56">
                  <c:v>2.7863205457893021E-2</c:v>
                </c:pt>
                <c:pt idx="57">
                  <c:v>2.77555724985813E-2</c:v>
                </c:pt>
                <c:pt idx="58">
                  <c:v>2.7647939539269591E-2</c:v>
                </c:pt>
                <c:pt idx="59">
                  <c:v>2.7540306579957884E-2</c:v>
                </c:pt>
                <c:pt idx="60">
                  <c:v>2.7432673620646178E-2</c:v>
                </c:pt>
                <c:pt idx="61">
                  <c:v>2.7325040661334472E-2</c:v>
                </c:pt>
                <c:pt idx="62">
                  <c:v>2.7217407702022765E-2</c:v>
                </c:pt>
                <c:pt idx="63">
                  <c:v>2.7109774742711056E-2</c:v>
                </c:pt>
                <c:pt idx="64">
                  <c:v>2.7002141783399353E-2</c:v>
                </c:pt>
                <c:pt idx="65">
                  <c:v>2.6894508824087643E-2</c:v>
                </c:pt>
                <c:pt idx="66">
                  <c:v>2.678687586477594E-2</c:v>
                </c:pt>
                <c:pt idx="67">
                  <c:v>2.667924290546423E-2</c:v>
                </c:pt>
                <c:pt idx="68">
                  <c:v>2.657160994615252E-2</c:v>
                </c:pt>
                <c:pt idx="69">
                  <c:v>2.6463976986840818E-2</c:v>
                </c:pt>
                <c:pt idx="70">
                  <c:v>2.6356344027529108E-2</c:v>
                </c:pt>
                <c:pt idx="71">
                  <c:v>2.6248711068217401E-2</c:v>
                </c:pt>
                <c:pt idx="72">
                  <c:v>2.6141078108905695E-2</c:v>
                </c:pt>
                <c:pt idx="73">
                  <c:v>2.6033445149593985E-2</c:v>
                </c:pt>
                <c:pt idx="74">
                  <c:v>2.5925812190282282E-2</c:v>
                </c:pt>
                <c:pt idx="75">
                  <c:v>2.5818179230970573E-2</c:v>
                </c:pt>
                <c:pt idx="76">
                  <c:v>2.5710546271658866E-2</c:v>
                </c:pt>
                <c:pt idx="77">
                  <c:v>2.560291331234716E-2</c:v>
                </c:pt>
                <c:pt idx="78">
                  <c:v>2.5495280353035454E-2</c:v>
                </c:pt>
                <c:pt idx="79">
                  <c:v>2.5387647393723744E-2</c:v>
                </c:pt>
                <c:pt idx="80">
                  <c:v>2.5280014434412038E-2</c:v>
                </c:pt>
                <c:pt idx="81">
                  <c:v>2.5172381475100331E-2</c:v>
                </c:pt>
                <c:pt idx="82">
                  <c:v>2.5064748515788621E-2</c:v>
                </c:pt>
                <c:pt idx="83">
                  <c:v>2.4957115556476915E-2</c:v>
                </c:pt>
                <c:pt idx="84">
                  <c:v>2.4849482597165209E-2</c:v>
                </c:pt>
                <c:pt idx="85">
                  <c:v>2.4741849637853502E-2</c:v>
                </c:pt>
                <c:pt idx="86">
                  <c:v>2.4634216678541796E-2</c:v>
                </c:pt>
                <c:pt idx="87">
                  <c:v>2.452658371923009E-2</c:v>
                </c:pt>
                <c:pt idx="88">
                  <c:v>2.4418950759918383E-2</c:v>
                </c:pt>
                <c:pt idx="89">
                  <c:v>2.4311317800606677E-2</c:v>
                </c:pt>
                <c:pt idx="90">
                  <c:v>2.4203684841294971E-2</c:v>
                </c:pt>
                <c:pt idx="91">
                  <c:v>2.4096051881983261E-2</c:v>
                </c:pt>
                <c:pt idx="92">
                  <c:v>2.3988418922671555E-2</c:v>
                </c:pt>
                <c:pt idx="93">
                  <c:v>2.3880785963359845E-2</c:v>
                </c:pt>
                <c:pt idx="94">
                  <c:v>2.3773153004048142E-2</c:v>
                </c:pt>
                <c:pt idx="95">
                  <c:v>2.3665520044736429E-2</c:v>
                </c:pt>
                <c:pt idx="96">
                  <c:v>2.3557887085424722E-2</c:v>
                </c:pt>
                <c:pt idx="97">
                  <c:v>2.3450254126113016E-2</c:v>
                </c:pt>
                <c:pt idx="98">
                  <c:v>2.334262116680131E-2</c:v>
                </c:pt>
                <c:pt idx="99">
                  <c:v>2.3234988207489603E-2</c:v>
                </c:pt>
                <c:pt idx="100">
                  <c:v>2.3127355248177908E-2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AA-427E-A917-FAC847A696B4}"/>
            </c:ext>
          </c:extLst>
        </c:ser>
        <c:ser>
          <c:idx val="1"/>
          <c:order val="1"/>
          <c:tx>
            <c:strRef>
              <c:f>EPF!$I$2</c:f>
              <c:strCache>
                <c:ptCount val="1"/>
                <c:pt idx="0">
                  <c:v>EPF</c:v>
                </c:pt>
              </c:strCache>
            </c:strRef>
          </c:tx>
          <c:spPr>
            <a:ln w="19050" cap="rnd">
              <a:solidFill>
                <a:srgbClr val="8E0000"/>
              </a:solidFill>
              <a:round/>
            </a:ln>
            <a:effectLst/>
          </c:spPr>
          <c:marker>
            <c:symbol val="none"/>
          </c:marker>
          <c:xVal>
            <c:numRef>
              <c:f>EPF!$I$3:$I$103</c:f>
              <c:numCache>
                <c:formatCode>0.000%</c:formatCode>
                <c:ptCount val="101"/>
                <c:pt idx="0">
                  <c:v>7.8158844228694457E-2</c:v>
                </c:pt>
                <c:pt idx="1">
                  <c:v>7.7473790751527966E-2</c:v>
                </c:pt>
                <c:pt idx="2">
                  <c:v>7.6792382107580853E-2</c:v>
                </c:pt>
                <c:pt idx="3">
                  <c:v>7.6114716186824333E-2</c:v>
                </c:pt>
                <c:pt idx="4">
                  <c:v>7.5440893849051671E-2</c:v>
                </c:pt>
                <c:pt idx="5">
                  <c:v>7.4771019007272441E-2</c:v>
                </c:pt>
                <c:pt idx="6">
                  <c:v>7.4105198711877554E-2</c:v>
                </c:pt>
                <c:pt idx="7">
                  <c:v>7.3443543235377551E-2</c:v>
                </c:pt>
                <c:pt idx="8">
                  <c:v>7.2786166157489271E-2</c:v>
                </c:pt>
                <c:pt idx="9">
                  <c:v>7.2133184450316967E-2</c:v>
                </c:pt>
                <c:pt idx="10">
                  <c:v>7.1484718563342001E-2</c:v>
                </c:pt>
                <c:pt idx="11">
                  <c:v>7.0840892507900585E-2</c:v>
                </c:pt>
                <c:pt idx="12">
                  <c:v>7.0201833940792366E-2</c:v>
                </c:pt>
                <c:pt idx="13">
                  <c:v>6.9567674246622607E-2</c:v>
                </c:pt>
                <c:pt idx="14">
                  <c:v>6.893854861843815E-2</c:v>
                </c:pt>
                <c:pt idx="15">
                  <c:v>6.8314596136171912E-2</c:v>
                </c:pt>
                <c:pt idx="16">
                  <c:v>6.7695959842362347E-2</c:v>
                </c:pt>
                <c:pt idx="17">
                  <c:v>6.7082786814563297E-2</c:v>
                </c:pt>
                <c:pt idx="18">
                  <c:v>6.647522823380532E-2</c:v>
                </c:pt>
                <c:pt idx="19">
                  <c:v>6.5873439448413645E-2</c:v>
                </c:pt>
                <c:pt idx="20">
                  <c:v>6.5277580032428284E-2</c:v>
                </c:pt>
                <c:pt idx="21">
                  <c:v>6.4687813837810984E-2</c:v>
                </c:pt>
                <c:pt idx="22">
                  <c:v>6.4104309039560284E-2</c:v>
                </c:pt>
                <c:pt idx="23">
                  <c:v>6.3527238172791378E-2</c:v>
                </c:pt>
                <c:pt idx="24">
                  <c:v>6.2956778160771706E-2</c:v>
                </c:pt>
                <c:pt idx="25">
                  <c:v>6.2393110332837481E-2</c:v>
                </c:pt>
                <c:pt idx="26">
                  <c:v>6.1836420431050108E-2</c:v>
                </c:pt>
                <c:pt idx="27">
                  <c:v>6.1286898604387713E-2</c:v>
                </c:pt>
                <c:pt idx="28">
                  <c:v>6.0744739389204397E-2</c:v>
                </c:pt>
                <c:pt idx="29">
                  <c:v>6.0210141674631269E-2</c:v>
                </c:pt>
                <c:pt idx="30">
                  <c:v>5.968330865153948E-2</c:v>
                </c:pt>
                <c:pt idx="31">
                  <c:v>5.9164447743637709E-2</c:v>
                </c:pt>
                <c:pt idx="32">
                  <c:v>5.8653770519236835E-2</c:v>
                </c:pt>
                <c:pt idx="33">
                  <c:v>5.815149258218489E-2</c:v>
                </c:pt>
                <c:pt idx="34">
                  <c:v>5.7657833440456829E-2</c:v>
                </c:pt>
                <c:pt idx="35">
                  <c:v>5.7173016350879811E-2</c:v>
                </c:pt>
                <c:pt idx="36">
                  <c:v>5.6697268138486426E-2</c:v>
                </c:pt>
                <c:pt idx="37">
                  <c:v>5.6230818989019139E-2</c:v>
                </c:pt>
                <c:pt idx="38">
                  <c:v>5.5773902213160531E-2</c:v>
                </c:pt>
                <c:pt idx="39">
                  <c:v>5.5326753981139176E-2</c:v>
                </c:pt>
                <c:pt idx="40">
                  <c:v>5.4889613026462086E-2</c:v>
                </c:pt>
                <c:pt idx="41">
                  <c:v>5.4462720317653653E-2</c:v>
                </c:pt>
                <c:pt idx="42">
                  <c:v>5.4046318697040963E-2</c:v>
                </c:pt>
                <c:pt idx="43">
                  <c:v>5.3640652485817376E-2</c:v>
                </c:pt>
                <c:pt idx="44">
                  <c:v>5.3245967054841657E-2</c:v>
                </c:pt>
                <c:pt idx="45">
                  <c:v>5.2862508360891174E-2</c:v>
                </c:pt>
                <c:pt idx="46">
                  <c:v>5.2490522448383425E-2</c:v>
                </c:pt>
                <c:pt idx="47">
                  <c:v>5.2130254916911256E-2</c:v>
                </c:pt>
                <c:pt idx="48">
                  <c:v>5.1781950355302434E-2</c:v>
                </c:pt>
                <c:pt idx="49">
                  <c:v>5.1445851743311725E-2</c:v>
                </c:pt>
                <c:pt idx="50">
                  <c:v>5.1122199822479925E-2</c:v>
                </c:pt>
                <c:pt idx="51">
                  <c:v>5.0811232438145712E-2</c:v>
                </c:pt>
                <c:pt idx="52">
                  <c:v>5.0513183855068228E-2</c:v>
                </c:pt>
                <c:pt idx="53">
                  <c:v>5.0228284049602272E-2</c:v>
                </c:pt>
                <c:pt idx="54">
                  <c:v>4.9956757981859515E-2</c:v>
                </c:pt>
                <c:pt idx="55">
                  <c:v>4.9698824851776811E-2</c:v>
                </c:pt>
                <c:pt idx="56">
                  <c:v>4.9454697343488438E-2</c:v>
                </c:pt>
                <c:pt idx="57">
                  <c:v>4.9224580862851877E-2</c:v>
                </c:pt>
                <c:pt idx="58">
                  <c:v>4.9008672773395906E-2</c:v>
                </c:pt>
                <c:pt idx="59">
                  <c:v>4.8807161636332634E-2</c:v>
                </c:pt>
                <c:pt idx="60">
                  <c:v>4.8620226460593066E-2</c:v>
                </c:pt>
                <c:pt idx="61">
                  <c:v>4.8448035969093285E-2</c:v>
                </c:pt>
                <c:pt idx="62">
                  <c:v>4.8290747887609994E-2</c:v>
                </c:pt>
                <c:pt idx="63">
                  <c:v>4.8148508262726188E-2</c:v>
                </c:pt>
                <c:pt idx="64">
                  <c:v>4.8021450815295699E-2</c:v>
                </c:pt>
                <c:pt idx="65">
                  <c:v>4.7909696335761379E-2</c:v>
                </c:pt>
                <c:pt idx="66">
                  <c:v>4.7813352127442595E-2</c:v>
                </c:pt>
                <c:pt idx="67">
                  <c:v>4.7732511503583396E-2</c:v>
                </c:pt>
                <c:pt idx="68">
                  <c:v>4.7667253343522668E-2</c:v>
                </c:pt>
                <c:pt idx="69">
                  <c:v>4.761764171281873E-2</c:v>
                </c:pt>
                <c:pt idx="70">
                  <c:v>4.7583725551538371E-2</c:v>
                </c:pt>
                <c:pt idx="71">
                  <c:v>4.7565538434215446E-2</c:v>
                </c:pt>
                <c:pt idx="72">
                  <c:v>4.7563098404209095E-2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</c:numCache>
            </c:numRef>
          </c:xVal>
          <c:yVal>
            <c:numRef>
              <c:f>EPF!$G$3:$G$103</c:f>
              <c:numCache>
                <c:formatCode>0.000%</c:formatCode>
                <c:ptCount val="101"/>
                <c:pt idx="0">
                  <c:v>3.3890651179348613E-2</c:v>
                </c:pt>
                <c:pt idx="1">
                  <c:v>3.3783018220036903E-2</c:v>
                </c:pt>
                <c:pt idx="2">
                  <c:v>3.36753852607252E-2</c:v>
                </c:pt>
                <c:pt idx="3">
                  <c:v>3.3567752301413491E-2</c:v>
                </c:pt>
                <c:pt idx="4">
                  <c:v>3.3460119342101788E-2</c:v>
                </c:pt>
                <c:pt idx="5">
                  <c:v>3.3352486382790078E-2</c:v>
                </c:pt>
                <c:pt idx="6">
                  <c:v>3.3244853423478375E-2</c:v>
                </c:pt>
                <c:pt idx="7">
                  <c:v>3.3137220464166665E-2</c:v>
                </c:pt>
                <c:pt idx="8">
                  <c:v>3.3029587504854956E-2</c:v>
                </c:pt>
                <c:pt idx="9">
                  <c:v>3.2921954545543253E-2</c:v>
                </c:pt>
                <c:pt idx="10">
                  <c:v>3.2814321586231543E-2</c:v>
                </c:pt>
                <c:pt idx="11">
                  <c:v>3.2706688626919833E-2</c:v>
                </c:pt>
                <c:pt idx="12">
                  <c:v>3.259905566760813E-2</c:v>
                </c:pt>
                <c:pt idx="13">
                  <c:v>3.249142270829642E-2</c:v>
                </c:pt>
                <c:pt idx="14">
                  <c:v>3.2383789748984711E-2</c:v>
                </c:pt>
                <c:pt idx="15">
                  <c:v>3.2276156789673008E-2</c:v>
                </c:pt>
                <c:pt idx="16">
                  <c:v>3.2168523830361298E-2</c:v>
                </c:pt>
                <c:pt idx="17">
                  <c:v>3.2060890871049595E-2</c:v>
                </c:pt>
                <c:pt idx="18">
                  <c:v>3.1953257911737885E-2</c:v>
                </c:pt>
                <c:pt idx="19">
                  <c:v>3.1845624952426183E-2</c:v>
                </c:pt>
                <c:pt idx="20">
                  <c:v>3.1737991993114473E-2</c:v>
                </c:pt>
                <c:pt idx="21">
                  <c:v>3.163035903380277E-2</c:v>
                </c:pt>
                <c:pt idx="22">
                  <c:v>3.1522726074491053E-2</c:v>
                </c:pt>
                <c:pt idx="23">
                  <c:v>3.141509311517935E-2</c:v>
                </c:pt>
                <c:pt idx="24">
                  <c:v>3.130746015586764E-2</c:v>
                </c:pt>
                <c:pt idx="25">
                  <c:v>3.1199827196555938E-2</c:v>
                </c:pt>
                <c:pt idx="26">
                  <c:v>3.1092194237244231E-2</c:v>
                </c:pt>
                <c:pt idx="27">
                  <c:v>3.0984561277932525E-2</c:v>
                </c:pt>
                <c:pt idx="28">
                  <c:v>3.0876928318620815E-2</c:v>
                </c:pt>
                <c:pt idx="29">
                  <c:v>3.0769295359309105E-2</c:v>
                </c:pt>
                <c:pt idx="30">
                  <c:v>3.0661662399997399E-2</c:v>
                </c:pt>
                <c:pt idx="31">
                  <c:v>3.0554029440685693E-2</c:v>
                </c:pt>
                <c:pt idx="32">
                  <c:v>3.0446396481373986E-2</c:v>
                </c:pt>
                <c:pt idx="33">
                  <c:v>3.033876352206228E-2</c:v>
                </c:pt>
                <c:pt idx="34">
                  <c:v>3.0231130562750574E-2</c:v>
                </c:pt>
                <c:pt idx="35">
                  <c:v>3.0123497603438867E-2</c:v>
                </c:pt>
                <c:pt idx="36">
                  <c:v>3.0015864644127161E-2</c:v>
                </c:pt>
                <c:pt idx="37">
                  <c:v>2.9908231684815455E-2</c:v>
                </c:pt>
                <c:pt idx="38">
                  <c:v>2.9800598725503745E-2</c:v>
                </c:pt>
                <c:pt idx="39">
                  <c:v>2.9692965766192035E-2</c:v>
                </c:pt>
                <c:pt idx="40">
                  <c:v>2.9585332806880332E-2</c:v>
                </c:pt>
                <c:pt idx="41">
                  <c:v>2.9477699847568622E-2</c:v>
                </c:pt>
                <c:pt idx="42">
                  <c:v>2.9370066888256916E-2</c:v>
                </c:pt>
                <c:pt idx="43">
                  <c:v>2.926243392894521E-2</c:v>
                </c:pt>
                <c:pt idx="44">
                  <c:v>2.9154800969633504E-2</c:v>
                </c:pt>
                <c:pt idx="45">
                  <c:v>2.9047168010321797E-2</c:v>
                </c:pt>
                <c:pt idx="46">
                  <c:v>2.8939535051010091E-2</c:v>
                </c:pt>
                <c:pt idx="47">
                  <c:v>2.8831902091698381E-2</c:v>
                </c:pt>
                <c:pt idx="48">
                  <c:v>2.8724269132386675E-2</c:v>
                </c:pt>
                <c:pt idx="49">
                  <c:v>2.8616636173074965E-2</c:v>
                </c:pt>
                <c:pt idx="50">
                  <c:v>2.8509003213763262E-2</c:v>
                </c:pt>
                <c:pt idx="51">
                  <c:v>2.8401370254451552E-2</c:v>
                </c:pt>
                <c:pt idx="52">
                  <c:v>2.8293737295139849E-2</c:v>
                </c:pt>
                <c:pt idx="53">
                  <c:v>2.818610433582814E-2</c:v>
                </c:pt>
                <c:pt idx="54">
                  <c:v>2.8078471376516433E-2</c:v>
                </c:pt>
                <c:pt idx="55">
                  <c:v>2.7970838417204727E-2</c:v>
                </c:pt>
                <c:pt idx="56">
                  <c:v>2.7863205457893021E-2</c:v>
                </c:pt>
                <c:pt idx="57">
                  <c:v>2.77555724985813E-2</c:v>
                </c:pt>
                <c:pt idx="58">
                  <c:v>2.7647939539269591E-2</c:v>
                </c:pt>
                <c:pt idx="59">
                  <c:v>2.7540306579957884E-2</c:v>
                </c:pt>
                <c:pt idx="60">
                  <c:v>2.7432673620646178E-2</c:v>
                </c:pt>
                <c:pt idx="61">
                  <c:v>2.7325040661334472E-2</c:v>
                </c:pt>
                <c:pt idx="62">
                  <c:v>2.7217407702022765E-2</c:v>
                </c:pt>
                <c:pt idx="63">
                  <c:v>2.7109774742711056E-2</c:v>
                </c:pt>
                <c:pt idx="64">
                  <c:v>2.7002141783399353E-2</c:v>
                </c:pt>
                <c:pt idx="65">
                  <c:v>2.6894508824087643E-2</c:v>
                </c:pt>
                <c:pt idx="66">
                  <c:v>2.678687586477594E-2</c:v>
                </c:pt>
                <c:pt idx="67">
                  <c:v>2.667924290546423E-2</c:v>
                </c:pt>
                <c:pt idx="68">
                  <c:v>2.657160994615252E-2</c:v>
                </c:pt>
                <c:pt idx="69">
                  <c:v>2.6463976986840818E-2</c:v>
                </c:pt>
                <c:pt idx="70">
                  <c:v>2.6356344027529108E-2</c:v>
                </c:pt>
                <c:pt idx="71">
                  <c:v>2.6248711068217401E-2</c:v>
                </c:pt>
                <c:pt idx="72">
                  <c:v>2.6141078108905695E-2</c:v>
                </c:pt>
                <c:pt idx="73">
                  <c:v>2.6033445149593985E-2</c:v>
                </c:pt>
                <c:pt idx="74">
                  <c:v>2.5925812190282282E-2</c:v>
                </c:pt>
                <c:pt idx="75">
                  <c:v>2.5818179230970573E-2</c:v>
                </c:pt>
                <c:pt idx="76">
                  <c:v>2.5710546271658866E-2</c:v>
                </c:pt>
                <c:pt idx="77">
                  <c:v>2.560291331234716E-2</c:v>
                </c:pt>
                <c:pt idx="78">
                  <c:v>2.5495280353035454E-2</c:v>
                </c:pt>
                <c:pt idx="79">
                  <c:v>2.5387647393723744E-2</c:v>
                </c:pt>
                <c:pt idx="80">
                  <c:v>2.5280014434412038E-2</c:v>
                </c:pt>
                <c:pt idx="81">
                  <c:v>2.5172381475100331E-2</c:v>
                </c:pt>
                <c:pt idx="82">
                  <c:v>2.5064748515788621E-2</c:v>
                </c:pt>
                <c:pt idx="83">
                  <c:v>2.4957115556476915E-2</c:v>
                </c:pt>
                <c:pt idx="84">
                  <c:v>2.4849482597165209E-2</c:v>
                </c:pt>
                <c:pt idx="85">
                  <c:v>2.4741849637853502E-2</c:v>
                </c:pt>
                <c:pt idx="86">
                  <c:v>2.4634216678541796E-2</c:v>
                </c:pt>
                <c:pt idx="87">
                  <c:v>2.452658371923009E-2</c:v>
                </c:pt>
                <c:pt idx="88">
                  <c:v>2.4418950759918383E-2</c:v>
                </c:pt>
                <c:pt idx="89">
                  <c:v>2.4311317800606677E-2</c:v>
                </c:pt>
                <c:pt idx="90">
                  <c:v>2.4203684841294971E-2</c:v>
                </c:pt>
                <c:pt idx="91">
                  <c:v>2.4096051881983261E-2</c:v>
                </c:pt>
                <c:pt idx="92">
                  <c:v>2.3988418922671555E-2</c:v>
                </c:pt>
                <c:pt idx="93">
                  <c:v>2.3880785963359845E-2</c:v>
                </c:pt>
                <c:pt idx="94">
                  <c:v>2.3773153004048142E-2</c:v>
                </c:pt>
                <c:pt idx="95">
                  <c:v>2.3665520044736429E-2</c:v>
                </c:pt>
                <c:pt idx="96">
                  <c:v>2.3557887085424722E-2</c:v>
                </c:pt>
                <c:pt idx="97">
                  <c:v>2.3450254126113016E-2</c:v>
                </c:pt>
                <c:pt idx="98">
                  <c:v>2.334262116680131E-2</c:v>
                </c:pt>
                <c:pt idx="99">
                  <c:v>2.3234988207489603E-2</c:v>
                </c:pt>
                <c:pt idx="100">
                  <c:v>2.3127355248177908E-2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AA-427E-A917-FAC847A69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309808"/>
        <c:axId val="813785664"/>
      </c:scatterChart>
      <c:valAx>
        <c:axId val="81430980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785664"/>
        <c:crosses val="autoZero"/>
        <c:crossBetween val="midCat"/>
      </c:valAx>
      <c:valAx>
        <c:axId val="81378566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%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30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rgbClr val="8E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CSX Corporation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'R(CSX)'!$D$2</c:f>
              <c:strCache>
                <c:ptCount val="1"/>
                <c:pt idx="0">
                  <c:v>CSX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bg1">
                  <a:alpha val="94000"/>
                </a:schemeClr>
              </a:solidFill>
              <a:ln w="12700">
                <a:solidFill>
                  <a:srgbClr val="8E0000"/>
                </a:solidFill>
              </a:ln>
              <a:effectLst/>
            </c:spPr>
          </c:marker>
          <c:xVal>
            <c:numRef>
              <c:f>'R(CSX)'!$C$3:$C$38</c:f>
              <c:numCache>
                <c:formatCode>0.000%</c:formatCode>
                <c:ptCount val="36"/>
                <c:pt idx="0">
                  <c:v>7.8684401655036762E-2</c:v>
                </c:pt>
                <c:pt idx="1">
                  <c:v>-9.1776894596563907E-2</c:v>
                </c:pt>
                <c:pt idx="2">
                  <c:v>1.7859356788848979E-2</c:v>
                </c:pt>
                <c:pt idx="3">
                  <c:v>-6.9403356024429486E-2</c:v>
                </c:pt>
                <c:pt idx="4">
                  <c:v>4.2942871026614426E-3</c:v>
                </c:pt>
                <c:pt idx="5">
                  <c:v>3.0263211466054596E-2</c:v>
                </c:pt>
                <c:pt idx="6">
                  <c:v>3.6021556221367268E-2</c:v>
                </c:pt>
                <c:pt idx="7">
                  <c:v>4.8424360241865472E-3</c:v>
                </c:pt>
                <c:pt idx="8">
                  <c:v>2.1608341965291933E-2</c:v>
                </c:pt>
                <c:pt idx="9">
                  <c:v>2.718775131643536E-3</c:v>
                </c:pt>
                <c:pt idx="10">
                  <c:v>-2.6884498624825115E-2</c:v>
                </c:pt>
                <c:pt idx="11">
                  <c:v>-3.8947372061896912E-2</c:v>
                </c:pt>
                <c:pt idx="12">
                  <c:v>5.6178704444133087E-2</c:v>
                </c:pt>
                <c:pt idx="13">
                  <c:v>3.4342557364422932E-2</c:v>
                </c:pt>
                <c:pt idx="14">
                  <c:v>3.7200430103365711E-3</c:v>
                </c:pt>
                <c:pt idx="15">
                  <c:v>2.218813533034969E-2</c:v>
                </c:pt>
                <c:pt idx="16">
                  <c:v>1.9302978533243698E-2</c:v>
                </c:pt>
                <c:pt idx="17">
                  <c:v>5.4643281108557318E-4</c:v>
                </c:pt>
                <c:pt idx="18">
                  <c:v>1.9348826118030571E-2</c:v>
                </c:pt>
                <c:pt idx="19">
                  <c:v>4.8137750908554544E-3</c:v>
                </c:pt>
                <c:pt idx="20">
                  <c:v>1.157625139134133E-2</c:v>
                </c:pt>
                <c:pt idx="21">
                  <c:v>9.0912085493182193E-3</c:v>
                </c:pt>
                <c:pt idx="22">
                  <c:v>-3.8919718808450021E-4</c:v>
                </c:pt>
                <c:pt idx="23">
                  <c:v>3.7198160337279074E-2</c:v>
                </c:pt>
                <c:pt idx="24">
                  <c:v>1.7884358171464498E-2</c:v>
                </c:pt>
                <c:pt idx="25">
                  <c:v>1.8200762196895148E-2</c:v>
                </c:pt>
                <c:pt idx="26">
                  <c:v>3.4174522187570444E-2</c:v>
                </c:pt>
                <c:pt idx="27">
                  <c:v>-1.9425679279557517E-2</c:v>
                </c:pt>
                <c:pt idx="28">
                  <c:v>-1.2344508443253854E-3</c:v>
                </c:pt>
                <c:pt idx="29">
                  <c:v>-1.2192431360480427E-3</c:v>
                </c:pt>
                <c:pt idx="30">
                  <c:v>3.5609801125254359E-2</c:v>
                </c:pt>
                <c:pt idx="31">
                  <c:v>9.1092112097812539E-4</c:v>
                </c:pt>
                <c:pt idx="32">
                  <c:v>1.5324602357572603E-2</c:v>
                </c:pt>
                <c:pt idx="33">
                  <c:v>2.6993984808731941E-3</c:v>
                </c:pt>
                <c:pt idx="34">
                  <c:v>6.5991114577365062E-2</c:v>
                </c:pt>
                <c:pt idx="35">
                  <c:v>-4.1283604302990717E-3</c:v>
                </c:pt>
              </c:numCache>
            </c:numRef>
          </c:xVal>
          <c:yVal>
            <c:numRef>
              <c:f>'R(CSX)'!$D$3:$D$38</c:f>
              <c:numCache>
                <c:formatCode>0.000%</c:formatCode>
                <c:ptCount val="36"/>
                <c:pt idx="0">
                  <c:v>5.7460098865924625E-2</c:v>
                </c:pt>
                <c:pt idx="1">
                  <c:v>-0.14208999623117158</c:v>
                </c:pt>
                <c:pt idx="2">
                  <c:v>5.4748706727436813E-2</c:v>
                </c:pt>
                <c:pt idx="3">
                  <c:v>-7.0087802697320734E-2</c:v>
                </c:pt>
                <c:pt idx="4">
                  <c:v>9.4389153484963906E-4</c:v>
                </c:pt>
                <c:pt idx="5">
                  <c:v>4.9236049801923976E-2</c:v>
                </c:pt>
                <c:pt idx="6">
                  <c:v>0.10818440119448747</c:v>
                </c:pt>
                <c:pt idx="7">
                  <c:v>-1.0672899901843835E-2</c:v>
                </c:pt>
                <c:pt idx="8">
                  <c:v>8.8567150843023246E-2</c:v>
                </c:pt>
                <c:pt idx="9">
                  <c:v>6.6056364495716391E-2</c:v>
                </c:pt>
                <c:pt idx="10">
                  <c:v>4.0394600886176413E-2</c:v>
                </c:pt>
                <c:pt idx="11">
                  <c:v>-5.3725541659327081E-2</c:v>
                </c:pt>
                <c:pt idx="12">
                  <c:v>3.1994220396081463E-2</c:v>
                </c:pt>
                <c:pt idx="13">
                  <c:v>-1.004487892376682E-2</c:v>
                </c:pt>
                <c:pt idx="14">
                  <c:v>0.10549276224469573</c:v>
                </c:pt>
                <c:pt idx="15">
                  <c:v>-7.0586032826613909E-2</c:v>
                </c:pt>
                <c:pt idx="16">
                  <c:v>8.4860496317520129E-2</c:v>
                </c:pt>
                <c:pt idx="17">
                  <c:v>1.7430097284150792E-2</c:v>
                </c:pt>
                <c:pt idx="18">
                  <c:v>-9.5674503378399778E-2</c:v>
                </c:pt>
                <c:pt idx="19">
                  <c:v>7.1996125973643466E-3</c:v>
                </c:pt>
                <c:pt idx="20">
                  <c:v>6.5499567269866166E-2</c:v>
                </c:pt>
                <c:pt idx="21">
                  <c:v>9.2158992312760368E-2</c:v>
                </c:pt>
                <c:pt idx="22">
                  <c:v>-3.7273516530611173E-2</c:v>
                </c:pt>
                <c:pt idx="23">
                  <c:v>4.6777366819947375E-2</c:v>
                </c:pt>
                <c:pt idx="24">
                  <c:v>0.29112159755079325</c:v>
                </c:pt>
                <c:pt idx="25">
                  <c:v>9.4945264033921006E-3</c:v>
                </c:pt>
                <c:pt idx="26">
                  <c:v>0.17371356932153392</c:v>
                </c:pt>
                <c:pt idx="27">
                  <c:v>3.2786885245905673E-4</c:v>
                </c:pt>
                <c:pt idx="28">
                  <c:v>8.6280018165487249E-2</c:v>
                </c:pt>
                <c:pt idx="29">
                  <c:v>-1.7648782209671587E-3</c:v>
                </c:pt>
                <c:pt idx="30">
                  <c:v>8.6273006134969243E-2</c:v>
                </c:pt>
                <c:pt idx="31">
                  <c:v>-4.9186530457814293E-3</c:v>
                </c:pt>
                <c:pt idx="32">
                  <c:v>-3.0803080308030806E-2</c:v>
                </c:pt>
                <c:pt idx="33">
                  <c:v>5.9029126213592242E-2</c:v>
                </c:pt>
                <c:pt idx="34">
                  <c:v>7.5807832469255709E-2</c:v>
                </c:pt>
                <c:pt idx="35">
                  <c:v>4.8653301476976551E-2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84-4F1D-BB37-982B49DA99B7}"/>
            </c:ext>
          </c:extLst>
        </c:ser>
        <c:ser>
          <c:idx val="1"/>
          <c:order val="1"/>
          <c:tx>
            <c:strRef>
              <c:f>'R(CSX)'!$F$15</c:f>
              <c:strCache>
                <c:ptCount val="1"/>
                <c:pt idx="0">
                  <c:v>Characteristic Line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'R(CSX)'!$G$17:$G$19</c:f>
              <c:numCache>
                <c:formatCode>0.000%</c:formatCode>
                <c:ptCount val="3"/>
                <c:pt idx="0">
                  <c:v>-9.1776894596563907E-2</c:v>
                </c:pt>
                <c:pt idx="1">
                  <c:v>9.7773852046508548E-3</c:v>
                </c:pt>
                <c:pt idx="2">
                  <c:v>7.8684401655036762E-2</c:v>
                </c:pt>
              </c:numCache>
            </c:numRef>
          </c:xVal>
          <c:yVal>
            <c:numRef>
              <c:f>'R(CSX)'!$H$17:$H$19</c:f>
              <c:numCache>
                <c:formatCode>0.000%</c:formatCode>
                <c:ptCount val="3"/>
                <c:pt idx="0">
                  <c:v>-8.3112993454712111E-2</c:v>
                </c:pt>
                <c:pt idx="1">
                  <c:v>3.3890651179348613E-2</c:v>
                </c:pt>
                <c:pt idx="2">
                  <c:v>0.11328043249960262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84-4F1D-BB37-982B49DA9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713632"/>
        <c:axId val="604715272"/>
      </c:scatterChart>
      <c:valAx>
        <c:axId val="60471363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0"/>
        <c:majorTickMark val="cross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715272"/>
        <c:crosses val="autoZero"/>
        <c:crossBetween val="midCat"/>
      </c:valAx>
      <c:valAx>
        <c:axId val="604715272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0"/>
        <c:majorTickMark val="cross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71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8E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Cisco Systems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'R(CSCO)'!$D$2</c:f>
              <c:strCache>
                <c:ptCount val="1"/>
                <c:pt idx="0">
                  <c:v>CSCO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bg1">
                  <a:alpha val="94000"/>
                </a:schemeClr>
              </a:solidFill>
              <a:ln w="12700">
                <a:solidFill>
                  <a:srgbClr val="8E0000"/>
                </a:solidFill>
              </a:ln>
              <a:effectLst/>
            </c:spPr>
          </c:marker>
          <c:xVal>
            <c:numRef>
              <c:f>'R(CSCO)'!$C$3:$C$38</c:f>
              <c:numCache>
                <c:formatCode>0.000%</c:formatCode>
                <c:ptCount val="36"/>
                <c:pt idx="0">
                  <c:v>7.8684401655036762E-2</c:v>
                </c:pt>
                <c:pt idx="1">
                  <c:v>-9.1776894596563907E-2</c:v>
                </c:pt>
                <c:pt idx="2">
                  <c:v>1.7859356788848979E-2</c:v>
                </c:pt>
                <c:pt idx="3">
                  <c:v>-6.9403356024429486E-2</c:v>
                </c:pt>
                <c:pt idx="4">
                  <c:v>4.2942871026614426E-3</c:v>
                </c:pt>
                <c:pt idx="5">
                  <c:v>3.0263211466054596E-2</c:v>
                </c:pt>
                <c:pt idx="6">
                  <c:v>3.6021556221367268E-2</c:v>
                </c:pt>
                <c:pt idx="7">
                  <c:v>4.8424360241865472E-3</c:v>
                </c:pt>
                <c:pt idx="8">
                  <c:v>2.1608341965291933E-2</c:v>
                </c:pt>
                <c:pt idx="9">
                  <c:v>2.718775131643536E-3</c:v>
                </c:pt>
                <c:pt idx="10">
                  <c:v>-2.6884498624825115E-2</c:v>
                </c:pt>
                <c:pt idx="11">
                  <c:v>-3.8947372061896912E-2</c:v>
                </c:pt>
                <c:pt idx="12">
                  <c:v>5.6178704444133087E-2</c:v>
                </c:pt>
                <c:pt idx="13">
                  <c:v>3.4342557364422932E-2</c:v>
                </c:pt>
                <c:pt idx="14">
                  <c:v>3.7200430103365711E-3</c:v>
                </c:pt>
                <c:pt idx="15">
                  <c:v>2.218813533034969E-2</c:v>
                </c:pt>
                <c:pt idx="16">
                  <c:v>1.9302978533243698E-2</c:v>
                </c:pt>
                <c:pt idx="17">
                  <c:v>5.4643281108557318E-4</c:v>
                </c:pt>
                <c:pt idx="18">
                  <c:v>1.9348826118030571E-2</c:v>
                </c:pt>
                <c:pt idx="19">
                  <c:v>4.8137750908554544E-3</c:v>
                </c:pt>
                <c:pt idx="20">
                  <c:v>1.157625139134133E-2</c:v>
                </c:pt>
                <c:pt idx="21">
                  <c:v>9.0912085493182193E-3</c:v>
                </c:pt>
                <c:pt idx="22">
                  <c:v>-3.8919718808450021E-4</c:v>
                </c:pt>
                <c:pt idx="23">
                  <c:v>3.7198160337279074E-2</c:v>
                </c:pt>
                <c:pt idx="24">
                  <c:v>1.7884358171464498E-2</c:v>
                </c:pt>
                <c:pt idx="25">
                  <c:v>1.8200762196895148E-2</c:v>
                </c:pt>
                <c:pt idx="26">
                  <c:v>3.4174522187570444E-2</c:v>
                </c:pt>
                <c:pt idx="27">
                  <c:v>-1.9425679279557517E-2</c:v>
                </c:pt>
                <c:pt idx="28">
                  <c:v>-1.2344508443253854E-3</c:v>
                </c:pt>
                <c:pt idx="29">
                  <c:v>-1.2192431360480427E-3</c:v>
                </c:pt>
                <c:pt idx="30">
                  <c:v>3.5609801125254359E-2</c:v>
                </c:pt>
                <c:pt idx="31">
                  <c:v>9.1092112097812539E-4</c:v>
                </c:pt>
                <c:pt idx="32">
                  <c:v>1.5324602357572603E-2</c:v>
                </c:pt>
                <c:pt idx="33">
                  <c:v>2.6993984808731941E-3</c:v>
                </c:pt>
                <c:pt idx="34">
                  <c:v>6.5991114577365062E-2</c:v>
                </c:pt>
                <c:pt idx="35">
                  <c:v>-4.1283604302990717E-3</c:v>
                </c:pt>
              </c:numCache>
            </c:numRef>
          </c:xVal>
          <c:yVal>
            <c:numRef>
              <c:f>'R(CSCO)'!$D$3:$D$38</c:f>
              <c:numCache>
                <c:formatCode>0.000%</c:formatCode>
                <c:ptCount val="36"/>
                <c:pt idx="0">
                  <c:v>9.900758832182821E-2</c:v>
                </c:pt>
                <c:pt idx="1">
                  <c:v>-9.4840131498644897E-2</c:v>
                </c:pt>
                <c:pt idx="2">
                  <c:v>4.6338775956284106E-2</c:v>
                </c:pt>
                <c:pt idx="3">
                  <c:v>-5.2826349318546795E-2</c:v>
                </c:pt>
                <c:pt idx="4">
                  <c:v>1.8421645384132157E-2</c:v>
                </c:pt>
                <c:pt idx="5">
                  <c:v>0.12958143462801064</c:v>
                </c:pt>
                <c:pt idx="6">
                  <c:v>-9.5281898565696688E-3</c:v>
                </c:pt>
                <c:pt idx="7">
                  <c:v>7.492390716281605E-3</c:v>
                </c:pt>
                <c:pt idx="8">
                  <c:v>-3.567401138690407E-2</c:v>
                </c:pt>
                <c:pt idx="9">
                  <c:v>4.0335790168705588E-2</c:v>
                </c:pt>
                <c:pt idx="10">
                  <c:v>-4.2206343059543072E-2</c:v>
                </c:pt>
                <c:pt idx="11">
                  <c:v>7.7997061194100548E-2</c:v>
                </c:pt>
                <c:pt idx="12">
                  <c:v>9.2167156453450527E-2</c:v>
                </c:pt>
                <c:pt idx="13">
                  <c:v>6.7446988086761639E-2</c:v>
                </c:pt>
                <c:pt idx="14">
                  <c:v>5.065882573008329E-2</c:v>
                </c:pt>
                <c:pt idx="15">
                  <c:v>2.408566684253155E-2</c:v>
                </c:pt>
                <c:pt idx="16">
                  <c:v>4.4085751135850559E-2</c:v>
                </c:pt>
                <c:pt idx="17">
                  <c:v>2.4165277451024592E-2</c:v>
                </c:pt>
                <c:pt idx="18">
                  <c:v>4.7923963192459951E-3</c:v>
                </c:pt>
                <c:pt idx="19">
                  <c:v>-7.2947032256674982E-3</c:v>
                </c:pt>
                <c:pt idx="20">
                  <c:v>-7.4552362782506654E-2</c:v>
                </c:pt>
                <c:pt idx="21">
                  <c:v>1.656807741325661E-2</c:v>
                </c:pt>
                <c:pt idx="22">
                  <c:v>-1.111764189584552E-2</c:v>
                </c:pt>
                <c:pt idx="23">
                  <c:v>0.11263024455176573</c:v>
                </c:pt>
                <c:pt idx="24">
                  <c:v>2.5148908840135986E-2</c:v>
                </c:pt>
                <c:pt idx="25">
                  <c:v>1.3413782696177101E-2</c:v>
                </c:pt>
                <c:pt idx="26">
                  <c:v>-2.8031290743155135E-2</c:v>
                </c:pt>
                <c:pt idx="27">
                  <c:v>-2.4590133183799878E-2</c:v>
                </c:pt>
                <c:pt idx="28">
                  <c:v>8.9057885208083665E-3</c:v>
                </c:pt>
                <c:pt idx="29">
                  <c:v>2.9806746485203206E-2</c:v>
                </c:pt>
                <c:pt idx="30">
                  <c:v>7.319623307088774E-2</c:v>
                </c:pt>
                <c:pt idx="31">
                  <c:v>-1.2392358430029615E-2</c:v>
                </c:pt>
                <c:pt idx="32">
                  <c:v>5.6747871953437556E-2</c:v>
                </c:pt>
                <c:pt idx="33">
                  <c:v>-2.5289744478038112E-2</c:v>
                </c:pt>
                <c:pt idx="34">
                  <c:v>8.7471313980137522E-2</c:v>
                </c:pt>
                <c:pt idx="35">
                  <c:v>0.10046233289355477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91-43F7-978B-AAAB959EE15B}"/>
            </c:ext>
          </c:extLst>
        </c:ser>
        <c:ser>
          <c:idx val="1"/>
          <c:order val="1"/>
          <c:tx>
            <c:strRef>
              <c:f>'R(CSCO)'!$F$15</c:f>
              <c:strCache>
                <c:ptCount val="1"/>
                <c:pt idx="0">
                  <c:v>Characteristic Line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'R(CSCO)'!$G$17:$G$19</c:f>
              <c:numCache>
                <c:formatCode>0.000%</c:formatCode>
                <c:ptCount val="3"/>
                <c:pt idx="0">
                  <c:v>-9.1776894596563907E-2</c:v>
                </c:pt>
                <c:pt idx="1">
                  <c:v>9.7773852046508548E-3</c:v>
                </c:pt>
                <c:pt idx="2">
                  <c:v>7.8684401655036762E-2</c:v>
                </c:pt>
              </c:numCache>
            </c:numRef>
          </c:xVal>
          <c:yVal>
            <c:numRef>
              <c:f>'R(CSCO)'!$H$17:$H$19</c:f>
              <c:numCache>
                <c:formatCode>0.000%</c:formatCode>
                <c:ptCount val="3"/>
                <c:pt idx="0">
                  <c:v>-7.5498832478479952E-2</c:v>
                </c:pt>
                <c:pt idx="1">
                  <c:v>2.3127355248177908E-2</c:v>
                </c:pt>
                <c:pt idx="2">
                  <c:v>9.0047590943043918E-2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91-43F7-978B-AAAB959EE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713632"/>
        <c:axId val="604715272"/>
      </c:scatterChart>
      <c:valAx>
        <c:axId val="60471363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0"/>
        <c:majorTickMark val="cross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715272"/>
        <c:crosses val="autoZero"/>
        <c:crossBetween val="midCat"/>
      </c:valAx>
      <c:valAx>
        <c:axId val="604715272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0"/>
        <c:majorTickMark val="cross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71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8E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50/50</a:t>
            </a:r>
            <a:r>
              <a:rPr lang="en-US" baseline="0"/>
              <a:t> Potfolio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'R(50-50 Portfolio)'!$D$2</c:f>
              <c:strCache>
                <c:ptCount val="1"/>
                <c:pt idx="0">
                  <c:v>50/50 Portfolio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bg1">
                  <a:alpha val="94000"/>
                </a:schemeClr>
              </a:solidFill>
              <a:ln w="12700">
                <a:solidFill>
                  <a:srgbClr val="8E0000"/>
                </a:solidFill>
              </a:ln>
              <a:effectLst/>
            </c:spPr>
          </c:marker>
          <c:xVal>
            <c:numRef>
              <c:f>'R(50-50 Portfolio)'!$C$3:$C$38</c:f>
              <c:numCache>
                <c:formatCode>0.000%</c:formatCode>
                <c:ptCount val="36"/>
                <c:pt idx="0">
                  <c:v>7.8684401655036762E-2</c:v>
                </c:pt>
                <c:pt idx="1">
                  <c:v>-9.1776894596563907E-2</c:v>
                </c:pt>
                <c:pt idx="2">
                  <c:v>1.7859356788848979E-2</c:v>
                </c:pt>
                <c:pt idx="3">
                  <c:v>-6.9403356024429486E-2</c:v>
                </c:pt>
                <c:pt idx="4">
                  <c:v>4.2942871026614426E-3</c:v>
                </c:pt>
                <c:pt idx="5">
                  <c:v>3.0263211466054596E-2</c:v>
                </c:pt>
                <c:pt idx="6">
                  <c:v>3.6021556221367268E-2</c:v>
                </c:pt>
                <c:pt idx="7">
                  <c:v>4.8424360241865472E-3</c:v>
                </c:pt>
                <c:pt idx="8">
                  <c:v>2.1608341965291933E-2</c:v>
                </c:pt>
                <c:pt idx="9">
                  <c:v>2.718775131643536E-3</c:v>
                </c:pt>
                <c:pt idx="10">
                  <c:v>-2.6884498624825115E-2</c:v>
                </c:pt>
                <c:pt idx="11">
                  <c:v>-3.8947372061896912E-2</c:v>
                </c:pt>
                <c:pt idx="12">
                  <c:v>5.6178704444133087E-2</c:v>
                </c:pt>
                <c:pt idx="13">
                  <c:v>3.4342557364422932E-2</c:v>
                </c:pt>
                <c:pt idx="14">
                  <c:v>3.7200430103365711E-3</c:v>
                </c:pt>
                <c:pt idx="15">
                  <c:v>2.218813533034969E-2</c:v>
                </c:pt>
                <c:pt idx="16">
                  <c:v>1.9302978533243698E-2</c:v>
                </c:pt>
                <c:pt idx="17">
                  <c:v>5.4643281108557318E-4</c:v>
                </c:pt>
                <c:pt idx="18">
                  <c:v>1.9348826118030571E-2</c:v>
                </c:pt>
                <c:pt idx="19">
                  <c:v>4.8137750908554544E-3</c:v>
                </c:pt>
                <c:pt idx="20">
                  <c:v>1.157625139134133E-2</c:v>
                </c:pt>
                <c:pt idx="21">
                  <c:v>9.0912085493182193E-3</c:v>
                </c:pt>
                <c:pt idx="22">
                  <c:v>-3.8919718808450021E-4</c:v>
                </c:pt>
                <c:pt idx="23">
                  <c:v>3.7198160337279074E-2</c:v>
                </c:pt>
                <c:pt idx="24">
                  <c:v>1.7884358171464498E-2</c:v>
                </c:pt>
                <c:pt idx="25">
                  <c:v>1.8200762196895148E-2</c:v>
                </c:pt>
                <c:pt idx="26">
                  <c:v>3.4174522187570444E-2</c:v>
                </c:pt>
                <c:pt idx="27">
                  <c:v>-1.9425679279557517E-2</c:v>
                </c:pt>
                <c:pt idx="28">
                  <c:v>-1.2344508443253854E-3</c:v>
                </c:pt>
                <c:pt idx="29">
                  <c:v>-1.2192431360480427E-3</c:v>
                </c:pt>
                <c:pt idx="30">
                  <c:v>3.5609801125254359E-2</c:v>
                </c:pt>
                <c:pt idx="31">
                  <c:v>9.1092112097812539E-4</c:v>
                </c:pt>
                <c:pt idx="32">
                  <c:v>1.5324602357572603E-2</c:v>
                </c:pt>
                <c:pt idx="33">
                  <c:v>2.6993984808731941E-3</c:v>
                </c:pt>
                <c:pt idx="34">
                  <c:v>6.5991114577365062E-2</c:v>
                </c:pt>
                <c:pt idx="35">
                  <c:v>-4.1283604302990717E-3</c:v>
                </c:pt>
              </c:numCache>
            </c:numRef>
          </c:xVal>
          <c:yVal>
            <c:numRef>
              <c:f>'R(50-50 Portfolio)'!$D$3:$D$38</c:f>
              <c:numCache>
                <c:formatCode>0.000%</c:formatCode>
                <c:ptCount val="36"/>
                <c:pt idx="0">
                  <c:v>7.8233843593876418E-2</c:v>
                </c:pt>
                <c:pt idx="1">
                  <c:v>-0.11846506386490824</c:v>
                </c:pt>
                <c:pt idx="2">
                  <c:v>5.054374134186046E-2</c:v>
                </c:pt>
                <c:pt idx="3">
                  <c:v>-6.1457076007933764E-2</c:v>
                </c:pt>
                <c:pt idx="4">
                  <c:v>9.682768459490898E-3</c:v>
                </c:pt>
                <c:pt idx="5">
                  <c:v>8.9408742214967307E-2</c:v>
                </c:pt>
                <c:pt idx="6">
                  <c:v>4.9328105668958899E-2</c:v>
                </c:pt>
                <c:pt idx="7">
                  <c:v>-1.5902545927811151E-3</c:v>
                </c:pt>
                <c:pt idx="8">
                  <c:v>2.6446569728059588E-2</c:v>
                </c:pt>
                <c:pt idx="9">
                  <c:v>5.3196077332210989E-2</c:v>
                </c:pt>
                <c:pt idx="10">
                  <c:v>-9.0587108668332972E-4</c:v>
                </c:pt>
                <c:pt idx="11">
                  <c:v>1.2135759767386733E-2</c:v>
                </c:pt>
                <c:pt idx="12">
                  <c:v>6.2080688424765995E-2</c:v>
                </c:pt>
                <c:pt idx="13">
                  <c:v>2.8701054581497409E-2</c:v>
                </c:pt>
                <c:pt idx="14">
                  <c:v>7.8075793987389508E-2</c:v>
                </c:pt>
                <c:pt idx="15">
                  <c:v>-2.325018299204118E-2</c:v>
                </c:pt>
                <c:pt idx="16">
                  <c:v>6.4473123726685344E-2</c:v>
                </c:pt>
                <c:pt idx="17">
                  <c:v>2.0797687367587692E-2</c:v>
                </c:pt>
                <c:pt idx="18">
                  <c:v>-4.5441053529576891E-2</c:v>
                </c:pt>
                <c:pt idx="19">
                  <c:v>-4.7545314151575813E-5</c:v>
                </c:pt>
                <c:pt idx="20">
                  <c:v>-4.526397756320244E-3</c:v>
                </c:pt>
                <c:pt idx="21">
                  <c:v>5.4363534863008489E-2</c:v>
                </c:pt>
                <c:pt idx="22">
                  <c:v>-2.4195579213228346E-2</c:v>
                </c:pt>
                <c:pt idx="23">
                  <c:v>7.9703805685856555E-2</c:v>
                </c:pt>
                <c:pt idx="24">
                  <c:v>0.15813525319546462</c:v>
                </c:pt>
                <c:pt idx="25">
                  <c:v>1.1454154549784601E-2</c:v>
                </c:pt>
                <c:pt idx="26">
                  <c:v>7.2841139289189394E-2</c:v>
                </c:pt>
                <c:pt idx="27">
                  <c:v>-1.2131132165670411E-2</c:v>
                </c:pt>
                <c:pt idx="28">
                  <c:v>4.7592903343147808E-2</c:v>
                </c:pt>
                <c:pt idx="29">
                  <c:v>1.4020934132118024E-2</c:v>
                </c:pt>
                <c:pt idx="30">
                  <c:v>7.9734619602928491E-2</c:v>
                </c:pt>
                <c:pt idx="31">
                  <c:v>-8.6555057379055222E-3</c:v>
                </c:pt>
                <c:pt idx="32">
                  <c:v>1.2972395822703375E-2</c:v>
                </c:pt>
                <c:pt idx="33">
                  <c:v>1.6869690867777065E-2</c:v>
                </c:pt>
                <c:pt idx="34">
                  <c:v>8.1639573224696615E-2</c:v>
                </c:pt>
                <c:pt idx="35">
                  <c:v>7.4557817185265662E-2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90-4783-B014-C000915DC820}"/>
            </c:ext>
          </c:extLst>
        </c:ser>
        <c:ser>
          <c:idx val="1"/>
          <c:order val="1"/>
          <c:tx>
            <c:strRef>
              <c:f>'R(50-50 Portfolio)'!$F$15</c:f>
              <c:strCache>
                <c:ptCount val="1"/>
                <c:pt idx="0">
                  <c:v>Characteristic Line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'R(50-50 Portfolio)'!$G$17:$G$19</c:f>
              <c:numCache>
                <c:formatCode>0.000%</c:formatCode>
                <c:ptCount val="3"/>
                <c:pt idx="0">
                  <c:v>-9.1776894596563907E-2</c:v>
                </c:pt>
                <c:pt idx="1">
                  <c:v>9.7773852046508548E-3</c:v>
                </c:pt>
                <c:pt idx="2">
                  <c:v>7.8684401655036762E-2</c:v>
                </c:pt>
              </c:numCache>
            </c:numRef>
          </c:xVal>
          <c:yVal>
            <c:numRef>
              <c:f>'R(50-50 Portfolio)'!$H$17:$H$19</c:f>
              <c:numCache>
                <c:formatCode>0.000%</c:formatCode>
                <c:ptCount val="3"/>
                <c:pt idx="0">
                  <c:v>-7.9305912966596073E-2</c:v>
                </c:pt>
                <c:pt idx="1">
                  <c:v>2.8509003213763255E-2</c:v>
                </c:pt>
                <c:pt idx="2">
                  <c:v>0.10166401172132329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90-4783-B014-C000915DC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713632"/>
        <c:axId val="604715272"/>
      </c:scatterChart>
      <c:valAx>
        <c:axId val="60471363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0"/>
        <c:majorTickMark val="cross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715272"/>
        <c:crosses val="autoZero"/>
        <c:crossBetween val="midCat"/>
      </c:valAx>
      <c:valAx>
        <c:axId val="604715272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0"/>
        <c:majorTickMark val="cross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71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8E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Minimum Variance Portfolio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'R(MVP)'!$D$2</c:f>
              <c:strCache>
                <c:ptCount val="1"/>
                <c:pt idx="0">
                  <c:v>MVP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bg1">
                  <a:alpha val="94000"/>
                </a:schemeClr>
              </a:solidFill>
              <a:ln w="12700">
                <a:solidFill>
                  <a:srgbClr val="8E0000"/>
                </a:solidFill>
              </a:ln>
              <a:effectLst/>
            </c:spPr>
          </c:marker>
          <c:xVal>
            <c:numRef>
              <c:f>'R(MVP)'!$C$3:$C$38</c:f>
              <c:numCache>
                <c:formatCode>0.000%</c:formatCode>
                <c:ptCount val="36"/>
                <c:pt idx="0">
                  <c:v>7.8684401655036762E-2</c:v>
                </c:pt>
                <c:pt idx="1">
                  <c:v>-9.1776894596563907E-2</c:v>
                </c:pt>
                <c:pt idx="2">
                  <c:v>1.7859356788848979E-2</c:v>
                </c:pt>
                <c:pt idx="3">
                  <c:v>-6.9403356024429486E-2</c:v>
                </c:pt>
                <c:pt idx="4">
                  <c:v>4.2942871026614426E-3</c:v>
                </c:pt>
                <c:pt idx="5">
                  <c:v>3.0263211466054596E-2</c:v>
                </c:pt>
                <c:pt idx="6">
                  <c:v>3.6021556221367268E-2</c:v>
                </c:pt>
                <c:pt idx="7">
                  <c:v>4.8424360241865472E-3</c:v>
                </c:pt>
                <c:pt idx="8">
                  <c:v>2.1608341965291933E-2</c:v>
                </c:pt>
                <c:pt idx="9">
                  <c:v>2.718775131643536E-3</c:v>
                </c:pt>
                <c:pt idx="10">
                  <c:v>-2.6884498624825115E-2</c:v>
                </c:pt>
                <c:pt idx="11">
                  <c:v>-3.8947372061896912E-2</c:v>
                </c:pt>
                <c:pt idx="12">
                  <c:v>5.6178704444133087E-2</c:v>
                </c:pt>
                <c:pt idx="13">
                  <c:v>3.4342557364422932E-2</c:v>
                </c:pt>
                <c:pt idx="14">
                  <c:v>3.7200430103365711E-3</c:v>
                </c:pt>
                <c:pt idx="15">
                  <c:v>2.218813533034969E-2</c:v>
                </c:pt>
                <c:pt idx="16">
                  <c:v>1.9302978533243698E-2</c:v>
                </c:pt>
                <c:pt idx="17">
                  <c:v>5.4643281108557318E-4</c:v>
                </c:pt>
                <c:pt idx="18">
                  <c:v>1.9348826118030571E-2</c:v>
                </c:pt>
                <c:pt idx="19">
                  <c:v>4.8137750908554544E-3</c:v>
                </c:pt>
                <c:pt idx="20">
                  <c:v>1.157625139134133E-2</c:v>
                </c:pt>
                <c:pt idx="21">
                  <c:v>9.0912085493182193E-3</c:v>
                </c:pt>
                <c:pt idx="22">
                  <c:v>-3.8919718808450021E-4</c:v>
                </c:pt>
                <c:pt idx="23">
                  <c:v>3.7198160337279074E-2</c:v>
                </c:pt>
                <c:pt idx="24">
                  <c:v>1.7884358171464498E-2</c:v>
                </c:pt>
                <c:pt idx="25">
                  <c:v>1.8200762196895148E-2</c:v>
                </c:pt>
                <c:pt idx="26">
                  <c:v>3.4174522187570444E-2</c:v>
                </c:pt>
                <c:pt idx="27">
                  <c:v>-1.9425679279557517E-2</c:v>
                </c:pt>
                <c:pt idx="28">
                  <c:v>-1.2344508443253854E-3</c:v>
                </c:pt>
                <c:pt idx="29">
                  <c:v>-1.2192431360480427E-3</c:v>
                </c:pt>
                <c:pt idx="30">
                  <c:v>3.5609801125254359E-2</c:v>
                </c:pt>
                <c:pt idx="31">
                  <c:v>9.1092112097812539E-4</c:v>
                </c:pt>
                <c:pt idx="32">
                  <c:v>1.5324602357572603E-2</c:v>
                </c:pt>
                <c:pt idx="33">
                  <c:v>2.6993984808731941E-3</c:v>
                </c:pt>
                <c:pt idx="34">
                  <c:v>6.5991114577365062E-2</c:v>
                </c:pt>
                <c:pt idx="35">
                  <c:v>-4.1283604302990717E-3</c:v>
                </c:pt>
              </c:numCache>
            </c:numRef>
          </c:xVal>
          <c:yVal>
            <c:numRef>
              <c:f>'R(MVP)'!$D$3:$D$38</c:f>
              <c:numCache>
                <c:formatCode>0.000%</c:formatCode>
                <c:ptCount val="36"/>
                <c:pt idx="0">
                  <c:v>8.7374291274175245E-2</c:v>
                </c:pt>
                <c:pt idx="1">
                  <c:v>-0.10807009362375232</c:v>
                </c:pt>
                <c:pt idx="2">
                  <c:v>4.8693556572206857E-2</c:v>
                </c:pt>
                <c:pt idx="3">
                  <c:v>-5.7659556264603479E-2</c:v>
                </c:pt>
                <c:pt idx="4">
                  <c:v>1.3527874306333069E-2</c:v>
                </c:pt>
                <c:pt idx="5">
                  <c:v>0.10708472687670645</c:v>
                </c:pt>
                <c:pt idx="6">
                  <c:v>2.3431335637726213E-2</c:v>
                </c:pt>
                <c:pt idx="7">
                  <c:v>2.4061093432064997E-3</c:v>
                </c:pt>
                <c:pt idx="8">
                  <c:v>-8.8648596252454206E-4</c:v>
                </c:pt>
                <c:pt idx="9">
                  <c:v>4.7537550980268586E-2</c:v>
                </c:pt>
                <c:pt idx="10">
                  <c:v>-1.9078078754741698E-2</c:v>
                </c:pt>
                <c:pt idx="11">
                  <c:v>4.1114732395140942E-2</c:v>
                </c:pt>
                <c:pt idx="12">
                  <c:v>7.5318734357387257E-2</c:v>
                </c:pt>
                <c:pt idx="13">
                  <c:v>4.5749265323813751E-2</c:v>
                </c:pt>
                <c:pt idx="14">
                  <c:v>6.6012327954174721E-2</c:v>
                </c:pt>
                <c:pt idx="15">
                  <c:v>-2.4224090648290869E-3</c:v>
                </c:pt>
                <c:pt idx="16">
                  <c:v>5.5502679786717996E-2</c:v>
                </c:pt>
                <c:pt idx="17">
                  <c:v>2.2279427004299933E-2</c:v>
                </c:pt>
                <c:pt idx="18">
                  <c:v>-2.3338335596094724E-2</c:v>
                </c:pt>
                <c:pt idx="19">
                  <c:v>-3.2362947952185952E-3</c:v>
                </c:pt>
                <c:pt idx="20">
                  <c:v>-3.53378223678424E-2</c:v>
                </c:pt>
                <c:pt idx="21">
                  <c:v>3.7733533585117586E-2</c:v>
                </c:pt>
                <c:pt idx="22">
                  <c:v>-1.8441286793579877E-2</c:v>
                </c:pt>
                <c:pt idx="23">
                  <c:v>9.4191438786856652E-2</c:v>
                </c:pt>
                <c:pt idx="24">
                  <c:v>9.9621261679119749E-2</c:v>
                </c:pt>
                <c:pt idx="25">
                  <c:v>1.2316390934197306E-2</c:v>
                </c:pt>
                <c:pt idx="26">
                  <c:v>2.8457270074957602E-2</c:v>
                </c:pt>
                <c:pt idx="27">
                  <c:v>-1.7613092613647401E-2</c:v>
                </c:pt>
                <c:pt idx="28">
                  <c:v>3.0570572821318379E-2</c:v>
                </c:pt>
                <c:pt idx="29">
                  <c:v>2.0966691567475534E-2</c:v>
                </c:pt>
                <c:pt idx="30">
                  <c:v>7.6857729528830548E-2</c:v>
                </c:pt>
                <c:pt idx="31">
                  <c:v>-1.0299720922440131E-2</c:v>
                </c:pt>
                <c:pt idx="32">
                  <c:v>3.2233605320226504E-2</c:v>
                </c:pt>
                <c:pt idx="33">
                  <c:v>-1.6804606843816954E-3</c:v>
                </c:pt>
                <c:pt idx="34">
                  <c:v>8.4205539157090628E-2</c:v>
                </c:pt>
                <c:pt idx="35">
                  <c:v>8.5955804096912919E-2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06-40D7-A59B-9AF1FC0B5448}"/>
            </c:ext>
          </c:extLst>
        </c:ser>
        <c:ser>
          <c:idx val="1"/>
          <c:order val="1"/>
          <c:tx>
            <c:strRef>
              <c:f>'R(MVP)'!$F$15</c:f>
              <c:strCache>
                <c:ptCount val="1"/>
                <c:pt idx="0">
                  <c:v>Characteristic Line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'R(MVP)'!$G$17:$G$19</c:f>
              <c:numCache>
                <c:formatCode>0.000%</c:formatCode>
                <c:ptCount val="3"/>
                <c:pt idx="0">
                  <c:v>-9.1776894596563907E-2</c:v>
                </c:pt>
                <c:pt idx="1">
                  <c:v>9.7773852046508548E-3</c:v>
                </c:pt>
                <c:pt idx="2">
                  <c:v>7.8684401655036762E-2</c:v>
                </c:pt>
              </c:numCache>
            </c:numRef>
          </c:xVal>
          <c:yVal>
            <c:numRef>
              <c:f>'R(MVP)'!$H$17:$H$19</c:f>
              <c:numCache>
                <c:formatCode>0.000%</c:formatCode>
                <c:ptCount val="3"/>
                <c:pt idx="0">
                  <c:v>-7.7630797551824976E-2</c:v>
                </c:pt>
                <c:pt idx="1">
                  <c:v>2.6141078108905695E-2</c:v>
                </c:pt>
                <c:pt idx="2">
                  <c:v>9.6552786578880334E-2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06-40D7-A59B-9AF1FC0B5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713632"/>
        <c:axId val="604715272"/>
      </c:scatterChart>
      <c:valAx>
        <c:axId val="60471363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0"/>
        <c:majorTickMark val="cross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715272"/>
        <c:crosses val="autoZero"/>
        <c:crossBetween val="midCat"/>
      </c:valAx>
      <c:valAx>
        <c:axId val="604715272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0"/>
        <c:majorTickMark val="cross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71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8E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Capital Asset Pricing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CAPM!$F$3</c:f>
              <c:strCache>
                <c:ptCount val="1"/>
                <c:pt idx="0">
                  <c:v>Observed Annual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12700">
                <a:solidFill>
                  <a:srgbClr val="8E0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4.1901404583841086E-3"/>
                  <c:y val="-0.1354502095820112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875-4C0A-A827-81198411CDD9}"/>
                </c:ext>
              </c:extLst>
            </c:dLbl>
            <c:dLbl>
              <c:idx val="1"/>
              <c:layout>
                <c:manualLayout>
                  <c:x val="-4.9854489946079043E-2"/>
                  <c:y val="6.66642182786853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875-4C0A-A827-81198411CDD9}"/>
                </c:ext>
              </c:extLst>
            </c:dLbl>
            <c:dLbl>
              <c:idx val="2"/>
              <c:layout>
                <c:manualLayout>
                  <c:x val="-6.6164107886095821E-2"/>
                  <c:y val="-6.70422493830062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875-4C0A-A827-81198411CDD9}"/>
                </c:ext>
              </c:extLst>
            </c:dLbl>
            <c:dLbl>
              <c:idx val="3"/>
              <c:layout>
                <c:manualLayout>
                  <c:x val="-0.16500949933559561"/>
                  <c:y val="2.31318799702275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875-4C0A-A827-81198411CDD9}"/>
                </c:ext>
              </c:extLst>
            </c:dLbl>
            <c:dLbl>
              <c:idx val="4"/>
              <c:layout>
                <c:manualLayout>
                  <c:x val="-0.14984611625429678"/>
                  <c:y val="-9.19178712735535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875-4C0A-A827-81198411CDD9}"/>
                </c:ext>
              </c:extLst>
            </c:dLbl>
            <c:dLbl>
              <c:idx val="5"/>
              <c:layout>
                <c:manualLayout>
                  <c:x val="-0.18645699491538453"/>
                  <c:y val="-2.97288165471853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875-4C0A-A827-81198411CDD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errBars>
            <c:errDir val="y"/>
            <c:errBarType val="minus"/>
            <c:errValType val="cust"/>
            <c:noEndCap val="1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CAPM!$H$4:$H$9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9.1071875463972302E-2</c:v>
                  </c:pt>
                  <c:pt idx="3">
                    <c:v>5.4419767747362409E-2</c:v>
                  </c:pt>
                  <c:pt idx="4">
                    <c:v>7.2745821605667324E-2</c:v>
                  </c:pt>
                  <c:pt idx="5">
                    <c:v>6.4682357908013133E-2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CAPM!$E$4:$E$9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 formatCode="0.000">
                  <c:v>1.152129135897443</c:v>
                </c:pt>
                <c:pt idx="3" formatCode="0.000">
                  <c:v>0.97116722130974265</c:v>
                </c:pt>
                <c:pt idx="4" formatCode="0.000">
                  <c:v>1.0616481786035932</c:v>
                </c:pt>
                <c:pt idx="5" formatCode="0.000">
                  <c:v>1.0218365573942987</c:v>
                </c:pt>
              </c:numCache>
            </c:numRef>
          </c:xVal>
          <c:yVal>
            <c:numRef>
              <c:f>CAPM!$F$4:$F$9</c:f>
              <c:numCache>
                <c:formatCode>0.000%</c:formatCode>
                <c:ptCount val="6"/>
                <c:pt idx="0">
                  <c:v>3.7370370370370378E-3</c:v>
                </c:pt>
                <c:pt idx="1">
                  <c:v>3.9109540818603419E-2</c:v>
                </c:pt>
                <c:pt idx="2">
                  <c:v>0.13556260471739445</c:v>
                </c:pt>
                <c:pt idx="3">
                  <c:v>9.250942099271163E-2</c:v>
                </c:pt>
                <c:pt idx="4">
                  <c:v>0.11403601285505302</c:v>
                </c:pt>
                <c:pt idx="5">
                  <c:v>0.10456431243562277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75-4C0A-A827-81198411CDD9}"/>
            </c:ext>
          </c:extLst>
        </c:ser>
        <c:ser>
          <c:idx val="1"/>
          <c:order val="1"/>
          <c:tx>
            <c:strRef>
              <c:f>CAPM!$G$3</c:f>
              <c:strCache>
                <c:ptCount val="1"/>
                <c:pt idx="0">
                  <c:v>Calculated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CAPM!$E$4:$E$9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 formatCode="0.000">
                  <c:v>1.152129135897443</c:v>
                </c:pt>
                <c:pt idx="3" formatCode="0.000">
                  <c:v>0.97116722130974265</c:v>
                </c:pt>
                <c:pt idx="4" formatCode="0.000">
                  <c:v>1.0616481786035932</c:v>
                </c:pt>
                <c:pt idx="5" formatCode="0.000">
                  <c:v>1.0218365573942987</c:v>
                </c:pt>
              </c:numCache>
            </c:numRef>
          </c:xVal>
          <c:yVal>
            <c:numRef>
              <c:f>CAPM!$G$4:$G$9</c:f>
              <c:numCache>
                <c:formatCode>0.000%</c:formatCode>
                <c:ptCount val="6"/>
                <c:pt idx="0">
                  <c:v>3.7370370370370378E-3</c:v>
                </c:pt>
                <c:pt idx="1">
                  <c:v>3.9109540818603419E-2</c:v>
                </c:pt>
                <c:pt idx="2">
                  <c:v>4.4490729253422151E-2</c:v>
                </c:pt>
                <c:pt idx="3">
                  <c:v>3.8089653245349221E-2</c:v>
                </c:pt>
                <c:pt idx="4">
                  <c:v>4.1290191249385697E-2</c:v>
                </c:pt>
                <c:pt idx="5">
                  <c:v>3.9881954527609641E-2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75-4C0A-A827-81198411CD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879667352"/>
        <c:axId val="879662760"/>
      </c:scatterChart>
      <c:valAx>
        <c:axId val="87966735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662760"/>
        <c:crosses val="autoZero"/>
        <c:crossBetween val="midCat"/>
      </c:valAx>
      <c:valAx>
        <c:axId val="87966276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667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rgbClr val="8E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145104</xdr:colOff>
      <xdr:row>1</xdr:row>
      <xdr:rowOff>77221</xdr:rowOff>
    </xdr:from>
    <xdr:to>
      <xdr:col>21</xdr:col>
      <xdr:colOff>261097</xdr:colOff>
      <xdr:row>32</xdr:row>
      <xdr:rowOff>67485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649BF9-61AF-4C68-94EF-EE5E64C06E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102024</xdr:colOff>
      <xdr:row>1</xdr:row>
      <xdr:rowOff>81702</xdr:rowOff>
    </xdr:from>
    <xdr:to>
      <xdr:col>17</xdr:col>
      <xdr:colOff>510540</xdr:colOff>
      <xdr:row>17</xdr:row>
      <xdr:rowOff>106679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5F44C9-1140-4A46-BD85-F056708396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15</xdr:col>
      <xdr:colOff>601980</xdr:colOff>
      <xdr:row>4</xdr:row>
      <xdr:rowOff>60960</xdr:rowOff>
    </xdr:from>
    <xdr:ext cx="745140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9A7A244-7A93-4558-8A81-EAA65DFDF096}"/>
            </a:ext>
          </a:extLst>
        </xdr:cNvPr>
        <xdr:cNvSpPr txBox="1"/>
      </xdr:nvSpPr>
      <xdr:spPr>
        <a:xfrm>
          <a:off x="9646920" y="807720"/>
          <a:ext cx="7451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100% CSX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132925</xdr:colOff>
      <xdr:row>1</xdr:row>
      <xdr:rowOff>68580</xdr:rowOff>
    </xdr:from>
    <xdr:to>
      <xdr:col>18</xdr:col>
      <xdr:colOff>400050</xdr:colOff>
      <xdr:row>28</xdr:row>
      <xdr:rowOff>137584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F478EA-11AD-4E6A-99E9-5730A173E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132925</xdr:colOff>
      <xdr:row>1</xdr:row>
      <xdr:rowOff>68580</xdr:rowOff>
    </xdr:from>
    <xdr:to>
      <xdr:col>18</xdr:col>
      <xdr:colOff>400050</xdr:colOff>
      <xdr:row>28</xdr:row>
      <xdr:rowOff>137584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FAEA49-200D-4EED-BD32-4811BC50AF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132925</xdr:colOff>
      <xdr:row>1</xdr:row>
      <xdr:rowOff>68580</xdr:rowOff>
    </xdr:from>
    <xdr:to>
      <xdr:col>18</xdr:col>
      <xdr:colOff>400050</xdr:colOff>
      <xdr:row>28</xdr:row>
      <xdr:rowOff>137584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E76586-3A0B-4E91-A1E7-D23FF7F9A8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132925</xdr:colOff>
      <xdr:row>1</xdr:row>
      <xdr:rowOff>68580</xdr:rowOff>
    </xdr:from>
    <xdr:to>
      <xdr:col>18</xdr:col>
      <xdr:colOff>400050</xdr:colOff>
      <xdr:row>28</xdr:row>
      <xdr:rowOff>137584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CF4EEB-29EE-492E-87BC-261FA561CA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97267</xdr:colOff>
      <xdr:row>1</xdr:row>
      <xdr:rowOff>69028</xdr:rowOff>
    </xdr:from>
    <xdr:to>
      <xdr:col>19</xdr:col>
      <xdr:colOff>383561</xdr:colOff>
      <xdr:row>20</xdr:row>
      <xdr:rowOff>146637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979B31-814A-4920-A1AD-1DC170AD55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red.stlouisfed.org/series/TB3M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44B27-378B-4C35-B96C-6BA7203EA69B}">
  <dimension ref="A1:AD42"/>
  <sheetViews>
    <sheetView zoomScale="70" zoomScaleNormal="70" workbookViewId="0">
      <selection activeCell="AE39" sqref="AE39"/>
    </sheetView>
  </sheetViews>
  <sheetFormatPr defaultRowHeight="14.4"/>
  <cols>
    <col min="1" max="1" width="14.21875" customWidth="1"/>
    <col min="2" max="2" width="12" customWidth="1"/>
    <col min="3" max="3" width="10" customWidth="1"/>
    <col min="4" max="4" width="10.77734375" customWidth="1"/>
    <col min="5" max="5" width="10.6640625" customWidth="1"/>
    <col min="6" max="6" width="12.44140625" customWidth="1"/>
    <col min="7" max="7" width="12.5546875" bestFit="1" customWidth="1"/>
    <col min="9" max="9" width="2" style="1" bestFit="1" customWidth="1"/>
    <col min="10" max="10" width="4.44140625" bestFit="1" customWidth="1"/>
    <col min="11" max="11" width="2.77734375" customWidth="1"/>
    <col min="12" max="12" width="11" customWidth="1"/>
    <col min="13" max="13" width="12.21875" customWidth="1"/>
    <col min="14" max="14" width="11" customWidth="1"/>
    <col min="15" max="15" width="11.109375" bestFit="1" customWidth="1"/>
    <col min="16" max="16" width="11" bestFit="1" customWidth="1"/>
    <col min="17" max="17" width="14.5546875" bestFit="1" customWidth="1"/>
    <col min="18" max="18" width="2.109375" customWidth="1"/>
    <col min="19" max="20" width="16.109375" customWidth="1"/>
    <col min="21" max="21" width="2.21875" customWidth="1"/>
    <col min="22" max="22" width="13.109375" customWidth="1"/>
    <col min="27" max="27" width="12" bestFit="1" customWidth="1"/>
    <col min="28" max="28" width="4.77734375" bestFit="1" customWidth="1"/>
    <col min="29" max="29" width="2.21875" style="1" bestFit="1" customWidth="1"/>
    <col min="30" max="30" width="4.44140625" bestFit="1" customWidth="1"/>
  </cols>
  <sheetData>
    <row r="1" spans="1:30" ht="15" thickBot="1">
      <c r="B1" s="5" t="s">
        <v>8</v>
      </c>
      <c r="C1" s="5" t="s">
        <v>9</v>
      </c>
      <c r="D1" s="5"/>
      <c r="E1" s="5"/>
      <c r="F1" s="5"/>
      <c r="G1" s="5"/>
      <c r="H1" s="5"/>
      <c r="I1" s="6"/>
      <c r="J1" s="5"/>
      <c r="K1" s="12"/>
      <c r="L1" s="5" t="s">
        <v>70</v>
      </c>
      <c r="M1" s="5" t="s">
        <v>10</v>
      </c>
      <c r="N1" s="5"/>
      <c r="O1" s="5"/>
      <c r="P1" s="5"/>
      <c r="Q1" s="5"/>
      <c r="R1" s="4"/>
      <c r="S1" s="5" t="s">
        <v>13</v>
      </c>
      <c r="T1" s="5" t="s">
        <v>11</v>
      </c>
      <c r="V1" s="5" t="s">
        <v>47</v>
      </c>
      <c r="W1" s="29" t="s">
        <v>64</v>
      </c>
      <c r="X1" s="29"/>
      <c r="Y1" s="29"/>
      <c r="Z1" s="29"/>
      <c r="AA1" s="29"/>
      <c r="AB1" s="29"/>
      <c r="AC1" s="32"/>
      <c r="AD1" s="29"/>
    </row>
    <row r="2" spans="1:30" ht="15" thickBot="1">
      <c r="B2" s="7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  <c r="I2" s="8">
        <v>1</v>
      </c>
      <c r="J2" s="7" t="s">
        <v>7</v>
      </c>
      <c r="K2" s="13"/>
      <c r="L2" s="7" t="s">
        <v>0</v>
      </c>
      <c r="M2" s="7" t="s">
        <v>1</v>
      </c>
      <c r="N2" s="7" t="s">
        <v>2</v>
      </c>
      <c r="O2" s="7" t="s">
        <v>3</v>
      </c>
      <c r="P2" s="7" t="s">
        <v>4</v>
      </c>
      <c r="Q2" s="7" t="s">
        <v>5</v>
      </c>
      <c r="R2" s="7"/>
      <c r="S2" s="7" t="s">
        <v>0</v>
      </c>
      <c r="T2" s="7" t="s">
        <v>12</v>
      </c>
      <c r="V2" s="7" t="s">
        <v>0</v>
      </c>
      <c r="W2" s="30" t="s">
        <v>1</v>
      </c>
      <c r="X2" s="30" t="s">
        <v>2</v>
      </c>
      <c r="Y2" s="30" t="s">
        <v>3</v>
      </c>
      <c r="Z2" s="30" t="s">
        <v>4</v>
      </c>
      <c r="AA2" s="30" t="s">
        <v>5</v>
      </c>
      <c r="AB2" s="30" t="s">
        <v>6</v>
      </c>
      <c r="AC2" s="31">
        <v>1</v>
      </c>
      <c r="AD2" s="30" t="s">
        <v>7</v>
      </c>
    </row>
    <row r="3" spans="1:30">
      <c r="A3" s="18">
        <v>43466</v>
      </c>
      <c r="B3" s="26">
        <v>43466</v>
      </c>
      <c r="C3" s="27">
        <v>60.759998000000003</v>
      </c>
      <c r="D3" s="27">
        <v>67.769997000000004</v>
      </c>
      <c r="E3" s="27">
        <v>60.02</v>
      </c>
      <c r="F3" s="27">
        <v>65.699996999999996</v>
      </c>
      <c r="G3" s="28">
        <v>125003700</v>
      </c>
      <c r="H3" s="9"/>
      <c r="I3" s="2">
        <f t="shared" ref="I3:I39" si="0" xml:space="preserve"> IF($J3&gt;0,$I2* $J3,$I2)</f>
        <v>1</v>
      </c>
      <c r="L3" s="26">
        <v>43466</v>
      </c>
      <c r="M3" s="27">
        <v>2476.959961</v>
      </c>
      <c r="N3" s="27">
        <v>2708.9499510000001</v>
      </c>
      <c r="O3" s="27">
        <v>2443.959961</v>
      </c>
      <c r="P3" s="27">
        <v>2704.1000979999999</v>
      </c>
      <c r="Q3" s="28">
        <v>80391630000</v>
      </c>
      <c r="R3" s="11"/>
      <c r="S3" s="21">
        <v>43466</v>
      </c>
      <c r="T3" s="20">
        <v>2.37</v>
      </c>
      <c r="V3" s="21">
        <v>43466</v>
      </c>
      <c r="W3" s="9">
        <v>42.279998999999997</v>
      </c>
      <c r="X3" s="9">
        <v>47.380001</v>
      </c>
      <c r="Y3" s="9">
        <v>40.959999000000003</v>
      </c>
      <c r="Z3" s="9">
        <v>47.290000999999997</v>
      </c>
      <c r="AA3" s="10">
        <v>442759300</v>
      </c>
      <c r="AB3" s="11">
        <v>0.33</v>
      </c>
      <c r="AC3" s="1">
        <v>1</v>
      </c>
    </row>
    <row r="4" spans="1:30">
      <c r="A4" s="18">
        <v>43435</v>
      </c>
      <c r="B4" s="26">
        <v>43435</v>
      </c>
      <c r="C4" s="27">
        <v>73.809997999999993</v>
      </c>
      <c r="D4" s="27">
        <v>73.900002000000001</v>
      </c>
      <c r="E4" s="27">
        <v>58.470001000000003</v>
      </c>
      <c r="F4" s="27">
        <v>62.130001</v>
      </c>
      <c r="G4" s="28">
        <v>117695600</v>
      </c>
      <c r="H4" s="9">
        <v>0.18</v>
      </c>
      <c r="I4" s="2">
        <f t="shared" si="0"/>
        <v>1</v>
      </c>
      <c r="L4" s="26">
        <v>43435</v>
      </c>
      <c r="M4" s="27">
        <v>2790.5</v>
      </c>
      <c r="N4" s="27">
        <v>2800.179932</v>
      </c>
      <c r="O4" s="27">
        <v>2346.580078</v>
      </c>
      <c r="P4" s="27">
        <v>2506.8500979999999</v>
      </c>
      <c r="Q4" s="28">
        <v>83519570000</v>
      </c>
      <c r="R4" s="11"/>
      <c r="S4" s="21">
        <v>43435</v>
      </c>
      <c r="T4" s="20">
        <v>2.37</v>
      </c>
      <c r="V4" s="21">
        <v>43435</v>
      </c>
      <c r="W4" s="9">
        <v>48.32</v>
      </c>
      <c r="X4" s="9">
        <v>49.139999000000003</v>
      </c>
      <c r="Y4" s="9">
        <v>40.25</v>
      </c>
      <c r="Z4" s="9">
        <v>43.330002</v>
      </c>
      <c r="AA4" s="10">
        <v>606735800</v>
      </c>
      <c r="AB4" s="11">
        <v>0</v>
      </c>
      <c r="AC4" s="1">
        <v>1</v>
      </c>
    </row>
    <row r="5" spans="1:30">
      <c r="A5" s="18">
        <v>43405</v>
      </c>
      <c r="B5" s="26">
        <v>43405</v>
      </c>
      <c r="C5" s="27">
        <v>69.129997000000003</v>
      </c>
      <c r="D5" s="27">
        <v>73.610000999999997</v>
      </c>
      <c r="E5" s="27">
        <v>68.580001999999993</v>
      </c>
      <c r="F5" s="27">
        <v>72.629997000000003</v>
      </c>
      <c r="G5" s="28">
        <v>103595700</v>
      </c>
      <c r="H5" s="9"/>
      <c r="I5" s="2">
        <f t="shared" si="0"/>
        <v>1</v>
      </c>
      <c r="L5" s="26">
        <v>43405</v>
      </c>
      <c r="M5" s="27">
        <v>2717.580078</v>
      </c>
      <c r="N5" s="27">
        <v>2815.1499020000001</v>
      </c>
      <c r="O5" s="27">
        <v>2631.0900879999999</v>
      </c>
      <c r="P5" s="27">
        <v>2760.169922</v>
      </c>
      <c r="Q5" s="28">
        <v>80080110000</v>
      </c>
      <c r="R5" s="11"/>
      <c r="S5" s="21">
        <v>43405</v>
      </c>
      <c r="T5" s="20">
        <v>2.33</v>
      </c>
      <c r="V5" s="21">
        <v>43405</v>
      </c>
      <c r="W5" s="9">
        <v>45.669998</v>
      </c>
      <c r="X5" s="9">
        <v>48.439999</v>
      </c>
      <c r="Y5" s="9">
        <v>44.080002</v>
      </c>
      <c r="Z5" s="9">
        <v>47.869999</v>
      </c>
      <c r="AA5" s="10">
        <v>526861100</v>
      </c>
      <c r="AB5" s="11">
        <v>0</v>
      </c>
      <c r="AC5" s="1">
        <v>1</v>
      </c>
    </row>
    <row r="6" spans="1:30">
      <c r="A6" s="18">
        <v>43374</v>
      </c>
      <c r="B6" s="26">
        <v>43374</v>
      </c>
      <c r="C6" s="27">
        <v>74.379997000000003</v>
      </c>
      <c r="D6" s="27">
        <v>75.660004000000001</v>
      </c>
      <c r="E6" s="27">
        <v>63.650002000000001</v>
      </c>
      <c r="F6" s="27">
        <v>68.860000999999997</v>
      </c>
      <c r="G6" s="28">
        <v>167502500</v>
      </c>
      <c r="H6" s="9"/>
      <c r="I6" s="2">
        <f t="shared" si="0"/>
        <v>1</v>
      </c>
      <c r="L6" s="26">
        <v>43374</v>
      </c>
      <c r="M6" s="27">
        <v>2926.290039</v>
      </c>
      <c r="N6" s="27">
        <v>2939.860107</v>
      </c>
      <c r="O6" s="27">
        <v>2603.540039</v>
      </c>
      <c r="P6" s="27">
        <v>2711.73999</v>
      </c>
      <c r="Q6" s="28">
        <v>91327930000</v>
      </c>
      <c r="R6" s="11"/>
      <c r="S6" s="21">
        <v>43374</v>
      </c>
      <c r="T6" s="20">
        <v>2.25</v>
      </c>
      <c r="V6" s="21">
        <v>43374</v>
      </c>
      <c r="W6" s="9">
        <v>49</v>
      </c>
      <c r="X6" s="9">
        <v>49.470001000000003</v>
      </c>
      <c r="Y6" s="9">
        <v>42.939999</v>
      </c>
      <c r="Z6" s="9">
        <v>45.75</v>
      </c>
      <c r="AA6" s="10">
        <v>549746900</v>
      </c>
      <c r="AB6" s="11">
        <v>0.33</v>
      </c>
      <c r="AC6" s="1">
        <v>1</v>
      </c>
    </row>
    <row r="7" spans="1:30">
      <c r="A7" s="18">
        <v>43344</v>
      </c>
      <c r="B7" s="26">
        <v>43344</v>
      </c>
      <c r="C7" s="27">
        <v>74.160004000000001</v>
      </c>
      <c r="D7" s="27">
        <v>74.910004000000001</v>
      </c>
      <c r="E7" s="27">
        <v>72.690002000000007</v>
      </c>
      <c r="F7" s="27">
        <v>74.050003000000004</v>
      </c>
      <c r="G7" s="28">
        <v>101051700</v>
      </c>
      <c r="H7" s="9">
        <v>0.18</v>
      </c>
      <c r="I7" s="2">
        <f t="shared" si="0"/>
        <v>1</v>
      </c>
      <c r="L7" s="26">
        <v>43344</v>
      </c>
      <c r="M7" s="27">
        <v>2896.959961</v>
      </c>
      <c r="N7" s="27">
        <v>2940.9099120000001</v>
      </c>
      <c r="O7" s="27">
        <v>2864.1201169999999</v>
      </c>
      <c r="P7" s="27">
        <v>2913.9799800000001</v>
      </c>
      <c r="Q7" s="28">
        <v>62492080000</v>
      </c>
      <c r="R7" s="11"/>
      <c r="S7" s="21">
        <v>43344</v>
      </c>
      <c r="T7" s="20">
        <v>2.13</v>
      </c>
      <c r="V7" s="21">
        <v>43344</v>
      </c>
      <c r="W7" s="9">
        <v>47.84</v>
      </c>
      <c r="X7" s="9">
        <v>49.060001</v>
      </c>
      <c r="Y7" s="9">
        <v>46.439999</v>
      </c>
      <c r="Z7" s="9">
        <v>48.650002000000001</v>
      </c>
      <c r="AA7" s="10">
        <v>365543500</v>
      </c>
      <c r="AB7" s="11">
        <v>0</v>
      </c>
      <c r="AC7" s="1">
        <v>1</v>
      </c>
    </row>
    <row r="8" spans="1:30">
      <c r="A8" s="18">
        <v>43313</v>
      </c>
      <c r="B8" s="26">
        <v>43313</v>
      </c>
      <c r="C8" s="27">
        <v>70.739998</v>
      </c>
      <c r="D8" s="27">
        <v>76.239998</v>
      </c>
      <c r="E8" s="27">
        <v>70.089995999999999</v>
      </c>
      <c r="F8" s="27">
        <v>74.160004000000001</v>
      </c>
      <c r="G8" s="28">
        <v>96383600</v>
      </c>
      <c r="H8" s="9"/>
      <c r="I8" s="2">
        <f t="shared" si="0"/>
        <v>1</v>
      </c>
      <c r="L8" s="26">
        <v>43313</v>
      </c>
      <c r="M8" s="27">
        <v>2821.169922</v>
      </c>
      <c r="N8" s="27">
        <v>2916.5</v>
      </c>
      <c r="O8" s="27">
        <v>2796.3400879999999</v>
      </c>
      <c r="P8" s="27">
        <v>2901.5200199999999</v>
      </c>
      <c r="Q8" s="28">
        <v>69238220000</v>
      </c>
      <c r="R8" s="11"/>
      <c r="S8" s="21">
        <v>43313</v>
      </c>
      <c r="T8" s="20">
        <v>2.0299999999999998</v>
      </c>
      <c r="V8" s="21">
        <v>43313</v>
      </c>
      <c r="W8" s="9">
        <v>41.990001999999997</v>
      </c>
      <c r="X8" s="9">
        <v>47.830002</v>
      </c>
      <c r="Y8" s="9">
        <v>41.200001</v>
      </c>
      <c r="Z8" s="9">
        <v>47.77</v>
      </c>
      <c r="AA8" s="10">
        <v>441219800</v>
      </c>
      <c r="AB8" s="11">
        <v>0</v>
      </c>
      <c r="AC8" s="1">
        <v>1</v>
      </c>
    </row>
    <row r="9" spans="1:30">
      <c r="A9" s="18">
        <v>43282</v>
      </c>
      <c r="B9" s="26">
        <v>43282</v>
      </c>
      <c r="C9" s="27">
        <v>63.540000999999997</v>
      </c>
      <c r="D9" s="27">
        <v>72.220000999999996</v>
      </c>
      <c r="E9" s="27">
        <v>63.23</v>
      </c>
      <c r="F9" s="27">
        <v>70.680000000000007</v>
      </c>
      <c r="G9" s="28">
        <v>135592400</v>
      </c>
      <c r="H9" s="9"/>
      <c r="I9" s="2">
        <f t="shared" si="0"/>
        <v>1</v>
      </c>
      <c r="L9" s="26">
        <v>43282</v>
      </c>
      <c r="M9" s="27">
        <v>2704.9499510000001</v>
      </c>
      <c r="N9" s="27">
        <v>2848.030029</v>
      </c>
      <c r="O9" s="27">
        <v>2698.9499510000001</v>
      </c>
      <c r="P9" s="27">
        <v>2816.290039</v>
      </c>
      <c r="Q9" s="28">
        <v>64542170000</v>
      </c>
      <c r="R9" s="11"/>
      <c r="S9" s="21">
        <v>43282</v>
      </c>
      <c r="T9" s="20">
        <v>1.96</v>
      </c>
      <c r="V9" s="21">
        <v>43282</v>
      </c>
      <c r="W9" s="9">
        <v>42.560001</v>
      </c>
      <c r="X9" s="9">
        <v>43.830002</v>
      </c>
      <c r="Y9" s="9">
        <v>40.939999</v>
      </c>
      <c r="Z9" s="9">
        <v>42.290000999999997</v>
      </c>
      <c r="AA9" s="10">
        <v>450479900</v>
      </c>
      <c r="AB9" s="11">
        <v>0.33</v>
      </c>
      <c r="AC9" s="1">
        <v>1</v>
      </c>
    </row>
    <row r="10" spans="1:30">
      <c r="A10" s="18">
        <v>43252</v>
      </c>
      <c r="B10" s="26">
        <v>43252</v>
      </c>
      <c r="C10" s="27">
        <v>65.220000999999996</v>
      </c>
      <c r="D10" s="27">
        <v>67.690002000000007</v>
      </c>
      <c r="E10" s="27">
        <v>62.720001000000003</v>
      </c>
      <c r="F10" s="27">
        <v>63.779998999999997</v>
      </c>
      <c r="G10" s="28">
        <v>101756100</v>
      </c>
      <c r="H10" s="9">
        <v>0.18</v>
      </c>
      <c r="I10" s="2">
        <f t="shared" si="0"/>
        <v>1</v>
      </c>
      <c r="L10" s="26">
        <v>43252</v>
      </c>
      <c r="M10" s="27">
        <v>2718.6999510000001</v>
      </c>
      <c r="N10" s="27">
        <v>2791.469971</v>
      </c>
      <c r="O10" s="27">
        <v>2691.98999</v>
      </c>
      <c r="P10" s="27">
        <v>2718.3701169999999</v>
      </c>
      <c r="Q10" s="28">
        <v>77439710000</v>
      </c>
      <c r="R10" s="11"/>
      <c r="S10" s="21">
        <v>43252</v>
      </c>
      <c r="T10" s="20">
        <v>1.9</v>
      </c>
      <c r="V10" s="21">
        <v>43252</v>
      </c>
      <c r="W10" s="9">
        <v>42.91</v>
      </c>
      <c r="X10" s="9">
        <v>44.810001</v>
      </c>
      <c r="Y10" s="9">
        <v>41.810001</v>
      </c>
      <c r="Z10" s="9">
        <v>43.029998999999997</v>
      </c>
      <c r="AA10" s="10">
        <v>463650000</v>
      </c>
      <c r="AB10" s="11">
        <v>0</v>
      </c>
      <c r="AC10" s="1">
        <v>1</v>
      </c>
    </row>
    <row r="11" spans="1:30">
      <c r="A11" s="18">
        <v>43221</v>
      </c>
      <c r="B11" s="26">
        <v>43221</v>
      </c>
      <c r="C11" s="27">
        <v>59.290000999999997</v>
      </c>
      <c r="D11" s="27">
        <v>65.930000000000007</v>
      </c>
      <c r="E11" s="27">
        <v>57.970001000000003</v>
      </c>
      <c r="F11" s="27">
        <v>64.650002000000001</v>
      </c>
      <c r="G11" s="28">
        <v>93000400</v>
      </c>
      <c r="H11" s="9"/>
      <c r="I11" s="2">
        <f t="shared" si="0"/>
        <v>1</v>
      </c>
      <c r="L11" s="26">
        <v>43221</v>
      </c>
      <c r="M11" s="27">
        <v>2642.959961</v>
      </c>
      <c r="N11" s="27">
        <v>2742.23999</v>
      </c>
      <c r="O11" s="27">
        <v>2594.6201169999999</v>
      </c>
      <c r="P11" s="27">
        <v>2705.2700199999999</v>
      </c>
      <c r="Q11" s="28">
        <v>75617280000</v>
      </c>
      <c r="R11" s="11"/>
      <c r="S11" s="21">
        <v>43221</v>
      </c>
      <c r="T11" s="20">
        <v>1.86</v>
      </c>
      <c r="V11" s="21">
        <v>43221</v>
      </c>
      <c r="W11" s="9">
        <v>43.91</v>
      </c>
      <c r="X11" s="9">
        <v>46.369999</v>
      </c>
      <c r="Y11" s="9">
        <v>42.52</v>
      </c>
      <c r="Z11" s="9">
        <v>42.709999000000003</v>
      </c>
      <c r="AA11" s="10">
        <v>500442100</v>
      </c>
      <c r="AB11" s="11">
        <v>0</v>
      </c>
      <c r="AC11" s="1">
        <v>1</v>
      </c>
    </row>
    <row r="12" spans="1:30">
      <c r="A12" s="18">
        <v>43191</v>
      </c>
      <c r="B12" s="26">
        <v>43191</v>
      </c>
      <c r="C12" s="27">
        <v>55.48</v>
      </c>
      <c r="D12" s="27">
        <v>61.5</v>
      </c>
      <c r="E12" s="27">
        <v>53.529998999999997</v>
      </c>
      <c r="F12" s="27">
        <v>59.389999000000003</v>
      </c>
      <c r="G12" s="28">
        <v>137809300</v>
      </c>
      <c r="H12" s="9"/>
      <c r="I12" s="2">
        <f t="shared" si="0"/>
        <v>1</v>
      </c>
      <c r="L12" s="26">
        <v>43191</v>
      </c>
      <c r="M12" s="27">
        <v>2633.4499510000001</v>
      </c>
      <c r="N12" s="27">
        <v>2717.48999</v>
      </c>
      <c r="O12" s="27">
        <v>2553.8000489999999</v>
      </c>
      <c r="P12" s="27">
        <v>2648.0500489999999</v>
      </c>
      <c r="Q12" s="28">
        <v>69648590000</v>
      </c>
      <c r="R12" s="11"/>
      <c r="S12" s="21">
        <v>43191</v>
      </c>
      <c r="T12" s="20">
        <v>1.76</v>
      </c>
      <c r="V12" s="21">
        <v>43191</v>
      </c>
      <c r="W12" s="9">
        <v>42.52</v>
      </c>
      <c r="X12" s="9">
        <v>45.34</v>
      </c>
      <c r="Y12" s="9">
        <v>40.189999</v>
      </c>
      <c r="Z12" s="9">
        <v>44.290000999999997</v>
      </c>
      <c r="AA12" s="10">
        <v>491494900</v>
      </c>
      <c r="AB12" s="11">
        <v>0.33</v>
      </c>
      <c r="AC12" s="1">
        <v>1</v>
      </c>
    </row>
    <row r="13" spans="1:30">
      <c r="A13" s="18">
        <v>43160</v>
      </c>
      <c r="B13" s="26">
        <v>43160</v>
      </c>
      <c r="C13" s="27">
        <v>53.950001</v>
      </c>
      <c r="D13" s="27">
        <v>58.400002000000001</v>
      </c>
      <c r="E13" s="27">
        <v>53.130001</v>
      </c>
      <c r="F13" s="27">
        <v>55.709999000000003</v>
      </c>
      <c r="G13" s="28">
        <v>132385000</v>
      </c>
      <c r="H13" s="9">
        <v>0.18</v>
      </c>
      <c r="I13" s="2">
        <f t="shared" si="0"/>
        <v>1</v>
      </c>
      <c r="L13" s="26">
        <v>43160</v>
      </c>
      <c r="M13" s="27">
        <v>2715.219971</v>
      </c>
      <c r="N13" s="27">
        <v>2801.8999020000001</v>
      </c>
      <c r="O13" s="27">
        <v>2585.889893</v>
      </c>
      <c r="P13" s="27">
        <v>2640.8701169999999</v>
      </c>
      <c r="Q13" s="28">
        <v>76369800000</v>
      </c>
      <c r="R13" s="11"/>
      <c r="S13" s="21">
        <v>43160</v>
      </c>
      <c r="T13" s="20">
        <v>1.7</v>
      </c>
      <c r="V13" s="21">
        <v>43160</v>
      </c>
      <c r="W13" s="9">
        <v>44.68</v>
      </c>
      <c r="X13" s="9">
        <v>46.16</v>
      </c>
      <c r="Y13" s="9">
        <v>41.580002</v>
      </c>
      <c r="Z13" s="9">
        <v>42.889999000000003</v>
      </c>
      <c r="AA13" s="10">
        <v>597830400</v>
      </c>
      <c r="AB13" s="11">
        <v>0</v>
      </c>
      <c r="AC13" s="1">
        <v>1</v>
      </c>
    </row>
    <row r="14" spans="1:30">
      <c r="A14" s="18">
        <v>43132</v>
      </c>
      <c r="B14" s="26">
        <v>43132</v>
      </c>
      <c r="C14" s="27">
        <v>56.099997999999999</v>
      </c>
      <c r="D14" s="27">
        <v>57.099997999999999</v>
      </c>
      <c r="E14" s="27">
        <v>48.43</v>
      </c>
      <c r="F14" s="27">
        <v>53.720001000000003</v>
      </c>
      <c r="G14" s="28">
        <v>146417300</v>
      </c>
      <c r="H14" s="9"/>
      <c r="I14" s="2">
        <f t="shared" si="0"/>
        <v>1</v>
      </c>
      <c r="L14" s="26">
        <v>43132</v>
      </c>
      <c r="M14" s="27">
        <v>2816.4499510000001</v>
      </c>
      <c r="N14" s="27">
        <v>2835.959961</v>
      </c>
      <c r="O14" s="27">
        <v>2532.6899410000001</v>
      </c>
      <c r="P14" s="27">
        <v>2713.830078</v>
      </c>
      <c r="Q14" s="28">
        <v>79579410000</v>
      </c>
      <c r="R14" s="11"/>
      <c r="S14" s="21">
        <v>43132</v>
      </c>
      <c r="T14" s="20">
        <v>1.57</v>
      </c>
      <c r="V14" s="21">
        <v>43132</v>
      </c>
      <c r="W14" s="9">
        <v>41.09</v>
      </c>
      <c r="X14" s="9">
        <v>45.889999000000003</v>
      </c>
      <c r="Y14" s="9">
        <v>37.349997999999999</v>
      </c>
      <c r="Z14" s="9">
        <v>44.779998999999997</v>
      </c>
      <c r="AA14" s="10">
        <v>703752400</v>
      </c>
      <c r="AB14" s="11">
        <v>0</v>
      </c>
      <c r="AC14" s="1">
        <v>1</v>
      </c>
    </row>
    <row r="15" spans="1:30">
      <c r="A15" s="18">
        <v>43101</v>
      </c>
      <c r="B15" s="26">
        <v>43101</v>
      </c>
      <c r="C15" s="27">
        <v>55.630001</v>
      </c>
      <c r="D15" s="27">
        <v>60.040000999999997</v>
      </c>
      <c r="E15" s="27">
        <v>55.02</v>
      </c>
      <c r="F15" s="27">
        <v>56.77</v>
      </c>
      <c r="G15" s="28">
        <v>144635300</v>
      </c>
      <c r="H15" s="9"/>
      <c r="I15" s="2">
        <f t="shared" si="0"/>
        <v>1</v>
      </c>
      <c r="L15" s="26">
        <v>43101</v>
      </c>
      <c r="M15" s="27">
        <v>2683.7299800000001</v>
      </c>
      <c r="N15" s="27">
        <v>2872.8701169999999</v>
      </c>
      <c r="O15" s="27">
        <v>2682.360107</v>
      </c>
      <c r="P15" s="27">
        <v>2823.8100589999999</v>
      </c>
      <c r="Q15" s="28">
        <v>76860120000</v>
      </c>
      <c r="R15" s="11"/>
      <c r="S15" s="21">
        <v>43101</v>
      </c>
      <c r="T15" s="20">
        <v>1.41</v>
      </c>
      <c r="V15" s="21">
        <v>43101</v>
      </c>
      <c r="W15" s="9">
        <v>38.669998</v>
      </c>
      <c r="X15" s="9">
        <v>42.98</v>
      </c>
      <c r="Y15" s="9">
        <v>38.43</v>
      </c>
      <c r="Z15" s="9">
        <v>41.540000999999997</v>
      </c>
      <c r="AA15" s="10">
        <v>504531300</v>
      </c>
      <c r="AB15" s="11">
        <v>0.28999999999999998</v>
      </c>
      <c r="AC15" s="1">
        <v>1</v>
      </c>
    </row>
    <row r="16" spans="1:30">
      <c r="A16" s="18">
        <v>43070</v>
      </c>
      <c r="B16" s="26">
        <v>43070</v>
      </c>
      <c r="C16" s="27">
        <v>55.23</v>
      </c>
      <c r="D16" s="27">
        <v>58.349997999999999</v>
      </c>
      <c r="E16" s="27">
        <v>51.5</v>
      </c>
      <c r="F16" s="27">
        <v>55.009998000000003</v>
      </c>
      <c r="G16" s="28">
        <v>203374000</v>
      </c>
      <c r="H16" s="9">
        <v>0.18</v>
      </c>
      <c r="I16" s="2">
        <f t="shared" si="0"/>
        <v>1</v>
      </c>
      <c r="L16" s="26">
        <v>43070</v>
      </c>
      <c r="M16" s="27">
        <v>2645.1000979999999</v>
      </c>
      <c r="N16" s="27">
        <v>2694.969971</v>
      </c>
      <c r="O16" s="27">
        <v>2605.5200199999999</v>
      </c>
      <c r="P16" s="27">
        <v>2673.610107</v>
      </c>
      <c r="Q16" s="28">
        <v>65251190000</v>
      </c>
      <c r="R16" s="11"/>
      <c r="S16" s="21">
        <v>43070</v>
      </c>
      <c r="T16" s="20">
        <v>1.32</v>
      </c>
      <c r="V16" s="21">
        <v>43070</v>
      </c>
      <c r="W16" s="9">
        <v>37.090000000000003</v>
      </c>
      <c r="X16" s="9">
        <v>38.990001999999997</v>
      </c>
      <c r="Y16" s="9">
        <v>36.729999999999997</v>
      </c>
      <c r="Z16" s="9">
        <v>38.299999</v>
      </c>
      <c r="AA16" s="10">
        <v>373030900</v>
      </c>
      <c r="AB16" s="11">
        <v>0</v>
      </c>
      <c r="AC16" s="1">
        <v>1</v>
      </c>
    </row>
    <row r="17" spans="1:29">
      <c r="A17" s="18">
        <v>43040</v>
      </c>
      <c r="B17" s="26">
        <v>43040</v>
      </c>
      <c r="C17" s="27">
        <v>50.73</v>
      </c>
      <c r="D17" s="27">
        <v>56.169998</v>
      </c>
      <c r="E17" s="27">
        <v>48.259998000000003</v>
      </c>
      <c r="F17" s="27">
        <v>55.75</v>
      </c>
      <c r="G17" s="28">
        <v>119909100</v>
      </c>
      <c r="H17" s="9"/>
      <c r="I17" s="2">
        <f t="shared" si="0"/>
        <v>1</v>
      </c>
      <c r="L17" s="26">
        <v>43040</v>
      </c>
      <c r="M17" s="27">
        <v>2583.209961</v>
      </c>
      <c r="N17" s="27">
        <v>2657.73999</v>
      </c>
      <c r="O17" s="27">
        <v>2557.4499510000001</v>
      </c>
      <c r="P17" s="27">
        <v>2584.8400879999999</v>
      </c>
      <c r="Q17" s="28">
        <v>95142800000</v>
      </c>
      <c r="R17" s="11"/>
      <c r="S17" s="21">
        <v>43040</v>
      </c>
      <c r="T17" s="20">
        <v>1.23</v>
      </c>
      <c r="V17" s="21">
        <v>43040</v>
      </c>
      <c r="W17" s="9">
        <v>34.290000999999997</v>
      </c>
      <c r="X17" s="9">
        <v>38.029998999999997</v>
      </c>
      <c r="Y17" s="9">
        <v>33.669998</v>
      </c>
      <c r="Z17" s="9">
        <v>35.880001</v>
      </c>
      <c r="AA17" s="10">
        <v>687178700</v>
      </c>
      <c r="AB17" s="11">
        <v>0</v>
      </c>
      <c r="AC17" s="1">
        <v>1</v>
      </c>
    </row>
    <row r="18" spans="1:29">
      <c r="A18" s="18">
        <v>43009</v>
      </c>
      <c r="B18" s="26">
        <v>43009</v>
      </c>
      <c r="C18" s="27">
        <v>52.810001</v>
      </c>
      <c r="D18" s="27">
        <v>54.990001999999997</v>
      </c>
      <c r="E18" s="27">
        <v>50.389999000000003</v>
      </c>
      <c r="F18" s="27">
        <v>50.43</v>
      </c>
      <c r="G18" s="28">
        <v>133710300</v>
      </c>
      <c r="H18" s="9"/>
      <c r="I18" s="2">
        <f t="shared" si="0"/>
        <v>1</v>
      </c>
      <c r="L18" s="26">
        <v>43009</v>
      </c>
      <c r="M18" s="27">
        <v>2521.1999510000001</v>
      </c>
      <c r="N18" s="27">
        <v>2582.9799800000001</v>
      </c>
      <c r="O18" s="27">
        <v>2520.3999020000001</v>
      </c>
      <c r="P18" s="27">
        <v>2575.26001</v>
      </c>
      <c r="Q18" s="28">
        <v>70871570000</v>
      </c>
      <c r="R18" s="11"/>
      <c r="S18" s="21">
        <v>43009</v>
      </c>
      <c r="T18" s="20">
        <v>1.07</v>
      </c>
      <c r="V18" s="21">
        <v>43009</v>
      </c>
      <c r="W18" s="9">
        <v>33.610000999999997</v>
      </c>
      <c r="X18" s="9">
        <v>34.729999999999997</v>
      </c>
      <c r="Y18" s="9">
        <v>33.169998</v>
      </c>
      <c r="Z18" s="9">
        <v>34.150002000000001</v>
      </c>
      <c r="AA18" s="10">
        <v>336242900</v>
      </c>
      <c r="AB18" s="11">
        <v>0.28999999999999998</v>
      </c>
      <c r="AC18" s="1">
        <v>1</v>
      </c>
    </row>
    <row r="19" spans="1:29">
      <c r="A19" s="18">
        <v>42979</v>
      </c>
      <c r="B19" s="26">
        <v>42979</v>
      </c>
      <c r="C19" s="27">
        <v>50.380001</v>
      </c>
      <c r="D19" s="27">
        <v>54.299999</v>
      </c>
      <c r="E19" s="27">
        <v>48.689999</v>
      </c>
      <c r="F19" s="27">
        <v>54.259998000000003</v>
      </c>
      <c r="G19" s="28">
        <v>111915500</v>
      </c>
      <c r="H19" s="9">
        <v>0.2</v>
      </c>
      <c r="I19" s="2">
        <f t="shared" si="0"/>
        <v>1</v>
      </c>
      <c r="L19" s="26">
        <v>42979</v>
      </c>
      <c r="M19" s="27">
        <v>2474.419922</v>
      </c>
      <c r="N19" s="27">
        <v>2519.4399410000001</v>
      </c>
      <c r="O19" s="27">
        <v>2446.5500489999999</v>
      </c>
      <c r="P19" s="27">
        <v>2519.360107</v>
      </c>
      <c r="Q19" s="28">
        <v>66337980000</v>
      </c>
      <c r="R19" s="11"/>
      <c r="S19" s="21">
        <v>42979</v>
      </c>
      <c r="T19" s="20">
        <v>1.03</v>
      </c>
      <c r="V19" s="21">
        <v>42979</v>
      </c>
      <c r="W19" s="9">
        <v>32.220001000000003</v>
      </c>
      <c r="X19" s="9">
        <v>34.099997999999999</v>
      </c>
      <c r="Y19" s="9">
        <v>31.459999</v>
      </c>
      <c r="Z19" s="9">
        <v>33.630001</v>
      </c>
      <c r="AA19" s="10">
        <v>415433800</v>
      </c>
      <c r="AB19" s="11">
        <v>0</v>
      </c>
      <c r="AC19" s="1">
        <v>1</v>
      </c>
    </row>
    <row r="20" spans="1:29">
      <c r="A20" s="18">
        <v>42948</v>
      </c>
      <c r="B20" s="26">
        <v>42948</v>
      </c>
      <c r="C20" s="27">
        <v>49.290000999999997</v>
      </c>
      <c r="D20" s="27">
        <v>51.380001</v>
      </c>
      <c r="E20" s="27">
        <v>47.990001999999997</v>
      </c>
      <c r="F20" s="27">
        <v>50.200001</v>
      </c>
      <c r="G20" s="28">
        <v>150514800</v>
      </c>
      <c r="H20" s="9"/>
      <c r="I20" s="2">
        <f t="shared" si="0"/>
        <v>1</v>
      </c>
      <c r="L20" s="26">
        <v>42948</v>
      </c>
      <c r="M20" s="27">
        <v>2477.1000979999999</v>
      </c>
      <c r="N20" s="27">
        <v>2490.8701169999999</v>
      </c>
      <c r="O20" s="27">
        <v>2417.3500979999999</v>
      </c>
      <c r="P20" s="27">
        <v>2471.6499020000001</v>
      </c>
      <c r="Q20" s="28">
        <v>70616030000</v>
      </c>
      <c r="R20" s="11"/>
      <c r="S20" s="21">
        <v>42948</v>
      </c>
      <c r="T20" s="20">
        <v>1.01</v>
      </c>
      <c r="V20" s="21">
        <v>42948</v>
      </c>
      <c r="W20" s="9">
        <v>31.59</v>
      </c>
      <c r="X20" s="9">
        <v>32.470001000000003</v>
      </c>
      <c r="Y20" s="9">
        <v>30.360001</v>
      </c>
      <c r="Z20" s="9">
        <v>32.209999000000003</v>
      </c>
      <c r="AA20" s="10">
        <v>505595400</v>
      </c>
      <c r="AB20" s="11">
        <v>0</v>
      </c>
      <c r="AC20" s="1">
        <v>1</v>
      </c>
    </row>
    <row r="21" spans="1:29">
      <c r="A21" s="18">
        <v>42917</v>
      </c>
      <c r="B21" s="26">
        <v>42917</v>
      </c>
      <c r="C21" s="27">
        <v>54.75</v>
      </c>
      <c r="D21" s="27">
        <v>55.48</v>
      </c>
      <c r="E21" s="27">
        <v>48.860000999999997</v>
      </c>
      <c r="F21" s="27">
        <v>49.34</v>
      </c>
      <c r="G21" s="28">
        <v>177432900</v>
      </c>
      <c r="H21" s="9"/>
      <c r="I21" s="2">
        <f t="shared" si="0"/>
        <v>1</v>
      </c>
      <c r="L21" s="26">
        <v>42917</v>
      </c>
      <c r="M21" s="27">
        <v>2431.389893</v>
      </c>
      <c r="N21" s="27">
        <v>2484.040039</v>
      </c>
      <c r="O21" s="27">
        <v>2407.6999510000001</v>
      </c>
      <c r="P21" s="27">
        <v>2470.3000489999999</v>
      </c>
      <c r="Q21" s="28">
        <v>63169400000</v>
      </c>
      <c r="R21" s="11"/>
      <c r="S21" s="21">
        <v>42917</v>
      </c>
      <c r="T21" s="20">
        <v>1.07</v>
      </c>
      <c r="V21" s="21">
        <v>42917</v>
      </c>
      <c r="W21" s="9">
        <v>31.09</v>
      </c>
      <c r="X21" s="9">
        <v>32.25</v>
      </c>
      <c r="Y21" s="9">
        <v>30.67</v>
      </c>
      <c r="Z21" s="9">
        <v>31.450001</v>
      </c>
      <c r="AA21" s="10">
        <v>344250200</v>
      </c>
      <c r="AB21" s="11">
        <v>0</v>
      </c>
      <c r="AC21" s="1">
        <v>1</v>
      </c>
    </row>
    <row r="22" spans="1:29">
      <c r="A22" s="18">
        <v>42887</v>
      </c>
      <c r="B22" s="26">
        <v>42887</v>
      </c>
      <c r="C22" s="27">
        <v>54.209999000000003</v>
      </c>
      <c r="D22" s="27">
        <v>55.060001</v>
      </c>
      <c r="E22" s="27">
        <v>51.759998000000003</v>
      </c>
      <c r="F22" s="27">
        <v>54.560001</v>
      </c>
      <c r="G22" s="28">
        <v>165083100</v>
      </c>
      <c r="H22" s="9"/>
      <c r="I22" s="2">
        <f t="shared" si="0"/>
        <v>1</v>
      </c>
      <c r="L22" s="26">
        <v>42887</v>
      </c>
      <c r="M22" s="27">
        <v>2415.6499020000001</v>
      </c>
      <c r="N22" s="27">
        <v>2453.820068</v>
      </c>
      <c r="O22" s="27">
        <v>2405.6999510000001</v>
      </c>
      <c r="P22" s="27">
        <v>2423.4099120000001</v>
      </c>
      <c r="Q22" s="28">
        <v>81002490000</v>
      </c>
      <c r="R22" s="11"/>
      <c r="S22" s="21">
        <v>42887</v>
      </c>
      <c r="T22" s="20">
        <v>0.98</v>
      </c>
      <c r="V22" s="21">
        <v>42887</v>
      </c>
      <c r="W22" s="9">
        <v>31.52</v>
      </c>
      <c r="X22" s="9">
        <v>32.5</v>
      </c>
      <c r="Y22" s="9">
        <v>31.09</v>
      </c>
      <c r="Z22" s="9">
        <v>31.299999</v>
      </c>
      <c r="AA22" s="10">
        <v>480696300</v>
      </c>
      <c r="AB22" s="11">
        <v>0</v>
      </c>
      <c r="AC22" s="1">
        <v>1</v>
      </c>
    </row>
    <row r="23" spans="1:29">
      <c r="A23" s="18">
        <v>42856</v>
      </c>
      <c r="B23" s="26">
        <v>42856</v>
      </c>
      <c r="C23" s="27">
        <v>50.869999</v>
      </c>
      <c r="D23" s="27">
        <v>54.43</v>
      </c>
      <c r="E23" s="27">
        <v>48.77</v>
      </c>
      <c r="F23" s="27">
        <v>54.169998</v>
      </c>
      <c r="G23" s="28">
        <v>164288700</v>
      </c>
      <c r="H23" s="9"/>
      <c r="I23" s="2">
        <f t="shared" si="0"/>
        <v>1</v>
      </c>
      <c r="L23" s="26">
        <v>42856</v>
      </c>
      <c r="M23" s="27">
        <v>2388.5</v>
      </c>
      <c r="N23" s="27">
        <v>2418.709961</v>
      </c>
      <c r="O23" s="27">
        <v>2352.719971</v>
      </c>
      <c r="P23" s="27">
        <v>2411.8000489999999</v>
      </c>
      <c r="Q23" s="28">
        <v>79607170000</v>
      </c>
      <c r="R23" s="11"/>
      <c r="S23" s="21">
        <v>42856</v>
      </c>
      <c r="T23" s="20">
        <v>0.89</v>
      </c>
      <c r="V23" s="21">
        <v>42856</v>
      </c>
      <c r="W23" s="9">
        <v>34.110000999999997</v>
      </c>
      <c r="X23" s="9">
        <v>34.599997999999999</v>
      </c>
      <c r="Y23" s="9">
        <v>30.370000999999998</v>
      </c>
      <c r="Z23" s="9">
        <v>31.530000999999999</v>
      </c>
      <c r="AA23" s="10">
        <v>548285400</v>
      </c>
      <c r="AB23" s="11">
        <v>0</v>
      </c>
      <c r="AC23" s="1">
        <v>1</v>
      </c>
    </row>
    <row r="24" spans="1:29">
      <c r="A24" s="18">
        <v>42826</v>
      </c>
      <c r="B24" s="26">
        <v>42826</v>
      </c>
      <c r="C24" s="27">
        <v>46.66</v>
      </c>
      <c r="D24" s="27">
        <v>51.66</v>
      </c>
      <c r="E24" s="27">
        <v>46.040000999999997</v>
      </c>
      <c r="F24" s="27">
        <v>50.84</v>
      </c>
      <c r="G24" s="28">
        <v>149492600</v>
      </c>
      <c r="H24" s="9"/>
      <c r="I24" s="2">
        <f t="shared" si="0"/>
        <v>1</v>
      </c>
      <c r="L24" s="26">
        <v>42826</v>
      </c>
      <c r="M24" s="27">
        <v>2362.3400879999999</v>
      </c>
      <c r="N24" s="27">
        <v>2398.1599120000001</v>
      </c>
      <c r="O24" s="27">
        <v>2328.9499510000001</v>
      </c>
      <c r="P24" s="27">
        <v>2384.1999510000001</v>
      </c>
      <c r="Q24" s="28">
        <v>65265670000</v>
      </c>
      <c r="R24" s="11"/>
      <c r="S24" s="21">
        <v>42826</v>
      </c>
      <c r="T24" s="20">
        <v>0.8</v>
      </c>
      <c r="V24" s="21">
        <v>42826</v>
      </c>
      <c r="W24" s="9">
        <v>33.700001</v>
      </c>
      <c r="X24" s="9">
        <v>34.110000999999997</v>
      </c>
      <c r="Y24" s="9">
        <v>32.419998</v>
      </c>
      <c r="Z24" s="9">
        <v>34.07</v>
      </c>
      <c r="AA24" s="10">
        <v>323232200</v>
      </c>
      <c r="AB24" s="11">
        <v>0.28999999999999998</v>
      </c>
      <c r="AC24" s="1">
        <v>1</v>
      </c>
    </row>
    <row r="25" spans="1:29">
      <c r="A25" s="18">
        <v>42795</v>
      </c>
      <c r="B25" s="26">
        <v>42795</v>
      </c>
      <c r="C25" s="27">
        <v>49.200001</v>
      </c>
      <c r="D25" s="27">
        <v>50.310001</v>
      </c>
      <c r="E25" s="27">
        <v>45.41</v>
      </c>
      <c r="F25" s="27">
        <v>46.549999</v>
      </c>
      <c r="G25" s="28">
        <v>216151100</v>
      </c>
      <c r="H25" s="9">
        <v>0.2</v>
      </c>
      <c r="I25" s="2">
        <f t="shared" si="0"/>
        <v>1</v>
      </c>
      <c r="L25" s="26">
        <v>42795</v>
      </c>
      <c r="M25" s="27">
        <v>2380.1298830000001</v>
      </c>
      <c r="N25" s="27">
        <v>2400.9799800000001</v>
      </c>
      <c r="O25" s="27">
        <v>2322.25</v>
      </c>
      <c r="P25" s="27">
        <v>2362.719971</v>
      </c>
      <c r="Q25" s="28">
        <v>81547770000</v>
      </c>
      <c r="R25" s="11"/>
      <c r="S25" s="21">
        <v>42795</v>
      </c>
      <c r="T25" s="20">
        <v>0.74</v>
      </c>
      <c r="V25" s="21">
        <v>42795</v>
      </c>
      <c r="W25" s="9">
        <v>34.279998999999997</v>
      </c>
      <c r="X25" s="9">
        <v>34.529998999999997</v>
      </c>
      <c r="Y25" s="9">
        <v>33.650002000000001</v>
      </c>
      <c r="Z25" s="9">
        <v>33.799999</v>
      </c>
      <c r="AA25" s="10">
        <v>404059400</v>
      </c>
      <c r="AB25" s="11">
        <v>0</v>
      </c>
      <c r="AC25" s="1">
        <v>1</v>
      </c>
    </row>
    <row r="26" spans="1:29">
      <c r="A26" s="18">
        <v>42767</v>
      </c>
      <c r="B26" s="26">
        <v>42767</v>
      </c>
      <c r="C26" s="27">
        <v>46.549999</v>
      </c>
      <c r="D26" s="27">
        <v>49.599997999999999</v>
      </c>
      <c r="E26" s="27">
        <v>46.099997999999999</v>
      </c>
      <c r="F26" s="27">
        <v>48.560001</v>
      </c>
      <c r="G26" s="28">
        <v>189647400</v>
      </c>
      <c r="H26" s="9"/>
      <c r="I26" s="2">
        <f t="shared" si="0"/>
        <v>1</v>
      </c>
      <c r="L26" s="26">
        <v>42767</v>
      </c>
      <c r="M26" s="27">
        <v>2285.5900879999999</v>
      </c>
      <c r="N26" s="27">
        <v>2371.540039</v>
      </c>
      <c r="O26" s="27">
        <v>2271.6499020000001</v>
      </c>
      <c r="P26" s="27">
        <v>2363.639893</v>
      </c>
      <c r="Q26" s="28">
        <v>69162420000</v>
      </c>
      <c r="R26" s="11"/>
      <c r="S26" s="21">
        <v>42767</v>
      </c>
      <c r="T26" s="20">
        <v>0.52</v>
      </c>
      <c r="V26" s="21">
        <v>42767</v>
      </c>
      <c r="W26" s="9">
        <v>30.85</v>
      </c>
      <c r="X26" s="9">
        <v>34.32</v>
      </c>
      <c r="Y26" s="9">
        <v>30.42</v>
      </c>
      <c r="Z26" s="9">
        <v>34.18</v>
      </c>
      <c r="AA26" s="10">
        <v>476103300</v>
      </c>
      <c r="AB26" s="11">
        <v>0</v>
      </c>
      <c r="AC26" s="1">
        <v>1</v>
      </c>
    </row>
    <row r="27" spans="1:29">
      <c r="A27" s="18">
        <v>42736</v>
      </c>
      <c r="B27" s="26">
        <v>42736</v>
      </c>
      <c r="C27" s="27">
        <v>36.150002000000001</v>
      </c>
      <c r="D27" s="27">
        <v>49.130001</v>
      </c>
      <c r="E27" s="27">
        <v>35.590000000000003</v>
      </c>
      <c r="F27" s="27">
        <v>46.389999000000003</v>
      </c>
      <c r="G27" s="28">
        <v>390248100</v>
      </c>
      <c r="H27" s="9"/>
      <c r="I27" s="2">
        <f t="shared" si="0"/>
        <v>1</v>
      </c>
      <c r="L27" s="26">
        <v>42736</v>
      </c>
      <c r="M27" s="27">
        <v>2251.570068</v>
      </c>
      <c r="N27" s="27">
        <v>2300.98999</v>
      </c>
      <c r="O27" s="27">
        <v>2245.1298830000001</v>
      </c>
      <c r="P27" s="27">
        <v>2278.8701169999999</v>
      </c>
      <c r="Q27" s="28">
        <v>70483180000</v>
      </c>
      <c r="R27" s="11"/>
      <c r="S27" s="21">
        <v>42736</v>
      </c>
      <c r="T27" s="20">
        <v>0.51</v>
      </c>
      <c r="V27" s="21">
        <v>42736</v>
      </c>
      <c r="W27" s="9">
        <v>30.370000999999998</v>
      </c>
      <c r="X27" s="9">
        <v>31.049999</v>
      </c>
      <c r="Y27" s="9">
        <v>29.799999</v>
      </c>
      <c r="Z27" s="9">
        <v>30.719999000000001</v>
      </c>
      <c r="AA27" s="10">
        <v>388860500</v>
      </c>
      <c r="AB27" s="11">
        <v>0.26</v>
      </c>
      <c r="AC27" s="1">
        <v>1</v>
      </c>
    </row>
    <row r="28" spans="1:29">
      <c r="A28" s="18">
        <v>42705</v>
      </c>
      <c r="B28" s="26">
        <v>42705</v>
      </c>
      <c r="C28" s="27">
        <v>36.07</v>
      </c>
      <c r="D28" s="27">
        <v>37.419998</v>
      </c>
      <c r="E28" s="27">
        <v>35.790000999999997</v>
      </c>
      <c r="F28" s="27">
        <v>35.93</v>
      </c>
      <c r="G28" s="28">
        <v>153646500</v>
      </c>
      <c r="H28" s="9">
        <v>0.22</v>
      </c>
      <c r="I28" s="2">
        <f t="shared" si="0"/>
        <v>1</v>
      </c>
      <c r="L28" s="26">
        <v>42705</v>
      </c>
      <c r="M28" s="27">
        <v>2200.169922</v>
      </c>
      <c r="N28" s="27">
        <v>2277.530029</v>
      </c>
      <c r="O28" s="27">
        <v>2187.4399410000001</v>
      </c>
      <c r="P28" s="27">
        <v>2238.830078</v>
      </c>
      <c r="Q28" s="28">
        <v>75251240000</v>
      </c>
      <c r="R28" s="11"/>
      <c r="S28" s="21">
        <v>42705</v>
      </c>
      <c r="T28" s="20">
        <v>0.51</v>
      </c>
      <c r="V28" s="21">
        <v>42705</v>
      </c>
      <c r="W28" s="9">
        <v>29.84</v>
      </c>
      <c r="X28" s="9">
        <v>31.07</v>
      </c>
      <c r="Y28" s="9">
        <v>29.120000999999998</v>
      </c>
      <c r="Z28" s="9">
        <v>30.219999000000001</v>
      </c>
      <c r="AA28" s="10">
        <v>439906100</v>
      </c>
      <c r="AB28" s="11">
        <v>0</v>
      </c>
      <c r="AC28" s="1">
        <v>1</v>
      </c>
    </row>
    <row r="29" spans="1:29">
      <c r="A29" s="18">
        <v>42675</v>
      </c>
      <c r="B29" s="26">
        <v>42675</v>
      </c>
      <c r="C29" s="27">
        <v>30.639999</v>
      </c>
      <c r="D29" s="27">
        <v>36.090000000000003</v>
      </c>
      <c r="E29" s="27">
        <v>30.15</v>
      </c>
      <c r="F29" s="27">
        <v>35.810001</v>
      </c>
      <c r="G29" s="28">
        <v>212182900</v>
      </c>
      <c r="H29" s="9"/>
      <c r="I29" s="2">
        <f t="shared" si="0"/>
        <v>1</v>
      </c>
      <c r="L29" s="26">
        <v>42675</v>
      </c>
      <c r="M29" s="27">
        <v>2128.679932</v>
      </c>
      <c r="N29" s="27">
        <v>2214.1000979999999</v>
      </c>
      <c r="O29" s="27">
        <v>2083.790039</v>
      </c>
      <c r="P29" s="27">
        <v>2198.8100589999999</v>
      </c>
      <c r="Q29" s="28">
        <v>88299760000</v>
      </c>
      <c r="R29" s="11"/>
      <c r="S29" s="21">
        <v>42675</v>
      </c>
      <c r="T29" s="20">
        <v>0.45</v>
      </c>
      <c r="V29" s="21">
        <v>42675</v>
      </c>
      <c r="W29" s="9">
        <v>30.85</v>
      </c>
      <c r="X29" s="9">
        <v>31.889999</v>
      </c>
      <c r="Y29" s="9">
        <v>29.549999</v>
      </c>
      <c r="Z29" s="9">
        <v>29.82</v>
      </c>
      <c r="AA29" s="10">
        <v>568074900</v>
      </c>
      <c r="AB29" s="11">
        <v>0</v>
      </c>
      <c r="AC29" s="1">
        <v>1</v>
      </c>
    </row>
    <row r="30" spans="1:29">
      <c r="A30" s="18">
        <v>42644</v>
      </c>
      <c r="B30" s="26">
        <v>42644</v>
      </c>
      <c r="C30" s="27">
        <v>30.33</v>
      </c>
      <c r="D30" s="27">
        <v>31.73</v>
      </c>
      <c r="E30" s="27">
        <v>30.01</v>
      </c>
      <c r="F30" s="27">
        <v>30.51</v>
      </c>
      <c r="G30" s="28">
        <v>182030700</v>
      </c>
      <c r="H30" s="9"/>
      <c r="I30" s="2">
        <f t="shared" si="0"/>
        <v>1</v>
      </c>
      <c r="L30" s="26">
        <v>42644</v>
      </c>
      <c r="M30" s="27">
        <v>2164.330078</v>
      </c>
      <c r="N30" s="27">
        <v>2169.6000979999999</v>
      </c>
      <c r="O30" s="27">
        <v>2114.719971</v>
      </c>
      <c r="P30" s="27">
        <v>2126.1499020000001</v>
      </c>
      <c r="Q30" s="28">
        <v>73196630000</v>
      </c>
      <c r="R30" s="11"/>
      <c r="S30" s="21">
        <v>42644</v>
      </c>
      <c r="T30" s="20">
        <v>0.33</v>
      </c>
      <c r="V30" s="21">
        <v>42644</v>
      </c>
      <c r="W30" s="9">
        <v>31.309999000000001</v>
      </c>
      <c r="X30" s="9">
        <v>31.68</v>
      </c>
      <c r="Y30" s="9">
        <v>29.860001</v>
      </c>
      <c r="Z30" s="9">
        <v>30.68</v>
      </c>
      <c r="AA30" s="10">
        <v>368478100</v>
      </c>
      <c r="AB30" s="11">
        <v>0.26</v>
      </c>
      <c r="AC30" s="1">
        <v>1</v>
      </c>
    </row>
    <row r="31" spans="1:29">
      <c r="A31" s="18">
        <v>42614</v>
      </c>
      <c r="B31" s="26">
        <v>42614</v>
      </c>
      <c r="C31" s="27">
        <v>28.370000999999998</v>
      </c>
      <c r="D31" s="27">
        <v>30.6</v>
      </c>
      <c r="E31" s="27">
        <v>27.889999</v>
      </c>
      <c r="F31" s="27">
        <v>30.5</v>
      </c>
      <c r="G31" s="28">
        <v>145000900</v>
      </c>
      <c r="H31" s="9">
        <v>0.22</v>
      </c>
      <c r="I31" s="2">
        <f t="shared" si="0"/>
        <v>1</v>
      </c>
      <c r="L31" s="26">
        <v>42614</v>
      </c>
      <c r="M31" s="27">
        <v>2171.330078</v>
      </c>
      <c r="N31" s="27">
        <v>2187.8701169999999</v>
      </c>
      <c r="O31" s="27">
        <v>2119.1201169999999</v>
      </c>
      <c r="P31" s="27">
        <v>2168.2700199999999</v>
      </c>
      <c r="Q31" s="28">
        <v>77270240000</v>
      </c>
      <c r="R31" s="11"/>
      <c r="S31" s="21">
        <v>42614</v>
      </c>
      <c r="T31" s="20">
        <v>0.28999999999999998</v>
      </c>
      <c r="V31" s="21">
        <v>42614</v>
      </c>
      <c r="W31" s="9">
        <v>31.42</v>
      </c>
      <c r="X31" s="9">
        <v>31.950001</v>
      </c>
      <c r="Y31" s="9">
        <v>30.6</v>
      </c>
      <c r="Z31" s="9">
        <v>31.719999000000001</v>
      </c>
      <c r="AA31" s="10">
        <v>439073300</v>
      </c>
      <c r="AB31" s="11">
        <v>0</v>
      </c>
      <c r="AC31" s="1">
        <v>1</v>
      </c>
    </row>
    <row r="32" spans="1:29">
      <c r="A32" s="18">
        <v>42583</v>
      </c>
      <c r="B32" s="26">
        <v>42583</v>
      </c>
      <c r="C32" s="27">
        <v>28.33</v>
      </c>
      <c r="D32" s="27">
        <v>28.879999000000002</v>
      </c>
      <c r="E32" s="27">
        <v>27.459999</v>
      </c>
      <c r="F32" s="27">
        <v>28.280000999999999</v>
      </c>
      <c r="G32" s="28">
        <v>107443800</v>
      </c>
      <c r="H32" s="9"/>
      <c r="I32" s="2">
        <f t="shared" si="0"/>
        <v>1</v>
      </c>
      <c r="L32" s="26">
        <v>42583</v>
      </c>
      <c r="M32" s="27">
        <v>2173.1499020000001</v>
      </c>
      <c r="N32" s="27">
        <v>2193.8100589999999</v>
      </c>
      <c r="O32" s="27">
        <v>2147.580078</v>
      </c>
      <c r="P32" s="27">
        <v>2170.9499510000001</v>
      </c>
      <c r="Q32" s="28">
        <v>75610310000</v>
      </c>
      <c r="R32" s="11"/>
      <c r="S32" s="21">
        <v>42583</v>
      </c>
      <c r="T32" s="20">
        <v>0.3</v>
      </c>
      <c r="V32" s="21">
        <v>42583</v>
      </c>
      <c r="W32" s="9">
        <v>30.700001</v>
      </c>
      <c r="X32" s="9">
        <v>31.700001</v>
      </c>
      <c r="Y32" s="9">
        <v>30.059999000000001</v>
      </c>
      <c r="Z32" s="9">
        <v>31.440000999999999</v>
      </c>
      <c r="AA32" s="10">
        <v>545109400</v>
      </c>
      <c r="AB32" s="11">
        <v>0</v>
      </c>
      <c r="AC32" s="1">
        <v>1</v>
      </c>
    </row>
    <row r="33" spans="1:29">
      <c r="A33" s="18">
        <v>42552</v>
      </c>
      <c r="B33" s="26">
        <v>42552</v>
      </c>
      <c r="C33" s="27">
        <v>26.110001</v>
      </c>
      <c r="D33" s="27">
        <v>29.41</v>
      </c>
      <c r="E33" s="27">
        <v>25.33</v>
      </c>
      <c r="F33" s="27">
        <v>28.33</v>
      </c>
      <c r="G33" s="28">
        <v>153978300</v>
      </c>
      <c r="H33" s="9"/>
      <c r="I33" s="2">
        <f t="shared" si="0"/>
        <v>1</v>
      </c>
      <c r="L33" s="26">
        <v>42552</v>
      </c>
      <c r="M33" s="27">
        <v>2099.3400879999999</v>
      </c>
      <c r="N33" s="27">
        <v>2177.0900879999999</v>
      </c>
      <c r="O33" s="27">
        <v>2074.0200199999999</v>
      </c>
      <c r="P33" s="27">
        <v>2173.6000979999999</v>
      </c>
      <c r="Q33" s="28">
        <v>69530250000</v>
      </c>
      <c r="R33" s="11"/>
      <c r="S33" s="21">
        <v>42552</v>
      </c>
      <c r="T33" s="20">
        <v>0.3</v>
      </c>
      <c r="V33" s="21">
        <v>42552</v>
      </c>
      <c r="W33" s="9">
        <v>28.780000999999999</v>
      </c>
      <c r="X33" s="9">
        <v>31.15</v>
      </c>
      <c r="Y33" s="9">
        <v>28.17</v>
      </c>
      <c r="Z33" s="9">
        <v>30.530000999999999</v>
      </c>
      <c r="AA33" s="10">
        <v>441859300</v>
      </c>
      <c r="AB33" s="11">
        <v>0.26</v>
      </c>
      <c r="AC33" s="1">
        <v>1</v>
      </c>
    </row>
    <row r="34" spans="1:29">
      <c r="A34" s="18">
        <v>42522</v>
      </c>
      <c r="B34" s="26">
        <v>42522</v>
      </c>
      <c r="C34" s="27">
        <v>26.18</v>
      </c>
      <c r="D34" s="27">
        <v>27.41</v>
      </c>
      <c r="E34" s="27">
        <v>24.43</v>
      </c>
      <c r="F34" s="27">
        <v>26.08</v>
      </c>
      <c r="G34" s="28">
        <v>149576900</v>
      </c>
      <c r="H34" s="9">
        <v>0.22</v>
      </c>
      <c r="I34" s="2">
        <f t="shared" si="0"/>
        <v>1</v>
      </c>
      <c r="L34" s="26">
        <v>42522</v>
      </c>
      <c r="M34" s="27">
        <v>2093.9399410000001</v>
      </c>
      <c r="N34" s="27">
        <v>2120.5500489999999</v>
      </c>
      <c r="O34" s="27">
        <v>1991.6800539999999</v>
      </c>
      <c r="P34" s="27">
        <v>2098.860107</v>
      </c>
      <c r="Q34" s="28">
        <v>86852700000</v>
      </c>
      <c r="R34" s="11"/>
      <c r="S34" s="21">
        <v>42522</v>
      </c>
      <c r="T34" s="20">
        <v>0.27</v>
      </c>
      <c r="V34" s="21">
        <v>42522</v>
      </c>
      <c r="W34" s="9">
        <v>28.84</v>
      </c>
      <c r="X34" s="9">
        <v>29.41</v>
      </c>
      <c r="Y34" s="9">
        <v>27.129999000000002</v>
      </c>
      <c r="Z34" s="9">
        <v>28.690000999999999</v>
      </c>
      <c r="AA34" s="10">
        <v>498282700</v>
      </c>
      <c r="AB34" s="11">
        <v>0</v>
      </c>
      <c r="AC34" s="1">
        <v>1</v>
      </c>
    </row>
    <row r="35" spans="1:29">
      <c r="A35" s="18">
        <v>42491</v>
      </c>
      <c r="B35" s="26">
        <v>42491</v>
      </c>
      <c r="C35" s="27">
        <v>27.27</v>
      </c>
      <c r="D35" s="27">
        <v>27.540001</v>
      </c>
      <c r="E35" s="27">
        <v>24.93</v>
      </c>
      <c r="F35" s="27">
        <v>26.43</v>
      </c>
      <c r="G35" s="28">
        <v>139244400</v>
      </c>
      <c r="H35" s="9"/>
      <c r="I35" s="2">
        <f t="shared" si="0"/>
        <v>1</v>
      </c>
      <c r="L35" s="26">
        <v>42491</v>
      </c>
      <c r="M35" s="27">
        <v>2067.169922</v>
      </c>
      <c r="N35" s="27">
        <v>2103.4799800000001</v>
      </c>
      <c r="O35" s="27">
        <v>2025.910034</v>
      </c>
      <c r="P35" s="27">
        <v>2096.9499510000001</v>
      </c>
      <c r="Q35" s="28">
        <v>78883600000</v>
      </c>
      <c r="R35" s="11"/>
      <c r="S35" s="21">
        <v>42491</v>
      </c>
      <c r="T35" s="20">
        <v>0.27</v>
      </c>
      <c r="V35" s="21">
        <v>42491</v>
      </c>
      <c r="W35" s="9">
        <v>27.48</v>
      </c>
      <c r="X35" s="9">
        <v>29.08</v>
      </c>
      <c r="Y35" s="9">
        <v>25.809999000000001</v>
      </c>
      <c r="Z35" s="9">
        <v>29.049999</v>
      </c>
      <c r="AA35" s="10">
        <v>542288700</v>
      </c>
      <c r="AB35" s="11">
        <v>0</v>
      </c>
      <c r="AC35" s="1">
        <v>1</v>
      </c>
    </row>
    <row r="36" spans="1:29">
      <c r="A36" s="18">
        <v>42461</v>
      </c>
      <c r="B36" s="26">
        <v>42461</v>
      </c>
      <c r="C36" s="27">
        <v>25.639999</v>
      </c>
      <c r="D36" s="27">
        <v>27.969999000000001</v>
      </c>
      <c r="E36" s="27">
        <v>24.360001</v>
      </c>
      <c r="F36" s="27">
        <v>27.27</v>
      </c>
      <c r="G36" s="28">
        <v>203549200</v>
      </c>
      <c r="H36" s="9"/>
      <c r="I36" s="2">
        <f t="shared" si="0"/>
        <v>1</v>
      </c>
      <c r="L36" s="26">
        <v>42461</v>
      </c>
      <c r="M36" s="27">
        <v>2056.6201169999999</v>
      </c>
      <c r="N36" s="27">
        <v>2111.0500489999999</v>
      </c>
      <c r="O36" s="27">
        <v>2033.8000489999999</v>
      </c>
      <c r="P36" s="27">
        <v>2065.3000489999999</v>
      </c>
      <c r="Q36" s="28">
        <v>81124990000</v>
      </c>
      <c r="R36" s="11"/>
      <c r="S36" s="21">
        <v>42461</v>
      </c>
      <c r="T36" s="20">
        <v>0.23</v>
      </c>
      <c r="V36" s="21">
        <v>42461</v>
      </c>
      <c r="W36" s="9">
        <v>28.299999</v>
      </c>
      <c r="X36" s="9">
        <v>28.700001</v>
      </c>
      <c r="Y36" s="9">
        <v>26.950001</v>
      </c>
      <c r="Z36" s="9">
        <v>27.49</v>
      </c>
      <c r="AA36" s="10">
        <v>442744600</v>
      </c>
      <c r="AB36" s="11">
        <v>0.26</v>
      </c>
      <c r="AC36" s="1">
        <v>1</v>
      </c>
    </row>
    <row r="37" spans="1:29">
      <c r="A37" s="18">
        <v>42430</v>
      </c>
      <c r="B37" s="26">
        <v>42430</v>
      </c>
      <c r="C37" s="27">
        <v>24.450001</v>
      </c>
      <c r="D37" s="27">
        <v>27.27</v>
      </c>
      <c r="E37" s="27">
        <v>24.26</v>
      </c>
      <c r="F37" s="27">
        <v>25.75</v>
      </c>
      <c r="G37" s="28">
        <v>209820900</v>
      </c>
      <c r="H37" s="9">
        <v>0.22</v>
      </c>
      <c r="I37" s="2">
        <f t="shared" si="0"/>
        <v>1</v>
      </c>
      <c r="L37" s="26">
        <v>42430</v>
      </c>
      <c r="M37" s="27">
        <v>1937.089966</v>
      </c>
      <c r="N37" s="27">
        <v>2072.209961</v>
      </c>
      <c r="O37" s="27">
        <v>1937.089966</v>
      </c>
      <c r="P37" s="27">
        <v>2059.73999</v>
      </c>
      <c r="Q37" s="28">
        <v>92639420000</v>
      </c>
      <c r="R37" s="11"/>
      <c r="S37" s="21">
        <v>42430</v>
      </c>
      <c r="T37" s="20">
        <v>0.28999999999999998</v>
      </c>
      <c r="V37" s="21">
        <v>42430</v>
      </c>
      <c r="W37" s="9">
        <v>26.450001</v>
      </c>
      <c r="X37" s="9">
        <v>28.68</v>
      </c>
      <c r="Y37" s="9">
        <v>26.24</v>
      </c>
      <c r="Z37" s="9">
        <v>28.469999000000001</v>
      </c>
      <c r="AA37" s="10">
        <v>498048600</v>
      </c>
      <c r="AB37" s="11">
        <v>0</v>
      </c>
      <c r="AC37" s="1">
        <v>1</v>
      </c>
    </row>
    <row r="38" spans="1:29">
      <c r="A38" s="18">
        <v>42401</v>
      </c>
      <c r="B38" s="26">
        <v>42401</v>
      </c>
      <c r="C38" s="27">
        <v>22.6</v>
      </c>
      <c r="D38" s="27">
        <v>25.709999</v>
      </c>
      <c r="E38" s="27">
        <v>21.639999</v>
      </c>
      <c r="F38" s="27">
        <v>24.139999</v>
      </c>
      <c r="G38" s="28">
        <v>214364500</v>
      </c>
      <c r="H38" s="9"/>
      <c r="I38" s="2">
        <f t="shared" si="0"/>
        <v>1</v>
      </c>
      <c r="L38" s="26">
        <v>42401</v>
      </c>
      <c r="M38" s="27">
        <v>1936.9399410000001</v>
      </c>
      <c r="N38" s="27">
        <v>1962.959961</v>
      </c>
      <c r="O38" s="27">
        <v>1810.099976</v>
      </c>
      <c r="P38" s="27">
        <v>1932.2299800000001</v>
      </c>
      <c r="Q38" s="28">
        <v>93049560000</v>
      </c>
      <c r="R38" s="11"/>
      <c r="S38" s="21">
        <v>42401</v>
      </c>
      <c r="T38" s="20">
        <v>0.31</v>
      </c>
      <c r="V38" s="21">
        <v>42401</v>
      </c>
      <c r="W38" s="9">
        <v>23.459999</v>
      </c>
      <c r="X38" s="9">
        <v>26.91</v>
      </c>
      <c r="Y38" s="9">
        <v>22.459999</v>
      </c>
      <c r="Z38" s="9">
        <v>26.18</v>
      </c>
      <c r="AA38" s="10">
        <v>677066400</v>
      </c>
      <c r="AB38" s="11">
        <v>0</v>
      </c>
      <c r="AC38" s="1">
        <v>1</v>
      </c>
    </row>
    <row r="39" spans="1:29">
      <c r="A39" s="18">
        <v>42370</v>
      </c>
      <c r="B39" s="26">
        <v>42370</v>
      </c>
      <c r="C39" s="27">
        <v>25.370000999999998</v>
      </c>
      <c r="D39" s="27">
        <v>25.99</v>
      </c>
      <c r="E39" s="27">
        <v>21.33</v>
      </c>
      <c r="F39" s="27">
        <v>23.02</v>
      </c>
      <c r="G39" s="28">
        <v>197807900</v>
      </c>
      <c r="H39" s="9"/>
      <c r="I39" s="2">
        <f t="shared" si="0"/>
        <v>1</v>
      </c>
      <c r="L39" s="26">
        <v>42370</v>
      </c>
      <c r="M39" s="27">
        <v>2038.1999510000001</v>
      </c>
      <c r="N39" s="27">
        <v>2038.1999510000001</v>
      </c>
      <c r="O39" s="27">
        <v>1812.290039</v>
      </c>
      <c r="P39" s="27">
        <v>1940.23999</v>
      </c>
      <c r="Q39" s="28">
        <v>92409770000</v>
      </c>
      <c r="R39" s="11"/>
      <c r="S39" s="21">
        <v>42370</v>
      </c>
      <c r="T39" s="20">
        <v>0.26</v>
      </c>
      <c r="V39" s="21">
        <v>42370</v>
      </c>
      <c r="W39" s="9">
        <v>26.389999</v>
      </c>
      <c r="X39" s="9">
        <v>26.66</v>
      </c>
      <c r="Y39" s="9">
        <v>22.469999000000001</v>
      </c>
      <c r="Z39" s="9">
        <v>23.790001</v>
      </c>
      <c r="AA39" s="10">
        <v>786139500</v>
      </c>
      <c r="AB39" s="11">
        <v>0.21</v>
      </c>
      <c r="AC39" s="1">
        <v>1</v>
      </c>
    </row>
    <row r="41" spans="1:29">
      <c r="A41" s="3" t="s">
        <v>14</v>
      </c>
      <c r="B41" t="s">
        <v>15</v>
      </c>
      <c r="K41" s="3" t="s">
        <v>14</v>
      </c>
      <c r="L41" t="s">
        <v>15</v>
      </c>
      <c r="R41" s="3" t="s">
        <v>14</v>
      </c>
      <c r="S41" t="s">
        <v>18</v>
      </c>
      <c r="U41" t="s">
        <v>14</v>
      </c>
      <c r="V41" t="s">
        <v>15</v>
      </c>
    </row>
    <row r="42" spans="1:29">
      <c r="B42" t="s">
        <v>16</v>
      </c>
      <c r="L42" t="s">
        <v>17</v>
      </c>
      <c r="S42" s="19" t="s">
        <v>19</v>
      </c>
      <c r="V42" t="s">
        <v>48</v>
      </c>
    </row>
  </sheetData>
  <sortState ref="A3:AD39">
    <sortCondition descending="1" ref="A3"/>
  </sortState>
  <hyperlinks>
    <hyperlink ref="S42" r:id="rId1" xr:uid="{472D4EA5-DD80-44E8-95C9-07B5F66407BC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963B8-0180-42B0-9912-014D5C8AB877}">
  <dimension ref="B1:V39"/>
  <sheetViews>
    <sheetView zoomScale="70" zoomScaleNormal="70" workbookViewId="0">
      <selection activeCell="V21" sqref="V21"/>
    </sheetView>
  </sheetViews>
  <sheetFormatPr defaultRowHeight="14.4"/>
  <cols>
    <col min="2" max="2" width="13" bestFit="1" customWidth="1"/>
    <col min="3" max="3" width="8.88671875" customWidth="1"/>
    <col min="7" max="7" width="2.33203125" customWidth="1"/>
  </cols>
  <sheetData>
    <row r="1" spans="2:22" ht="15" thickBot="1">
      <c r="B1" s="5" t="str">
        <f>Data!B1</f>
        <v>CSX</v>
      </c>
      <c r="C1" s="5" t="str">
        <f>Data!C1</f>
        <v>CSX Corporation</v>
      </c>
      <c r="D1" s="5"/>
      <c r="E1" s="5"/>
      <c r="F1" s="5"/>
      <c r="H1" s="48" t="s">
        <v>72</v>
      </c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</row>
    <row r="2" spans="2:22" ht="15" thickBot="1">
      <c r="B2" s="7" t="str">
        <f>Data!B2</f>
        <v>Date</v>
      </c>
      <c r="C2" s="7" t="str">
        <f>Data!C2</f>
        <v>Open</v>
      </c>
      <c r="D2" s="7" t="str">
        <f>Data!D2</f>
        <v>High</v>
      </c>
      <c r="E2" s="7" t="str">
        <f>Data!E2</f>
        <v>Low</v>
      </c>
      <c r="F2" s="7" t="str">
        <f>Data!F2</f>
        <v>Close</v>
      </c>
    </row>
    <row r="3" spans="2:22">
      <c r="B3" s="17">
        <f>Data!B3</f>
        <v>43466</v>
      </c>
      <c r="C3" s="25">
        <f>Data!C3</f>
        <v>60.759998000000003</v>
      </c>
      <c r="D3" s="25">
        <f>Data!D3</f>
        <v>67.769997000000004</v>
      </c>
      <c r="E3" s="25">
        <f>Data!E3</f>
        <v>60.02</v>
      </c>
      <c r="F3" s="25">
        <f>Data!F3</f>
        <v>65.699996999999996</v>
      </c>
    </row>
    <row r="4" spans="2:22">
      <c r="B4" s="17">
        <f>Data!B4</f>
        <v>43435</v>
      </c>
      <c r="C4" s="25">
        <f>Data!C4</f>
        <v>73.809997999999993</v>
      </c>
      <c r="D4" s="25">
        <f>Data!D4</f>
        <v>73.900002000000001</v>
      </c>
      <c r="E4" s="25">
        <f>Data!E4</f>
        <v>58.470001000000003</v>
      </c>
      <c r="F4" s="25">
        <f>Data!F4</f>
        <v>62.130001</v>
      </c>
    </row>
    <row r="5" spans="2:22">
      <c r="B5" s="17">
        <f>Data!B5</f>
        <v>43405</v>
      </c>
      <c r="C5" s="25">
        <f>Data!C5</f>
        <v>69.129997000000003</v>
      </c>
      <c r="D5" s="25">
        <f>Data!D5</f>
        <v>73.610000999999997</v>
      </c>
      <c r="E5" s="25">
        <f>Data!E5</f>
        <v>68.580001999999993</v>
      </c>
      <c r="F5" s="25">
        <f>Data!F5</f>
        <v>72.629997000000003</v>
      </c>
    </row>
    <row r="6" spans="2:22">
      <c r="B6" s="17">
        <f>Data!B6</f>
        <v>43374</v>
      </c>
      <c r="C6" s="25">
        <f>Data!C6</f>
        <v>74.379997000000003</v>
      </c>
      <c r="D6" s="25">
        <f>Data!D6</f>
        <v>75.660004000000001</v>
      </c>
      <c r="E6" s="25">
        <f>Data!E6</f>
        <v>63.650002000000001</v>
      </c>
      <c r="F6" s="25">
        <f>Data!F6</f>
        <v>68.860000999999997</v>
      </c>
    </row>
    <row r="7" spans="2:22">
      <c r="B7" s="17">
        <f>Data!B7</f>
        <v>43344</v>
      </c>
      <c r="C7" s="25">
        <f>Data!C7</f>
        <v>74.160004000000001</v>
      </c>
      <c r="D7" s="25">
        <f>Data!D7</f>
        <v>74.910004000000001</v>
      </c>
      <c r="E7" s="25">
        <f>Data!E7</f>
        <v>72.690002000000007</v>
      </c>
      <c r="F7" s="25">
        <f>Data!F7</f>
        <v>74.050003000000004</v>
      </c>
    </row>
    <row r="8" spans="2:22">
      <c r="B8" s="17">
        <f>Data!B8</f>
        <v>43313</v>
      </c>
      <c r="C8" s="25">
        <f>Data!C8</f>
        <v>70.739998</v>
      </c>
      <c r="D8" s="25">
        <f>Data!D8</f>
        <v>76.239998</v>
      </c>
      <c r="E8" s="25">
        <f>Data!E8</f>
        <v>70.089995999999999</v>
      </c>
      <c r="F8" s="25">
        <f>Data!F8</f>
        <v>74.160004000000001</v>
      </c>
    </row>
    <row r="9" spans="2:22">
      <c r="B9" s="17">
        <f>Data!B9</f>
        <v>43282</v>
      </c>
      <c r="C9" s="25">
        <f>Data!C9</f>
        <v>63.540000999999997</v>
      </c>
      <c r="D9" s="25">
        <f>Data!D9</f>
        <v>72.220000999999996</v>
      </c>
      <c r="E9" s="25">
        <f>Data!E9</f>
        <v>63.23</v>
      </c>
      <c r="F9" s="25">
        <f>Data!F9</f>
        <v>70.680000000000007</v>
      </c>
    </row>
    <row r="10" spans="2:22">
      <c r="B10" s="17">
        <f>Data!B10</f>
        <v>43252</v>
      </c>
      <c r="C10" s="25">
        <f>Data!C10</f>
        <v>65.220000999999996</v>
      </c>
      <c r="D10" s="25">
        <f>Data!D10</f>
        <v>67.690002000000007</v>
      </c>
      <c r="E10" s="25">
        <f>Data!E10</f>
        <v>62.720001000000003</v>
      </c>
      <c r="F10" s="25">
        <f>Data!F10</f>
        <v>63.779998999999997</v>
      </c>
    </row>
    <row r="11" spans="2:22">
      <c r="B11" s="17">
        <f>Data!B11</f>
        <v>43221</v>
      </c>
      <c r="C11" s="25">
        <f>Data!C11</f>
        <v>59.290000999999997</v>
      </c>
      <c r="D11" s="25">
        <f>Data!D11</f>
        <v>65.930000000000007</v>
      </c>
      <c r="E11" s="25">
        <f>Data!E11</f>
        <v>57.970001000000003</v>
      </c>
      <c r="F11" s="25">
        <f>Data!F11</f>
        <v>64.650002000000001</v>
      </c>
    </row>
    <row r="12" spans="2:22">
      <c r="B12" s="17">
        <f>Data!B12</f>
        <v>43191</v>
      </c>
      <c r="C12" s="25">
        <f>Data!C12</f>
        <v>55.48</v>
      </c>
      <c r="D12" s="25">
        <f>Data!D12</f>
        <v>61.5</v>
      </c>
      <c r="E12" s="25">
        <f>Data!E12</f>
        <v>53.529998999999997</v>
      </c>
      <c r="F12" s="25">
        <f>Data!F12</f>
        <v>59.389999000000003</v>
      </c>
    </row>
    <row r="13" spans="2:22">
      <c r="B13" s="17">
        <f>Data!B13</f>
        <v>43160</v>
      </c>
      <c r="C13" s="25">
        <f>Data!C13</f>
        <v>53.950001</v>
      </c>
      <c r="D13" s="25">
        <f>Data!D13</f>
        <v>58.400002000000001</v>
      </c>
      <c r="E13" s="25">
        <f>Data!E13</f>
        <v>53.130001</v>
      </c>
      <c r="F13" s="25">
        <f>Data!F13</f>
        <v>55.709999000000003</v>
      </c>
    </row>
    <row r="14" spans="2:22">
      <c r="B14" s="17">
        <f>Data!B14</f>
        <v>43132</v>
      </c>
      <c r="C14" s="25">
        <f>Data!C14</f>
        <v>56.099997999999999</v>
      </c>
      <c r="D14" s="25">
        <f>Data!D14</f>
        <v>57.099997999999999</v>
      </c>
      <c r="E14" s="25">
        <f>Data!E14</f>
        <v>48.43</v>
      </c>
      <c r="F14" s="25">
        <f>Data!F14</f>
        <v>53.720001000000003</v>
      </c>
    </row>
    <row r="15" spans="2:22">
      <c r="B15" s="17">
        <f>Data!B15</f>
        <v>43101</v>
      </c>
      <c r="C15" s="25">
        <f>Data!C15</f>
        <v>55.630001</v>
      </c>
      <c r="D15" s="25">
        <f>Data!D15</f>
        <v>60.040000999999997</v>
      </c>
      <c r="E15" s="25">
        <f>Data!E15</f>
        <v>55.02</v>
      </c>
      <c r="F15" s="25">
        <f>Data!F15</f>
        <v>56.77</v>
      </c>
    </row>
    <row r="16" spans="2:22">
      <c r="B16" s="17">
        <f>Data!B16</f>
        <v>43070</v>
      </c>
      <c r="C16" s="25">
        <f>Data!C16</f>
        <v>55.23</v>
      </c>
      <c r="D16" s="25">
        <f>Data!D16</f>
        <v>58.349997999999999</v>
      </c>
      <c r="E16" s="25">
        <f>Data!E16</f>
        <v>51.5</v>
      </c>
      <c r="F16" s="25">
        <f>Data!F16</f>
        <v>55.009998000000003</v>
      </c>
    </row>
    <row r="17" spans="2:6">
      <c r="B17" s="17">
        <f>Data!B17</f>
        <v>43040</v>
      </c>
      <c r="C17" s="25">
        <f>Data!C17</f>
        <v>50.73</v>
      </c>
      <c r="D17" s="25">
        <f>Data!D17</f>
        <v>56.169998</v>
      </c>
      <c r="E17" s="25">
        <f>Data!E17</f>
        <v>48.259998000000003</v>
      </c>
      <c r="F17" s="25">
        <f>Data!F17</f>
        <v>55.75</v>
      </c>
    </row>
    <row r="18" spans="2:6">
      <c r="B18" s="17">
        <f>Data!B18</f>
        <v>43009</v>
      </c>
      <c r="C18" s="25">
        <f>Data!C18</f>
        <v>52.810001</v>
      </c>
      <c r="D18" s="25">
        <f>Data!D18</f>
        <v>54.990001999999997</v>
      </c>
      <c r="E18" s="25">
        <f>Data!E18</f>
        <v>50.389999000000003</v>
      </c>
      <c r="F18" s="25">
        <f>Data!F18</f>
        <v>50.43</v>
      </c>
    </row>
    <row r="19" spans="2:6">
      <c r="B19" s="17">
        <f>Data!B19</f>
        <v>42979</v>
      </c>
      <c r="C19" s="25">
        <f>Data!C19</f>
        <v>50.380001</v>
      </c>
      <c r="D19" s="25">
        <f>Data!D19</f>
        <v>54.299999</v>
      </c>
      <c r="E19" s="25">
        <f>Data!E19</f>
        <v>48.689999</v>
      </c>
      <c r="F19" s="25">
        <f>Data!F19</f>
        <v>54.259998000000003</v>
      </c>
    </row>
    <row r="20" spans="2:6">
      <c r="B20" s="17">
        <f>Data!B20</f>
        <v>42948</v>
      </c>
      <c r="C20" s="25">
        <f>Data!C20</f>
        <v>49.290000999999997</v>
      </c>
      <c r="D20" s="25">
        <f>Data!D20</f>
        <v>51.380001</v>
      </c>
      <c r="E20" s="25">
        <f>Data!E20</f>
        <v>47.990001999999997</v>
      </c>
      <c r="F20" s="25">
        <f>Data!F20</f>
        <v>50.200001</v>
      </c>
    </row>
    <row r="21" spans="2:6">
      <c r="B21" s="17">
        <f>Data!B21</f>
        <v>42917</v>
      </c>
      <c r="C21" s="25">
        <f>Data!C21</f>
        <v>54.75</v>
      </c>
      <c r="D21" s="25">
        <f>Data!D21</f>
        <v>55.48</v>
      </c>
      <c r="E21" s="25">
        <f>Data!E21</f>
        <v>48.860000999999997</v>
      </c>
      <c r="F21" s="25">
        <f>Data!F21</f>
        <v>49.34</v>
      </c>
    </row>
    <row r="22" spans="2:6">
      <c r="B22" s="17">
        <f>Data!B22</f>
        <v>42887</v>
      </c>
      <c r="C22" s="25">
        <f>Data!C22</f>
        <v>54.209999000000003</v>
      </c>
      <c r="D22" s="25">
        <f>Data!D22</f>
        <v>55.060001</v>
      </c>
      <c r="E22" s="25">
        <f>Data!E22</f>
        <v>51.759998000000003</v>
      </c>
      <c r="F22" s="25">
        <f>Data!F22</f>
        <v>54.560001</v>
      </c>
    </row>
    <row r="23" spans="2:6">
      <c r="B23" s="17">
        <f>Data!B23</f>
        <v>42856</v>
      </c>
      <c r="C23" s="25">
        <f>Data!C23</f>
        <v>50.869999</v>
      </c>
      <c r="D23" s="25">
        <f>Data!D23</f>
        <v>54.43</v>
      </c>
      <c r="E23" s="25">
        <f>Data!E23</f>
        <v>48.77</v>
      </c>
      <c r="F23" s="25">
        <f>Data!F23</f>
        <v>54.169998</v>
      </c>
    </row>
    <row r="24" spans="2:6">
      <c r="B24" s="17">
        <f>Data!B24</f>
        <v>42826</v>
      </c>
      <c r="C24" s="25">
        <f>Data!C24</f>
        <v>46.66</v>
      </c>
      <c r="D24" s="25">
        <f>Data!D24</f>
        <v>51.66</v>
      </c>
      <c r="E24" s="25">
        <f>Data!E24</f>
        <v>46.040000999999997</v>
      </c>
      <c r="F24" s="25">
        <f>Data!F24</f>
        <v>50.84</v>
      </c>
    </row>
    <row r="25" spans="2:6">
      <c r="B25" s="17">
        <f>Data!B25</f>
        <v>42795</v>
      </c>
      <c r="C25" s="25">
        <f>Data!C25</f>
        <v>49.200001</v>
      </c>
      <c r="D25" s="25">
        <f>Data!D25</f>
        <v>50.310001</v>
      </c>
      <c r="E25" s="25">
        <f>Data!E25</f>
        <v>45.41</v>
      </c>
      <c r="F25" s="25">
        <f>Data!F25</f>
        <v>46.549999</v>
      </c>
    </row>
    <row r="26" spans="2:6">
      <c r="B26" s="17">
        <f>Data!B26</f>
        <v>42767</v>
      </c>
      <c r="C26" s="25">
        <f>Data!C26</f>
        <v>46.549999</v>
      </c>
      <c r="D26" s="25">
        <f>Data!D26</f>
        <v>49.599997999999999</v>
      </c>
      <c r="E26" s="25">
        <f>Data!E26</f>
        <v>46.099997999999999</v>
      </c>
      <c r="F26" s="25">
        <f>Data!F26</f>
        <v>48.560001</v>
      </c>
    </row>
    <row r="27" spans="2:6">
      <c r="B27" s="17">
        <f>Data!B27</f>
        <v>42736</v>
      </c>
      <c r="C27" s="25">
        <f>Data!C27</f>
        <v>36.150002000000001</v>
      </c>
      <c r="D27" s="25">
        <f>Data!D27</f>
        <v>49.130001</v>
      </c>
      <c r="E27" s="25">
        <f>Data!E27</f>
        <v>35.590000000000003</v>
      </c>
      <c r="F27" s="25">
        <f>Data!F27</f>
        <v>46.389999000000003</v>
      </c>
    </row>
    <row r="28" spans="2:6">
      <c r="B28" s="17">
        <f>Data!B28</f>
        <v>42705</v>
      </c>
      <c r="C28" s="25">
        <f>Data!C28</f>
        <v>36.07</v>
      </c>
      <c r="D28" s="25">
        <f>Data!D28</f>
        <v>37.419998</v>
      </c>
      <c r="E28" s="25">
        <f>Data!E28</f>
        <v>35.790000999999997</v>
      </c>
      <c r="F28" s="25">
        <f>Data!F28</f>
        <v>35.93</v>
      </c>
    </row>
    <row r="29" spans="2:6">
      <c r="B29" s="17">
        <f>Data!B29</f>
        <v>42675</v>
      </c>
      <c r="C29" s="25">
        <f>Data!C29</f>
        <v>30.639999</v>
      </c>
      <c r="D29" s="25">
        <f>Data!D29</f>
        <v>36.090000000000003</v>
      </c>
      <c r="E29" s="25">
        <f>Data!E29</f>
        <v>30.15</v>
      </c>
      <c r="F29" s="25">
        <f>Data!F29</f>
        <v>35.810001</v>
      </c>
    </row>
    <row r="30" spans="2:6">
      <c r="B30" s="17">
        <f>Data!B30</f>
        <v>42644</v>
      </c>
      <c r="C30" s="25">
        <f>Data!C30</f>
        <v>30.33</v>
      </c>
      <c r="D30" s="25">
        <f>Data!D30</f>
        <v>31.73</v>
      </c>
      <c r="E30" s="25">
        <f>Data!E30</f>
        <v>30.01</v>
      </c>
      <c r="F30" s="25">
        <f>Data!F30</f>
        <v>30.51</v>
      </c>
    </row>
    <row r="31" spans="2:6">
      <c r="B31" s="17">
        <f>Data!B31</f>
        <v>42614</v>
      </c>
      <c r="C31" s="25">
        <f>Data!C31</f>
        <v>28.370000999999998</v>
      </c>
      <c r="D31" s="25">
        <f>Data!D31</f>
        <v>30.6</v>
      </c>
      <c r="E31" s="25">
        <f>Data!E31</f>
        <v>27.889999</v>
      </c>
      <c r="F31" s="25">
        <f>Data!F31</f>
        <v>30.5</v>
      </c>
    </row>
    <row r="32" spans="2:6">
      <c r="B32" s="17">
        <f>Data!B32</f>
        <v>42583</v>
      </c>
      <c r="C32" s="25">
        <f>Data!C32</f>
        <v>28.33</v>
      </c>
      <c r="D32" s="25">
        <f>Data!D32</f>
        <v>28.879999000000002</v>
      </c>
      <c r="E32" s="25">
        <f>Data!E32</f>
        <v>27.459999</v>
      </c>
      <c r="F32" s="25">
        <f>Data!F32</f>
        <v>28.280000999999999</v>
      </c>
    </row>
    <row r="33" spans="2:6">
      <c r="B33" s="17">
        <f>Data!B33</f>
        <v>42552</v>
      </c>
      <c r="C33" s="25">
        <f>Data!C33</f>
        <v>26.110001</v>
      </c>
      <c r="D33" s="25">
        <f>Data!D33</f>
        <v>29.41</v>
      </c>
      <c r="E33" s="25">
        <f>Data!E33</f>
        <v>25.33</v>
      </c>
      <c r="F33" s="25">
        <f>Data!F33</f>
        <v>28.33</v>
      </c>
    </row>
    <row r="34" spans="2:6">
      <c r="B34" s="17">
        <f>Data!B34</f>
        <v>42522</v>
      </c>
      <c r="C34" s="25">
        <f>Data!C34</f>
        <v>26.18</v>
      </c>
      <c r="D34" s="25">
        <f>Data!D34</f>
        <v>27.41</v>
      </c>
      <c r="E34" s="25">
        <f>Data!E34</f>
        <v>24.43</v>
      </c>
      <c r="F34" s="25">
        <f>Data!F34</f>
        <v>26.08</v>
      </c>
    </row>
    <row r="35" spans="2:6">
      <c r="B35" s="17">
        <f>Data!B35</f>
        <v>42491</v>
      </c>
      <c r="C35" s="25">
        <f>Data!C35</f>
        <v>27.27</v>
      </c>
      <c r="D35" s="25">
        <f>Data!D35</f>
        <v>27.540001</v>
      </c>
      <c r="E35" s="25">
        <f>Data!E35</f>
        <v>24.93</v>
      </c>
      <c r="F35" s="25">
        <f>Data!F35</f>
        <v>26.43</v>
      </c>
    </row>
    <row r="36" spans="2:6">
      <c r="B36" s="17">
        <f>Data!B36</f>
        <v>42461</v>
      </c>
      <c r="C36" s="25">
        <f>Data!C36</f>
        <v>25.639999</v>
      </c>
      <c r="D36" s="25">
        <f>Data!D36</f>
        <v>27.969999000000001</v>
      </c>
      <c r="E36" s="25">
        <f>Data!E36</f>
        <v>24.360001</v>
      </c>
      <c r="F36" s="25">
        <f>Data!F36</f>
        <v>27.27</v>
      </c>
    </row>
    <row r="37" spans="2:6">
      <c r="B37" s="17">
        <f>Data!B37</f>
        <v>42430</v>
      </c>
      <c r="C37" s="25">
        <f>Data!C37</f>
        <v>24.450001</v>
      </c>
      <c r="D37" s="25">
        <f>Data!D37</f>
        <v>27.27</v>
      </c>
      <c r="E37" s="25">
        <f>Data!E37</f>
        <v>24.26</v>
      </c>
      <c r="F37" s="25">
        <f>Data!F37</f>
        <v>25.75</v>
      </c>
    </row>
    <row r="38" spans="2:6">
      <c r="B38" s="17">
        <f>Data!B38</f>
        <v>42401</v>
      </c>
      <c r="C38" s="25">
        <f>Data!C38</f>
        <v>22.6</v>
      </c>
      <c r="D38" s="25">
        <f>Data!D38</f>
        <v>25.709999</v>
      </c>
      <c r="E38" s="25">
        <f>Data!E38</f>
        <v>21.639999</v>
      </c>
      <c r="F38" s="25">
        <f>Data!F38</f>
        <v>24.139999</v>
      </c>
    </row>
    <row r="39" spans="2:6">
      <c r="B39" s="17">
        <f>Data!B39</f>
        <v>42370</v>
      </c>
      <c r="C39" s="25">
        <f>Data!C39</f>
        <v>25.370000999999998</v>
      </c>
      <c r="D39" s="25">
        <f>Data!D39</f>
        <v>25.99</v>
      </c>
      <c r="E39" s="25">
        <f>Data!E39</f>
        <v>21.33</v>
      </c>
      <c r="F39" s="25">
        <f>Data!F39</f>
        <v>23.02</v>
      </c>
    </row>
  </sheetData>
  <mergeCells count="1">
    <mergeCell ref="H1:V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5BB97-B4F7-4C72-A353-3AE1F2B2433A}">
  <dimension ref="A1:G48"/>
  <sheetViews>
    <sheetView zoomScale="55" zoomScaleNormal="55" workbookViewId="0">
      <selection activeCell="I41" sqref="I41"/>
    </sheetView>
  </sheetViews>
  <sheetFormatPr defaultRowHeight="14.4"/>
  <cols>
    <col min="1" max="1" width="20.6640625" customWidth="1"/>
    <col min="2" max="2" width="12.77734375" bestFit="1" customWidth="1"/>
    <col min="3" max="3" width="18.6640625" bestFit="1" customWidth="1"/>
    <col min="4" max="4" width="10.44140625" bestFit="1" customWidth="1"/>
    <col min="5" max="5" width="9.77734375" bestFit="1" customWidth="1"/>
    <col min="6" max="6" width="13.44140625" customWidth="1"/>
    <col min="7" max="7" width="10.44140625" bestFit="1" customWidth="1"/>
  </cols>
  <sheetData>
    <row r="1" spans="1:7" ht="15" thickBot="1">
      <c r="B1" s="49" t="s">
        <v>20</v>
      </c>
      <c r="C1" s="49"/>
      <c r="D1" s="49"/>
      <c r="E1" s="29"/>
      <c r="F1" s="29"/>
      <c r="G1" s="29"/>
    </row>
    <row r="2" spans="1:7" ht="15" thickBot="1">
      <c r="B2" s="7" t="str">
        <f>Data!T1</f>
        <v>3 Month T-Bill</v>
      </c>
      <c r="C2" s="7" t="str">
        <f>Data!M1</f>
        <v>Standard &amp; Poor 500</v>
      </c>
      <c r="D2" s="7" t="str">
        <f>Data!B1</f>
        <v>CSX</v>
      </c>
      <c r="E2" s="30" t="s">
        <v>47</v>
      </c>
      <c r="F2" s="30" t="s">
        <v>57</v>
      </c>
      <c r="G2" s="30" t="s">
        <v>58</v>
      </c>
    </row>
    <row r="3" spans="1:7">
      <c r="A3" s="17">
        <f>Data!A3</f>
        <v>43466</v>
      </c>
      <c r="B3" s="15">
        <f>Data!T3/12/100</f>
        <v>1.9750000000000002E-3</v>
      </c>
      <c r="C3" s="15">
        <f>(Data!P3/Data!P4)-1</f>
        <v>7.8684401655036762E-2</v>
      </c>
      <c r="D3" s="15">
        <f>((Data!F3+Data!H3)/Data!F4)-1</f>
        <v>5.7460098865924625E-2</v>
      </c>
      <c r="E3" s="15">
        <f>((Data!Z3+Data!AB3)/Data!Z4)-1</f>
        <v>9.900758832182821E-2</v>
      </c>
      <c r="F3" s="16">
        <f>F$44*$D3+F$45*$E3</f>
        <v>7.8233843593876418E-2</v>
      </c>
      <c r="G3" s="16">
        <f>G$44*$D3+G$45*$E3</f>
        <v>8.7374291274175245E-2</v>
      </c>
    </row>
    <row r="4" spans="1:7">
      <c r="A4" s="17">
        <f>Data!A4</f>
        <v>43435</v>
      </c>
      <c r="B4" s="15">
        <f>Data!T4/12/100</f>
        <v>1.9750000000000002E-3</v>
      </c>
      <c r="C4" s="15">
        <f>(Data!P4/Data!P5)-1</f>
        <v>-9.1776894596563907E-2</v>
      </c>
      <c r="D4" s="15">
        <f>((Data!F4+Data!H4)/Data!F5)-1</f>
        <v>-0.14208999623117158</v>
      </c>
      <c r="E4" s="15">
        <f>((Data!Z4+Data!AB4)/Data!Z5)-1</f>
        <v>-9.4840131498644897E-2</v>
      </c>
      <c r="F4" s="16">
        <f t="shared" ref="F4:G38" si="0">F$44*$D4+F$45*$E4</f>
        <v>-0.11846506386490824</v>
      </c>
      <c r="G4" s="16">
        <f t="shared" si="0"/>
        <v>-0.10807009362375232</v>
      </c>
    </row>
    <row r="5" spans="1:7">
      <c r="A5" s="17">
        <f>Data!A5</f>
        <v>43405</v>
      </c>
      <c r="B5" s="15">
        <f>Data!T5/12/100</f>
        <v>1.9416666666666668E-3</v>
      </c>
      <c r="C5" s="15">
        <f>(Data!P5/Data!P6)-1</f>
        <v>1.7859356788848979E-2</v>
      </c>
      <c r="D5" s="15">
        <f>((Data!F5+Data!H5)/Data!F6)-1</f>
        <v>5.4748706727436813E-2</v>
      </c>
      <c r="E5" s="15">
        <f>((Data!Z5+Data!AB5)/Data!Z6)-1</f>
        <v>4.6338775956284106E-2</v>
      </c>
      <c r="F5" s="16">
        <f t="shared" si="0"/>
        <v>5.054374134186046E-2</v>
      </c>
      <c r="G5" s="16">
        <f t="shared" si="0"/>
        <v>4.8693556572206857E-2</v>
      </c>
    </row>
    <row r="6" spans="1:7">
      <c r="A6" s="17">
        <f>Data!A6</f>
        <v>43374</v>
      </c>
      <c r="B6" s="15">
        <f>Data!T6/12/100</f>
        <v>1.8749999999999999E-3</v>
      </c>
      <c r="C6" s="15">
        <f>(Data!P6/Data!P7)-1</f>
        <v>-6.9403356024429486E-2</v>
      </c>
      <c r="D6" s="15">
        <f>((Data!F6+Data!H6)/Data!F7)-1</f>
        <v>-7.0087802697320734E-2</v>
      </c>
      <c r="E6" s="15">
        <f>((Data!Z6+Data!AB6)/Data!Z7)-1</f>
        <v>-5.2826349318546795E-2</v>
      </c>
      <c r="F6" s="16">
        <f t="shared" si="0"/>
        <v>-6.1457076007933764E-2</v>
      </c>
      <c r="G6" s="16">
        <f t="shared" si="0"/>
        <v>-5.7659556264603479E-2</v>
      </c>
    </row>
    <row r="7" spans="1:7">
      <c r="A7" s="17">
        <f>Data!A7</f>
        <v>43344</v>
      </c>
      <c r="B7" s="15">
        <f>Data!T7/12/100</f>
        <v>1.7749999999999999E-3</v>
      </c>
      <c r="C7" s="15">
        <f>(Data!P7/Data!P8)-1</f>
        <v>4.2942871026614426E-3</v>
      </c>
      <c r="D7" s="15">
        <f>((Data!F7+Data!H7)/Data!F8)-1</f>
        <v>9.4389153484963906E-4</v>
      </c>
      <c r="E7" s="15">
        <f>((Data!Z7+Data!AB7)/Data!Z8)-1</f>
        <v>1.8421645384132157E-2</v>
      </c>
      <c r="F7" s="16">
        <f t="shared" si="0"/>
        <v>9.682768459490898E-3</v>
      </c>
      <c r="G7" s="16">
        <f t="shared" si="0"/>
        <v>1.3527874306333069E-2</v>
      </c>
    </row>
    <row r="8" spans="1:7">
      <c r="A8" s="17">
        <f>Data!A8</f>
        <v>43313</v>
      </c>
      <c r="B8" s="15">
        <f>Data!T8/12/100</f>
        <v>1.6916666666666666E-3</v>
      </c>
      <c r="C8" s="15">
        <f>(Data!P8/Data!P9)-1</f>
        <v>3.0263211466054596E-2</v>
      </c>
      <c r="D8" s="15">
        <f>((Data!F8+Data!H8)/Data!F9)-1</f>
        <v>4.9236049801923976E-2</v>
      </c>
      <c r="E8" s="15">
        <f>((Data!Z8+Data!AB8)/Data!Z9)-1</f>
        <v>0.12958143462801064</v>
      </c>
      <c r="F8" s="16">
        <f t="shared" si="0"/>
        <v>8.9408742214967307E-2</v>
      </c>
      <c r="G8" s="16">
        <f t="shared" si="0"/>
        <v>0.10708472687670645</v>
      </c>
    </row>
    <row r="9" spans="1:7">
      <c r="A9" s="17">
        <f>Data!A9</f>
        <v>43282</v>
      </c>
      <c r="B9" s="15">
        <f>Data!T9/12/100</f>
        <v>1.6333333333333332E-3</v>
      </c>
      <c r="C9" s="15">
        <f>(Data!P9/Data!P10)-1</f>
        <v>3.6021556221367268E-2</v>
      </c>
      <c r="D9" s="15">
        <f>((Data!F9+Data!H9)/Data!F10)-1</f>
        <v>0.10818440119448747</v>
      </c>
      <c r="E9" s="15">
        <f>((Data!Z9+Data!AB9)/Data!Z10)-1</f>
        <v>-9.5281898565696688E-3</v>
      </c>
      <c r="F9" s="16">
        <f t="shared" si="0"/>
        <v>4.9328105668958899E-2</v>
      </c>
      <c r="G9" s="16">
        <f t="shared" si="0"/>
        <v>2.3431335637726213E-2</v>
      </c>
    </row>
    <row r="10" spans="1:7">
      <c r="A10" s="17">
        <f>Data!A10</f>
        <v>43252</v>
      </c>
      <c r="B10" s="15">
        <f>Data!T10/12/100</f>
        <v>1.5833333333333333E-3</v>
      </c>
      <c r="C10" s="15">
        <f>(Data!P10/Data!P11)-1</f>
        <v>4.8424360241865472E-3</v>
      </c>
      <c r="D10" s="15">
        <f>((Data!F10+Data!H10)/Data!F11)-1</f>
        <v>-1.0672899901843835E-2</v>
      </c>
      <c r="E10" s="15">
        <f>((Data!Z10+Data!AB10)/Data!Z11)-1</f>
        <v>7.492390716281605E-3</v>
      </c>
      <c r="F10" s="16">
        <f t="shared" si="0"/>
        <v>-1.5902545927811151E-3</v>
      </c>
      <c r="G10" s="16">
        <f t="shared" si="0"/>
        <v>2.4061093432064997E-3</v>
      </c>
    </row>
    <row r="11" spans="1:7">
      <c r="A11" s="17">
        <f>Data!A11</f>
        <v>43221</v>
      </c>
      <c r="B11" s="15">
        <f>Data!T11/12/100</f>
        <v>1.5499999999999999E-3</v>
      </c>
      <c r="C11" s="15">
        <f>(Data!P11/Data!P12)-1</f>
        <v>2.1608341965291933E-2</v>
      </c>
      <c r="D11" s="15">
        <f>((Data!F11+Data!H11)/Data!F12)-1</f>
        <v>8.8567150843023246E-2</v>
      </c>
      <c r="E11" s="15">
        <f>((Data!Z11+Data!AB11)/Data!Z12)-1</f>
        <v>-3.567401138690407E-2</v>
      </c>
      <c r="F11" s="16">
        <f t="shared" si="0"/>
        <v>2.6446569728059588E-2</v>
      </c>
      <c r="G11" s="16">
        <f t="shared" si="0"/>
        <v>-8.8648596252454206E-4</v>
      </c>
    </row>
    <row r="12" spans="1:7">
      <c r="A12" s="17">
        <f>Data!A12</f>
        <v>43191</v>
      </c>
      <c r="B12" s="15">
        <f>Data!T12/12/100</f>
        <v>1.4666666666666667E-3</v>
      </c>
      <c r="C12" s="15">
        <f>(Data!P12/Data!P13)-1</f>
        <v>2.718775131643536E-3</v>
      </c>
      <c r="D12" s="15">
        <f>((Data!F12+Data!H12)/Data!F13)-1</f>
        <v>6.6056364495716391E-2</v>
      </c>
      <c r="E12" s="15">
        <f>((Data!Z12+Data!AB12)/Data!Z13)-1</f>
        <v>4.0335790168705588E-2</v>
      </c>
      <c r="F12" s="16">
        <f t="shared" si="0"/>
        <v>5.3196077332210989E-2</v>
      </c>
      <c r="G12" s="16">
        <f t="shared" si="0"/>
        <v>4.7537550980268586E-2</v>
      </c>
    </row>
    <row r="13" spans="1:7">
      <c r="A13" s="17">
        <f>Data!A13</f>
        <v>43160</v>
      </c>
      <c r="B13" s="15">
        <f>Data!T13/12/100</f>
        <v>1.4166666666666666E-3</v>
      </c>
      <c r="C13" s="15">
        <f>(Data!P13/Data!P14)-1</f>
        <v>-2.6884498624825115E-2</v>
      </c>
      <c r="D13" s="15">
        <f>((Data!F13+Data!H13)/Data!F14)-1</f>
        <v>4.0394600886176413E-2</v>
      </c>
      <c r="E13" s="15">
        <f>((Data!Z13+Data!AB13)/Data!Z14)-1</f>
        <v>-4.2206343059543072E-2</v>
      </c>
      <c r="F13" s="16">
        <f t="shared" si="0"/>
        <v>-9.0587108668332972E-4</v>
      </c>
      <c r="G13" s="16">
        <f t="shared" si="0"/>
        <v>-1.9078078754741698E-2</v>
      </c>
    </row>
    <row r="14" spans="1:7">
      <c r="A14" s="17">
        <f>Data!A14</f>
        <v>43132</v>
      </c>
      <c r="B14" s="15">
        <f>Data!T14/12/100</f>
        <v>1.3083333333333332E-3</v>
      </c>
      <c r="C14" s="15">
        <f>(Data!P14/Data!P15)-1</f>
        <v>-3.8947372061896912E-2</v>
      </c>
      <c r="D14" s="15">
        <f>((Data!F14+Data!H14)/Data!F15)-1</f>
        <v>-5.3725541659327081E-2</v>
      </c>
      <c r="E14" s="15">
        <f>((Data!Z14+Data!AB14)/Data!Z15)-1</f>
        <v>7.7997061194100548E-2</v>
      </c>
      <c r="F14" s="16">
        <f t="shared" si="0"/>
        <v>1.2135759767386733E-2</v>
      </c>
      <c r="G14" s="16">
        <f t="shared" si="0"/>
        <v>4.1114732395140942E-2</v>
      </c>
    </row>
    <row r="15" spans="1:7">
      <c r="A15" s="17">
        <f>Data!A15</f>
        <v>43101</v>
      </c>
      <c r="B15" s="15">
        <f>Data!T15/12/100</f>
        <v>1.1749999999999998E-3</v>
      </c>
      <c r="C15" s="15">
        <f>(Data!P15/Data!P16)-1</f>
        <v>5.6178704444133087E-2</v>
      </c>
      <c r="D15" s="15">
        <f>((Data!F15+Data!H15)/Data!F16)-1</f>
        <v>3.1994220396081463E-2</v>
      </c>
      <c r="E15" s="15">
        <f>((Data!Z15+Data!AB15)/Data!Z16)-1</f>
        <v>9.2167156453450527E-2</v>
      </c>
      <c r="F15" s="16">
        <f t="shared" si="0"/>
        <v>6.2080688424765995E-2</v>
      </c>
      <c r="G15" s="16">
        <f t="shared" si="0"/>
        <v>7.5318734357387257E-2</v>
      </c>
    </row>
    <row r="16" spans="1:7">
      <c r="A16" s="17">
        <f>Data!A16</f>
        <v>43070</v>
      </c>
      <c r="B16" s="15">
        <f>Data!T16/12/100</f>
        <v>1.1000000000000001E-3</v>
      </c>
      <c r="C16" s="15">
        <f>(Data!P16/Data!P17)-1</f>
        <v>3.4342557364422932E-2</v>
      </c>
      <c r="D16" s="15">
        <f>((Data!F16+Data!H16)/Data!F17)-1</f>
        <v>-1.004487892376682E-2</v>
      </c>
      <c r="E16" s="15">
        <f>((Data!Z16+Data!AB16)/Data!Z17)-1</f>
        <v>6.7446988086761639E-2</v>
      </c>
      <c r="F16" s="16">
        <f t="shared" si="0"/>
        <v>2.8701054581497409E-2</v>
      </c>
      <c r="G16" s="16">
        <f t="shared" si="0"/>
        <v>4.5749265323813751E-2</v>
      </c>
    </row>
    <row r="17" spans="1:7">
      <c r="A17" s="17">
        <f>Data!A17</f>
        <v>43040</v>
      </c>
      <c r="B17" s="15">
        <f>Data!T17/12/100</f>
        <v>1.0249999999999999E-3</v>
      </c>
      <c r="C17" s="15">
        <f>(Data!P17/Data!P18)-1</f>
        <v>3.7200430103365711E-3</v>
      </c>
      <c r="D17" s="15">
        <f>((Data!F17+Data!H17)/Data!F18)-1</f>
        <v>0.10549276224469573</v>
      </c>
      <c r="E17" s="15">
        <f>((Data!Z17+Data!AB17)/Data!Z18)-1</f>
        <v>5.065882573008329E-2</v>
      </c>
      <c r="F17" s="16">
        <f t="shared" si="0"/>
        <v>7.8075793987389508E-2</v>
      </c>
      <c r="G17" s="16">
        <f t="shared" si="0"/>
        <v>6.6012327954174721E-2</v>
      </c>
    </row>
    <row r="18" spans="1:7">
      <c r="A18" s="17">
        <f>Data!A18</f>
        <v>43009</v>
      </c>
      <c r="B18" s="15">
        <f>Data!T18/12/100</f>
        <v>8.9166666666666669E-4</v>
      </c>
      <c r="C18" s="15">
        <f>(Data!P18/Data!P19)-1</f>
        <v>2.218813533034969E-2</v>
      </c>
      <c r="D18" s="15">
        <f>((Data!F18+Data!H18)/Data!F19)-1</f>
        <v>-7.0586032826613909E-2</v>
      </c>
      <c r="E18" s="15">
        <f>((Data!Z18+Data!AB18)/Data!Z19)-1</f>
        <v>2.408566684253155E-2</v>
      </c>
      <c r="F18" s="16">
        <f t="shared" si="0"/>
        <v>-2.325018299204118E-2</v>
      </c>
      <c r="G18" s="16">
        <f t="shared" si="0"/>
        <v>-2.4224090648290869E-3</v>
      </c>
    </row>
    <row r="19" spans="1:7">
      <c r="A19" s="17">
        <f>Data!A19</f>
        <v>42979</v>
      </c>
      <c r="B19" s="15">
        <f>Data!T19/12/100</f>
        <v>8.5833333333333334E-4</v>
      </c>
      <c r="C19" s="15">
        <f>(Data!P19/Data!P20)-1</f>
        <v>1.9302978533243698E-2</v>
      </c>
      <c r="D19" s="15">
        <f>((Data!F19+Data!H19)/Data!F20)-1</f>
        <v>8.4860496317520129E-2</v>
      </c>
      <c r="E19" s="15">
        <f>((Data!Z19+Data!AB19)/Data!Z20)-1</f>
        <v>4.4085751135850559E-2</v>
      </c>
      <c r="F19" s="16">
        <f t="shared" si="0"/>
        <v>6.4473123726685344E-2</v>
      </c>
      <c r="G19" s="16">
        <f t="shared" si="0"/>
        <v>5.5502679786717996E-2</v>
      </c>
    </row>
    <row r="20" spans="1:7">
      <c r="A20" s="17">
        <f>Data!A20</f>
        <v>42948</v>
      </c>
      <c r="B20" s="15">
        <f>Data!T20/12/100</f>
        <v>8.4166666666666667E-4</v>
      </c>
      <c r="C20" s="15">
        <f>(Data!P20/Data!P21)-1</f>
        <v>5.4643281108557318E-4</v>
      </c>
      <c r="D20" s="15">
        <f>((Data!F20+Data!H20)/Data!F21)-1</f>
        <v>1.7430097284150792E-2</v>
      </c>
      <c r="E20" s="15">
        <f>((Data!Z20+Data!AB20)/Data!Z21)-1</f>
        <v>2.4165277451024592E-2</v>
      </c>
      <c r="F20" s="16">
        <f t="shared" si="0"/>
        <v>2.0797687367587692E-2</v>
      </c>
      <c r="G20" s="16">
        <f t="shared" si="0"/>
        <v>2.2279427004299933E-2</v>
      </c>
    </row>
    <row r="21" spans="1:7">
      <c r="A21" s="17">
        <f>Data!A21</f>
        <v>42917</v>
      </c>
      <c r="B21" s="15">
        <f>Data!T21/12/100</f>
        <v>8.9166666666666669E-4</v>
      </c>
      <c r="C21" s="15">
        <f>(Data!P21/Data!P22)-1</f>
        <v>1.9348826118030571E-2</v>
      </c>
      <c r="D21" s="15">
        <f>((Data!F21+Data!H21)/Data!F22)-1</f>
        <v>-9.5674503378399778E-2</v>
      </c>
      <c r="E21" s="15">
        <f>((Data!Z21+Data!AB21)/Data!Z22)-1</f>
        <v>4.7923963192459951E-3</v>
      </c>
      <c r="F21" s="16">
        <f t="shared" si="0"/>
        <v>-4.5441053529576891E-2</v>
      </c>
      <c r="G21" s="16">
        <f t="shared" si="0"/>
        <v>-2.3338335596094724E-2</v>
      </c>
    </row>
    <row r="22" spans="1:7">
      <c r="A22" s="17">
        <f>Data!A22</f>
        <v>42887</v>
      </c>
      <c r="B22" s="15">
        <f>Data!T22/12/100</f>
        <v>8.166666666666666E-4</v>
      </c>
      <c r="C22" s="15">
        <f>(Data!P22/Data!P23)-1</f>
        <v>4.8137750908554544E-3</v>
      </c>
      <c r="D22" s="15">
        <f>((Data!F22+Data!H22)/Data!F23)-1</f>
        <v>7.1996125973643466E-3</v>
      </c>
      <c r="E22" s="15">
        <f>((Data!Z22+Data!AB22)/Data!Z23)-1</f>
        <v>-7.2947032256674982E-3</v>
      </c>
      <c r="F22" s="16">
        <f t="shared" si="0"/>
        <v>-4.7545314151575813E-5</v>
      </c>
      <c r="G22" s="16">
        <f t="shared" si="0"/>
        <v>-3.2362947952185952E-3</v>
      </c>
    </row>
    <row r="23" spans="1:7">
      <c r="A23" s="17">
        <f>Data!A23</f>
        <v>42856</v>
      </c>
      <c r="B23" s="15">
        <f>Data!T23/12/100</f>
        <v>7.4166666666666673E-4</v>
      </c>
      <c r="C23" s="15">
        <f>(Data!P23/Data!P24)-1</f>
        <v>1.157625139134133E-2</v>
      </c>
      <c r="D23" s="15">
        <f>((Data!F23+Data!H23)/Data!F24)-1</f>
        <v>6.5499567269866166E-2</v>
      </c>
      <c r="E23" s="15">
        <f>((Data!Z23+Data!AB23)/Data!Z24)-1</f>
        <v>-7.4552362782506654E-2</v>
      </c>
      <c r="F23" s="16">
        <f t="shared" si="0"/>
        <v>-4.526397756320244E-3</v>
      </c>
      <c r="G23" s="16">
        <f t="shared" si="0"/>
        <v>-3.53378223678424E-2</v>
      </c>
    </row>
    <row r="24" spans="1:7">
      <c r="A24" s="17">
        <f>Data!A24</f>
        <v>42826</v>
      </c>
      <c r="B24" s="15">
        <f>Data!T24/12/100</f>
        <v>6.6666666666666664E-4</v>
      </c>
      <c r="C24" s="15">
        <f>(Data!P24/Data!P25)-1</f>
        <v>9.0912085493182193E-3</v>
      </c>
      <c r="D24" s="15">
        <f>((Data!F24+Data!H24)/Data!F25)-1</f>
        <v>9.2158992312760368E-2</v>
      </c>
      <c r="E24" s="15">
        <f>((Data!Z24+Data!AB24)/Data!Z25)-1</f>
        <v>1.656807741325661E-2</v>
      </c>
      <c r="F24" s="16">
        <f t="shared" si="0"/>
        <v>5.4363534863008489E-2</v>
      </c>
      <c r="G24" s="16">
        <f t="shared" si="0"/>
        <v>3.7733533585117586E-2</v>
      </c>
    </row>
    <row r="25" spans="1:7">
      <c r="A25" s="17">
        <f>Data!A25</f>
        <v>42795</v>
      </c>
      <c r="B25" s="15">
        <f>Data!T25/12/100</f>
        <v>6.1666666666666673E-4</v>
      </c>
      <c r="C25" s="15">
        <f>(Data!P25/Data!P26)-1</f>
        <v>-3.8919718808450021E-4</v>
      </c>
      <c r="D25" s="15">
        <f>((Data!F25+Data!H25)/Data!F26)-1</f>
        <v>-3.7273516530611173E-2</v>
      </c>
      <c r="E25" s="15">
        <f>((Data!Z25+Data!AB25)/Data!Z26)-1</f>
        <v>-1.111764189584552E-2</v>
      </c>
      <c r="F25" s="16">
        <f t="shared" si="0"/>
        <v>-2.4195579213228346E-2</v>
      </c>
      <c r="G25" s="16">
        <f t="shared" si="0"/>
        <v>-1.8441286793579877E-2</v>
      </c>
    </row>
    <row r="26" spans="1:7">
      <c r="A26" s="17">
        <f>Data!A26</f>
        <v>42767</v>
      </c>
      <c r="B26" s="15">
        <f>Data!T26/12/100</f>
        <v>4.3333333333333337E-4</v>
      </c>
      <c r="C26" s="15">
        <f>(Data!P26/Data!P27)-1</f>
        <v>3.7198160337279074E-2</v>
      </c>
      <c r="D26" s="15">
        <f>((Data!F26+Data!H26)/Data!F27)-1</f>
        <v>4.6777366819947375E-2</v>
      </c>
      <c r="E26" s="15">
        <f>((Data!Z26+Data!AB26)/Data!Z27)-1</f>
        <v>0.11263024455176573</v>
      </c>
      <c r="F26" s="16">
        <f t="shared" si="0"/>
        <v>7.9703805685856555E-2</v>
      </c>
      <c r="G26" s="16">
        <f t="shared" si="0"/>
        <v>9.4191438786856652E-2</v>
      </c>
    </row>
    <row r="27" spans="1:7">
      <c r="A27" s="17">
        <f>Data!A27</f>
        <v>42736</v>
      </c>
      <c r="B27" s="15">
        <f>Data!T27/12/100</f>
        <v>4.2500000000000003E-4</v>
      </c>
      <c r="C27" s="15">
        <f>(Data!P27/Data!P28)-1</f>
        <v>1.7884358171464498E-2</v>
      </c>
      <c r="D27" s="15">
        <f>((Data!F27+Data!H27)/Data!F28)-1</f>
        <v>0.29112159755079325</v>
      </c>
      <c r="E27" s="15">
        <f>((Data!Z27+Data!AB27)/Data!Z28)-1</f>
        <v>2.5148908840135986E-2</v>
      </c>
      <c r="F27" s="16">
        <f t="shared" si="0"/>
        <v>0.15813525319546462</v>
      </c>
      <c r="G27" s="16">
        <f t="shared" si="0"/>
        <v>9.9621261679119749E-2</v>
      </c>
    </row>
    <row r="28" spans="1:7">
      <c r="A28" s="17">
        <f>Data!A28</f>
        <v>42705</v>
      </c>
      <c r="B28" s="15">
        <f>Data!T28/12/100</f>
        <v>4.2500000000000003E-4</v>
      </c>
      <c r="C28" s="15">
        <f>(Data!P28/Data!P29)-1</f>
        <v>1.8200762196895148E-2</v>
      </c>
      <c r="D28" s="15">
        <f>((Data!F28+Data!H28)/Data!F29)-1</f>
        <v>9.4945264033921006E-3</v>
      </c>
      <c r="E28" s="15">
        <f>((Data!Z28+Data!AB28)/Data!Z29)-1</f>
        <v>1.3413782696177101E-2</v>
      </c>
      <c r="F28" s="16">
        <f t="shared" si="0"/>
        <v>1.1454154549784601E-2</v>
      </c>
      <c r="G28" s="16">
        <f t="shared" si="0"/>
        <v>1.2316390934197306E-2</v>
      </c>
    </row>
    <row r="29" spans="1:7">
      <c r="A29" s="17">
        <f>Data!A29</f>
        <v>42675</v>
      </c>
      <c r="B29" s="15">
        <f>Data!T29/12/100</f>
        <v>3.7500000000000001E-4</v>
      </c>
      <c r="C29" s="15">
        <f>(Data!P29/Data!P30)-1</f>
        <v>3.4174522187570444E-2</v>
      </c>
      <c r="D29" s="15">
        <f>((Data!F29+Data!H29)/Data!F30)-1</f>
        <v>0.17371356932153392</v>
      </c>
      <c r="E29" s="15">
        <f>((Data!Z29+Data!AB29)/Data!Z30)-1</f>
        <v>-2.8031290743155135E-2</v>
      </c>
      <c r="F29" s="16">
        <f t="shared" si="0"/>
        <v>7.2841139289189394E-2</v>
      </c>
      <c r="G29" s="16">
        <f t="shared" si="0"/>
        <v>2.8457270074957602E-2</v>
      </c>
    </row>
    <row r="30" spans="1:7">
      <c r="A30" s="17">
        <f>Data!A30</f>
        <v>42644</v>
      </c>
      <c r="B30" s="15">
        <f>Data!T30/12/100</f>
        <v>2.7500000000000002E-4</v>
      </c>
      <c r="C30" s="15">
        <f>(Data!P30/Data!P31)-1</f>
        <v>-1.9425679279557517E-2</v>
      </c>
      <c r="D30" s="15">
        <f>((Data!F30+Data!H30)/Data!F31)-1</f>
        <v>3.2786885245905673E-4</v>
      </c>
      <c r="E30" s="15">
        <f>((Data!Z30+Data!AB30)/Data!Z31)-1</f>
        <v>-2.4590133183799878E-2</v>
      </c>
      <c r="F30" s="16">
        <f t="shared" si="0"/>
        <v>-1.2131132165670411E-2</v>
      </c>
      <c r="G30" s="16">
        <f t="shared" si="0"/>
        <v>-1.7613092613647401E-2</v>
      </c>
    </row>
    <row r="31" spans="1:7">
      <c r="A31" s="17">
        <f>Data!A31</f>
        <v>42614</v>
      </c>
      <c r="B31" s="15">
        <f>Data!T31/12/100</f>
        <v>2.4166666666666667E-4</v>
      </c>
      <c r="C31" s="15">
        <f>(Data!P31/Data!P32)-1</f>
        <v>-1.2344508443253854E-3</v>
      </c>
      <c r="D31" s="15">
        <f>((Data!F31+Data!H31)/Data!F32)-1</f>
        <v>8.6280018165487249E-2</v>
      </c>
      <c r="E31" s="15">
        <f>((Data!Z31+Data!AB31)/Data!Z32)-1</f>
        <v>8.9057885208083665E-3</v>
      </c>
      <c r="F31" s="16">
        <f t="shared" si="0"/>
        <v>4.7592903343147808E-2</v>
      </c>
      <c r="G31" s="16">
        <f t="shared" si="0"/>
        <v>3.0570572821318379E-2</v>
      </c>
    </row>
    <row r="32" spans="1:7">
      <c r="A32" s="17">
        <f>Data!A32</f>
        <v>42583</v>
      </c>
      <c r="B32" s="15">
        <f>Data!T32/12/100</f>
        <v>2.5000000000000001E-4</v>
      </c>
      <c r="C32" s="15">
        <f>(Data!P32/Data!P33)-1</f>
        <v>-1.2192431360480427E-3</v>
      </c>
      <c r="D32" s="15">
        <f>((Data!F32+Data!H32)/Data!F33)-1</f>
        <v>-1.7648782209671587E-3</v>
      </c>
      <c r="E32" s="15">
        <f>((Data!Z32+Data!AB32)/Data!Z33)-1</f>
        <v>2.9806746485203206E-2</v>
      </c>
      <c r="F32" s="16">
        <f t="shared" si="0"/>
        <v>1.4020934132118024E-2</v>
      </c>
      <c r="G32" s="16">
        <f t="shared" si="0"/>
        <v>2.0966691567475534E-2</v>
      </c>
    </row>
    <row r="33" spans="1:7">
      <c r="A33" s="17">
        <f>Data!A33</f>
        <v>42552</v>
      </c>
      <c r="B33" s="15">
        <f>Data!T33/12/100</f>
        <v>2.5000000000000001E-4</v>
      </c>
      <c r="C33" s="15">
        <f>(Data!P33/Data!P34)-1</f>
        <v>3.5609801125254359E-2</v>
      </c>
      <c r="D33" s="15">
        <f>((Data!F33+Data!H33)/Data!F34)-1</f>
        <v>8.6273006134969243E-2</v>
      </c>
      <c r="E33" s="15">
        <f>((Data!Z33+Data!AB33)/Data!Z34)-1</f>
        <v>7.319623307088774E-2</v>
      </c>
      <c r="F33" s="16">
        <f t="shared" si="0"/>
        <v>7.9734619602928491E-2</v>
      </c>
      <c r="G33" s="16">
        <f t="shared" si="0"/>
        <v>7.6857729528830548E-2</v>
      </c>
    </row>
    <row r="34" spans="1:7">
      <c r="A34" s="17">
        <f>Data!A34</f>
        <v>42522</v>
      </c>
      <c r="B34" s="15">
        <f>Data!T34/12/100</f>
        <v>2.2500000000000002E-4</v>
      </c>
      <c r="C34" s="15">
        <f>(Data!P34/Data!P35)-1</f>
        <v>9.1092112097812539E-4</v>
      </c>
      <c r="D34" s="15">
        <f>((Data!F34+Data!H34)/Data!F35)-1</f>
        <v>-4.9186530457814293E-3</v>
      </c>
      <c r="E34" s="15">
        <f>((Data!Z34+Data!AB34)/Data!Z35)-1</f>
        <v>-1.2392358430029615E-2</v>
      </c>
      <c r="F34" s="16">
        <f t="shared" si="0"/>
        <v>-8.6555057379055222E-3</v>
      </c>
      <c r="G34" s="16">
        <f t="shared" si="0"/>
        <v>-1.0299720922440131E-2</v>
      </c>
    </row>
    <row r="35" spans="1:7">
      <c r="A35" s="17">
        <f>Data!A35</f>
        <v>42491</v>
      </c>
      <c r="B35" s="15">
        <f>Data!T35/12/100</f>
        <v>2.2500000000000002E-4</v>
      </c>
      <c r="C35" s="15">
        <f>(Data!P35/Data!P36)-1</f>
        <v>1.5324602357572603E-2</v>
      </c>
      <c r="D35" s="15">
        <f>((Data!F35+Data!H35)/Data!F36)-1</f>
        <v>-3.0803080308030806E-2</v>
      </c>
      <c r="E35" s="15">
        <f>((Data!Z35+Data!AB35)/Data!Z36)-1</f>
        <v>5.6747871953437556E-2</v>
      </c>
      <c r="F35" s="16">
        <f t="shared" si="0"/>
        <v>1.2972395822703375E-2</v>
      </c>
      <c r="G35" s="16">
        <f t="shared" si="0"/>
        <v>3.2233605320226504E-2</v>
      </c>
    </row>
    <row r="36" spans="1:7">
      <c r="A36" s="17">
        <f>Data!A36</f>
        <v>42461</v>
      </c>
      <c r="B36" s="15">
        <f>Data!T36/12/100</f>
        <v>1.916666666666667E-4</v>
      </c>
      <c r="C36" s="15">
        <f>(Data!P36/Data!P37)-1</f>
        <v>2.6993984808731941E-3</v>
      </c>
      <c r="D36" s="15">
        <f>((Data!F36+Data!H36)/Data!F37)-1</f>
        <v>5.9029126213592242E-2</v>
      </c>
      <c r="E36" s="15">
        <f>((Data!Z36+Data!AB36)/Data!Z37)-1</f>
        <v>-2.5289744478038112E-2</v>
      </c>
      <c r="F36" s="16">
        <f t="shared" si="0"/>
        <v>1.6869690867777065E-2</v>
      </c>
      <c r="G36" s="16">
        <f t="shared" si="0"/>
        <v>-1.6804606843816954E-3</v>
      </c>
    </row>
    <row r="37" spans="1:7">
      <c r="A37" s="17">
        <f>Data!A37</f>
        <v>42430</v>
      </c>
      <c r="B37" s="15">
        <f>Data!T37/12/100</f>
        <v>2.4166666666666667E-4</v>
      </c>
      <c r="C37" s="15">
        <f>(Data!P37/Data!P38)-1</f>
        <v>6.5991114577365062E-2</v>
      </c>
      <c r="D37" s="15">
        <f>((Data!F37+Data!H37)/Data!F38)-1</f>
        <v>7.5807832469255709E-2</v>
      </c>
      <c r="E37" s="15">
        <f>((Data!Z37+Data!AB37)/Data!Z38)-1</f>
        <v>8.7471313980137522E-2</v>
      </c>
      <c r="F37" s="16">
        <f t="shared" si="0"/>
        <v>8.1639573224696615E-2</v>
      </c>
      <c r="G37" s="16">
        <f t="shared" si="0"/>
        <v>8.4205539157090628E-2</v>
      </c>
    </row>
    <row r="38" spans="1:7">
      <c r="A38" s="17">
        <f>Data!A38</f>
        <v>42401</v>
      </c>
      <c r="B38" s="15">
        <f>Data!T38/12/100</f>
        <v>2.5833333333333334E-4</v>
      </c>
      <c r="C38" s="15">
        <f>(Data!P38/Data!P39)-1</f>
        <v>-4.1283604302990717E-3</v>
      </c>
      <c r="D38" s="15">
        <f>((Data!F38+Data!H38)/Data!F39)-1</f>
        <v>4.8653301476976551E-2</v>
      </c>
      <c r="E38" s="15">
        <f>((Data!Z38+Data!AB38)/Data!Z39)-1</f>
        <v>0.10046233289355477</v>
      </c>
      <c r="F38" s="16">
        <f t="shared" si="0"/>
        <v>7.4557817185265662E-2</v>
      </c>
      <c r="G38" s="16">
        <f t="shared" si="0"/>
        <v>8.5955804096912919E-2</v>
      </c>
    </row>
    <row r="39" spans="1:7">
      <c r="A39" s="14"/>
    </row>
    <row r="40" spans="1:7">
      <c r="A40" s="14" t="s">
        <v>21</v>
      </c>
      <c r="B40">
        <f>COUNT(B3:B38)</f>
        <v>36</v>
      </c>
      <c r="C40">
        <f>COUNT(C3:C38)</f>
        <v>36</v>
      </c>
      <c r="D40">
        <f>COUNT(D3:D38)</f>
        <v>36</v>
      </c>
      <c r="E40">
        <f>COUNT(E3:E38)</f>
        <v>36</v>
      </c>
      <c r="F40">
        <f t="shared" ref="F40:G40" si="1">COUNT(F3:F38)</f>
        <v>36</v>
      </c>
      <c r="G40">
        <f t="shared" si="1"/>
        <v>36</v>
      </c>
    </row>
    <row r="41" spans="1:7">
      <c r="A41" s="14" t="s">
        <v>22</v>
      </c>
      <c r="B41" s="16">
        <f>AVERAGE(B3:B38)</f>
        <v>9.3425925925925946E-4</v>
      </c>
      <c r="C41" s="16">
        <f>AVERAGE(C3:C38)</f>
        <v>9.7773852046508548E-3</v>
      </c>
      <c r="D41" s="16">
        <f>AVERAGE(D3:D38)</f>
        <v>3.3890651179348613E-2</v>
      </c>
      <c r="E41" s="16">
        <f>AVERAGE(E3:E38)</f>
        <v>2.3127355248177908E-2</v>
      </c>
      <c r="F41" s="16">
        <f t="shared" ref="F41:G41" si="2">AVERAGE(F3:F38)</f>
        <v>2.8509003213763255E-2</v>
      </c>
      <c r="G41" s="16">
        <f t="shared" si="2"/>
        <v>2.6141078108905692E-2</v>
      </c>
    </row>
    <row r="42" spans="1:7">
      <c r="A42" s="14" t="s">
        <v>49</v>
      </c>
      <c r="B42" s="15">
        <f>_xlfn.STDEV.S(B3:B38)</f>
        <v>6.1071704466305449E-4</v>
      </c>
      <c r="C42" s="15">
        <f t="shared" ref="C42:G42" si="3">_xlfn.STDEV.S(C3:C38)</f>
        <v>3.2325423286295722E-2</v>
      </c>
      <c r="D42" s="15">
        <f t="shared" si="3"/>
        <v>7.8158844228694457E-2</v>
      </c>
      <c r="E42" s="15">
        <f t="shared" si="3"/>
        <v>5.3517183647762319E-2</v>
      </c>
      <c r="F42" s="15">
        <f t="shared" si="3"/>
        <v>5.1122199822479918E-2</v>
      </c>
      <c r="G42" s="15">
        <f t="shared" si="3"/>
        <v>4.7563098404209102E-2</v>
      </c>
    </row>
    <row r="43" spans="1:7">
      <c r="A43" s="14" t="s">
        <v>71</v>
      </c>
      <c r="B43" s="47">
        <f>B42/B41</f>
        <v>0.65369118754816524</v>
      </c>
      <c r="C43" s="47">
        <f t="shared" ref="C43:G43" si="4">C42/C41</f>
        <v>3.3061419397610861</v>
      </c>
      <c r="D43" s="47">
        <f t="shared" si="4"/>
        <v>2.3062066236225292</v>
      </c>
      <c r="E43" s="47">
        <f t="shared" si="4"/>
        <v>2.3140209104531606</v>
      </c>
      <c r="F43" s="47">
        <f t="shared" si="4"/>
        <v>1.793194922991896</v>
      </c>
      <c r="G43" s="47">
        <f t="shared" si="4"/>
        <v>1.8194773071737007</v>
      </c>
    </row>
    <row r="44" spans="1:7">
      <c r="A44" s="14"/>
      <c r="D44" s="4" t="s">
        <v>8</v>
      </c>
      <c r="F44" s="38">
        <v>0.5</v>
      </c>
      <c r="G44" s="37">
        <f>EPF!$B$11</f>
        <v>0.27999999999999903</v>
      </c>
    </row>
    <row r="45" spans="1:7">
      <c r="A45" s="14"/>
      <c r="E45" s="4" t="s">
        <v>47</v>
      </c>
      <c r="F45" s="36">
        <v>0.5</v>
      </c>
      <c r="G45" s="37">
        <f>EPF!$B$12</f>
        <v>0.72000000000000097</v>
      </c>
    </row>
    <row r="46" spans="1:7">
      <c r="A46" s="14"/>
    </row>
    <row r="47" spans="1:7">
      <c r="A47" s="14"/>
    </row>
    <row r="48" spans="1:7">
      <c r="A48" s="14"/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847C9-EA4E-4C2D-A6AE-2448CE1066C2}">
  <dimension ref="A1:R103"/>
  <sheetViews>
    <sheetView topLeftCell="A73" zoomScale="85" zoomScaleNormal="85" workbookViewId="0">
      <selection activeCell="C17" sqref="C17"/>
    </sheetView>
  </sheetViews>
  <sheetFormatPr defaultRowHeight="14.4"/>
  <cols>
    <col min="1" max="1" width="19.6640625" bestFit="1" customWidth="1"/>
    <col min="3" max="3" width="8.88671875" customWidth="1"/>
    <col min="4" max="4" width="1.88671875" customWidth="1"/>
    <col min="8" max="8" width="10.21875" bestFit="1" customWidth="1"/>
    <col min="10" max="10" width="2.33203125" customWidth="1"/>
  </cols>
  <sheetData>
    <row r="1" spans="1:18" ht="15" thickBot="1">
      <c r="A1" s="50" t="s">
        <v>53</v>
      </c>
      <c r="B1" s="50"/>
      <c r="C1" s="50"/>
      <c r="E1" s="50" t="s">
        <v>59</v>
      </c>
      <c r="F1" s="50"/>
      <c r="G1" s="50"/>
      <c r="H1" s="50"/>
      <c r="I1" s="50"/>
      <c r="K1" s="50" t="s">
        <v>60</v>
      </c>
      <c r="L1" s="50"/>
      <c r="M1" s="50"/>
      <c r="N1" s="50"/>
      <c r="O1" s="50"/>
      <c r="P1" s="50"/>
      <c r="Q1" s="50"/>
      <c r="R1" s="50"/>
    </row>
    <row r="2" spans="1:18" ht="15" thickBot="1">
      <c r="B2" s="7" t="str">
        <f>Returns!D2</f>
        <v>CSX</v>
      </c>
      <c r="C2" s="7" t="str">
        <f>Returns!E2</f>
        <v>CSCO</v>
      </c>
      <c r="E2" s="7" t="str">
        <f>B2</f>
        <v>CSX</v>
      </c>
      <c r="F2" s="7" t="str">
        <f>C2</f>
        <v>CSCO</v>
      </c>
      <c r="G2" s="7" t="s">
        <v>40</v>
      </c>
      <c r="H2" s="7" t="s">
        <v>51</v>
      </c>
      <c r="I2" s="7" t="s">
        <v>52</v>
      </c>
    </row>
    <row r="3" spans="1:18">
      <c r="A3" s="14" t="str">
        <f>Returns!A40</f>
        <v>N:</v>
      </c>
      <c r="B3" s="34">
        <f>Returns!D40</f>
        <v>36</v>
      </c>
      <c r="C3" s="34">
        <f>Returns!E40</f>
        <v>36</v>
      </c>
      <c r="E3" s="36">
        <v>1</v>
      </c>
      <c r="F3" s="36">
        <f>1-E3</f>
        <v>0</v>
      </c>
      <c r="G3" s="15">
        <f>((E3*$B$4)+(F3*$C$4))</f>
        <v>3.3890651179348613E-2</v>
      </c>
      <c r="H3" s="15">
        <f>SQRT((E3*$B$5)^2+(2*(E3*$B$5*$C$6*F3*$C$5))+(F3*$C$5)^2)</f>
        <v>7.8158844228694457E-2</v>
      </c>
      <c r="I3" s="15">
        <f>IF(ROW()&lt;=$B$10,H3,NA())</f>
        <v>7.8158844228694457E-2</v>
      </c>
    </row>
    <row r="4" spans="1:18">
      <c r="A4" s="14" t="str">
        <f>Returns!A41</f>
        <v>Mean:</v>
      </c>
      <c r="B4" s="35">
        <f>Returns!D41</f>
        <v>3.3890651179348613E-2</v>
      </c>
      <c r="C4" s="35">
        <f>Returns!E41</f>
        <v>2.3127355248177908E-2</v>
      </c>
      <c r="E4" s="36">
        <v>0.99</v>
      </c>
      <c r="F4" s="36">
        <f t="shared" ref="F4:F67" si="0">1-E4</f>
        <v>1.0000000000000009E-2</v>
      </c>
      <c r="G4" s="15">
        <f t="shared" ref="G4:G67" si="1">((E4*$B$4)+(F4*$C$4))</f>
        <v>3.3783018220036903E-2</v>
      </c>
      <c r="H4" s="15">
        <f t="shared" ref="H4:H67" si="2">SQRT((E4*$B$5)^2+(2*(E4*$B$5*$C$6*F4*$C$5))+(F4*$C$5)^2)</f>
        <v>7.7473790751527966E-2</v>
      </c>
      <c r="I4" s="15">
        <f t="shared" ref="I4:I67" si="3">IF(ROW()&lt;=$B$10,H4,NA())</f>
        <v>7.7473790751527966E-2</v>
      </c>
    </row>
    <row r="5" spans="1:18">
      <c r="A5" s="14" t="str">
        <f>Returns!A42</f>
        <v>Standard Deviaton:</v>
      </c>
      <c r="B5" s="35">
        <f>Returns!D42</f>
        <v>7.8158844228694457E-2</v>
      </c>
      <c r="C5" s="35">
        <f>Returns!E42</f>
        <v>5.3517183647762319E-2</v>
      </c>
      <c r="E5" s="36">
        <v>0.98</v>
      </c>
      <c r="F5" s="36">
        <f t="shared" si="0"/>
        <v>2.0000000000000018E-2</v>
      </c>
      <c r="G5" s="15">
        <f t="shared" si="1"/>
        <v>3.36753852607252E-2</v>
      </c>
      <c r="H5" s="15">
        <f t="shared" si="2"/>
        <v>7.6792382107580853E-2</v>
      </c>
      <c r="I5" s="15">
        <f t="shared" si="3"/>
        <v>7.6792382107580853E-2</v>
      </c>
    </row>
    <row r="6" spans="1:18">
      <c r="A6" t="s">
        <v>50</v>
      </c>
      <c r="C6" s="47">
        <f>CORREL(Returns!$D$3:$D$38,Returns!$E$3:$E$38)</f>
        <v>0.17703557271343223</v>
      </c>
      <c r="E6" s="36">
        <v>0.97</v>
      </c>
      <c r="F6" s="36">
        <f t="shared" si="0"/>
        <v>3.0000000000000027E-2</v>
      </c>
      <c r="G6" s="15">
        <f t="shared" si="1"/>
        <v>3.3567752301413491E-2</v>
      </c>
      <c r="H6" s="15">
        <f t="shared" si="2"/>
        <v>7.6114716186824333E-2</v>
      </c>
      <c r="I6" s="15">
        <f t="shared" si="3"/>
        <v>7.6114716186824333E-2</v>
      </c>
    </row>
    <row r="7" spans="1:18" ht="15" thickBot="1">
      <c r="E7" s="36">
        <v>0.96</v>
      </c>
      <c r="F7" s="36">
        <f t="shared" si="0"/>
        <v>4.0000000000000036E-2</v>
      </c>
      <c r="G7" s="15">
        <f t="shared" si="1"/>
        <v>3.3460119342101788E-2</v>
      </c>
      <c r="H7" s="15">
        <f t="shared" si="2"/>
        <v>7.5440893849051671E-2</v>
      </c>
      <c r="I7" s="15">
        <f t="shared" si="3"/>
        <v>7.5440893849051671E-2</v>
      </c>
    </row>
    <row r="8" spans="1:18" ht="15" thickBot="1">
      <c r="A8" s="51" t="s">
        <v>54</v>
      </c>
      <c r="B8" s="51"/>
      <c r="C8" s="51"/>
      <c r="E8" s="36">
        <v>0.95</v>
      </c>
      <c r="F8" s="36">
        <f t="shared" si="0"/>
        <v>5.0000000000000044E-2</v>
      </c>
      <c r="G8" s="15">
        <f t="shared" si="1"/>
        <v>3.3352486382790078E-2</v>
      </c>
      <c r="H8" s="15">
        <f t="shared" si="2"/>
        <v>7.4771019007272441E-2</v>
      </c>
      <c r="I8" s="15">
        <f t="shared" si="3"/>
        <v>7.4771019007272441E-2</v>
      </c>
    </row>
    <row r="9" spans="1:18">
      <c r="A9" t="s">
        <v>55</v>
      </c>
      <c r="B9" s="15">
        <f>MIN(H:H)</f>
        <v>4.7563098404209095E-2</v>
      </c>
      <c r="E9" s="36">
        <v>0.94</v>
      </c>
      <c r="F9" s="36">
        <f t="shared" si="0"/>
        <v>6.0000000000000053E-2</v>
      </c>
      <c r="G9" s="15">
        <f t="shared" si="1"/>
        <v>3.3244853423478375E-2</v>
      </c>
      <c r="H9" s="15">
        <f t="shared" si="2"/>
        <v>7.4105198711877554E-2</v>
      </c>
      <c r="I9" s="15">
        <f t="shared" si="3"/>
        <v>7.4105198711877554E-2</v>
      </c>
    </row>
    <row r="10" spans="1:18">
      <c r="A10" t="s">
        <v>56</v>
      </c>
      <c r="B10">
        <f>MATCH($B$9,H:H,0)</f>
        <v>75</v>
      </c>
      <c r="E10" s="36">
        <v>0.93</v>
      </c>
      <c r="F10" s="36">
        <f t="shared" si="0"/>
        <v>6.9999999999999951E-2</v>
      </c>
      <c r="G10" s="15">
        <f t="shared" si="1"/>
        <v>3.3137220464166665E-2</v>
      </c>
      <c r="H10" s="15">
        <f t="shared" si="2"/>
        <v>7.3443543235377551E-2</v>
      </c>
      <c r="I10" s="15">
        <f t="shared" si="3"/>
        <v>7.3443543235377551E-2</v>
      </c>
    </row>
    <row r="11" spans="1:18">
      <c r="A11" t="s">
        <v>8</v>
      </c>
      <c r="B11" s="33">
        <f>INDEX(E:E,$B$10)</f>
        <v>0.27999999999999903</v>
      </c>
      <c r="E11" s="36">
        <v>0.92</v>
      </c>
      <c r="F11" s="36">
        <f t="shared" si="0"/>
        <v>7.999999999999996E-2</v>
      </c>
      <c r="G11" s="15">
        <f t="shared" si="1"/>
        <v>3.3029587504854956E-2</v>
      </c>
      <c r="H11" s="15">
        <f t="shared" si="2"/>
        <v>7.2786166157489271E-2</v>
      </c>
      <c r="I11" s="15">
        <f t="shared" si="3"/>
        <v>7.2786166157489271E-2</v>
      </c>
    </row>
    <row r="12" spans="1:18">
      <c r="A12" t="s">
        <v>47</v>
      </c>
      <c r="B12" s="33">
        <f>INDEX(F:F,$B$10)</f>
        <v>0.72000000000000097</v>
      </c>
      <c r="E12" s="36">
        <v>0.91</v>
      </c>
      <c r="F12" s="36">
        <f t="shared" si="0"/>
        <v>8.9999999999999969E-2</v>
      </c>
      <c r="G12" s="15">
        <f t="shared" si="1"/>
        <v>3.2921954545543253E-2</v>
      </c>
      <c r="H12" s="15">
        <f t="shared" si="2"/>
        <v>7.2133184450316967E-2</v>
      </c>
      <c r="I12" s="15">
        <f t="shared" si="3"/>
        <v>7.2133184450316967E-2</v>
      </c>
    </row>
    <row r="13" spans="1:18">
      <c r="E13" s="36">
        <v>0.9</v>
      </c>
      <c r="F13" s="36">
        <f t="shared" si="0"/>
        <v>9.9999999999999978E-2</v>
      </c>
      <c r="G13" s="15">
        <f t="shared" si="1"/>
        <v>3.2814321586231543E-2</v>
      </c>
      <c r="H13" s="15">
        <f t="shared" si="2"/>
        <v>7.1484718563342001E-2</v>
      </c>
      <c r="I13" s="15">
        <f t="shared" si="3"/>
        <v>7.1484718563342001E-2</v>
      </c>
    </row>
    <row r="14" spans="1:18">
      <c r="E14" s="36">
        <v>0.89</v>
      </c>
      <c r="F14" s="36">
        <f t="shared" si="0"/>
        <v>0.10999999999999999</v>
      </c>
      <c r="G14" s="15">
        <f t="shared" si="1"/>
        <v>3.2706688626919833E-2</v>
      </c>
      <c r="H14" s="15">
        <f t="shared" si="2"/>
        <v>7.0840892507900585E-2</v>
      </c>
      <c r="I14" s="15">
        <f t="shared" si="3"/>
        <v>7.0840892507900585E-2</v>
      </c>
    </row>
    <row r="15" spans="1:18">
      <c r="E15" s="36">
        <v>0.88</v>
      </c>
      <c r="F15" s="36">
        <f t="shared" si="0"/>
        <v>0.12</v>
      </c>
      <c r="G15" s="15">
        <f t="shared" si="1"/>
        <v>3.259905566760813E-2</v>
      </c>
      <c r="H15" s="15">
        <f t="shared" si="2"/>
        <v>7.0201833940792366E-2</v>
      </c>
      <c r="I15" s="15">
        <f t="shared" si="3"/>
        <v>7.0201833940792366E-2</v>
      </c>
    </row>
    <row r="16" spans="1:18">
      <c r="E16" s="36">
        <v>0.87</v>
      </c>
      <c r="F16" s="36">
        <f t="shared" si="0"/>
        <v>0.13</v>
      </c>
      <c r="G16" s="15">
        <f t="shared" si="1"/>
        <v>3.249142270829642E-2</v>
      </c>
      <c r="H16" s="15">
        <f t="shared" si="2"/>
        <v>6.9567674246622607E-2</v>
      </c>
      <c r="I16" s="15">
        <f t="shared" si="3"/>
        <v>6.9567674246622607E-2</v>
      </c>
    </row>
    <row r="17" spans="5:9">
      <c r="E17" s="36">
        <v>0.86</v>
      </c>
      <c r="F17" s="36">
        <f t="shared" si="0"/>
        <v>0.14000000000000001</v>
      </c>
      <c r="G17" s="15">
        <f t="shared" si="1"/>
        <v>3.2383789748984711E-2</v>
      </c>
      <c r="H17" s="15">
        <f t="shared" si="2"/>
        <v>6.893854861843815E-2</v>
      </c>
      <c r="I17" s="15">
        <f t="shared" si="3"/>
        <v>6.893854861843815E-2</v>
      </c>
    </row>
    <row r="18" spans="5:9">
      <c r="E18" s="36">
        <v>0.85</v>
      </c>
      <c r="F18" s="36">
        <f t="shared" si="0"/>
        <v>0.15000000000000002</v>
      </c>
      <c r="G18" s="15">
        <f t="shared" si="1"/>
        <v>3.2276156789673008E-2</v>
      </c>
      <c r="H18" s="15">
        <f t="shared" si="2"/>
        <v>6.8314596136171912E-2</v>
      </c>
      <c r="I18" s="15">
        <f t="shared" si="3"/>
        <v>6.8314596136171912E-2</v>
      </c>
    </row>
    <row r="19" spans="5:9">
      <c r="E19" s="36">
        <v>0.84</v>
      </c>
      <c r="F19" s="36">
        <f t="shared" si="0"/>
        <v>0.16000000000000003</v>
      </c>
      <c r="G19" s="15">
        <f t="shared" si="1"/>
        <v>3.2168523830361298E-2</v>
      </c>
      <c r="H19" s="15">
        <f t="shared" si="2"/>
        <v>6.7695959842362347E-2</v>
      </c>
      <c r="I19" s="15">
        <f t="shared" si="3"/>
        <v>6.7695959842362347E-2</v>
      </c>
    </row>
    <row r="20" spans="5:9">
      <c r="E20" s="36">
        <v>0.83</v>
      </c>
      <c r="F20" s="36">
        <f t="shared" si="0"/>
        <v>0.17000000000000004</v>
      </c>
      <c r="G20" s="15">
        <f t="shared" si="1"/>
        <v>3.2060890871049595E-2</v>
      </c>
      <c r="H20" s="15">
        <f t="shared" si="2"/>
        <v>6.7082786814563297E-2</v>
      </c>
      <c r="I20" s="15">
        <f t="shared" si="3"/>
        <v>6.7082786814563297E-2</v>
      </c>
    </row>
    <row r="21" spans="5:9">
      <c r="E21" s="36">
        <v>0.82</v>
      </c>
      <c r="F21" s="36">
        <f t="shared" si="0"/>
        <v>0.18000000000000005</v>
      </c>
      <c r="G21" s="15">
        <f t="shared" si="1"/>
        <v>3.1953257911737885E-2</v>
      </c>
      <c r="H21" s="15">
        <f t="shared" si="2"/>
        <v>6.647522823380532E-2</v>
      </c>
      <c r="I21" s="15">
        <f t="shared" si="3"/>
        <v>6.647522823380532E-2</v>
      </c>
    </row>
    <row r="22" spans="5:9">
      <c r="E22" s="36">
        <v>0.81</v>
      </c>
      <c r="F22" s="36">
        <f t="shared" si="0"/>
        <v>0.18999999999999995</v>
      </c>
      <c r="G22" s="15">
        <f t="shared" si="1"/>
        <v>3.1845624952426183E-2</v>
      </c>
      <c r="H22" s="15">
        <f t="shared" si="2"/>
        <v>6.5873439448413645E-2</v>
      </c>
      <c r="I22" s="15">
        <f t="shared" si="3"/>
        <v>6.5873439448413645E-2</v>
      </c>
    </row>
    <row r="23" spans="5:9">
      <c r="E23" s="36">
        <v>0.8</v>
      </c>
      <c r="F23" s="36">
        <f t="shared" si="0"/>
        <v>0.19999999999999996</v>
      </c>
      <c r="G23" s="15">
        <f t="shared" si="1"/>
        <v>3.1737991993114473E-2</v>
      </c>
      <c r="H23" s="15">
        <f t="shared" si="2"/>
        <v>6.5277580032428284E-2</v>
      </c>
      <c r="I23" s="15">
        <f t="shared" si="3"/>
        <v>6.5277580032428284E-2</v>
      </c>
    </row>
    <row r="24" spans="5:9">
      <c r="E24" s="36">
        <v>0.79</v>
      </c>
      <c r="F24" s="36">
        <f t="shared" si="0"/>
        <v>0.20999999999999996</v>
      </c>
      <c r="G24" s="15">
        <f t="shared" si="1"/>
        <v>3.163035903380277E-2</v>
      </c>
      <c r="H24" s="15">
        <f t="shared" si="2"/>
        <v>6.4687813837810984E-2</v>
      </c>
      <c r="I24" s="15">
        <f t="shared" si="3"/>
        <v>6.4687813837810984E-2</v>
      </c>
    </row>
    <row r="25" spans="5:9">
      <c r="E25" s="36">
        <v>0.78</v>
      </c>
      <c r="F25" s="36">
        <f t="shared" si="0"/>
        <v>0.21999999999999997</v>
      </c>
      <c r="G25" s="15">
        <f t="shared" si="1"/>
        <v>3.1522726074491053E-2</v>
      </c>
      <c r="H25" s="15">
        <f t="shared" si="2"/>
        <v>6.4104309039560284E-2</v>
      </c>
      <c r="I25" s="15">
        <f t="shared" si="3"/>
        <v>6.4104309039560284E-2</v>
      </c>
    </row>
    <row r="26" spans="5:9">
      <c r="E26" s="36">
        <v>0.77</v>
      </c>
      <c r="F26" s="36">
        <f t="shared" si="0"/>
        <v>0.22999999999999998</v>
      </c>
      <c r="G26" s="15">
        <f t="shared" si="1"/>
        <v>3.141509311517935E-2</v>
      </c>
      <c r="H26" s="15">
        <f t="shared" si="2"/>
        <v>6.3527238172791378E-2</v>
      </c>
      <c r="I26" s="15">
        <f t="shared" si="3"/>
        <v>6.3527238172791378E-2</v>
      </c>
    </row>
    <row r="27" spans="5:9">
      <c r="E27" s="36">
        <v>0.76</v>
      </c>
      <c r="F27" s="36">
        <f t="shared" si="0"/>
        <v>0.24</v>
      </c>
      <c r="G27" s="15">
        <f t="shared" si="1"/>
        <v>3.130746015586764E-2</v>
      </c>
      <c r="H27" s="15">
        <f t="shared" si="2"/>
        <v>6.2956778160771706E-2</v>
      </c>
      <c r="I27" s="15">
        <f t="shared" si="3"/>
        <v>6.2956778160771706E-2</v>
      </c>
    </row>
    <row r="28" spans="5:9">
      <c r="E28" s="36">
        <v>0.75</v>
      </c>
      <c r="F28" s="36">
        <f t="shared" si="0"/>
        <v>0.25</v>
      </c>
      <c r="G28" s="15">
        <f t="shared" si="1"/>
        <v>3.1199827196555938E-2</v>
      </c>
      <c r="H28" s="15">
        <f t="shared" si="2"/>
        <v>6.2393110332837481E-2</v>
      </c>
      <c r="I28" s="15">
        <f t="shared" si="3"/>
        <v>6.2393110332837481E-2</v>
      </c>
    </row>
    <row r="29" spans="5:9">
      <c r="E29" s="36">
        <v>0.74</v>
      </c>
      <c r="F29" s="36">
        <f t="shared" si="0"/>
        <v>0.26</v>
      </c>
      <c r="G29" s="15">
        <f t="shared" si="1"/>
        <v>3.1092194237244231E-2</v>
      </c>
      <c r="H29" s="15">
        <f t="shared" si="2"/>
        <v>6.1836420431050108E-2</v>
      </c>
      <c r="I29" s="15">
        <f t="shared" si="3"/>
        <v>6.1836420431050108E-2</v>
      </c>
    </row>
    <row r="30" spans="5:9">
      <c r="E30" s="36">
        <v>0.73</v>
      </c>
      <c r="F30" s="36">
        <f t="shared" si="0"/>
        <v>0.27</v>
      </c>
      <c r="G30" s="15">
        <f t="shared" si="1"/>
        <v>3.0984561277932525E-2</v>
      </c>
      <c r="H30" s="15">
        <f t="shared" si="2"/>
        <v>6.1286898604387713E-2</v>
      </c>
      <c r="I30" s="15">
        <f t="shared" si="3"/>
        <v>6.1286898604387713E-2</v>
      </c>
    </row>
    <row r="31" spans="5:9">
      <c r="E31" s="36">
        <v>0.72</v>
      </c>
      <c r="F31" s="36">
        <f t="shared" si="0"/>
        <v>0.28000000000000003</v>
      </c>
      <c r="G31" s="15">
        <f t="shared" si="1"/>
        <v>3.0876928318620815E-2</v>
      </c>
      <c r="H31" s="15">
        <f t="shared" si="2"/>
        <v>6.0744739389204397E-2</v>
      </c>
      <c r="I31" s="15">
        <f t="shared" si="3"/>
        <v>6.0744739389204397E-2</v>
      </c>
    </row>
    <row r="32" spans="5:9">
      <c r="E32" s="36">
        <v>0.71</v>
      </c>
      <c r="F32" s="36">
        <f t="shared" si="0"/>
        <v>0.29000000000000004</v>
      </c>
      <c r="G32" s="15">
        <f t="shared" si="1"/>
        <v>3.0769295359309105E-2</v>
      </c>
      <c r="H32" s="15">
        <f t="shared" si="2"/>
        <v>6.0210141674631269E-2</v>
      </c>
      <c r="I32" s="15">
        <f t="shared" si="3"/>
        <v>6.0210141674631269E-2</v>
      </c>
    </row>
    <row r="33" spans="5:9">
      <c r="E33" s="36">
        <v>0.7</v>
      </c>
      <c r="F33" s="36">
        <f t="shared" si="0"/>
        <v>0.30000000000000004</v>
      </c>
      <c r="G33" s="15">
        <f t="shared" si="1"/>
        <v>3.0661662399997399E-2</v>
      </c>
      <c r="H33" s="15">
        <f t="shared" si="2"/>
        <v>5.968330865153948E-2</v>
      </c>
      <c r="I33" s="15">
        <f t="shared" si="3"/>
        <v>5.968330865153948E-2</v>
      </c>
    </row>
    <row r="34" spans="5:9">
      <c r="E34" s="36">
        <v>0.69</v>
      </c>
      <c r="F34" s="36">
        <f t="shared" si="0"/>
        <v>0.31000000000000005</v>
      </c>
      <c r="G34" s="15">
        <f t="shared" si="1"/>
        <v>3.0554029440685693E-2</v>
      </c>
      <c r="H34" s="15">
        <f t="shared" si="2"/>
        <v>5.9164447743637709E-2</v>
      </c>
      <c r="I34" s="15">
        <f t="shared" si="3"/>
        <v>5.9164447743637709E-2</v>
      </c>
    </row>
    <row r="35" spans="5:9">
      <c r="E35" s="36">
        <v>0.68</v>
      </c>
      <c r="F35" s="36">
        <f t="shared" si="0"/>
        <v>0.31999999999999995</v>
      </c>
      <c r="G35" s="15">
        <f t="shared" si="1"/>
        <v>3.0446396481373986E-2</v>
      </c>
      <c r="H35" s="15">
        <f t="shared" si="2"/>
        <v>5.8653770519236835E-2</v>
      </c>
      <c r="I35" s="15">
        <f t="shared" si="3"/>
        <v>5.8653770519236835E-2</v>
      </c>
    </row>
    <row r="36" spans="5:9">
      <c r="E36" s="36">
        <v>0.67</v>
      </c>
      <c r="F36" s="36">
        <f t="shared" si="0"/>
        <v>0.32999999999999996</v>
      </c>
      <c r="G36" s="15">
        <f t="shared" si="1"/>
        <v>3.033876352206228E-2</v>
      </c>
      <c r="H36" s="15">
        <f t="shared" si="2"/>
        <v>5.815149258218489E-2</v>
      </c>
      <c r="I36" s="15">
        <f t="shared" si="3"/>
        <v>5.815149258218489E-2</v>
      </c>
    </row>
    <row r="37" spans="5:9">
      <c r="E37" s="36">
        <v>0.66</v>
      </c>
      <c r="F37" s="36">
        <f t="shared" si="0"/>
        <v>0.33999999999999997</v>
      </c>
      <c r="G37" s="15">
        <f t="shared" si="1"/>
        <v>3.0231130562750574E-2</v>
      </c>
      <c r="H37" s="15">
        <f t="shared" si="2"/>
        <v>5.7657833440456829E-2</v>
      </c>
      <c r="I37" s="15">
        <f t="shared" si="3"/>
        <v>5.7657833440456829E-2</v>
      </c>
    </row>
    <row r="38" spans="5:9">
      <c r="E38" s="36">
        <v>0.65</v>
      </c>
      <c r="F38" s="36">
        <f t="shared" si="0"/>
        <v>0.35</v>
      </c>
      <c r="G38" s="15">
        <f t="shared" si="1"/>
        <v>3.0123497603438867E-2</v>
      </c>
      <c r="H38" s="15">
        <f t="shared" si="2"/>
        <v>5.7173016350879811E-2</v>
      </c>
      <c r="I38" s="15">
        <f>IF(ROW()&lt;=$B$10,H38,NA())</f>
        <v>5.7173016350879811E-2</v>
      </c>
    </row>
    <row r="39" spans="5:9">
      <c r="E39" s="36">
        <v>0.64</v>
      </c>
      <c r="F39" s="36">
        <f t="shared" si="0"/>
        <v>0.36</v>
      </c>
      <c r="G39" s="15">
        <f t="shared" si="1"/>
        <v>3.0015864644127161E-2</v>
      </c>
      <c r="H39" s="15">
        <f t="shared" si="2"/>
        <v>5.6697268138486426E-2</v>
      </c>
      <c r="I39" s="15">
        <f t="shared" si="3"/>
        <v>5.6697268138486426E-2</v>
      </c>
    </row>
    <row r="40" spans="5:9">
      <c r="E40" s="36">
        <v>0.63</v>
      </c>
      <c r="F40" s="36">
        <f t="shared" si="0"/>
        <v>0.37</v>
      </c>
      <c r="G40" s="15">
        <f t="shared" si="1"/>
        <v>2.9908231684815455E-2</v>
      </c>
      <c r="H40" s="15">
        <f t="shared" si="2"/>
        <v>5.6230818989019139E-2</v>
      </c>
      <c r="I40" s="15">
        <f t="shared" si="3"/>
        <v>5.6230818989019139E-2</v>
      </c>
    </row>
    <row r="41" spans="5:9">
      <c r="E41" s="36">
        <v>0.62</v>
      </c>
      <c r="F41" s="36">
        <f t="shared" si="0"/>
        <v>0.38</v>
      </c>
      <c r="G41" s="15">
        <f t="shared" si="1"/>
        <v>2.9800598725503745E-2</v>
      </c>
      <c r="H41" s="15">
        <f t="shared" si="2"/>
        <v>5.5773902213160531E-2</v>
      </c>
      <c r="I41" s="15">
        <f t="shared" si="3"/>
        <v>5.5773902213160531E-2</v>
      </c>
    </row>
    <row r="42" spans="5:9">
      <c r="E42" s="36">
        <v>0.61</v>
      </c>
      <c r="F42" s="36">
        <f t="shared" si="0"/>
        <v>0.39</v>
      </c>
      <c r="G42" s="15">
        <f t="shared" si="1"/>
        <v>2.9692965766192035E-2</v>
      </c>
      <c r="H42" s="15">
        <f t="shared" si="2"/>
        <v>5.5326753981139176E-2</v>
      </c>
      <c r="I42" s="15">
        <f t="shared" si="3"/>
        <v>5.5326753981139176E-2</v>
      </c>
    </row>
    <row r="43" spans="5:9">
      <c r="E43" s="36">
        <v>0.6</v>
      </c>
      <c r="F43" s="36">
        <f t="shared" si="0"/>
        <v>0.4</v>
      </c>
      <c r="G43" s="15">
        <f t="shared" si="1"/>
        <v>2.9585332806880332E-2</v>
      </c>
      <c r="H43" s="15">
        <f t="shared" si="2"/>
        <v>5.4889613026462086E-2</v>
      </c>
      <c r="I43" s="15">
        <f t="shared" si="3"/>
        <v>5.4889613026462086E-2</v>
      </c>
    </row>
    <row r="44" spans="5:9">
      <c r="E44" s="36">
        <v>0.59</v>
      </c>
      <c r="F44" s="36">
        <f t="shared" si="0"/>
        <v>0.41000000000000003</v>
      </c>
      <c r="G44" s="15">
        <f t="shared" si="1"/>
        <v>2.9477699847568622E-2</v>
      </c>
      <c r="H44" s="15">
        <f t="shared" si="2"/>
        <v>5.4462720317653653E-2</v>
      </c>
      <c r="I44" s="15">
        <f t="shared" si="3"/>
        <v>5.4462720317653653E-2</v>
      </c>
    </row>
    <row r="45" spans="5:9">
      <c r="E45" s="36">
        <v>0.57999999999999996</v>
      </c>
      <c r="F45" s="36">
        <f t="shared" si="0"/>
        <v>0.42000000000000004</v>
      </c>
      <c r="G45" s="15">
        <f t="shared" si="1"/>
        <v>2.9370066888256916E-2</v>
      </c>
      <c r="H45" s="15">
        <f t="shared" si="2"/>
        <v>5.4046318697040963E-2</v>
      </c>
      <c r="I45" s="15">
        <f t="shared" si="3"/>
        <v>5.4046318697040963E-2</v>
      </c>
    </row>
    <row r="46" spans="5:9">
      <c r="E46" s="36">
        <v>0.56999999999999995</v>
      </c>
      <c r="F46" s="36">
        <f t="shared" si="0"/>
        <v>0.43000000000000005</v>
      </c>
      <c r="G46" s="15">
        <f t="shared" si="1"/>
        <v>2.926243392894521E-2</v>
      </c>
      <c r="H46" s="15">
        <f t="shared" si="2"/>
        <v>5.3640652485817376E-2</v>
      </c>
      <c r="I46" s="15">
        <f t="shared" si="3"/>
        <v>5.3640652485817376E-2</v>
      </c>
    </row>
    <row r="47" spans="5:9">
      <c r="E47" s="36">
        <v>0.56000000000000005</v>
      </c>
      <c r="F47" s="36">
        <f t="shared" si="0"/>
        <v>0.43999999999999995</v>
      </c>
      <c r="G47" s="15">
        <f t="shared" si="1"/>
        <v>2.9154800969633504E-2</v>
      </c>
      <c r="H47" s="15">
        <f t="shared" si="2"/>
        <v>5.3245967054841657E-2</v>
      </c>
      <c r="I47" s="15">
        <f t="shared" si="3"/>
        <v>5.3245967054841657E-2</v>
      </c>
    </row>
    <row r="48" spans="5:9">
      <c r="E48" s="36">
        <v>0.55000000000000004</v>
      </c>
      <c r="F48" s="36">
        <f t="shared" si="0"/>
        <v>0.44999999999999996</v>
      </c>
      <c r="G48" s="15">
        <f t="shared" si="1"/>
        <v>2.9047168010321797E-2</v>
      </c>
      <c r="H48" s="15">
        <f t="shared" si="2"/>
        <v>5.2862508360891174E-2</v>
      </c>
      <c r="I48" s="15">
        <f t="shared" si="3"/>
        <v>5.2862508360891174E-2</v>
      </c>
    </row>
    <row r="49" spans="5:9">
      <c r="E49" s="36">
        <v>0.54</v>
      </c>
      <c r="F49" s="36">
        <f t="shared" si="0"/>
        <v>0.45999999999999996</v>
      </c>
      <c r="G49" s="15">
        <f t="shared" si="1"/>
        <v>2.8939535051010091E-2</v>
      </c>
      <c r="H49" s="15">
        <f t="shared" si="2"/>
        <v>5.2490522448383425E-2</v>
      </c>
      <c r="I49" s="15">
        <f t="shared" si="3"/>
        <v>5.2490522448383425E-2</v>
      </c>
    </row>
    <row r="50" spans="5:9">
      <c r="E50" s="36">
        <v>0.53</v>
      </c>
      <c r="F50" s="36">
        <f t="shared" si="0"/>
        <v>0.47</v>
      </c>
      <c r="G50" s="15">
        <f t="shared" si="1"/>
        <v>2.8831902091698381E-2</v>
      </c>
      <c r="H50" s="15">
        <f t="shared" si="2"/>
        <v>5.2130254916911256E-2</v>
      </c>
      <c r="I50" s="15">
        <f t="shared" si="3"/>
        <v>5.2130254916911256E-2</v>
      </c>
    </row>
    <row r="51" spans="5:9">
      <c r="E51" s="36">
        <v>0.52</v>
      </c>
      <c r="F51" s="36">
        <f t="shared" si="0"/>
        <v>0.48</v>
      </c>
      <c r="G51" s="15">
        <f t="shared" si="1"/>
        <v>2.8724269132386675E-2</v>
      </c>
      <c r="H51" s="15">
        <f t="shared" si="2"/>
        <v>5.1781950355302434E-2</v>
      </c>
      <c r="I51" s="15">
        <f t="shared" si="3"/>
        <v>5.1781950355302434E-2</v>
      </c>
    </row>
    <row r="52" spans="5:9">
      <c r="E52" s="36">
        <v>0.51</v>
      </c>
      <c r="F52" s="36">
        <f t="shared" si="0"/>
        <v>0.49</v>
      </c>
      <c r="G52" s="15">
        <f t="shared" si="1"/>
        <v>2.8616636173074965E-2</v>
      </c>
      <c r="H52" s="15">
        <f t="shared" si="2"/>
        <v>5.1445851743311725E-2</v>
      </c>
      <c r="I52" s="15">
        <f t="shared" si="3"/>
        <v>5.1445851743311725E-2</v>
      </c>
    </row>
    <row r="53" spans="5:9">
      <c r="E53" s="36">
        <v>0.5</v>
      </c>
      <c r="F53" s="36">
        <f t="shared" si="0"/>
        <v>0.5</v>
      </c>
      <c r="G53" s="15">
        <f t="shared" si="1"/>
        <v>2.8509003213763262E-2</v>
      </c>
      <c r="H53" s="15">
        <f t="shared" si="2"/>
        <v>5.1122199822479925E-2</v>
      </c>
      <c r="I53" s="15">
        <f t="shared" si="3"/>
        <v>5.1122199822479925E-2</v>
      </c>
    </row>
    <row r="54" spans="5:9">
      <c r="E54" s="36">
        <v>0.49</v>
      </c>
      <c r="F54" s="36">
        <f>1-E54</f>
        <v>0.51</v>
      </c>
      <c r="G54" s="15">
        <f t="shared" si="1"/>
        <v>2.8401370254451552E-2</v>
      </c>
      <c r="H54" s="15">
        <f t="shared" si="2"/>
        <v>5.0811232438145712E-2</v>
      </c>
      <c r="I54" s="15">
        <f t="shared" si="3"/>
        <v>5.0811232438145712E-2</v>
      </c>
    </row>
    <row r="55" spans="5:9">
      <c r="E55" s="36">
        <v>0.48</v>
      </c>
      <c r="F55" s="36">
        <f t="shared" si="0"/>
        <v>0.52</v>
      </c>
      <c r="G55" s="15">
        <f t="shared" si="1"/>
        <v>2.8293737295139849E-2</v>
      </c>
      <c r="H55" s="15">
        <f t="shared" si="2"/>
        <v>5.0513183855068228E-2</v>
      </c>
      <c r="I55" s="15">
        <f t="shared" si="3"/>
        <v>5.0513183855068228E-2</v>
      </c>
    </row>
    <row r="56" spans="5:9">
      <c r="E56" s="36">
        <v>0.47</v>
      </c>
      <c r="F56" s="36">
        <f t="shared" si="0"/>
        <v>0.53</v>
      </c>
      <c r="G56" s="15">
        <f t="shared" si="1"/>
        <v>2.818610433582814E-2</v>
      </c>
      <c r="H56" s="15">
        <f t="shared" si="2"/>
        <v>5.0228284049602272E-2</v>
      </c>
      <c r="I56" s="15">
        <f t="shared" si="3"/>
        <v>5.0228284049602272E-2</v>
      </c>
    </row>
    <row r="57" spans="5:9">
      <c r="E57" s="36">
        <v>0.46</v>
      </c>
      <c r="F57" s="36">
        <f t="shared" si="0"/>
        <v>0.54</v>
      </c>
      <c r="G57" s="15">
        <f t="shared" si="1"/>
        <v>2.8078471376516433E-2</v>
      </c>
      <c r="H57" s="15">
        <f t="shared" si="2"/>
        <v>4.9956757981859515E-2</v>
      </c>
      <c r="I57" s="15">
        <f t="shared" si="3"/>
        <v>4.9956757981859515E-2</v>
      </c>
    </row>
    <row r="58" spans="5:9">
      <c r="E58" s="36">
        <v>0.45</v>
      </c>
      <c r="F58" s="36">
        <f t="shared" si="0"/>
        <v>0.55000000000000004</v>
      </c>
      <c r="G58" s="15">
        <f t="shared" si="1"/>
        <v>2.7970838417204727E-2</v>
      </c>
      <c r="H58" s="15">
        <f t="shared" si="2"/>
        <v>4.9698824851776811E-2</v>
      </c>
      <c r="I58" s="15">
        <f t="shared" si="3"/>
        <v>4.9698824851776811E-2</v>
      </c>
    </row>
    <row r="59" spans="5:9">
      <c r="E59" s="36">
        <v>0.44</v>
      </c>
      <c r="F59" s="36">
        <f t="shared" si="0"/>
        <v>0.56000000000000005</v>
      </c>
      <c r="G59" s="15">
        <f t="shared" si="1"/>
        <v>2.7863205457893021E-2</v>
      </c>
      <c r="H59" s="15">
        <f t="shared" si="2"/>
        <v>4.9454697343488438E-2</v>
      </c>
      <c r="I59" s="15">
        <f t="shared" si="3"/>
        <v>4.9454697343488438E-2</v>
      </c>
    </row>
    <row r="60" spans="5:9">
      <c r="E60" s="36">
        <v>0.42999999999999899</v>
      </c>
      <c r="F60" s="36">
        <f t="shared" si="0"/>
        <v>0.57000000000000095</v>
      </c>
      <c r="G60" s="15">
        <f t="shared" si="1"/>
        <v>2.77555724985813E-2</v>
      </c>
      <c r="H60" s="15">
        <f t="shared" si="2"/>
        <v>4.9224580862851877E-2</v>
      </c>
      <c r="I60" s="15">
        <f t="shared" si="3"/>
        <v>4.9224580862851877E-2</v>
      </c>
    </row>
    <row r="61" spans="5:9">
      <c r="E61" s="36">
        <v>0.41999999999999899</v>
      </c>
      <c r="F61" s="36">
        <f t="shared" si="0"/>
        <v>0.58000000000000096</v>
      </c>
      <c r="G61" s="15">
        <f t="shared" si="1"/>
        <v>2.7647939539269591E-2</v>
      </c>
      <c r="H61" s="15">
        <f t="shared" si="2"/>
        <v>4.9008672773395906E-2</v>
      </c>
      <c r="I61" s="15">
        <f t="shared" si="3"/>
        <v>4.9008672773395906E-2</v>
      </c>
    </row>
    <row r="62" spans="5:9">
      <c r="E62" s="36">
        <v>0.40999999999999898</v>
      </c>
      <c r="F62" s="36">
        <f t="shared" si="0"/>
        <v>0.59000000000000097</v>
      </c>
      <c r="G62" s="15">
        <f t="shared" si="1"/>
        <v>2.7540306579957884E-2</v>
      </c>
      <c r="H62" s="15">
        <f t="shared" si="2"/>
        <v>4.8807161636332634E-2</v>
      </c>
      <c r="I62" s="15">
        <f t="shared" si="3"/>
        <v>4.8807161636332634E-2</v>
      </c>
    </row>
    <row r="63" spans="5:9">
      <c r="E63" s="36">
        <v>0.39999999999999902</v>
      </c>
      <c r="F63" s="36">
        <f t="shared" si="0"/>
        <v>0.60000000000000098</v>
      </c>
      <c r="G63" s="15">
        <f t="shared" si="1"/>
        <v>2.7432673620646178E-2</v>
      </c>
      <c r="H63" s="15">
        <f t="shared" si="2"/>
        <v>4.8620226460593066E-2</v>
      </c>
      <c r="I63" s="15">
        <f t="shared" si="3"/>
        <v>4.8620226460593066E-2</v>
      </c>
    </row>
    <row r="64" spans="5:9">
      <c r="E64" s="36">
        <v>0.38999999999999901</v>
      </c>
      <c r="F64" s="36">
        <f t="shared" si="0"/>
        <v>0.61000000000000099</v>
      </c>
      <c r="G64" s="15">
        <f t="shared" si="1"/>
        <v>2.7325040661334472E-2</v>
      </c>
      <c r="H64" s="15">
        <f t="shared" si="2"/>
        <v>4.8448035969093285E-2</v>
      </c>
      <c r="I64" s="15">
        <f t="shared" si="3"/>
        <v>4.8448035969093285E-2</v>
      </c>
    </row>
    <row r="65" spans="5:9">
      <c r="E65" s="36">
        <v>0.37999999999999901</v>
      </c>
      <c r="F65" s="36">
        <f t="shared" si="0"/>
        <v>0.62000000000000099</v>
      </c>
      <c r="G65" s="15">
        <f t="shared" si="1"/>
        <v>2.7217407702022765E-2</v>
      </c>
      <c r="H65" s="15">
        <f t="shared" si="2"/>
        <v>4.8290747887609994E-2</v>
      </c>
      <c r="I65" s="15">
        <f t="shared" si="3"/>
        <v>4.8290747887609994E-2</v>
      </c>
    </row>
    <row r="66" spans="5:9">
      <c r="E66" s="36">
        <v>0.369999999999999</v>
      </c>
      <c r="F66" s="36">
        <f t="shared" si="0"/>
        <v>0.630000000000001</v>
      </c>
      <c r="G66" s="15">
        <f t="shared" si="1"/>
        <v>2.7109774742711056E-2</v>
      </c>
      <c r="H66" s="15">
        <f t="shared" si="2"/>
        <v>4.8148508262726188E-2</v>
      </c>
      <c r="I66" s="15">
        <f t="shared" si="3"/>
        <v>4.8148508262726188E-2</v>
      </c>
    </row>
    <row r="67" spans="5:9">
      <c r="E67" s="36">
        <v>0.35999999999999899</v>
      </c>
      <c r="F67" s="36">
        <f t="shared" si="0"/>
        <v>0.64000000000000101</v>
      </c>
      <c r="G67" s="15">
        <f t="shared" si="1"/>
        <v>2.7002141783399353E-2</v>
      </c>
      <c r="H67" s="15">
        <f t="shared" si="2"/>
        <v>4.8021450815295699E-2</v>
      </c>
      <c r="I67" s="15">
        <f t="shared" si="3"/>
        <v>4.8021450815295699E-2</v>
      </c>
    </row>
    <row r="68" spans="5:9">
      <c r="E68" s="36">
        <v>0.34999999999999898</v>
      </c>
      <c r="F68" s="36">
        <f t="shared" ref="F68:F103" si="4">1-E68</f>
        <v>0.65000000000000102</v>
      </c>
      <c r="G68" s="15">
        <f t="shared" ref="G68:G103" si="5">((E68*$B$4)+(F68*$C$4))</f>
        <v>2.6894508824087643E-2</v>
      </c>
      <c r="H68" s="15">
        <f t="shared" ref="H68:H103" si="6">SQRT((E68*$B$5)^2+(2*(E68*$B$5*$C$6*F68*$C$5))+(F68*$C$5)^2)</f>
        <v>4.7909696335761379E-2</v>
      </c>
      <c r="I68" s="15">
        <f t="shared" ref="I68:I103" si="7">IF(ROW()&lt;=$B$10,H68,NA())</f>
        <v>4.7909696335761379E-2</v>
      </c>
    </row>
    <row r="69" spans="5:9">
      <c r="E69" s="36">
        <v>0.33999999999999903</v>
      </c>
      <c r="F69" s="36">
        <f t="shared" si="4"/>
        <v>0.66000000000000103</v>
      </c>
      <c r="G69" s="15">
        <f t="shared" si="5"/>
        <v>2.678687586477594E-2</v>
      </c>
      <c r="H69" s="15">
        <f t="shared" si="6"/>
        <v>4.7813352127442595E-2</v>
      </c>
      <c r="I69" s="15">
        <f t="shared" si="7"/>
        <v>4.7813352127442595E-2</v>
      </c>
    </row>
    <row r="70" spans="5:9">
      <c r="E70" s="36">
        <v>0.32999999999999902</v>
      </c>
      <c r="F70" s="36">
        <f t="shared" si="4"/>
        <v>0.67000000000000104</v>
      </c>
      <c r="G70" s="15">
        <f t="shared" si="5"/>
        <v>2.667924290546423E-2</v>
      </c>
      <c r="H70" s="15">
        <f t="shared" si="6"/>
        <v>4.7732511503583396E-2</v>
      </c>
      <c r="I70" s="15">
        <f t="shared" si="7"/>
        <v>4.7732511503583396E-2</v>
      </c>
    </row>
    <row r="71" spans="5:9">
      <c r="E71" s="36">
        <v>0.31999999999999901</v>
      </c>
      <c r="F71" s="36">
        <f t="shared" si="4"/>
        <v>0.68000000000000105</v>
      </c>
      <c r="G71" s="15">
        <f t="shared" si="5"/>
        <v>2.657160994615252E-2</v>
      </c>
      <c r="H71" s="15">
        <f t="shared" si="6"/>
        <v>4.7667253343522668E-2</v>
      </c>
      <c r="I71" s="15">
        <f t="shared" si="7"/>
        <v>4.7667253343522668E-2</v>
      </c>
    </row>
    <row r="72" spans="5:9">
      <c r="E72" s="36">
        <v>0.309999999999999</v>
      </c>
      <c r="F72" s="36">
        <f t="shared" si="4"/>
        <v>0.69000000000000106</v>
      </c>
      <c r="G72" s="15">
        <f t="shared" si="5"/>
        <v>2.6463976986840818E-2</v>
      </c>
      <c r="H72" s="15">
        <f t="shared" si="6"/>
        <v>4.761764171281873E-2</v>
      </c>
      <c r="I72" s="15">
        <f t="shared" si="7"/>
        <v>4.761764171281873E-2</v>
      </c>
    </row>
    <row r="73" spans="5:9">
      <c r="E73" s="36">
        <v>0.29999999999999899</v>
      </c>
      <c r="F73" s="36">
        <f t="shared" si="4"/>
        <v>0.70000000000000107</v>
      </c>
      <c r="G73" s="15">
        <f t="shared" si="5"/>
        <v>2.6356344027529108E-2</v>
      </c>
      <c r="H73" s="15">
        <f t="shared" si="6"/>
        <v>4.7583725551538371E-2</v>
      </c>
      <c r="I73" s="15">
        <f t="shared" si="7"/>
        <v>4.7583725551538371E-2</v>
      </c>
    </row>
    <row r="74" spans="5:9">
      <c r="E74" s="36">
        <v>0.28999999999999898</v>
      </c>
      <c r="F74" s="36">
        <f t="shared" si="4"/>
        <v>0.71000000000000107</v>
      </c>
      <c r="G74" s="15">
        <f t="shared" si="5"/>
        <v>2.6248711068217401E-2</v>
      </c>
      <c r="H74" s="15">
        <f t="shared" si="6"/>
        <v>4.7565538434215446E-2</v>
      </c>
      <c r="I74" s="15">
        <f t="shared" si="7"/>
        <v>4.7565538434215446E-2</v>
      </c>
    </row>
    <row r="75" spans="5:9">
      <c r="E75" s="36">
        <v>0.27999999999999903</v>
      </c>
      <c r="F75" s="36">
        <f t="shared" si="4"/>
        <v>0.72000000000000097</v>
      </c>
      <c r="G75" s="15">
        <f t="shared" si="5"/>
        <v>2.6141078108905695E-2</v>
      </c>
      <c r="H75" s="15">
        <f t="shared" si="6"/>
        <v>4.7563098404209095E-2</v>
      </c>
      <c r="I75" s="15">
        <f t="shared" si="7"/>
        <v>4.7563098404209095E-2</v>
      </c>
    </row>
    <row r="76" spans="5:9">
      <c r="E76" s="36">
        <v>0.26999999999999902</v>
      </c>
      <c r="F76" s="36">
        <f t="shared" si="4"/>
        <v>0.73000000000000098</v>
      </c>
      <c r="G76" s="15">
        <f t="shared" si="5"/>
        <v>2.6033445149593985E-2</v>
      </c>
      <c r="H76" s="15">
        <f t="shared" si="6"/>
        <v>4.7576407884360905E-2</v>
      </c>
      <c r="I76" s="15" t="e">
        <f t="shared" si="7"/>
        <v>#N/A</v>
      </c>
    </row>
    <row r="77" spans="5:9">
      <c r="E77" s="36">
        <v>0.25999999999999901</v>
      </c>
      <c r="F77" s="36">
        <f t="shared" si="4"/>
        <v>0.74000000000000099</v>
      </c>
      <c r="G77" s="15">
        <f t="shared" si="5"/>
        <v>2.5925812190282282E-2</v>
      </c>
      <c r="H77" s="15">
        <f t="shared" si="6"/>
        <v>4.7605453664980743E-2</v>
      </c>
      <c r="I77" s="15" t="e">
        <f t="shared" si="7"/>
        <v>#N/A</v>
      </c>
    </row>
    <row r="78" spans="5:9">
      <c r="E78" s="36">
        <v>0.249999999999999</v>
      </c>
      <c r="F78" s="36">
        <f t="shared" si="4"/>
        <v>0.750000000000001</v>
      </c>
      <c r="G78" s="15">
        <f t="shared" si="5"/>
        <v>2.5818179230970573E-2</v>
      </c>
      <c r="H78" s="15">
        <f t="shared" si="6"/>
        <v>4.7650206969300023E-2</v>
      </c>
      <c r="I78" s="15" t="e">
        <f t="shared" si="7"/>
        <v>#N/A</v>
      </c>
    </row>
    <row r="79" spans="5:9">
      <c r="E79" s="36">
        <v>0.23999999999999899</v>
      </c>
      <c r="F79" s="36">
        <f t="shared" si="4"/>
        <v>0.76000000000000101</v>
      </c>
      <c r="G79" s="15">
        <f t="shared" si="5"/>
        <v>2.5710546271658866E-2</v>
      </c>
      <c r="H79" s="15">
        <f t="shared" si="6"/>
        <v>4.7710623595637262E-2</v>
      </c>
      <c r="I79" s="15" t="e">
        <f t="shared" si="7"/>
        <v>#N/A</v>
      </c>
    </row>
    <row r="80" spans="5:9">
      <c r="E80" s="36">
        <v>0.22999999999999901</v>
      </c>
      <c r="F80" s="36">
        <f t="shared" si="4"/>
        <v>0.77000000000000102</v>
      </c>
      <c r="G80" s="15">
        <f t="shared" si="5"/>
        <v>2.560291331234716E-2</v>
      </c>
      <c r="H80" s="15">
        <f t="shared" si="6"/>
        <v>4.7786644134642675E-2</v>
      </c>
      <c r="I80" s="15" t="e">
        <f t="shared" si="7"/>
        <v>#N/A</v>
      </c>
    </row>
    <row r="81" spans="5:9">
      <c r="E81" s="36">
        <v>0.219999999999999</v>
      </c>
      <c r="F81" s="36">
        <f t="shared" si="4"/>
        <v>0.78000000000000103</v>
      </c>
      <c r="G81" s="15">
        <f t="shared" si="5"/>
        <v>2.5495280353035454E-2</v>
      </c>
      <c r="H81" s="15">
        <f t="shared" si="6"/>
        <v>4.787819425914399E-2</v>
      </c>
      <c r="I81" s="15" t="e">
        <f t="shared" si="7"/>
        <v>#N/A</v>
      </c>
    </row>
    <row r="82" spans="5:9">
      <c r="E82" s="36">
        <v>0.20999999999999899</v>
      </c>
      <c r="F82" s="36">
        <f t="shared" si="4"/>
        <v>0.79000000000000103</v>
      </c>
      <c r="G82" s="15">
        <f t="shared" si="5"/>
        <v>2.5387647393723744E-2</v>
      </c>
      <c r="H82" s="15">
        <f t="shared" si="6"/>
        <v>4.7985185083321585E-2</v>
      </c>
      <c r="I82" s="15" t="e">
        <f t="shared" si="7"/>
        <v>#N/A</v>
      </c>
    </row>
    <row r="83" spans="5:9">
      <c r="E83" s="36">
        <v>0.19999999999999901</v>
      </c>
      <c r="F83" s="36">
        <f t="shared" si="4"/>
        <v>0.80000000000000093</v>
      </c>
      <c r="G83" s="15">
        <f t="shared" si="5"/>
        <v>2.5280014434412038E-2</v>
      </c>
      <c r="H83" s="15">
        <f t="shared" si="6"/>
        <v>4.8107513587212929E-2</v>
      </c>
      <c r="I83" s="15" t="e">
        <f t="shared" si="7"/>
        <v>#N/A</v>
      </c>
    </row>
    <row r="84" spans="5:9">
      <c r="E84" s="36">
        <v>0.189999999999999</v>
      </c>
      <c r="F84" s="36">
        <f t="shared" si="4"/>
        <v>0.81000000000000094</v>
      </c>
      <c r="G84" s="15">
        <f t="shared" si="5"/>
        <v>2.5172381475100331E-2</v>
      </c>
      <c r="H84" s="15">
        <f t="shared" si="6"/>
        <v>4.8245063101897551E-2</v>
      </c>
      <c r="I84" s="15" t="e">
        <f t="shared" si="7"/>
        <v>#N/A</v>
      </c>
    </row>
    <row r="85" spans="5:9">
      <c r="E85" s="36">
        <v>0.17999999999999899</v>
      </c>
      <c r="F85" s="36">
        <f t="shared" si="4"/>
        <v>0.82000000000000095</v>
      </c>
      <c r="G85" s="15">
        <f t="shared" si="5"/>
        <v>2.5064748515788621E-2</v>
      </c>
      <c r="H85" s="15">
        <f t="shared" si="6"/>
        <v>4.8397703850154149E-2</v>
      </c>
      <c r="I85" s="15" t="e">
        <f t="shared" si="7"/>
        <v>#N/A</v>
      </c>
    </row>
    <row r="86" spans="5:9">
      <c r="E86" s="36">
        <v>0.16999999999999901</v>
      </c>
      <c r="F86" s="36">
        <f t="shared" si="4"/>
        <v>0.83000000000000096</v>
      </c>
      <c r="G86" s="15">
        <f t="shared" si="5"/>
        <v>2.4957115556476915E-2</v>
      </c>
      <c r="H86" s="15">
        <f t="shared" si="6"/>
        <v>4.8565293536921246E-2</v>
      </c>
      <c r="I86" s="15" t="e">
        <f t="shared" si="7"/>
        <v>#N/A</v>
      </c>
    </row>
    <row r="87" spans="5:9">
      <c r="E87" s="36">
        <v>0.159999999999999</v>
      </c>
      <c r="F87" s="36">
        <f t="shared" si="4"/>
        <v>0.84000000000000097</v>
      </c>
      <c r="G87" s="15">
        <f t="shared" si="5"/>
        <v>2.4849482597165209E-2</v>
      </c>
      <c r="H87" s="15">
        <f t="shared" si="6"/>
        <v>4.8747677983534486E-2</v>
      </c>
      <c r="I87" s="15" t="e">
        <f t="shared" si="7"/>
        <v>#N/A</v>
      </c>
    </row>
    <row r="88" spans="5:9">
      <c r="E88" s="36">
        <v>0.149999999999999</v>
      </c>
      <c r="F88" s="36">
        <f t="shared" si="4"/>
        <v>0.85000000000000098</v>
      </c>
      <c r="G88" s="15">
        <f t="shared" si="5"/>
        <v>2.4741849637853502E-2</v>
      </c>
      <c r="H88" s="15">
        <f t="shared" si="6"/>
        <v>4.8944691799462495E-2</v>
      </c>
      <c r="I88" s="15" t="e">
        <f t="shared" si="7"/>
        <v>#N/A</v>
      </c>
    </row>
    <row r="89" spans="5:9">
      <c r="E89" s="36">
        <v>0.13999999999999899</v>
      </c>
      <c r="F89" s="36">
        <f t="shared" si="4"/>
        <v>0.86000000000000099</v>
      </c>
      <c r="G89" s="15">
        <f t="shared" si="5"/>
        <v>2.4634216678541796E-2</v>
      </c>
      <c r="H89" s="15">
        <f t="shared" si="6"/>
        <v>4.9156159085116891E-2</v>
      </c>
      <c r="I89" s="15" t="e">
        <f t="shared" si="7"/>
        <v>#N/A</v>
      </c>
    </row>
    <row r="90" spans="5:9">
      <c r="E90" s="36">
        <v>0.12999999999999901</v>
      </c>
      <c r="F90" s="36">
        <f t="shared" si="4"/>
        <v>0.87000000000000099</v>
      </c>
      <c r="G90" s="15">
        <f t="shared" si="5"/>
        <v>2.452658371923009E-2</v>
      </c>
      <c r="H90" s="15">
        <f t="shared" si="6"/>
        <v>4.9381894159268712E-2</v>
      </c>
      <c r="I90" s="15" t="e">
        <f t="shared" si="7"/>
        <v>#N/A</v>
      </c>
    </row>
    <row r="91" spans="5:9">
      <c r="E91" s="36">
        <v>0.119999999999999</v>
      </c>
      <c r="F91" s="36">
        <f t="shared" si="4"/>
        <v>0.880000000000001</v>
      </c>
      <c r="G91" s="15">
        <f t="shared" si="5"/>
        <v>2.4418950759918383E-2</v>
      </c>
      <c r="H91" s="15">
        <f t="shared" si="6"/>
        <v>4.9621702304657636E-2</v>
      </c>
      <c r="I91" s="15" t="e">
        <f t="shared" si="7"/>
        <v>#N/A</v>
      </c>
    </row>
    <row r="92" spans="5:9">
      <c r="E92" s="36">
        <v>0.109999999999999</v>
      </c>
      <c r="F92" s="36">
        <f t="shared" si="4"/>
        <v>0.89000000000000101</v>
      </c>
      <c r="G92" s="15">
        <f t="shared" si="5"/>
        <v>2.4311317800606677E-2</v>
      </c>
      <c r="H92" s="15">
        <f t="shared" si="6"/>
        <v>4.987538052552444E-2</v>
      </c>
      <c r="I92" s="15" t="e">
        <f t="shared" si="7"/>
        <v>#N/A</v>
      </c>
    </row>
    <row r="93" spans="5:9">
      <c r="E93" s="36">
        <v>9.9999999999999006E-2</v>
      </c>
      <c r="F93" s="36">
        <f t="shared" si="4"/>
        <v>0.90000000000000102</v>
      </c>
      <c r="G93" s="15">
        <f t="shared" si="5"/>
        <v>2.4203684841294971E-2</v>
      </c>
      <c r="H93" s="15">
        <f t="shared" si="6"/>
        <v>5.0142718311023078E-2</v>
      </c>
      <c r="I93" s="15" t="e">
        <f t="shared" si="7"/>
        <v>#N/A</v>
      </c>
    </row>
    <row r="94" spans="5:9">
      <c r="E94" s="36">
        <v>8.9999999999998997E-2</v>
      </c>
      <c r="F94" s="36">
        <f t="shared" si="4"/>
        <v>0.91000000000000103</v>
      </c>
      <c r="G94" s="15">
        <f t="shared" si="5"/>
        <v>2.4096051881983261E-2</v>
      </c>
      <c r="H94" s="15">
        <f t="shared" si="6"/>
        <v>5.0423498398765504E-2</v>
      </c>
      <c r="I94" s="15" t="e">
        <f t="shared" si="7"/>
        <v>#N/A</v>
      </c>
    </row>
    <row r="95" spans="5:9">
      <c r="E95" s="36">
        <v>7.9999999999999002E-2</v>
      </c>
      <c r="F95" s="36">
        <f t="shared" si="4"/>
        <v>0.92000000000000104</v>
      </c>
      <c r="G95" s="15">
        <f t="shared" si="5"/>
        <v>2.3988418922671555E-2</v>
      </c>
      <c r="H95" s="15">
        <f t="shared" si="6"/>
        <v>5.0717497533109362E-2</v>
      </c>
      <c r="I95" s="15" t="e">
        <f t="shared" si="7"/>
        <v>#N/A</v>
      </c>
    </row>
    <row r="96" spans="5:9">
      <c r="E96" s="36">
        <v>6.9999999999998994E-2</v>
      </c>
      <c r="F96" s="36">
        <f t="shared" si="4"/>
        <v>0.93000000000000105</v>
      </c>
      <c r="G96" s="15">
        <f t="shared" si="5"/>
        <v>2.3880785963359845E-2</v>
      </c>
      <c r="H96" s="15">
        <f t="shared" si="6"/>
        <v>5.1024487213205301E-2</v>
      </c>
      <c r="I96" s="15" t="e">
        <f t="shared" si="7"/>
        <v>#N/A</v>
      </c>
    </row>
    <row r="97" spans="5:9">
      <c r="E97" s="36">
        <v>5.9999999999999103E-2</v>
      </c>
      <c r="F97" s="36">
        <f t="shared" si="4"/>
        <v>0.94000000000000095</v>
      </c>
      <c r="G97" s="15">
        <f t="shared" si="5"/>
        <v>2.3773153004048142E-2</v>
      </c>
      <c r="H97" s="15">
        <f t="shared" si="6"/>
        <v>5.1344234426263458E-2</v>
      </c>
      <c r="I97" s="15" t="e">
        <f t="shared" si="7"/>
        <v>#N/A</v>
      </c>
    </row>
    <row r="98" spans="5:9">
      <c r="E98" s="36">
        <v>4.9999999999998997E-2</v>
      </c>
      <c r="F98" s="36">
        <f t="shared" si="4"/>
        <v>0.95000000000000095</v>
      </c>
      <c r="G98" s="15">
        <f t="shared" si="5"/>
        <v>2.3665520044736429E-2</v>
      </c>
      <c r="H98" s="15">
        <f t="shared" si="6"/>
        <v>5.1676502361969058E-2</v>
      </c>
      <c r="I98" s="15" t="e">
        <f t="shared" si="7"/>
        <v>#N/A</v>
      </c>
    </row>
    <row r="99" spans="5:9">
      <c r="E99" s="36">
        <v>3.9999999999999002E-2</v>
      </c>
      <c r="F99" s="36">
        <f t="shared" si="4"/>
        <v>0.96000000000000096</v>
      </c>
      <c r="G99" s="15">
        <f t="shared" si="5"/>
        <v>2.3557887085424722E-2</v>
      </c>
      <c r="H99" s="15">
        <f t="shared" si="6"/>
        <v>5.2021051104461924E-2</v>
      </c>
      <c r="I99" s="15" t="e">
        <f t="shared" si="7"/>
        <v>#N/A</v>
      </c>
    </row>
    <row r="100" spans="5:9">
      <c r="E100" s="36">
        <v>2.9999999999999E-2</v>
      </c>
      <c r="F100" s="36">
        <f t="shared" si="4"/>
        <v>0.97000000000000097</v>
      </c>
      <c r="G100" s="15">
        <f t="shared" si="5"/>
        <v>2.3450254126113016E-2</v>
      </c>
      <c r="H100" s="15">
        <f t="shared" si="6"/>
        <v>5.2377638298785827E-2</v>
      </c>
      <c r="I100" s="15" t="e">
        <f t="shared" si="7"/>
        <v>#N/A</v>
      </c>
    </row>
    <row r="101" spans="5:9">
      <c r="E101" s="36">
        <v>1.9999999999999001E-2</v>
      </c>
      <c r="F101" s="36">
        <f t="shared" si="4"/>
        <v>0.98000000000000098</v>
      </c>
      <c r="G101" s="15">
        <f t="shared" si="5"/>
        <v>2.334262116680131E-2</v>
      </c>
      <c r="H101" s="15">
        <f t="shared" si="6"/>
        <v>5.2746019789200987E-2</v>
      </c>
      <c r="I101" s="15" t="e">
        <f t="shared" si="7"/>
        <v>#N/A</v>
      </c>
    </row>
    <row r="102" spans="5:9">
      <c r="E102" s="36">
        <v>9.9999999999990097E-3</v>
      </c>
      <c r="F102" s="36">
        <f t="shared" si="4"/>
        <v>0.99000000000000099</v>
      </c>
      <c r="G102" s="15">
        <f t="shared" si="5"/>
        <v>2.3234988207489603E-2</v>
      </c>
      <c r="H102" s="15">
        <f t="shared" si="6"/>
        <v>5.3125950227229608E-2</v>
      </c>
      <c r="I102" s="15" t="e">
        <f t="shared" si="7"/>
        <v>#N/A</v>
      </c>
    </row>
    <row r="103" spans="5:9">
      <c r="E103" s="36">
        <v>0</v>
      </c>
      <c r="F103" s="36">
        <f t="shared" si="4"/>
        <v>1</v>
      </c>
      <c r="G103" s="15">
        <f t="shared" si="5"/>
        <v>2.3127355248177908E-2</v>
      </c>
      <c r="H103" s="15">
        <f t="shared" si="6"/>
        <v>5.3517183647762319E-2</v>
      </c>
      <c r="I103" s="15" t="e">
        <f t="shared" si="7"/>
        <v>#N/A</v>
      </c>
    </row>
  </sheetData>
  <mergeCells count="4">
    <mergeCell ref="A1:C1"/>
    <mergeCell ref="E1:I1"/>
    <mergeCell ref="K1:R1"/>
    <mergeCell ref="A8:C8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2DD51-E8B0-4969-9263-45CC4B492528}">
  <dimension ref="A1:S60"/>
  <sheetViews>
    <sheetView zoomScale="70" zoomScaleNormal="70" workbookViewId="0">
      <selection activeCell="H18" sqref="H18"/>
    </sheetView>
  </sheetViews>
  <sheetFormatPr defaultRowHeight="14.4"/>
  <cols>
    <col min="1" max="1" width="13.77734375" bestFit="1" customWidth="1"/>
    <col min="2" max="2" width="13.6640625" bestFit="1" customWidth="1"/>
    <col min="3" max="3" width="19.88671875" bestFit="1" customWidth="1"/>
    <col min="5" max="5" width="1.5546875" customWidth="1"/>
    <col min="6" max="6" width="19.5546875" customWidth="1"/>
    <col min="7" max="7" width="9.44140625" customWidth="1"/>
    <col min="8" max="8" width="13.44140625" bestFit="1" customWidth="1"/>
    <col min="9" max="9" width="2.21875" customWidth="1"/>
    <col min="10" max="10" width="17.44140625" bestFit="1" customWidth="1"/>
    <col min="11" max="11" width="12.44140625" bestFit="1" customWidth="1"/>
    <col min="12" max="12" width="12" bestFit="1" customWidth="1"/>
    <col min="13" max="14" width="12.109375" bestFit="1" customWidth="1"/>
    <col min="15" max="15" width="12.44140625" bestFit="1" customWidth="1"/>
    <col min="16" max="16" width="12" bestFit="1" customWidth="1"/>
    <col min="17" max="18" width="12.109375" bestFit="1" customWidth="1"/>
  </cols>
  <sheetData>
    <row r="1" spans="1:19" ht="15" thickBot="1">
      <c r="B1" s="52" t="str">
        <f>Returns!B1</f>
        <v>Rates of Return</v>
      </c>
      <c r="C1" s="52"/>
      <c r="D1" s="52"/>
      <c r="F1" s="52" t="s">
        <v>23</v>
      </c>
      <c r="G1" s="52"/>
      <c r="H1" s="52"/>
      <c r="J1" s="53" t="s">
        <v>9</v>
      </c>
      <c r="K1" s="53"/>
      <c r="L1" s="53"/>
      <c r="M1" s="53"/>
      <c r="N1" s="53"/>
      <c r="O1" s="53"/>
      <c r="P1" s="53"/>
      <c r="Q1" s="53"/>
      <c r="R1" s="53"/>
      <c r="S1" s="53"/>
    </row>
    <row r="2" spans="1:19" ht="15" thickBot="1">
      <c r="B2" s="7" t="str">
        <f>Returns!B2</f>
        <v>3 Month T-Bill</v>
      </c>
      <c r="C2" s="7" t="str">
        <f>Returns!C2</f>
        <v>Standard &amp; Poor 500</v>
      </c>
      <c r="D2" s="7" t="str">
        <f>Returns!D2</f>
        <v>CSX</v>
      </c>
      <c r="F2" s="7" t="s">
        <v>24</v>
      </c>
      <c r="G2" s="7"/>
      <c r="H2" s="7"/>
    </row>
    <row r="3" spans="1:19">
      <c r="A3" s="17">
        <f>Returns!A3</f>
        <v>43466</v>
      </c>
      <c r="B3" s="22">
        <f>Returns!B3</f>
        <v>1.9750000000000002E-3</v>
      </c>
      <c r="C3" s="22">
        <f>Returns!C3</f>
        <v>7.8684401655036762E-2</v>
      </c>
      <c r="D3" s="22">
        <f>Returns!D3</f>
        <v>5.7460098865924625E-2</v>
      </c>
      <c r="F3" s="4" t="s">
        <v>25</v>
      </c>
      <c r="G3" t="s">
        <v>31</v>
      </c>
      <c r="H3">
        <f>CORREL(D:D,C:C)</f>
        <v>0.47650476879347126</v>
      </c>
    </row>
    <row r="4" spans="1:19">
      <c r="A4" s="17">
        <f>Returns!A4</f>
        <v>43435</v>
      </c>
      <c r="B4" s="22">
        <f>Returns!B4</f>
        <v>1.9750000000000002E-3</v>
      </c>
      <c r="C4" s="22">
        <f>Returns!C4</f>
        <v>-9.1776894596563907E-2</v>
      </c>
      <c r="D4" s="22">
        <f>Returns!D4</f>
        <v>-0.14208999623117158</v>
      </c>
      <c r="F4" s="4" t="s">
        <v>26</v>
      </c>
      <c r="G4" t="s">
        <v>32</v>
      </c>
      <c r="H4">
        <f>H3^2</f>
        <v>0.2270567946829195</v>
      </c>
    </row>
    <row r="5" spans="1:19">
      <c r="A5" s="17">
        <f>Returns!A5</f>
        <v>43405</v>
      </c>
      <c r="B5" s="22">
        <f>Returns!B5</f>
        <v>1.9416666666666668E-3</v>
      </c>
      <c r="C5" s="22">
        <f>Returns!C5</f>
        <v>1.7859356788848979E-2</v>
      </c>
      <c r="D5" s="22">
        <f>Returns!D5</f>
        <v>5.4748706727436813E-2</v>
      </c>
      <c r="F5" s="4" t="s">
        <v>27</v>
      </c>
      <c r="H5">
        <f>RR-((k-1)/(N-k))*(1-RR)</f>
        <v>0.20432317099712302</v>
      </c>
    </row>
    <row r="6" spans="1:19">
      <c r="A6" s="17">
        <f>Returns!A6</f>
        <v>43374</v>
      </c>
      <c r="B6" s="22">
        <f>Returns!B6</f>
        <v>1.8749999999999999E-3</v>
      </c>
      <c r="C6" s="22">
        <f>Returns!C6</f>
        <v>-6.9403356024429486E-2</v>
      </c>
      <c r="D6" s="22">
        <f>Returns!D6</f>
        <v>-7.0087802697320734E-2</v>
      </c>
      <c r="F6" s="4" t="s">
        <v>28</v>
      </c>
      <c r="H6">
        <f>STEYX(D:D,C:C)</f>
        <v>6.9718251101320405E-2</v>
      </c>
    </row>
    <row r="7" spans="1:19">
      <c r="A7" s="17">
        <f>Returns!A7</f>
        <v>43344</v>
      </c>
      <c r="B7" s="22">
        <f>Returns!B7</f>
        <v>1.7749999999999999E-3</v>
      </c>
      <c r="C7" s="22">
        <f>Returns!C7</f>
        <v>4.2942871026614426E-3</v>
      </c>
      <c r="D7" s="22">
        <f>Returns!D7</f>
        <v>9.4389153484963906E-4</v>
      </c>
      <c r="F7" s="4" t="s">
        <v>29</v>
      </c>
      <c r="G7" t="s">
        <v>33</v>
      </c>
      <c r="H7">
        <f>COUNT(D:D)</f>
        <v>36</v>
      </c>
    </row>
    <row r="8" spans="1:19">
      <c r="A8" s="17">
        <f>Returns!A8</f>
        <v>43313</v>
      </c>
      <c r="B8" s="22">
        <f>Returns!B8</f>
        <v>1.6916666666666666E-3</v>
      </c>
      <c r="C8" s="22">
        <f>Returns!C8</f>
        <v>3.0263211466054596E-2</v>
      </c>
      <c r="D8" s="22">
        <f>Returns!D8</f>
        <v>4.9236049801923976E-2</v>
      </c>
      <c r="F8" s="4" t="s">
        <v>30</v>
      </c>
      <c r="G8" t="s">
        <v>34</v>
      </c>
      <c r="H8">
        <v>2</v>
      </c>
    </row>
    <row r="9" spans="1:19" ht="15" thickBot="1">
      <c r="A9" s="17">
        <f>Returns!A9</f>
        <v>43282</v>
      </c>
      <c r="B9" s="22">
        <f>Returns!B9</f>
        <v>1.6333333333333332E-3</v>
      </c>
      <c r="C9" s="22">
        <f>Returns!C9</f>
        <v>3.6021556221367268E-2</v>
      </c>
      <c r="D9" s="22">
        <f>Returns!D9</f>
        <v>0.10818440119448747</v>
      </c>
    </row>
    <row r="10" spans="1:19" ht="15" thickBot="1">
      <c r="A10" s="17">
        <f>Returns!A10</f>
        <v>43252</v>
      </c>
      <c r="B10" s="22">
        <f>Returns!B10</f>
        <v>1.5833333333333333E-3</v>
      </c>
      <c r="C10" s="22">
        <f>Returns!C10</f>
        <v>4.8424360241865472E-3</v>
      </c>
      <c r="D10" s="22">
        <f>Returns!D10</f>
        <v>-1.0672899901843835E-2</v>
      </c>
      <c r="F10" s="7" t="s">
        <v>35</v>
      </c>
      <c r="G10" s="7"/>
      <c r="H10" s="7"/>
    </row>
    <row r="11" spans="1:19">
      <c r="A11" s="17">
        <f>Returns!A11</f>
        <v>43221</v>
      </c>
      <c r="B11" s="22">
        <f>Returns!B11</f>
        <v>1.5499999999999999E-3</v>
      </c>
      <c r="C11" s="22">
        <f>Returns!C11</f>
        <v>2.1608341965291933E-2</v>
      </c>
      <c r="D11" s="22">
        <f>Returns!D11</f>
        <v>8.8567150843023246E-2</v>
      </c>
      <c r="F11" s="4" t="s">
        <v>36</v>
      </c>
      <c r="G11" t="s">
        <v>44</v>
      </c>
      <c r="H11">
        <f>INTERCEPT(D:D, C:C)</f>
        <v>2.2625840812177778E-2</v>
      </c>
    </row>
    <row r="12" spans="1:19">
      <c r="A12" s="17">
        <f>Returns!A12</f>
        <v>43191</v>
      </c>
      <c r="B12" s="22">
        <f>Returns!B12</f>
        <v>1.4666666666666667E-3</v>
      </c>
      <c r="C12" s="22">
        <f>Returns!C12</f>
        <v>2.718775131643536E-3</v>
      </c>
      <c r="D12" s="22">
        <f>Returns!D12</f>
        <v>6.6056364495716391E-2</v>
      </c>
      <c r="F12" s="4" t="s">
        <v>37</v>
      </c>
      <c r="G12" t="s">
        <v>45</v>
      </c>
      <c r="H12">
        <f>SLOPE(D:D,C:C)</f>
        <v>1.152129135897443</v>
      </c>
    </row>
    <row r="13" spans="1:19">
      <c r="A13" s="17">
        <f>Returns!A13</f>
        <v>43160</v>
      </c>
      <c r="B13" s="22">
        <f>Returns!B13</f>
        <v>1.4166666666666666E-3</v>
      </c>
      <c r="C13" s="22">
        <f>Returns!C13</f>
        <v>-2.6884498624825115E-2</v>
      </c>
      <c r="D13" s="22">
        <f>Returns!D13</f>
        <v>4.0394600886176413E-2</v>
      </c>
      <c r="F13" s="23" t="s">
        <v>46</v>
      </c>
      <c r="H13">
        <f>rho*SQRT((N-k)/(1-rho^2))</f>
        <v>3.1603335234128425</v>
      </c>
    </row>
    <row r="14" spans="1:19" ht="15" thickBot="1">
      <c r="A14" s="17">
        <f>Returns!A14</f>
        <v>43132</v>
      </c>
      <c r="B14" s="22">
        <f>Returns!B14</f>
        <v>1.3083333333333332E-3</v>
      </c>
      <c r="C14" s="22">
        <f>Returns!C14</f>
        <v>-3.8947372061896912E-2</v>
      </c>
      <c r="D14" s="22">
        <f>Returns!D14</f>
        <v>-5.3725541659327081E-2</v>
      </c>
    </row>
    <row r="15" spans="1:19" ht="15" thickBot="1">
      <c r="A15" s="17">
        <f>Returns!A15</f>
        <v>43101</v>
      </c>
      <c r="B15" s="22">
        <f>Returns!B15</f>
        <v>1.1749999999999998E-3</v>
      </c>
      <c r="C15" s="22">
        <f>Returns!C15</f>
        <v>5.6178704444133087E-2</v>
      </c>
      <c r="D15" s="22">
        <f>Returns!D15</f>
        <v>3.1994220396081463E-2</v>
      </c>
      <c r="F15" s="7" t="s">
        <v>38</v>
      </c>
      <c r="G15" s="7"/>
      <c r="H15" s="7"/>
    </row>
    <row r="16" spans="1:19">
      <c r="A16" s="17">
        <f>Returns!A16</f>
        <v>43070</v>
      </c>
      <c r="B16" s="22">
        <f>Returns!B16</f>
        <v>1.1000000000000001E-3</v>
      </c>
      <c r="C16" s="22">
        <f>Returns!C16</f>
        <v>3.4342557364422932E-2</v>
      </c>
      <c r="D16" s="22">
        <f>Returns!D16</f>
        <v>-1.004487892376682E-2</v>
      </c>
      <c r="G16" s="42" t="s">
        <v>39</v>
      </c>
      <c r="H16" s="42" t="s">
        <v>40</v>
      </c>
    </row>
    <row r="17" spans="1:14">
      <c r="A17" s="17">
        <f>Returns!A17</f>
        <v>43040</v>
      </c>
      <c r="B17" s="22">
        <f>Returns!B17</f>
        <v>1.0249999999999999E-3</v>
      </c>
      <c r="C17" s="22">
        <f>Returns!C17</f>
        <v>3.7200430103365711E-3</v>
      </c>
      <c r="D17" s="22">
        <f>Returns!D17</f>
        <v>0.10549276224469573</v>
      </c>
      <c r="F17" s="4" t="s">
        <v>41</v>
      </c>
      <c r="G17" s="15">
        <f>MIN(C:C)</f>
        <v>-9.1776894596563907E-2</v>
      </c>
      <c r="H17" s="15">
        <f>alpha +beta * G17</f>
        <v>-8.3112993454712111E-2</v>
      </c>
    </row>
    <row r="18" spans="1:14">
      <c r="A18" s="17">
        <f>Returns!A18</f>
        <v>43009</v>
      </c>
      <c r="B18" s="22">
        <f>Returns!B18</f>
        <v>8.9166666666666669E-4</v>
      </c>
      <c r="C18" s="22">
        <f>Returns!C18</f>
        <v>2.218813533034969E-2</v>
      </c>
      <c r="D18" s="22">
        <f>Returns!D18</f>
        <v>-7.0586032826613909E-2</v>
      </c>
      <c r="F18" s="4" t="s">
        <v>42</v>
      </c>
      <c r="G18" s="15">
        <f>AVERAGE(C:C)</f>
        <v>9.7773852046508548E-3</v>
      </c>
      <c r="H18" s="15">
        <f>alpha +beta * G18</f>
        <v>3.3890651179348613E-2</v>
      </c>
    </row>
    <row r="19" spans="1:14">
      <c r="A19" s="17">
        <f>Returns!A19</f>
        <v>42979</v>
      </c>
      <c r="B19" s="22">
        <f>Returns!B19</f>
        <v>8.5833333333333334E-4</v>
      </c>
      <c r="C19" s="22">
        <f>Returns!C19</f>
        <v>1.9302978533243698E-2</v>
      </c>
      <c r="D19" s="22">
        <f>Returns!D19</f>
        <v>8.4860496317520129E-2</v>
      </c>
      <c r="F19" s="4" t="s">
        <v>43</v>
      </c>
      <c r="G19" s="15">
        <f>MAX(C:C)</f>
        <v>7.8684401655036762E-2</v>
      </c>
      <c r="H19" s="15">
        <f>alpha +beta * G19</f>
        <v>0.11328043249960262</v>
      </c>
    </row>
    <row r="20" spans="1:14">
      <c r="A20" s="17">
        <f>Returns!A20</f>
        <v>42948</v>
      </c>
      <c r="B20" s="22">
        <f>Returns!B20</f>
        <v>8.4166666666666667E-4</v>
      </c>
      <c r="C20" s="22">
        <f>Returns!C20</f>
        <v>5.4643281108557318E-4</v>
      </c>
      <c r="D20" s="22">
        <f>Returns!D20</f>
        <v>1.7430097284150792E-2</v>
      </c>
    </row>
    <row r="21" spans="1:14">
      <c r="A21" s="17">
        <f>Returns!A21</f>
        <v>42917</v>
      </c>
      <c r="B21" s="22">
        <f>Returns!B21</f>
        <v>8.9166666666666669E-4</v>
      </c>
      <c r="C21" s="22">
        <f>Returns!C21</f>
        <v>1.9348826118030571E-2</v>
      </c>
      <c r="D21" s="22">
        <f>Returns!D21</f>
        <v>-9.5674503378399778E-2</v>
      </c>
      <c r="F21" s="39"/>
      <c r="G21" s="39"/>
      <c r="H21" s="39"/>
      <c r="I21" s="39"/>
      <c r="J21" s="39"/>
      <c r="K21" s="39"/>
      <c r="L21" s="39"/>
      <c r="M21" s="39"/>
      <c r="N21" s="39"/>
    </row>
    <row r="22" spans="1:14">
      <c r="A22" s="17">
        <f>Returns!A22</f>
        <v>42887</v>
      </c>
      <c r="B22" s="22">
        <f>Returns!B22</f>
        <v>8.166666666666666E-4</v>
      </c>
      <c r="C22" s="22">
        <f>Returns!C22</f>
        <v>4.8137750908554544E-3</v>
      </c>
      <c r="D22" s="22">
        <f>Returns!D22</f>
        <v>7.1996125973643466E-3</v>
      </c>
      <c r="F22" s="39"/>
      <c r="G22" s="39"/>
      <c r="H22" s="39"/>
      <c r="I22" s="39"/>
      <c r="J22" s="39"/>
      <c r="K22" s="39"/>
      <c r="L22" s="39"/>
      <c r="M22" s="39"/>
      <c r="N22" s="39"/>
    </row>
    <row r="23" spans="1:14">
      <c r="A23" s="17">
        <f>Returns!A23</f>
        <v>42856</v>
      </c>
      <c r="B23" s="22">
        <f>Returns!B23</f>
        <v>7.4166666666666673E-4</v>
      </c>
      <c r="C23" s="22">
        <f>Returns!C23</f>
        <v>1.157625139134133E-2</v>
      </c>
      <c r="D23" s="22">
        <f>Returns!D23</f>
        <v>6.5499567269866166E-2</v>
      </c>
      <c r="F23" s="40"/>
      <c r="G23" s="40"/>
      <c r="H23" s="39"/>
      <c r="I23" s="39"/>
      <c r="J23" s="39"/>
      <c r="K23" s="39"/>
      <c r="L23" s="39"/>
      <c r="M23" s="39"/>
      <c r="N23" s="39"/>
    </row>
    <row r="24" spans="1:14">
      <c r="A24" s="17">
        <f>Returns!A24</f>
        <v>42826</v>
      </c>
      <c r="B24" s="22">
        <f>Returns!B24</f>
        <v>6.6666666666666664E-4</v>
      </c>
      <c r="C24" s="22">
        <f>Returns!C24</f>
        <v>9.0912085493182193E-3</v>
      </c>
      <c r="D24" s="22">
        <f>Returns!D24</f>
        <v>9.2158992312760368E-2</v>
      </c>
      <c r="F24" s="24"/>
      <c r="G24" s="24"/>
      <c r="H24" s="39"/>
      <c r="I24" s="39"/>
      <c r="J24" s="39"/>
      <c r="K24" s="39"/>
      <c r="L24" s="39"/>
      <c r="M24" s="39"/>
      <c r="N24" s="39"/>
    </row>
    <row r="25" spans="1:14">
      <c r="A25" s="17">
        <f>Returns!A25</f>
        <v>42795</v>
      </c>
      <c r="B25" s="22">
        <f>Returns!B25</f>
        <v>6.1666666666666673E-4</v>
      </c>
      <c r="C25" s="22">
        <f>Returns!C25</f>
        <v>-3.8919718808450021E-4</v>
      </c>
      <c r="D25" s="22">
        <f>Returns!D25</f>
        <v>-3.7273516530611173E-2</v>
      </c>
      <c r="F25" s="24"/>
      <c r="G25" s="24"/>
      <c r="H25" s="39"/>
      <c r="I25" s="39"/>
      <c r="J25" s="39"/>
      <c r="K25" s="39"/>
      <c r="L25" s="39"/>
      <c r="M25" s="39"/>
      <c r="N25" s="39"/>
    </row>
    <row r="26" spans="1:14">
      <c r="A26" s="17">
        <f>Returns!A26</f>
        <v>42767</v>
      </c>
      <c r="B26" s="22">
        <f>Returns!B26</f>
        <v>4.3333333333333337E-4</v>
      </c>
      <c r="C26" s="22">
        <f>Returns!C26</f>
        <v>3.7198160337279074E-2</v>
      </c>
      <c r="D26" s="22">
        <f>Returns!D26</f>
        <v>4.6777366819947375E-2</v>
      </c>
      <c r="F26" s="24"/>
      <c r="G26" s="24"/>
      <c r="H26" s="39"/>
      <c r="I26" s="39"/>
      <c r="J26" s="39"/>
      <c r="K26" s="39"/>
      <c r="L26" s="39"/>
      <c r="M26" s="39"/>
      <c r="N26" s="39"/>
    </row>
    <row r="27" spans="1:14">
      <c r="A27" s="17">
        <f>Returns!A27</f>
        <v>42736</v>
      </c>
      <c r="B27" s="22">
        <f>Returns!B27</f>
        <v>4.2500000000000003E-4</v>
      </c>
      <c r="C27" s="22">
        <f>Returns!C27</f>
        <v>1.7884358171464498E-2</v>
      </c>
      <c r="D27" s="22">
        <f>Returns!D27</f>
        <v>0.29112159755079325</v>
      </c>
      <c r="F27" s="24"/>
      <c r="G27" s="24"/>
      <c r="H27" s="39"/>
      <c r="I27" s="39"/>
      <c r="J27" s="39"/>
      <c r="K27" s="39"/>
      <c r="L27" s="39"/>
      <c r="M27" s="39"/>
      <c r="N27" s="39"/>
    </row>
    <row r="28" spans="1:14">
      <c r="A28" s="17">
        <f>Returns!A28</f>
        <v>42705</v>
      </c>
      <c r="B28" s="22">
        <f>Returns!B28</f>
        <v>4.2500000000000003E-4</v>
      </c>
      <c r="C28" s="22">
        <f>Returns!C28</f>
        <v>1.8200762196895148E-2</v>
      </c>
      <c r="D28" s="22">
        <f>Returns!D28</f>
        <v>9.4945264033921006E-3</v>
      </c>
      <c r="F28" s="24"/>
      <c r="G28" s="24"/>
      <c r="H28" s="39"/>
      <c r="I28" s="39"/>
      <c r="J28" s="39"/>
      <c r="K28" s="39"/>
      <c r="L28" s="39"/>
      <c r="M28" s="39"/>
      <c r="N28" s="39"/>
    </row>
    <row r="29" spans="1:14">
      <c r="A29" s="17">
        <f>Returns!A29</f>
        <v>42675</v>
      </c>
      <c r="B29" s="22">
        <f>Returns!B29</f>
        <v>3.7500000000000001E-4</v>
      </c>
      <c r="C29" s="22">
        <f>Returns!C29</f>
        <v>3.4174522187570444E-2</v>
      </c>
      <c r="D29" s="22">
        <f>Returns!D29</f>
        <v>0.17371356932153392</v>
      </c>
      <c r="F29" s="39"/>
      <c r="G29" s="39"/>
      <c r="H29" s="39"/>
      <c r="I29" s="39"/>
      <c r="J29" s="39"/>
      <c r="K29" s="39"/>
      <c r="L29" s="39"/>
      <c r="M29" s="39"/>
      <c r="N29" s="39"/>
    </row>
    <row r="30" spans="1:14">
      <c r="A30" s="17">
        <f>Returns!A30</f>
        <v>42644</v>
      </c>
      <c r="B30" s="22">
        <f>Returns!B30</f>
        <v>2.7500000000000002E-4</v>
      </c>
      <c r="C30" s="22">
        <f>Returns!C30</f>
        <v>-1.9425679279557517E-2</v>
      </c>
      <c r="D30" s="22">
        <f>Returns!D30</f>
        <v>3.2786885245905673E-4</v>
      </c>
      <c r="F30" s="39"/>
      <c r="G30" s="39"/>
      <c r="H30" s="39"/>
      <c r="I30" s="39"/>
      <c r="J30" s="39"/>
      <c r="K30" s="39"/>
      <c r="L30" s="39"/>
      <c r="M30" s="39"/>
      <c r="N30" s="39"/>
    </row>
    <row r="31" spans="1:14">
      <c r="A31" s="17">
        <f>Returns!A31</f>
        <v>42614</v>
      </c>
      <c r="B31" s="22">
        <f>Returns!B31</f>
        <v>2.4166666666666667E-4</v>
      </c>
      <c r="C31" s="22">
        <f>Returns!C31</f>
        <v>-1.2344508443253854E-3</v>
      </c>
      <c r="D31" s="22">
        <f>Returns!D31</f>
        <v>8.6280018165487249E-2</v>
      </c>
      <c r="F31" s="41"/>
      <c r="G31" s="41"/>
      <c r="H31" s="41"/>
      <c r="I31" s="41"/>
      <c r="J31" s="41"/>
      <c r="K31" s="41"/>
      <c r="L31" s="39"/>
      <c r="M31" s="39"/>
      <c r="N31" s="39"/>
    </row>
    <row r="32" spans="1:14">
      <c r="A32" s="17">
        <f>Returns!A32</f>
        <v>42583</v>
      </c>
      <c r="B32" s="22">
        <f>Returns!B32</f>
        <v>2.5000000000000001E-4</v>
      </c>
      <c r="C32" s="22">
        <f>Returns!C32</f>
        <v>-1.2192431360480427E-3</v>
      </c>
      <c r="D32" s="22">
        <f>Returns!D32</f>
        <v>-1.7648782209671587E-3</v>
      </c>
      <c r="F32" s="24"/>
      <c r="G32" s="24"/>
      <c r="H32" s="24"/>
      <c r="I32" s="24"/>
      <c r="J32" s="24"/>
      <c r="K32" s="24"/>
      <c r="L32" s="39"/>
      <c r="M32" s="39"/>
      <c r="N32" s="39"/>
    </row>
    <row r="33" spans="1:14">
      <c r="A33" s="17">
        <f>Returns!A33</f>
        <v>42552</v>
      </c>
      <c r="B33" s="22">
        <f>Returns!B33</f>
        <v>2.5000000000000001E-4</v>
      </c>
      <c r="C33" s="22">
        <f>Returns!C33</f>
        <v>3.5609801125254359E-2</v>
      </c>
      <c r="D33" s="22">
        <f>Returns!D33</f>
        <v>8.6273006134969243E-2</v>
      </c>
      <c r="F33" s="24"/>
      <c r="G33" s="24"/>
      <c r="H33" s="24"/>
      <c r="I33" s="24"/>
      <c r="J33" s="24"/>
      <c r="K33" s="24"/>
      <c r="L33" s="39"/>
      <c r="M33" s="39"/>
      <c r="N33" s="39"/>
    </row>
    <row r="34" spans="1:14">
      <c r="A34" s="17">
        <f>Returns!A34</f>
        <v>42522</v>
      </c>
      <c r="B34" s="22">
        <f>Returns!B34</f>
        <v>2.2500000000000002E-4</v>
      </c>
      <c r="C34" s="22">
        <f>Returns!C34</f>
        <v>9.1092112097812539E-4</v>
      </c>
      <c r="D34" s="22">
        <f>Returns!D34</f>
        <v>-4.9186530457814293E-3</v>
      </c>
      <c r="F34" s="24"/>
      <c r="G34" s="24"/>
      <c r="H34" s="24"/>
      <c r="I34" s="24"/>
      <c r="J34" s="24"/>
      <c r="K34" s="24"/>
      <c r="L34" s="39"/>
      <c r="M34" s="39"/>
      <c r="N34" s="39"/>
    </row>
    <row r="35" spans="1:14">
      <c r="A35" s="17">
        <f>Returns!A35</f>
        <v>42491</v>
      </c>
      <c r="B35" s="22">
        <f>Returns!B35</f>
        <v>2.2500000000000002E-4</v>
      </c>
      <c r="C35" s="22">
        <f>Returns!C35</f>
        <v>1.5324602357572603E-2</v>
      </c>
      <c r="D35" s="22">
        <f>Returns!D35</f>
        <v>-3.0803080308030806E-2</v>
      </c>
      <c r="F35" s="39"/>
      <c r="G35" s="39"/>
      <c r="H35" s="39"/>
      <c r="I35" s="39"/>
      <c r="J35" s="39"/>
      <c r="K35" s="39"/>
      <c r="L35" s="39"/>
      <c r="M35" s="39"/>
      <c r="N35" s="39"/>
    </row>
    <row r="36" spans="1:14">
      <c r="A36" s="17">
        <f>Returns!A36</f>
        <v>42461</v>
      </c>
      <c r="B36" s="22">
        <f>Returns!B36</f>
        <v>1.916666666666667E-4</v>
      </c>
      <c r="C36" s="22">
        <f>Returns!C36</f>
        <v>2.6993984808731941E-3</v>
      </c>
      <c r="D36" s="22">
        <f>Returns!D36</f>
        <v>5.9029126213592242E-2</v>
      </c>
      <c r="F36" s="41"/>
      <c r="G36" s="41"/>
      <c r="H36" s="41"/>
      <c r="I36" s="41"/>
      <c r="J36" s="41"/>
      <c r="K36" s="41"/>
      <c r="L36" s="41"/>
      <c r="M36" s="41"/>
      <c r="N36" s="41"/>
    </row>
    <row r="37" spans="1:14">
      <c r="A37" s="17">
        <f>Returns!A37</f>
        <v>42430</v>
      </c>
      <c r="B37" s="22">
        <f>Returns!B37</f>
        <v>2.4166666666666667E-4</v>
      </c>
      <c r="C37" s="22">
        <f>Returns!C37</f>
        <v>6.5991114577365062E-2</v>
      </c>
      <c r="D37" s="22">
        <f>Returns!D37</f>
        <v>7.5807832469255709E-2</v>
      </c>
      <c r="F37" s="24"/>
      <c r="G37" s="24"/>
      <c r="H37" s="24"/>
      <c r="I37" s="24"/>
      <c r="J37" s="24"/>
      <c r="K37" s="24"/>
      <c r="L37" s="24"/>
      <c r="M37" s="24"/>
      <c r="N37" s="24"/>
    </row>
    <row r="38" spans="1:14">
      <c r="A38" s="17">
        <f>Returns!A38</f>
        <v>42401</v>
      </c>
      <c r="B38" s="22">
        <f>Returns!B38</f>
        <v>2.5833333333333334E-4</v>
      </c>
      <c r="C38" s="22">
        <f>Returns!C38</f>
        <v>-4.1283604302990717E-3</v>
      </c>
      <c r="D38" s="22">
        <f>Returns!D38</f>
        <v>4.8653301476976551E-2</v>
      </c>
      <c r="F38" s="24"/>
      <c r="G38" s="24"/>
      <c r="H38" s="24"/>
      <c r="I38" s="24"/>
      <c r="J38" s="24"/>
      <c r="K38" s="24"/>
      <c r="L38" s="24"/>
      <c r="M38" s="24"/>
      <c r="N38" s="24"/>
    </row>
    <row r="39" spans="1:14">
      <c r="A39" s="14"/>
    </row>
    <row r="40" spans="1:14">
      <c r="A40" s="14"/>
    </row>
    <row r="41" spans="1:14">
      <c r="A41" s="14"/>
    </row>
    <row r="42" spans="1:14">
      <c r="A42" s="14"/>
    </row>
    <row r="43" spans="1:14">
      <c r="A43" s="14"/>
    </row>
    <row r="44" spans="1:14">
      <c r="A44" s="14"/>
    </row>
    <row r="45" spans="1:14">
      <c r="A45" s="14"/>
    </row>
    <row r="46" spans="1:14">
      <c r="A46" s="14"/>
    </row>
    <row r="47" spans="1:14">
      <c r="A47" s="14"/>
    </row>
    <row r="48" spans="1:14">
      <c r="A48" s="14"/>
    </row>
    <row r="49" spans="1:1">
      <c r="A49" s="14"/>
    </row>
    <row r="50" spans="1:1">
      <c r="A50" s="14"/>
    </row>
    <row r="51" spans="1:1">
      <c r="A51" s="14"/>
    </row>
    <row r="52" spans="1:1">
      <c r="A52" s="14"/>
    </row>
    <row r="53" spans="1:1">
      <c r="A53" s="14"/>
    </row>
    <row r="54" spans="1:1">
      <c r="A54" s="14"/>
    </row>
    <row r="55" spans="1:1">
      <c r="A55" s="14"/>
    </row>
    <row r="56" spans="1:1">
      <c r="A56" s="14"/>
    </row>
    <row r="57" spans="1:1">
      <c r="A57" s="14"/>
    </row>
    <row r="58" spans="1:1">
      <c r="A58" s="14"/>
    </row>
    <row r="59" spans="1:1">
      <c r="A59" s="14"/>
    </row>
    <row r="60" spans="1:1">
      <c r="A60" s="14"/>
    </row>
  </sheetData>
  <mergeCells count="3">
    <mergeCell ref="B1:D1"/>
    <mergeCell ref="F1:H1"/>
    <mergeCell ref="J1:S1"/>
  </mergeCells>
  <pageMargins left="0.7" right="0.7" top="0.75" bottom="0.75" header="0.3" footer="0.3"/>
  <pageSetup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031A0-386C-4505-A9F8-D987558BEB9C}">
  <dimension ref="A1:S60"/>
  <sheetViews>
    <sheetView zoomScale="70" zoomScaleNormal="70" workbookViewId="0">
      <selection activeCell="G20" sqref="G20"/>
    </sheetView>
  </sheetViews>
  <sheetFormatPr defaultRowHeight="14.4"/>
  <cols>
    <col min="1" max="1" width="13.77734375" bestFit="1" customWidth="1"/>
    <col min="2" max="2" width="13.6640625" bestFit="1" customWidth="1"/>
    <col min="5" max="5" width="1.5546875" customWidth="1"/>
    <col min="6" max="6" width="19.5546875" customWidth="1"/>
    <col min="7" max="7" width="9.44140625" customWidth="1"/>
    <col min="8" max="8" width="13.44140625" bestFit="1" customWidth="1"/>
    <col min="9" max="9" width="2.21875" customWidth="1"/>
    <col min="10" max="10" width="17.44140625" bestFit="1" customWidth="1"/>
    <col min="11" max="11" width="12.44140625" bestFit="1" customWidth="1"/>
    <col min="12" max="12" width="12" bestFit="1" customWidth="1"/>
    <col min="13" max="14" width="12.109375" bestFit="1" customWidth="1"/>
    <col min="15" max="15" width="12.44140625" bestFit="1" customWidth="1"/>
    <col min="16" max="16" width="12" bestFit="1" customWidth="1"/>
    <col min="17" max="18" width="12.109375" bestFit="1" customWidth="1"/>
  </cols>
  <sheetData>
    <row r="1" spans="1:19" ht="15" thickBot="1">
      <c r="B1" s="52" t="str">
        <f>Returns!B1</f>
        <v>Rates of Return</v>
      </c>
      <c r="C1" s="52"/>
      <c r="D1" s="52"/>
      <c r="F1" s="52" t="s">
        <v>23</v>
      </c>
      <c r="G1" s="52"/>
      <c r="H1" s="52"/>
      <c r="J1" s="53" t="s">
        <v>61</v>
      </c>
      <c r="K1" s="53"/>
      <c r="L1" s="53"/>
      <c r="M1" s="53"/>
      <c r="N1" s="53"/>
      <c r="O1" s="53"/>
      <c r="P1" s="53"/>
      <c r="Q1" s="53"/>
      <c r="R1" s="53"/>
      <c r="S1" s="53"/>
    </row>
    <row r="2" spans="1:19" ht="15" thickBot="1">
      <c r="B2" s="7" t="str">
        <f>Returns!B2</f>
        <v>3 Month T-Bill</v>
      </c>
      <c r="C2" s="7" t="str">
        <f>Returns!C2</f>
        <v>Standard &amp; Poor 500</v>
      </c>
      <c r="D2" s="7" t="str">
        <f>Returns!E2</f>
        <v>CSCO</v>
      </c>
      <c r="F2" s="7" t="s">
        <v>24</v>
      </c>
      <c r="G2" s="7"/>
      <c r="H2" s="7"/>
    </row>
    <row r="3" spans="1:19">
      <c r="A3" s="17">
        <f>Returns!A3</f>
        <v>43466</v>
      </c>
      <c r="B3" s="22">
        <f>Returns!B3</f>
        <v>1.9750000000000002E-3</v>
      </c>
      <c r="C3" s="22">
        <f>Returns!C3</f>
        <v>7.8684401655036762E-2</v>
      </c>
      <c r="D3" s="22">
        <f>Returns!E3</f>
        <v>9.900758832182821E-2</v>
      </c>
      <c r="F3" s="4" t="s">
        <v>25</v>
      </c>
      <c r="G3" t="s">
        <v>31</v>
      </c>
      <c r="H3">
        <f>CORREL(D:D,C:C)</f>
        <v>0.58660395354951955</v>
      </c>
    </row>
    <row r="4" spans="1:19">
      <c r="A4" s="17">
        <f>Returns!A4</f>
        <v>43435</v>
      </c>
      <c r="B4" s="22">
        <f>Returns!B4</f>
        <v>1.9750000000000002E-3</v>
      </c>
      <c r="C4" s="22">
        <f>Returns!C4</f>
        <v>-9.1776894596563907E-2</v>
      </c>
      <c r="D4" s="22">
        <f>Returns!E4</f>
        <v>-9.4840131498644897E-2</v>
      </c>
      <c r="F4" s="4" t="s">
        <v>26</v>
      </c>
      <c r="G4" t="s">
        <v>32</v>
      </c>
      <c r="H4">
        <f>H3^2</f>
        <v>0.34410419831992689</v>
      </c>
    </row>
    <row r="5" spans="1:19">
      <c r="A5" s="17">
        <f>Returns!A5</f>
        <v>43405</v>
      </c>
      <c r="B5" s="22">
        <f>Returns!B5</f>
        <v>1.9416666666666668E-3</v>
      </c>
      <c r="C5" s="22">
        <f>Returns!C5</f>
        <v>1.7859356788848979E-2</v>
      </c>
      <c r="D5" s="22">
        <f>Returns!E5</f>
        <v>4.6338775956284106E-2</v>
      </c>
      <c r="F5" s="4" t="s">
        <v>27</v>
      </c>
      <c r="H5">
        <f>RR-((k-1)/(N-k))*(1-RR)</f>
        <v>0.32481314532933653</v>
      </c>
    </row>
    <row r="6" spans="1:19">
      <c r="A6" s="17">
        <f>Returns!A6</f>
        <v>43374</v>
      </c>
      <c r="B6" s="22">
        <f>Returns!B6</f>
        <v>1.8749999999999999E-3</v>
      </c>
      <c r="C6" s="22">
        <f>Returns!C6</f>
        <v>-6.9403356024429486E-2</v>
      </c>
      <c r="D6" s="22">
        <f>Returns!E6</f>
        <v>-5.2826349318546795E-2</v>
      </c>
      <c r="F6" s="4" t="s">
        <v>28</v>
      </c>
      <c r="H6">
        <f>STEYX(D:D,C:C)</f>
        <v>4.3974938393007368E-2</v>
      </c>
    </row>
    <row r="7" spans="1:19">
      <c r="A7" s="17">
        <f>Returns!A7</f>
        <v>43344</v>
      </c>
      <c r="B7" s="22">
        <f>Returns!B7</f>
        <v>1.7749999999999999E-3</v>
      </c>
      <c r="C7" s="22">
        <f>Returns!C7</f>
        <v>4.2942871026614426E-3</v>
      </c>
      <c r="D7" s="22">
        <f>Returns!E7</f>
        <v>1.8421645384132157E-2</v>
      </c>
      <c r="F7" s="4" t="s">
        <v>29</v>
      </c>
      <c r="G7" t="s">
        <v>33</v>
      </c>
      <c r="H7">
        <f>COUNT(D:D)</f>
        <v>36</v>
      </c>
    </row>
    <row r="8" spans="1:19">
      <c r="A8" s="17">
        <f>Returns!A8</f>
        <v>43313</v>
      </c>
      <c r="B8" s="22">
        <f>Returns!B8</f>
        <v>1.6916666666666666E-3</v>
      </c>
      <c r="C8" s="22">
        <f>Returns!C8</f>
        <v>3.0263211466054596E-2</v>
      </c>
      <c r="D8" s="22">
        <f>Returns!E8</f>
        <v>0.12958143462801064</v>
      </c>
      <c r="F8" s="4" t="s">
        <v>30</v>
      </c>
      <c r="G8" t="s">
        <v>34</v>
      </c>
      <c r="H8">
        <v>2</v>
      </c>
    </row>
    <row r="9" spans="1:19" ht="15" thickBot="1">
      <c r="A9" s="17">
        <f>Returns!A9</f>
        <v>43282</v>
      </c>
      <c r="B9" s="22">
        <f>Returns!B9</f>
        <v>1.6333333333333332E-3</v>
      </c>
      <c r="C9" s="22">
        <f>Returns!C9</f>
        <v>3.6021556221367268E-2</v>
      </c>
      <c r="D9" s="22">
        <f>Returns!E9</f>
        <v>-9.5281898565696688E-3</v>
      </c>
    </row>
    <row r="10" spans="1:19" ht="15" thickBot="1">
      <c r="A10" s="17">
        <f>Returns!A10</f>
        <v>43252</v>
      </c>
      <c r="B10" s="22">
        <f>Returns!B10</f>
        <v>1.5833333333333333E-3</v>
      </c>
      <c r="C10" s="22">
        <f>Returns!C10</f>
        <v>4.8424360241865472E-3</v>
      </c>
      <c r="D10" s="22">
        <f>Returns!E10</f>
        <v>7.492390716281605E-3</v>
      </c>
      <c r="F10" s="7" t="s">
        <v>35</v>
      </c>
      <c r="G10" s="7"/>
      <c r="H10" s="7"/>
    </row>
    <row r="11" spans="1:19">
      <c r="A11" s="17">
        <f>Returns!A11</f>
        <v>43221</v>
      </c>
      <c r="B11" s="22">
        <f>Returns!B11</f>
        <v>1.5499999999999999E-3</v>
      </c>
      <c r="C11" s="22">
        <f>Returns!C11</f>
        <v>2.1608341965291933E-2</v>
      </c>
      <c r="D11" s="22">
        <f>Returns!E11</f>
        <v>-3.567401138690407E-2</v>
      </c>
      <c r="F11" s="4" t="s">
        <v>36</v>
      </c>
      <c r="G11" t="s">
        <v>44</v>
      </c>
      <c r="H11">
        <f>INTERCEPT(D:D, C:C)</f>
        <v>1.3631879227302147E-2</v>
      </c>
    </row>
    <row r="12" spans="1:19">
      <c r="A12" s="17">
        <f>Returns!A12</f>
        <v>43191</v>
      </c>
      <c r="B12" s="22">
        <f>Returns!B12</f>
        <v>1.4666666666666667E-3</v>
      </c>
      <c r="C12" s="22">
        <f>Returns!C12</f>
        <v>2.718775131643536E-3</v>
      </c>
      <c r="D12" s="22">
        <f>Returns!E12</f>
        <v>4.0335790168705588E-2</v>
      </c>
      <c r="F12" s="4" t="s">
        <v>37</v>
      </c>
      <c r="G12" t="s">
        <v>45</v>
      </c>
      <c r="H12">
        <f>SLOPE(D:D,C:C)</f>
        <v>0.97116722130974265</v>
      </c>
    </row>
    <row r="13" spans="1:19">
      <c r="A13" s="17">
        <f>Returns!A13</f>
        <v>43160</v>
      </c>
      <c r="B13" s="22">
        <f>Returns!B13</f>
        <v>1.4166666666666666E-3</v>
      </c>
      <c r="C13" s="22">
        <f>Returns!C13</f>
        <v>-2.6884498624825115E-2</v>
      </c>
      <c r="D13" s="22">
        <f>Returns!E13</f>
        <v>-4.2206343059543072E-2</v>
      </c>
      <c r="F13" s="23" t="s">
        <v>46</v>
      </c>
      <c r="H13">
        <f>rho*SQRT((N-k)/(1-rho^2))</f>
        <v>4.2234467091010659</v>
      </c>
    </row>
    <row r="14" spans="1:19" ht="15" thickBot="1">
      <c r="A14" s="17">
        <f>Returns!A14</f>
        <v>43132</v>
      </c>
      <c r="B14" s="22">
        <f>Returns!B14</f>
        <v>1.3083333333333332E-3</v>
      </c>
      <c r="C14" s="22">
        <f>Returns!C14</f>
        <v>-3.8947372061896912E-2</v>
      </c>
      <c r="D14" s="22">
        <f>Returns!E14</f>
        <v>7.7997061194100548E-2</v>
      </c>
    </row>
    <row r="15" spans="1:19" ht="15" thickBot="1">
      <c r="A15" s="17">
        <f>Returns!A15</f>
        <v>43101</v>
      </c>
      <c r="B15" s="22">
        <f>Returns!B15</f>
        <v>1.1749999999999998E-3</v>
      </c>
      <c r="C15" s="22">
        <f>Returns!C15</f>
        <v>5.6178704444133087E-2</v>
      </c>
      <c r="D15" s="22">
        <f>Returns!E15</f>
        <v>9.2167156453450527E-2</v>
      </c>
      <c r="F15" s="7" t="s">
        <v>38</v>
      </c>
      <c r="G15" s="7"/>
      <c r="H15" s="7"/>
    </row>
    <row r="16" spans="1:19">
      <c r="A16" s="17">
        <f>Returns!A16</f>
        <v>43070</v>
      </c>
      <c r="B16" s="22">
        <f>Returns!B16</f>
        <v>1.1000000000000001E-3</v>
      </c>
      <c r="C16" s="22">
        <f>Returns!C16</f>
        <v>3.4342557364422932E-2</v>
      </c>
      <c r="D16" s="22">
        <f>Returns!E16</f>
        <v>6.7446988086761639E-2</v>
      </c>
      <c r="G16" s="42" t="s">
        <v>39</v>
      </c>
      <c r="H16" s="42" t="s">
        <v>40</v>
      </c>
    </row>
    <row r="17" spans="1:14">
      <c r="A17" s="17">
        <f>Returns!A17</f>
        <v>43040</v>
      </c>
      <c r="B17" s="22">
        <f>Returns!B17</f>
        <v>1.0249999999999999E-3</v>
      </c>
      <c r="C17" s="22">
        <f>Returns!C17</f>
        <v>3.7200430103365711E-3</v>
      </c>
      <c r="D17" s="22">
        <f>Returns!E17</f>
        <v>5.065882573008329E-2</v>
      </c>
      <c r="F17" s="4" t="s">
        <v>41</v>
      </c>
      <c r="G17" s="15">
        <f>MIN(C:C)</f>
        <v>-9.1776894596563907E-2</v>
      </c>
      <c r="H17" s="15">
        <f>alpha +beta * G17</f>
        <v>-7.5498832478479952E-2</v>
      </c>
    </row>
    <row r="18" spans="1:14">
      <c r="A18" s="17">
        <f>Returns!A18</f>
        <v>43009</v>
      </c>
      <c r="B18" s="22">
        <f>Returns!B18</f>
        <v>8.9166666666666669E-4</v>
      </c>
      <c r="C18" s="22">
        <f>Returns!C18</f>
        <v>2.218813533034969E-2</v>
      </c>
      <c r="D18" s="22">
        <f>Returns!E18</f>
        <v>2.408566684253155E-2</v>
      </c>
      <c r="F18" s="4" t="s">
        <v>42</v>
      </c>
      <c r="G18" s="15">
        <f>AVERAGE(C:C)</f>
        <v>9.7773852046508548E-3</v>
      </c>
      <c r="H18" s="15">
        <f>alpha +beta * G18</f>
        <v>2.3127355248177908E-2</v>
      </c>
    </row>
    <row r="19" spans="1:14">
      <c r="A19" s="17">
        <f>Returns!A19</f>
        <v>42979</v>
      </c>
      <c r="B19" s="22">
        <f>Returns!B19</f>
        <v>8.5833333333333334E-4</v>
      </c>
      <c r="C19" s="22">
        <f>Returns!C19</f>
        <v>1.9302978533243698E-2</v>
      </c>
      <c r="D19" s="22">
        <f>Returns!E19</f>
        <v>4.4085751135850559E-2</v>
      </c>
      <c r="F19" s="4" t="s">
        <v>43</v>
      </c>
      <c r="G19" s="15">
        <f>MAX(C:C)</f>
        <v>7.8684401655036762E-2</v>
      </c>
      <c r="H19" s="15">
        <f>alpha +beta * G19</f>
        <v>9.0047590943043918E-2</v>
      </c>
    </row>
    <row r="20" spans="1:14">
      <c r="A20" s="17">
        <f>Returns!A20</f>
        <v>42948</v>
      </c>
      <c r="B20" s="22">
        <f>Returns!B20</f>
        <v>8.4166666666666667E-4</v>
      </c>
      <c r="C20" s="22">
        <f>Returns!C20</f>
        <v>5.4643281108557318E-4</v>
      </c>
      <c r="D20" s="22">
        <f>Returns!E20</f>
        <v>2.4165277451024592E-2</v>
      </c>
    </row>
    <row r="21" spans="1:14">
      <c r="A21" s="17">
        <f>Returns!A21</f>
        <v>42917</v>
      </c>
      <c r="B21" s="22">
        <f>Returns!B21</f>
        <v>8.9166666666666669E-4</v>
      </c>
      <c r="C21" s="22">
        <f>Returns!C21</f>
        <v>1.9348826118030571E-2</v>
      </c>
      <c r="D21" s="22">
        <f>Returns!E21</f>
        <v>4.7923963192459951E-3</v>
      </c>
      <c r="F21" s="39"/>
      <c r="G21" s="39"/>
      <c r="H21" s="39"/>
      <c r="I21" s="39"/>
      <c r="J21" s="39"/>
      <c r="K21" s="39"/>
      <c r="L21" s="39"/>
      <c r="M21" s="39"/>
      <c r="N21" s="39"/>
    </row>
    <row r="22" spans="1:14">
      <c r="A22" s="17">
        <f>Returns!A22</f>
        <v>42887</v>
      </c>
      <c r="B22" s="22">
        <f>Returns!B22</f>
        <v>8.166666666666666E-4</v>
      </c>
      <c r="C22" s="22">
        <f>Returns!C22</f>
        <v>4.8137750908554544E-3</v>
      </c>
      <c r="D22" s="22">
        <f>Returns!E22</f>
        <v>-7.2947032256674982E-3</v>
      </c>
      <c r="F22" s="39"/>
      <c r="G22" s="39"/>
      <c r="H22" s="39"/>
      <c r="I22" s="39"/>
      <c r="J22" s="39"/>
      <c r="K22" s="39"/>
      <c r="L22" s="39"/>
      <c r="M22" s="39"/>
      <c r="N22" s="39"/>
    </row>
    <row r="23" spans="1:14">
      <c r="A23" s="17">
        <f>Returns!A23</f>
        <v>42856</v>
      </c>
      <c r="B23" s="22">
        <f>Returns!B23</f>
        <v>7.4166666666666673E-4</v>
      </c>
      <c r="C23" s="22">
        <f>Returns!C23</f>
        <v>1.157625139134133E-2</v>
      </c>
      <c r="D23" s="22">
        <f>Returns!E23</f>
        <v>-7.4552362782506654E-2</v>
      </c>
      <c r="F23" s="40"/>
      <c r="G23" s="40"/>
      <c r="H23" s="39"/>
      <c r="I23" s="39"/>
      <c r="J23" s="39"/>
      <c r="K23" s="39"/>
      <c r="L23" s="39"/>
      <c r="M23" s="39"/>
      <c r="N23" s="39"/>
    </row>
    <row r="24" spans="1:14">
      <c r="A24" s="17">
        <f>Returns!A24</f>
        <v>42826</v>
      </c>
      <c r="B24" s="22">
        <f>Returns!B24</f>
        <v>6.6666666666666664E-4</v>
      </c>
      <c r="C24" s="22">
        <f>Returns!C24</f>
        <v>9.0912085493182193E-3</v>
      </c>
      <c r="D24" s="22">
        <f>Returns!E24</f>
        <v>1.656807741325661E-2</v>
      </c>
      <c r="F24" s="24"/>
      <c r="G24" s="24"/>
      <c r="H24" s="39"/>
      <c r="I24" s="39"/>
      <c r="J24" s="39"/>
      <c r="K24" s="39"/>
      <c r="L24" s="39"/>
      <c r="M24" s="39"/>
      <c r="N24" s="39"/>
    </row>
    <row r="25" spans="1:14">
      <c r="A25" s="17">
        <f>Returns!A25</f>
        <v>42795</v>
      </c>
      <c r="B25" s="22">
        <f>Returns!B25</f>
        <v>6.1666666666666673E-4</v>
      </c>
      <c r="C25" s="22">
        <f>Returns!C25</f>
        <v>-3.8919718808450021E-4</v>
      </c>
      <c r="D25" s="22">
        <f>Returns!E25</f>
        <v>-1.111764189584552E-2</v>
      </c>
      <c r="F25" s="24"/>
      <c r="G25" s="24"/>
      <c r="H25" s="39"/>
      <c r="I25" s="39"/>
      <c r="J25" s="39"/>
      <c r="K25" s="39"/>
      <c r="L25" s="39"/>
      <c r="M25" s="39"/>
      <c r="N25" s="39"/>
    </row>
    <row r="26" spans="1:14">
      <c r="A26" s="17">
        <f>Returns!A26</f>
        <v>42767</v>
      </c>
      <c r="B26" s="22">
        <f>Returns!B26</f>
        <v>4.3333333333333337E-4</v>
      </c>
      <c r="C26" s="22">
        <f>Returns!C26</f>
        <v>3.7198160337279074E-2</v>
      </c>
      <c r="D26" s="22">
        <f>Returns!E26</f>
        <v>0.11263024455176573</v>
      </c>
      <c r="F26" s="24"/>
      <c r="G26" s="24"/>
      <c r="H26" s="39"/>
      <c r="I26" s="39"/>
      <c r="J26" s="39"/>
      <c r="K26" s="39"/>
      <c r="L26" s="39"/>
      <c r="M26" s="39"/>
      <c r="N26" s="39"/>
    </row>
    <row r="27" spans="1:14">
      <c r="A27" s="17">
        <f>Returns!A27</f>
        <v>42736</v>
      </c>
      <c r="B27" s="22">
        <f>Returns!B27</f>
        <v>4.2500000000000003E-4</v>
      </c>
      <c r="C27" s="22">
        <f>Returns!C27</f>
        <v>1.7884358171464498E-2</v>
      </c>
      <c r="D27" s="22">
        <f>Returns!E27</f>
        <v>2.5148908840135986E-2</v>
      </c>
      <c r="F27" s="24"/>
      <c r="G27" s="24"/>
      <c r="H27" s="39"/>
      <c r="I27" s="39"/>
      <c r="J27" s="39"/>
      <c r="K27" s="39"/>
      <c r="L27" s="39"/>
      <c r="M27" s="39"/>
      <c r="N27" s="39"/>
    </row>
    <row r="28" spans="1:14">
      <c r="A28" s="17">
        <f>Returns!A28</f>
        <v>42705</v>
      </c>
      <c r="B28" s="22">
        <f>Returns!B28</f>
        <v>4.2500000000000003E-4</v>
      </c>
      <c r="C28" s="22">
        <f>Returns!C28</f>
        <v>1.8200762196895148E-2</v>
      </c>
      <c r="D28" s="22">
        <f>Returns!E28</f>
        <v>1.3413782696177101E-2</v>
      </c>
      <c r="F28" s="24"/>
      <c r="G28" s="24"/>
      <c r="H28" s="39"/>
      <c r="I28" s="39"/>
      <c r="J28" s="39"/>
      <c r="K28" s="39"/>
      <c r="L28" s="39"/>
      <c r="M28" s="39"/>
      <c r="N28" s="39"/>
    </row>
    <row r="29" spans="1:14">
      <c r="A29" s="17">
        <f>Returns!A29</f>
        <v>42675</v>
      </c>
      <c r="B29" s="22">
        <f>Returns!B29</f>
        <v>3.7500000000000001E-4</v>
      </c>
      <c r="C29" s="22">
        <f>Returns!C29</f>
        <v>3.4174522187570444E-2</v>
      </c>
      <c r="D29" s="22">
        <f>Returns!E29</f>
        <v>-2.8031290743155135E-2</v>
      </c>
      <c r="F29" s="39"/>
      <c r="G29" s="39"/>
      <c r="H29" s="39"/>
      <c r="I29" s="39"/>
      <c r="J29" s="39"/>
      <c r="K29" s="39"/>
      <c r="L29" s="39"/>
      <c r="M29" s="39"/>
      <c r="N29" s="39"/>
    </row>
    <row r="30" spans="1:14">
      <c r="A30" s="17">
        <f>Returns!A30</f>
        <v>42644</v>
      </c>
      <c r="B30" s="22">
        <f>Returns!B30</f>
        <v>2.7500000000000002E-4</v>
      </c>
      <c r="C30" s="22">
        <f>Returns!C30</f>
        <v>-1.9425679279557517E-2</v>
      </c>
      <c r="D30" s="22">
        <f>Returns!E30</f>
        <v>-2.4590133183799878E-2</v>
      </c>
      <c r="F30" s="39"/>
      <c r="G30" s="39"/>
      <c r="H30" s="39"/>
      <c r="I30" s="39"/>
      <c r="J30" s="39"/>
      <c r="K30" s="39"/>
      <c r="L30" s="39"/>
      <c r="M30" s="39"/>
      <c r="N30" s="39"/>
    </row>
    <row r="31" spans="1:14">
      <c r="A31" s="17">
        <f>Returns!A31</f>
        <v>42614</v>
      </c>
      <c r="B31" s="22">
        <f>Returns!B31</f>
        <v>2.4166666666666667E-4</v>
      </c>
      <c r="C31" s="22">
        <f>Returns!C31</f>
        <v>-1.2344508443253854E-3</v>
      </c>
      <c r="D31" s="22">
        <f>Returns!E31</f>
        <v>8.9057885208083665E-3</v>
      </c>
      <c r="F31" s="41"/>
      <c r="G31" s="41"/>
      <c r="H31" s="41"/>
      <c r="I31" s="41"/>
      <c r="J31" s="41"/>
      <c r="K31" s="41"/>
      <c r="L31" s="39"/>
      <c r="M31" s="39"/>
      <c r="N31" s="39"/>
    </row>
    <row r="32" spans="1:14">
      <c r="A32" s="17">
        <f>Returns!A32</f>
        <v>42583</v>
      </c>
      <c r="B32" s="22">
        <f>Returns!B32</f>
        <v>2.5000000000000001E-4</v>
      </c>
      <c r="C32" s="22">
        <f>Returns!C32</f>
        <v>-1.2192431360480427E-3</v>
      </c>
      <c r="D32" s="22">
        <f>Returns!E32</f>
        <v>2.9806746485203206E-2</v>
      </c>
      <c r="F32" s="24"/>
      <c r="G32" s="24"/>
      <c r="H32" s="24"/>
      <c r="I32" s="24"/>
      <c r="J32" s="24"/>
      <c r="K32" s="24"/>
      <c r="L32" s="39"/>
      <c r="M32" s="39"/>
      <c r="N32" s="39"/>
    </row>
    <row r="33" spans="1:14">
      <c r="A33" s="17">
        <f>Returns!A33</f>
        <v>42552</v>
      </c>
      <c r="B33" s="22">
        <f>Returns!B33</f>
        <v>2.5000000000000001E-4</v>
      </c>
      <c r="C33" s="22">
        <f>Returns!C33</f>
        <v>3.5609801125254359E-2</v>
      </c>
      <c r="D33" s="22">
        <f>Returns!E33</f>
        <v>7.319623307088774E-2</v>
      </c>
      <c r="F33" s="24"/>
      <c r="G33" s="24"/>
      <c r="H33" s="24"/>
      <c r="I33" s="24"/>
      <c r="J33" s="24"/>
      <c r="K33" s="24"/>
      <c r="L33" s="39"/>
      <c r="M33" s="39"/>
      <c r="N33" s="39"/>
    </row>
    <row r="34" spans="1:14">
      <c r="A34" s="17">
        <f>Returns!A34</f>
        <v>42522</v>
      </c>
      <c r="B34" s="22">
        <f>Returns!B34</f>
        <v>2.2500000000000002E-4</v>
      </c>
      <c r="C34" s="22">
        <f>Returns!C34</f>
        <v>9.1092112097812539E-4</v>
      </c>
      <c r="D34" s="22">
        <f>Returns!E34</f>
        <v>-1.2392358430029615E-2</v>
      </c>
      <c r="F34" s="24"/>
      <c r="G34" s="24"/>
      <c r="H34" s="24"/>
      <c r="I34" s="24"/>
      <c r="J34" s="24"/>
      <c r="K34" s="24"/>
      <c r="L34" s="39"/>
      <c r="M34" s="39"/>
      <c r="N34" s="39"/>
    </row>
    <row r="35" spans="1:14">
      <c r="A35" s="17">
        <f>Returns!A35</f>
        <v>42491</v>
      </c>
      <c r="B35" s="22">
        <f>Returns!B35</f>
        <v>2.2500000000000002E-4</v>
      </c>
      <c r="C35" s="22">
        <f>Returns!C35</f>
        <v>1.5324602357572603E-2</v>
      </c>
      <c r="D35" s="22">
        <f>Returns!E35</f>
        <v>5.6747871953437556E-2</v>
      </c>
      <c r="F35" s="39"/>
      <c r="G35" s="39"/>
      <c r="H35" s="39"/>
      <c r="I35" s="39"/>
      <c r="J35" s="39"/>
      <c r="K35" s="39"/>
      <c r="L35" s="39"/>
      <c r="M35" s="39"/>
      <c r="N35" s="39"/>
    </row>
    <row r="36" spans="1:14">
      <c r="A36" s="17">
        <f>Returns!A36</f>
        <v>42461</v>
      </c>
      <c r="B36" s="22">
        <f>Returns!B36</f>
        <v>1.916666666666667E-4</v>
      </c>
      <c r="C36" s="22">
        <f>Returns!C36</f>
        <v>2.6993984808731941E-3</v>
      </c>
      <c r="D36" s="22">
        <f>Returns!E36</f>
        <v>-2.5289744478038112E-2</v>
      </c>
      <c r="F36" s="41"/>
      <c r="G36" s="41"/>
      <c r="H36" s="41"/>
      <c r="I36" s="41"/>
      <c r="J36" s="41"/>
      <c r="K36" s="41"/>
      <c r="L36" s="41"/>
      <c r="M36" s="41"/>
      <c r="N36" s="41"/>
    </row>
    <row r="37" spans="1:14">
      <c r="A37" s="17">
        <f>Returns!A37</f>
        <v>42430</v>
      </c>
      <c r="B37" s="22">
        <f>Returns!B37</f>
        <v>2.4166666666666667E-4</v>
      </c>
      <c r="C37" s="22">
        <f>Returns!C37</f>
        <v>6.5991114577365062E-2</v>
      </c>
      <c r="D37" s="22">
        <f>Returns!E37</f>
        <v>8.7471313980137522E-2</v>
      </c>
      <c r="F37" s="24"/>
      <c r="G37" s="24"/>
      <c r="H37" s="24"/>
      <c r="I37" s="24"/>
      <c r="J37" s="24"/>
      <c r="K37" s="24"/>
      <c r="L37" s="24"/>
      <c r="M37" s="24"/>
      <c r="N37" s="24"/>
    </row>
    <row r="38" spans="1:14">
      <c r="A38" s="17">
        <f>Returns!A38</f>
        <v>42401</v>
      </c>
      <c r="B38" s="22">
        <f>Returns!B38</f>
        <v>2.5833333333333334E-4</v>
      </c>
      <c r="C38" s="22">
        <f>Returns!C38</f>
        <v>-4.1283604302990717E-3</v>
      </c>
      <c r="D38" s="22">
        <f>Returns!E38</f>
        <v>0.10046233289355477</v>
      </c>
      <c r="F38" s="24"/>
      <c r="G38" s="24"/>
      <c r="H38" s="24"/>
      <c r="I38" s="24"/>
      <c r="J38" s="24"/>
      <c r="K38" s="24"/>
      <c r="L38" s="24"/>
      <c r="M38" s="24"/>
      <c r="N38" s="24"/>
    </row>
    <row r="39" spans="1:14">
      <c r="A39" s="14"/>
    </row>
    <row r="40" spans="1:14">
      <c r="A40" s="14"/>
    </row>
    <row r="41" spans="1:14">
      <c r="A41" s="14"/>
    </row>
    <row r="42" spans="1:14">
      <c r="A42" s="14"/>
    </row>
    <row r="43" spans="1:14">
      <c r="A43" s="14"/>
    </row>
    <row r="44" spans="1:14">
      <c r="A44" s="14"/>
    </row>
    <row r="45" spans="1:14">
      <c r="A45" s="14"/>
    </row>
    <row r="46" spans="1:14">
      <c r="A46" s="14"/>
    </row>
    <row r="47" spans="1:14">
      <c r="A47" s="14"/>
    </row>
    <row r="48" spans="1:14">
      <c r="A48" s="14"/>
    </row>
    <row r="49" spans="1:1">
      <c r="A49" s="14"/>
    </row>
    <row r="50" spans="1:1">
      <c r="A50" s="14"/>
    </row>
    <row r="51" spans="1:1">
      <c r="A51" s="14"/>
    </row>
    <row r="52" spans="1:1">
      <c r="A52" s="14"/>
    </row>
    <row r="53" spans="1:1">
      <c r="A53" s="14"/>
    </row>
    <row r="54" spans="1:1">
      <c r="A54" s="14"/>
    </row>
    <row r="55" spans="1:1">
      <c r="A55" s="14"/>
    </row>
    <row r="56" spans="1:1">
      <c r="A56" s="14"/>
    </row>
    <row r="57" spans="1:1">
      <c r="A57" s="14"/>
    </row>
    <row r="58" spans="1:1">
      <c r="A58" s="14"/>
    </row>
    <row r="59" spans="1:1">
      <c r="A59" s="14"/>
    </row>
    <row r="60" spans="1:1">
      <c r="A60" s="14"/>
    </row>
  </sheetData>
  <mergeCells count="3">
    <mergeCell ref="B1:D1"/>
    <mergeCell ref="F1:H1"/>
    <mergeCell ref="J1:S1"/>
  </mergeCells>
  <pageMargins left="0.7" right="0.7" top="0.75" bottom="0.75" header="0.3" footer="0.3"/>
  <pageSetup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A51B9-5C68-4ED5-AB22-08E865F2E6F9}">
  <dimension ref="A1:S60"/>
  <sheetViews>
    <sheetView zoomScale="70" zoomScaleNormal="70" workbookViewId="0">
      <selection activeCell="D3" sqref="D3"/>
    </sheetView>
  </sheetViews>
  <sheetFormatPr defaultRowHeight="14.4"/>
  <cols>
    <col min="1" max="1" width="13.77734375" bestFit="1" customWidth="1"/>
    <col min="2" max="2" width="13.6640625" bestFit="1" customWidth="1"/>
    <col min="4" max="4" width="14.6640625" bestFit="1" customWidth="1"/>
    <col min="5" max="5" width="1.5546875" customWidth="1"/>
    <col min="6" max="6" width="19.5546875" customWidth="1"/>
    <col min="7" max="7" width="9.44140625" customWidth="1"/>
    <col min="8" max="8" width="13.44140625" bestFit="1" customWidth="1"/>
    <col min="9" max="9" width="2.21875" customWidth="1"/>
    <col min="10" max="10" width="17.44140625" bestFit="1" customWidth="1"/>
    <col min="11" max="11" width="12.44140625" bestFit="1" customWidth="1"/>
    <col min="12" max="12" width="12" bestFit="1" customWidth="1"/>
    <col min="13" max="14" width="12.109375" bestFit="1" customWidth="1"/>
    <col min="15" max="15" width="12.44140625" bestFit="1" customWidth="1"/>
    <col min="16" max="16" width="12" bestFit="1" customWidth="1"/>
    <col min="17" max="18" width="12.109375" bestFit="1" customWidth="1"/>
  </cols>
  <sheetData>
    <row r="1" spans="1:19" ht="15" thickBot="1">
      <c r="B1" s="52" t="str">
        <f>Returns!B1</f>
        <v>Rates of Return</v>
      </c>
      <c r="C1" s="52"/>
      <c r="D1" s="52"/>
      <c r="F1" s="52" t="s">
        <v>23</v>
      </c>
      <c r="G1" s="52"/>
      <c r="H1" s="52"/>
      <c r="J1" s="53" t="s">
        <v>57</v>
      </c>
      <c r="K1" s="53"/>
      <c r="L1" s="53"/>
      <c r="M1" s="53"/>
      <c r="N1" s="53"/>
      <c r="O1" s="53"/>
      <c r="P1" s="53"/>
      <c r="Q1" s="53"/>
      <c r="R1" s="53"/>
      <c r="S1" s="53"/>
    </row>
    <row r="2" spans="1:19" ht="15" thickBot="1">
      <c r="B2" s="7" t="str">
        <f>Returns!B2</f>
        <v>3 Month T-Bill</v>
      </c>
      <c r="C2" s="7" t="str">
        <f>Returns!C2</f>
        <v>Standard &amp; Poor 500</v>
      </c>
      <c r="D2" s="7" t="str">
        <f>Returns!F2</f>
        <v>50/50 Portfolio</v>
      </c>
      <c r="F2" s="7" t="s">
        <v>24</v>
      </c>
      <c r="G2" s="7"/>
      <c r="H2" s="7"/>
    </row>
    <row r="3" spans="1:19">
      <c r="A3" s="17">
        <f>Returns!A3</f>
        <v>43466</v>
      </c>
      <c r="B3" s="22">
        <f>Returns!B3</f>
        <v>1.9750000000000002E-3</v>
      </c>
      <c r="C3" s="22">
        <f>Returns!C3</f>
        <v>7.8684401655036762E-2</v>
      </c>
      <c r="D3" s="22">
        <f>Returns!F3</f>
        <v>7.8233843593876418E-2</v>
      </c>
      <c r="F3" s="4" t="s">
        <v>25</v>
      </c>
      <c r="G3" t="s">
        <v>31</v>
      </c>
      <c r="H3">
        <f>CORREL(D:D,C:C)</f>
        <v>0.6712979268039112</v>
      </c>
    </row>
    <row r="4" spans="1:19">
      <c r="A4" s="17">
        <f>Returns!A4</f>
        <v>43435</v>
      </c>
      <c r="B4" s="22">
        <f>Returns!B4</f>
        <v>1.9750000000000002E-3</v>
      </c>
      <c r="C4" s="22">
        <f>Returns!C4</f>
        <v>-9.1776894596563907E-2</v>
      </c>
      <c r="D4" s="22">
        <f>Returns!F4</f>
        <v>-0.11846506386490824</v>
      </c>
      <c r="F4" s="4" t="s">
        <v>26</v>
      </c>
      <c r="G4" t="s">
        <v>32</v>
      </c>
      <c r="H4">
        <f>H3^2</f>
        <v>0.45064090653122935</v>
      </c>
    </row>
    <row r="5" spans="1:19">
      <c r="A5" s="17">
        <f>Returns!A5</f>
        <v>43405</v>
      </c>
      <c r="B5" s="22">
        <f>Returns!B5</f>
        <v>1.9416666666666668E-3</v>
      </c>
      <c r="C5" s="22">
        <f>Returns!C5</f>
        <v>1.7859356788848979E-2</v>
      </c>
      <c r="D5" s="22">
        <f>Returns!F5</f>
        <v>5.054374134186046E-2</v>
      </c>
      <c r="F5" s="4" t="s">
        <v>27</v>
      </c>
      <c r="H5">
        <f>RR-((k-1)/(N-k))*(1-RR)</f>
        <v>0.43448328613508902</v>
      </c>
    </row>
    <row r="6" spans="1:19">
      <c r="A6" s="17">
        <f>Returns!A6</f>
        <v>43374</v>
      </c>
      <c r="B6" s="22">
        <f>Returns!B6</f>
        <v>1.8749999999999999E-3</v>
      </c>
      <c r="C6" s="22">
        <f>Returns!C6</f>
        <v>-6.9403356024429486E-2</v>
      </c>
      <c r="D6" s="22">
        <f>Returns!F6</f>
        <v>-6.1457076007933764E-2</v>
      </c>
      <c r="F6" s="4" t="s">
        <v>28</v>
      </c>
      <c r="H6">
        <f>STEYX(D:D,C:C)</f>
        <v>3.8444326418824969E-2</v>
      </c>
    </row>
    <row r="7" spans="1:19">
      <c r="A7" s="17">
        <f>Returns!A7</f>
        <v>43344</v>
      </c>
      <c r="B7" s="22">
        <f>Returns!B7</f>
        <v>1.7749999999999999E-3</v>
      </c>
      <c r="C7" s="22">
        <f>Returns!C7</f>
        <v>4.2942871026614426E-3</v>
      </c>
      <c r="D7" s="22">
        <f>Returns!F7</f>
        <v>9.682768459490898E-3</v>
      </c>
      <c r="F7" s="4" t="s">
        <v>29</v>
      </c>
      <c r="G7" t="s">
        <v>33</v>
      </c>
      <c r="H7">
        <f>COUNT(D:D)</f>
        <v>36</v>
      </c>
    </row>
    <row r="8" spans="1:19">
      <c r="A8" s="17">
        <f>Returns!A8</f>
        <v>43313</v>
      </c>
      <c r="B8" s="22">
        <f>Returns!B8</f>
        <v>1.6916666666666666E-3</v>
      </c>
      <c r="C8" s="22">
        <f>Returns!C8</f>
        <v>3.0263211466054596E-2</v>
      </c>
      <c r="D8" s="22">
        <f>Returns!F8</f>
        <v>8.9408742214967307E-2</v>
      </c>
      <c r="F8" s="4" t="s">
        <v>30</v>
      </c>
      <c r="G8" t="s">
        <v>34</v>
      </c>
      <c r="H8">
        <v>2</v>
      </c>
    </row>
    <row r="9" spans="1:19" ht="15" thickBot="1">
      <c r="A9" s="17">
        <f>Returns!A9</f>
        <v>43282</v>
      </c>
      <c r="B9" s="22">
        <f>Returns!B9</f>
        <v>1.6333333333333332E-3</v>
      </c>
      <c r="C9" s="22">
        <f>Returns!C9</f>
        <v>3.6021556221367268E-2</v>
      </c>
      <c r="D9" s="22">
        <f>Returns!F9</f>
        <v>4.9328105668958899E-2</v>
      </c>
    </row>
    <row r="10" spans="1:19" ht="15" thickBot="1">
      <c r="A10" s="17">
        <f>Returns!A10</f>
        <v>43252</v>
      </c>
      <c r="B10" s="22">
        <f>Returns!B10</f>
        <v>1.5833333333333333E-3</v>
      </c>
      <c r="C10" s="22">
        <f>Returns!C10</f>
        <v>4.8424360241865472E-3</v>
      </c>
      <c r="D10" s="22">
        <f>Returns!F10</f>
        <v>-1.5902545927811151E-3</v>
      </c>
      <c r="F10" s="7" t="s">
        <v>35</v>
      </c>
      <c r="G10" s="7"/>
      <c r="H10" s="7"/>
    </row>
    <row r="11" spans="1:19">
      <c r="A11" s="17">
        <f>Returns!A11</f>
        <v>43221</v>
      </c>
      <c r="B11" s="22">
        <f>Returns!B11</f>
        <v>1.5499999999999999E-3</v>
      </c>
      <c r="C11" s="22">
        <f>Returns!C11</f>
        <v>2.1608341965291933E-2</v>
      </c>
      <c r="D11" s="22">
        <f>Returns!F11</f>
        <v>2.6446569728059588E-2</v>
      </c>
      <c r="F11" s="4" t="s">
        <v>36</v>
      </c>
      <c r="G11" t="s">
        <v>44</v>
      </c>
      <c r="H11">
        <f>INTERCEPT(D:D, C:C)</f>
        <v>1.8128860019739956E-2</v>
      </c>
    </row>
    <row r="12" spans="1:19">
      <c r="A12" s="17">
        <f>Returns!A12</f>
        <v>43191</v>
      </c>
      <c r="B12" s="22">
        <f>Returns!B12</f>
        <v>1.4666666666666667E-3</v>
      </c>
      <c r="C12" s="22">
        <f>Returns!C12</f>
        <v>2.718775131643536E-3</v>
      </c>
      <c r="D12" s="22">
        <f>Returns!F12</f>
        <v>5.3196077332210989E-2</v>
      </c>
      <c r="F12" s="4" t="s">
        <v>37</v>
      </c>
      <c r="G12" t="s">
        <v>45</v>
      </c>
      <c r="H12">
        <f>SLOPE(D:D,C:C)</f>
        <v>1.0616481786035932</v>
      </c>
    </row>
    <row r="13" spans="1:19">
      <c r="A13" s="17">
        <f>Returns!A13</f>
        <v>43160</v>
      </c>
      <c r="B13" s="22">
        <f>Returns!B13</f>
        <v>1.4166666666666666E-3</v>
      </c>
      <c r="C13" s="22">
        <f>Returns!C13</f>
        <v>-2.6884498624825115E-2</v>
      </c>
      <c r="D13" s="22">
        <f>Returns!F13</f>
        <v>-9.0587108668332972E-4</v>
      </c>
      <c r="F13" s="23" t="s">
        <v>46</v>
      </c>
      <c r="H13">
        <f>rho*SQRT((N-k)/(1-rho^2))</f>
        <v>5.2811269283840598</v>
      </c>
    </row>
    <row r="14" spans="1:19" ht="15" thickBot="1">
      <c r="A14" s="17">
        <f>Returns!A14</f>
        <v>43132</v>
      </c>
      <c r="B14" s="22">
        <f>Returns!B14</f>
        <v>1.3083333333333332E-3</v>
      </c>
      <c r="C14" s="22">
        <f>Returns!C14</f>
        <v>-3.8947372061896912E-2</v>
      </c>
      <c r="D14" s="22">
        <f>Returns!F14</f>
        <v>1.2135759767386733E-2</v>
      </c>
    </row>
    <row r="15" spans="1:19" ht="15" thickBot="1">
      <c r="A15" s="17">
        <f>Returns!A15</f>
        <v>43101</v>
      </c>
      <c r="B15" s="22">
        <f>Returns!B15</f>
        <v>1.1749999999999998E-3</v>
      </c>
      <c r="C15" s="22">
        <f>Returns!C15</f>
        <v>5.6178704444133087E-2</v>
      </c>
      <c r="D15" s="22">
        <f>Returns!F15</f>
        <v>6.2080688424765995E-2</v>
      </c>
      <c r="F15" s="7" t="s">
        <v>38</v>
      </c>
      <c r="G15" s="7"/>
      <c r="H15" s="7"/>
    </row>
    <row r="16" spans="1:19">
      <c r="A16" s="17">
        <f>Returns!A16</f>
        <v>43070</v>
      </c>
      <c r="B16" s="22">
        <f>Returns!B16</f>
        <v>1.1000000000000001E-3</v>
      </c>
      <c r="C16" s="22">
        <f>Returns!C16</f>
        <v>3.4342557364422932E-2</v>
      </c>
      <c r="D16" s="22">
        <f>Returns!F16</f>
        <v>2.8701054581497409E-2</v>
      </c>
      <c r="G16" s="42" t="s">
        <v>39</v>
      </c>
      <c r="H16" s="42" t="s">
        <v>40</v>
      </c>
    </row>
    <row r="17" spans="1:14">
      <c r="A17" s="17">
        <f>Returns!A17</f>
        <v>43040</v>
      </c>
      <c r="B17" s="22">
        <f>Returns!B17</f>
        <v>1.0249999999999999E-3</v>
      </c>
      <c r="C17" s="22">
        <f>Returns!C17</f>
        <v>3.7200430103365711E-3</v>
      </c>
      <c r="D17" s="22">
        <f>Returns!F17</f>
        <v>7.8075793987389508E-2</v>
      </c>
      <c r="F17" s="4" t="s">
        <v>41</v>
      </c>
      <c r="G17" s="15">
        <f>MIN(C:C)</f>
        <v>-9.1776894596563907E-2</v>
      </c>
      <c r="H17" s="15">
        <f>alpha +beta * G17</f>
        <v>-7.9305912966596073E-2</v>
      </c>
    </row>
    <row r="18" spans="1:14">
      <c r="A18" s="17">
        <f>Returns!A18</f>
        <v>43009</v>
      </c>
      <c r="B18" s="22">
        <f>Returns!B18</f>
        <v>8.9166666666666669E-4</v>
      </c>
      <c r="C18" s="22">
        <f>Returns!C18</f>
        <v>2.218813533034969E-2</v>
      </c>
      <c r="D18" s="22">
        <f>Returns!F18</f>
        <v>-2.325018299204118E-2</v>
      </c>
      <c r="F18" s="4" t="s">
        <v>42</v>
      </c>
      <c r="G18" s="15">
        <f>AVERAGE(C:C)</f>
        <v>9.7773852046508548E-3</v>
      </c>
      <c r="H18" s="15">
        <f>alpha +beta * G18</f>
        <v>2.8509003213763255E-2</v>
      </c>
    </row>
    <row r="19" spans="1:14">
      <c r="A19" s="17">
        <f>Returns!A19</f>
        <v>42979</v>
      </c>
      <c r="B19" s="22">
        <f>Returns!B19</f>
        <v>8.5833333333333334E-4</v>
      </c>
      <c r="C19" s="22">
        <f>Returns!C19</f>
        <v>1.9302978533243698E-2</v>
      </c>
      <c r="D19" s="22">
        <f>Returns!F19</f>
        <v>6.4473123726685344E-2</v>
      </c>
      <c r="F19" s="4" t="s">
        <v>43</v>
      </c>
      <c r="G19" s="15">
        <f>MAX(C:C)</f>
        <v>7.8684401655036762E-2</v>
      </c>
      <c r="H19" s="15">
        <f>alpha +beta * G19</f>
        <v>0.10166401172132329</v>
      </c>
    </row>
    <row r="20" spans="1:14">
      <c r="A20" s="17">
        <f>Returns!A20</f>
        <v>42948</v>
      </c>
      <c r="B20" s="22">
        <f>Returns!B20</f>
        <v>8.4166666666666667E-4</v>
      </c>
      <c r="C20" s="22">
        <f>Returns!C20</f>
        <v>5.4643281108557318E-4</v>
      </c>
      <c r="D20" s="22">
        <f>Returns!F20</f>
        <v>2.0797687367587692E-2</v>
      </c>
    </row>
    <row r="21" spans="1:14">
      <c r="A21" s="17">
        <f>Returns!A21</f>
        <v>42917</v>
      </c>
      <c r="B21" s="22">
        <f>Returns!B21</f>
        <v>8.9166666666666669E-4</v>
      </c>
      <c r="C21" s="22">
        <f>Returns!C21</f>
        <v>1.9348826118030571E-2</v>
      </c>
      <c r="D21" s="22">
        <f>Returns!F21</f>
        <v>-4.5441053529576891E-2</v>
      </c>
      <c r="F21" s="39"/>
      <c r="G21" s="39"/>
      <c r="H21" s="39"/>
      <c r="I21" s="39"/>
      <c r="J21" s="39"/>
      <c r="K21" s="39"/>
      <c r="L21" s="39"/>
      <c r="M21" s="39"/>
      <c r="N21" s="39"/>
    </row>
    <row r="22" spans="1:14">
      <c r="A22" s="17">
        <f>Returns!A22</f>
        <v>42887</v>
      </c>
      <c r="B22" s="22">
        <f>Returns!B22</f>
        <v>8.166666666666666E-4</v>
      </c>
      <c r="C22" s="22">
        <f>Returns!C22</f>
        <v>4.8137750908554544E-3</v>
      </c>
      <c r="D22" s="22">
        <f>Returns!F22</f>
        <v>-4.7545314151575813E-5</v>
      </c>
      <c r="F22" s="39"/>
      <c r="G22" s="39"/>
      <c r="H22" s="39"/>
      <c r="I22" s="39"/>
      <c r="J22" s="39"/>
      <c r="K22" s="39"/>
      <c r="L22" s="39"/>
      <c r="M22" s="39"/>
      <c r="N22" s="39"/>
    </row>
    <row r="23" spans="1:14">
      <c r="A23" s="17">
        <f>Returns!A23</f>
        <v>42856</v>
      </c>
      <c r="B23" s="22">
        <f>Returns!B23</f>
        <v>7.4166666666666673E-4</v>
      </c>
      <c r="C23" s="22">
        <f>Returns!C23</f>
        <v>1.157625139134133E-2</v>
      </c>
      <c r="D23" s="22">
        <f>Returns!F23</f>
        <v>-4.526397756320244E-3</v>
      </c>
      <c r="F23" s="40"/>
      <c r="G23" s="40"/>
      <c r="H23" s="39"/>
      <c r="I23" s="39"/>
      <c r="J23" s="39"/>
      <c r="K23" s="39"/>
      <c r="L23" s="39"/>
      <c r="M23" s="39"/>
      <c r="N23" s="39"/>
    </row>
    <row r="24" spans="1:14">
      <c r="A24" s="17">
        <f>Returns!A24</f>
        <v>42826</v>
      </c>
      <c r="B24" s="22">
        <f>Returns!B24</f>
        <v>6.6666666666666664E-4</v>
      </c>
      <c r="C24" s="22">
        <f>Returns!C24</f>
        <v>9.0912085493182193E-3</v>
      </c>
      <c r="D24" s="22">
        <f>Returns!F24</f>
        <v>5.4363534863008489E-2</v>
      </c>
      <c r="F24" s="24"/>
      <c r="G24" s="24"/>
      <c r="H24" s="39"/>
      <c r="I24" s="39"/>
      <c r="J24" s="39"/>
      <c r="K24" s="39"/>
      <c r="L24" s="39"/>
      <c r="M24" s="39"/>
      <c r="N24" s="39"/>
    </row>
    <row r="25" spans="1:14">
      <c r="A25" s="17">
        <f>Returns!A25</f>
        <v>42795</v>
      </c>
      <c r="B25" s="22">
        <f>Returns!B25</f>
        <v>6.1666666666666673E-4</v>
      </c>
      <c r="C25" s="22">
        <f>Returns!C25</f>
        <v>-3.8919718808450021E-4</v>
      </c>
      <c r="D25" s="22">
        <f>Returns!F25</f>
        <v>-2.4195579213228346E-2</v>
      </c>
      <c r="F25" s="24"/>
      <c r="G25" s="24"/>
      <c r="H25" s="39"/>
      <c r="I25" s="39"/>
      <c r="J25" s="39"/>
      <c r="K25" s="39"/>
      <c r="L25" s="39"/>
      <c r="M25" s="39"/>
      <c r="N25" s="39"/>
    </row>
    <row r="26" spans="1:14">
      <c r="A26" s="17">
        <f>Returns!A26</f>
        <v>42767</v>
      </c>
      <c r="B26" s="22">
        <f>Returns!B26</f>
        <v>4.3333333333333337E-4</v>
      </c>
      <c r="C26" s="22">
        <f>Returns!C26</f>
        <v>3.7198160337279074E-2</v>
      </c>
      <c r="D26" s="22">
        <f>Returns!F26</f>
        <v>7.9703805685856555E-2</v>
      </c>
      <c r="F26" s="24"/>
      <c r="G26" s="24"/>
      <c r="H26" s="39"/>
      <c r="I26" s="39"/>
      <c r="J26" s="39"/>
      <c r="K26" s="39"/>
      <c r="L26" s="39"/>
      <c r="M26" s="39"/>
      <c r="N26" s="39"/>
    </row>
    <row r="27" spans="1:14">
      <c r="A27" s="17">
        <f>Returns!A27</f>
        <v>42736</v>
      </c>
      <c r="B27" s="22">
        <f>Returns!B27</f>
        <v>4.2500000000000003E-4</v>
      </c>
      <c r="C27" s="22">
        <f>Returns!C27</f>
        <v>1.7884358171464498E-2</v>
      </c>
      <c r="D27" s="22">
        <f>Returns!F27</f>
        <v>0.15813525319546462</v>
      </c>
      <c r="F27" s="24"/>
      <c r="G27" s="24"/>
      <c r="H27" s="39"/>
      <c r="I27" s="39"/>
      <c r="J27" s="39"/>
      <c r="K27" s="39"/>
      <c r="L27" s="39"/>
      <c r="M27" s="39"/>
      <c r="N27" s="39"/>
    </row>
    <row r="28" spans="1:14">
      <c r="A28" s="17">
        <f>Returns!A28</f>
        <v>42705</v>
      </c>
      <c r="B28" s="22">
        <f>Returns!B28</f>
        <v>4.2500000000000003E-4</v>
      </c>
      <c r="C28" s="22">
        <f>Returns!C28</f>
        <v>1.8200762196895148E-2</v>
      </c>
      <c r="D28" s="22">
        <f>Returns!F28</f>
        <v>1.1454154549784601E-2</v>
      </c>
      <c r="F28" s="24"/>
      <c r="G28" s="24"/>
      <c r="H28" s="39"/>
      <c r="I28" s="39"/>
      <c r="J28" s="39"/>
      <c r="K28" s="39"/>
      <c r="L28" s="39"/>
      <c r="M28" s="39"/>
      <c r="N28" s="39"/>
    </row>
    <row r="29" spans="1:14">
      <c r="A29" s="17">
        <f>Returns!A29</f>
        <v>42675</v>
      </c>
      <c r="B29" s="22">
        <f>Returns!B29</f>
        <v>3.7500000000000001E-4</v>
      </c>
      <c r="C29" s="22">
        <f>Returns!C29</f>
        <v>3.4174522187570444E-2</v>
      </c>
      <c r="D29" s="22">
        <f>Returns!F29</f>
        <v>7.2841139289189394E-2</v>
      </c>
      <c r="F29" s="39"/>
      <c r="G29" s="39"/>
      <c r="H29" s="39"/>
      <c r="I29" s="39"/>
      <c r="J29" s="39"/>
      <c r="K29" s="39"/>
      <c r="L29" s="39"/>
      <c r="M29" s="39"/>
      <c r="N29" s="39"/>
    </row>
    <row r="30" spans="1:14">
      <c r="A30" s="17">
        <f>Returns!A30</f>
        <v>42644</v>
      </c>
      <c r="B30" s="22">
        <f>Returns!B30</f>
        <v>2.7500000000000002E-4</v>
      </c>
      <c r="C30" s="22">
        <f>Returns!C30</f>
        <v>-1.9425679279557517E-2</v>
      </c>
      <c r="D30" s="22">
        <f>Returns!F30</f>
        <v>-1.2131132165670411E-2</v>
      </c>
      <c r="F30" s="39"/>
      <c r="G30" s="39"/>
      <c r="H30" s="39"/>
      <c r="I30" s="39"/>
      <c r="J30" s="39"/>
      <c r="K30" s="39"/>
      <c r="L30" s="39"/>
      <c r="M30" s="39"/>
      <c r="N30" s="39"/>
    </row>
    <row r="31" spans="1:14">
      <c r="A31" s="17">
        <f>Returns!A31</f>
        <v>42614</v>
      </c>
      <c r="B31" s="22">
        <f>Returns!B31</f>
        <v>2.4166666666666667E-4</v>
      </c>
      <c r="C31" s="22">
        <f>Returns!C31</f>
        <v>-1.2344508443253854E-3</v>
      </c>
      <c r="D31" s="22">
        <f>Returns!F31</f>
        <v>4.7592903343147808E-2</v>
      </c>
      <c r="F31" s="41"/>
      <c r="G31" s="41"/>
      <c r="H31" s="41"/>
      <c r="I31" s="41"/>
      <c r="J31" s="41"/>
      <c r="K31" s="41"/>
      <c r="L31" s="39"/>
      <c r="M31" s="39"/>
      <c r="N31" s="39"/>
    </row>
    <row r="32" spans="1:14">
      <c r="A32" s="17">
        <f>Returns!A32</f>
        <v>42583</v>
      </c>
      <c r="B32" s="22">
        <f>Returns!B32</f>
        <v>2.5000000000000001E-4</v>
      </c>
      <c r="C32" s="22">
        <f>Returns!C32</f>
        <v>-1.2192431360480427E-3</v>
      </c>
      <c r="D32" s="22">
        <f>Returns!F32</f>
        <v>1.4020934132118024E-2</v>
      </c>
      <c r="F32" s="24"/>
      <c r="G32" s="24"/>
      <c r="H32" s="24"/>
      <c r="I32" s="24"/>
      <c r="J32" s="24"/>
      <c r="K32" s="24"/>
      <c r="L32" s="39"/>
      <c r="M32" s="39"/>
      <c r="N32" s="39"/>
    </row>
    <row r="33" spans="1:14">
      <c r="A33" s="17">
        <f>Returns!A33</f>
        <v>42552</v>
      </c>
      <c r="B33" s="22">
        <f>Returns!B33</f>
        <v>2.5000000000000001E-4</v>
      </c>
      <c r="C33" s="22">
        <f>Returns!C33</f>
        <v>3.5609801125254359E-2</v>
      </c>
      <c r="D33" s="22">
        <f>Returns!F33</f>
        <v>7.9734619602928491E-2</v>
      </c>
      <c r="F33" s="24"/>
      <c r="G33" s="24"/>
      <c r="H33" s="24"/>
      <c r="I33" s="24"/>
      <c r="J33" s="24"/>
      <c r="K33" s="24"/>
      <c r="L33" s="39"/>
      <c r="M33" s="39"/>
      <c r="N33" s="39"/>
    </row>
    <row r="34" spans="1:14">
      <c r="A34" s="17">
        <f>Returns!A34</f>
        <v>42522</v>
      </c>
      <c r="B34" s="22">
        <f>Returns!B34</f>
        <v>2.2500000000000002E-4</v>
      </c>
      <c r="C34" s="22">
        <f>Returns!C34</f>
        <v>9.1092112097812539E-4</v>
      </c>
      <c r="D34" s="22">
        <f>Returns!F34</f>
        <v>-8.6555057379055222E-3</v>
      </c>
      <c r="F34" s="24"/>
      <c r="G34" s="24"/>
      <c r="H34" s="24"/>
      <c r="I34" s="24"/>
      <c r="J34" s="24"/>
      <c r="K34" s="24"/>
      <c r="L34" s="39"/>
      <c r="M34" s="39"/>
      <c r="N34" s="39"/>
    </row>
    <row r="35" spans="1:14">
      <c r="A35" s="17">
        <f>Returns!A35</f>
        <v>42491</v>
      </c>
      <c r="B35" s="22">
        <f>Returns!B35</f>
        <v>2.2500000000000002E-4</v>
      </c>
      <c r="C35" s="22">
        <f>Returns!C35</f>
        <v>1.5324602357572603E-2</v>
      </c>
      <c r="D35" s="22">
        <f>Returns!F35</f>
        <v>1.2972395822703375E-2</v>
      </c>
      <c r="F35" s="39"/>
      <c r="G35" s="39"/>
      <c r="H35" s="39"/>
      <c r="I35" s="39"/>
      <c r="J35" s="39"/>
      <c r="K35" s="39"/>
      <c r="L35" s="39"/>
      <c r="M35" s="39"/>
      <c r="N35" s="39"/>
    </row>
    <row r="36" spans="1:14">
      <c r="A36" s="17">
        <f>Returns!A36</f>
        <v>42461</v>
      </c>
      <c r="B36" s="22">
        <f>Returns!B36</f>
        <v>1.916666666666667E-4</v>
      </c>
      <c r="C36" s="22">
        <f>Returns!C36</f>
        <v>2.6993984808731941E-3</v>
      </c>
      <c r="D36" s="22">
        <f>Returns!F36</f>
        <v>1.6869690867777065E-2</v>
      </c>
      <c r="F36" s="41"/>
      <c r="G36" s="41"/>
      <c r="H36" s="41"/>
      <c r="I36" s="41"/>
      <c r="J36" s="41"/>
      <c r="K36" s="41"/>
      <c r="L36" s="41"/>
      <c r="M36" s="41"/>
      <c r="N36" s="41"/>
    </row>
    <row r="37" spans="1:14">
      <c r="A37" s="17">
        <f>Returns!A37</f>
        <v>42430</v>
      </c>
      <c r="B37" s="22">
        <f>Returns!B37</f>
        <v>2.4166666666666667E-4</v>
      </c>
      <c r="C37" s="22">
        <f>Returns!C37</f>
        <v>6.5991114577365062E-2</v>
      </c>
      <c r="D37" s="22">
        <f>Returns!F37</f>
        <v>8.1639573224696615E-2</v>
      </c>
      <c r="F37" s="24"/>
      <c r="G37" s="24"/>
      <c r="H37" s="24"/>
      <c r="I37" s="24"/>
      <c r="J37" s="24"/>
      <c r="K37" s="24"/>
      <c r="L37" s="24"/>
      <c r="M37" s="24"/>
      <c r="N37" s="24"/>
    </row>
    <row r="38" spans="1:14">
      <c r="A38" s="17">
        <f>Returns!A38</f>
        <v>42401</v>
      </c>
      <c r="B38" s="22">
        <f>Returns!B38</f>
        <v>2.5833333333333334E-4</v>
      </c>
      <c r="C38" s="22">
        <f>Returns!C38</f>
        <v>-4.1283604302990717E-3</v>
      </c>
      <c r="D38" s="22">
        <f>Returns!F38</f>
        <v>7.4557817185265662E-2</v>
      </c>
      <c r="F38" s="24"/>
      <c r="G38" s="24"/>
      <c r="H38" s="24"/>
      <c r="I38" s="24"/>
      <c r="J38" s="24"/>
      <c r="K38" s="24"/>
      <c r="L38" s="24"/>
      <c r="M38" s="24"/>
      <c r="N38" s="24"/>
    </row>
    <row r="39" spans="1:14">
      <c r="A39" s="14"/>
    </row>
    <row r="40" spans="1:14">
      <c r="A40" s="14"/>
    </row>
    <row r="41" spans="1:14">
      <c r="A41" s="14"/>
    </row>
    <row r="42" spans="1:14">
      <c r="A42" s="14"/>
    </row>
    <row r="43" spans="1:14">
      <c r="A43" s="14"/>
    </row>
    <row r="44" spans="1:14">
      <c r="A44" s="14"/>
    </row>
    <row r="45" spans="1:14">
      <c r="A45" s="14"/>
    </row>
    <row r="46" spans="1:14">
      <c r="A46" s="14"/>
    </row>
    <row r="47" spans="1:14">
      <c r="A47" s="14"/>
    </row>
    <row r="48" spans="1:14">
      <c r="A48" s="14"/>
    </row>
    <row r="49" spans="1:1">
      <c r="A49" s="14"/>
    </row>
    <row r="50" spans="1:1">
      <c r="A50" s="14"/>
    </row>
    <row r="51" spans="1:1">
      <c r="A51" s="14"/>
    </row>
    <row r="52" spans="1:1">
      <c r="A52" s="14"/>
    </row>
    <row r="53" spans="1:1">
      <c r="A53" s="14"/>
    </row>
    <row r="54" spans="1:1">
      <c r="A54" s="14"/>
    </row>
    <row r="55" spans="1:1">
      <c r="A55" s="14"/>
    </row>
    <row r="56" spans="1:1">
      <c r="A56" s="14"/>
    </row>
    <row r="57" spans="1:1">
      <c r="A57" s="14"/>
    </row>
    <row r="58" spans="1:1">
      <c r="A58" s="14"/>
    </row>
    <row r="59" spans="1:1">
      <c r="A59" s="14"/>
    </row>
    <row r="60" spans="1:1">
      <c r="A60" s="14"/>
    </row>
  </sheetData>
  <mergeCells count="3">
    <mergeCell ref="B1:D1"/>
    <mergeCell ref="F1:H1"/>
    <mergeCell ref="J1:S1"/>
  </mergeCells>
  <pageMargins left="0.7" right="0.7" top="0.75" bottom="0.75" header="0.3" footer="0.3"/>
  <pageSetup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5D2F9-8213-4148-A60C-7FE39A887374}">
  <dimension ref="A1:S60"/>
  <sheetViews>
    <sheetView zoomScale="70" zoomScaleNormal="70" workbookViewId="0">
      <selection activeCell="G22" sqref="G22"/>
    </sheetView>
  </sheetViews>
  <sheetFormatPr defaultRowHeight="14.4"/>
  <cols>
    <col min="1" max="1" width="13.77734375" bestFit="1" customWidth="1"/>
    <col min="2" max="2" width="13.6640625" bestFit="1" customWidth="1"/>
    <col min="4" max="4" width="8.77734375" bestFit="1" customWidth="1"/>
    <col min="5" max="5" width="1.5546875" customWidth="1"/>
    <col min="6" max="6" width="19.5546875" customWidth="1"/>
    <col min="7" max="7" width="9.44140625" customWidth="1"/>
    <col min="8" max="8" width="13.44140625" bestFit="1" customWidth="1"/>
    <col min="9" max="9" width="2.21875" customWidth="1"/>
    <col min="10" max="10" width="17.44140625" bestFit="1" customWidth="1"/>
    <col min="11" max="11" width="12.44140625" bestFit="1" customWidth="1"/>
    <col min="12" max="12" width="12" bestFit="1" customWidth="1"/>
    <col min="13" max="14" width="12.109375" bestFit="1" customWidth="1"/>
    <col min="15" max="15" width="12.44140625" bestFit="1" customWidth="1"/>
    <col min="16" max="16" width="12" bestFit="1" customWidth="1"/>
    <col min="17" max="18" width="12.109375" bestFit="1" customWidth="1"/>
  </cols>
  <sheetData>
    <row r="1" spans="1:19" ht="15" thickBot="1">
      <c r="B1" s="52" t="str">
        <f>Returns!B1</f>
        <v>Rates of Return</v>
      </c>
      <c r="C1" s="52"/>
      <c r="D1" s="52"/>
      <c r="F1" s="52" t="s">
        <v>23</v>
      </c>
      <c r="G1" s="52"/>
      <c r="H1" s="52"/>
      <c r="J1" s="53" t="s">
        <v>54</v>
      </c>
      <c r="K1" s="53"/>
      <c r="L1" s="53"/>
      <c r="M1" s="53"/>
      <c r="N1" s="53"/>
      <c r="O1" s="53"/>
      <c r="P1" s="53"/>
      <c r="Q1" s="53"/>
      <c r="R1" s="53"/>
      <c r="S1" s="53"/>
    </row>
    <row r="2" spans="1:19" ht="15" thickBot="1">
      <c r="B2" s="7" t="str">
        <f>Returns!B2</f>
        <v>3 Month T-Bill</v>
      </c>
      <c r="C2" s="7" t="str">
        <f>Returns!C2</f>
        <v>Standard &amp; Poor 500</v>
      </c>
      <c r="D2" s="7" t="str">
        <f>Returns!G2</f>
        <v>MVP</v>
      </c>
      <c r="F2" s="7" t="s">
        <v>24</v>
      </c>
      <c r="G2" s="7"/>
      <c r="H2" s="7"/>
    </row>
    <row r="3" spans="1:19">
      <c r="A3" s="17">
        <f>Returns!A3</f>
        <v>43466</v>
      </c>
      <c r="B3" s="22">
        <f>Returns!B3</f>
        <v>1.9750000000000002E-3</v>
      </c>
      <c r="C3" s="22">
        <f>Returns!C3</f>
        <v>7.8684401655036762E-2</v>
      </c>
      <c r="D3" s="22">
        <f>Returns!G3</f>
        <v>8.7374291274175245E-2</v>
      </c>
      <c r="F3" s="4" t="s">
        <v>25</v>
      </c>
      <c r="G3" t="s">
        <v>31</v>
      </c>
      <c r="H3">
        <f>CORREL(D:D,C:C)</f>
        <v>0.69447324407820377</v>
      </c>
    </row>
    <row r="4" spans="1:19">
      <c r="A4" s="17">
        <f>Returns!A4</f>
        <v>43435</v>
      </c>
      <c r="B4" s="22">
        <f>Returns!B4</f>
        <v>1.9750000000000002E-3</v>
      </c>
      <c r="C4" s="22">
        <f>Returns!C4</f>
        <v>-9.1776894596563907E-2</v>
      </c>
      <c r="D4" s="22">
        <f>Returns!G4</f>
        <v>-0.10807009362375232</v>
      </c>
      <c r="F4" s="4" t="s">
        <v>26</v>
      </c>
      <c r="G4" t="s">
        <v>32</v>
      </c>
      <c r="H4">
        <f>H3^2</f>
        <v>0.48229308674050436</v>
      </c>
    </row>
    <row r="5" spans="1:19">
      <c r="A5" s="17">
        <f>Returns!A5</f>
        <v>43405</v>
      </c>
      <c r="B5" s="22">
        <f>Returns!B5</f>
        <v>1.9416666666666668E-3</v>
      </c>
      <c r="C5" s="22">
        <f>Returns!C5</f>
        <v>1.7859356788848979E-2</v>
      </c>
      <c r="D5" s="22">
        <f>Returns!G5</f>
        <v>4.8693556572206857E-2</v>
      </c>
      <c r="F5" s="4" t="s">
        <v>27</v>
      </c>
      <c r="H5">
        <f>RR-((k-1)/(N-k))*(1-RR)</f>
        <v>0.46706641282110745</v>
      </c>
    </row>
    <row r="6" spans="1:19">
      <c r="A6" s="17">
        <f>Returns!A6</f>
        <v>43374</v>
      </c>
      <c r="B6" s="22">
        <f>Returns!B6</f>
        <v>1.8749999999999999E-3</v>
      </c>
      <c r="C6" s="22">
        <f>Returns!C6</f>
        <v>-6.9403356024429486E-2</v>
      </c>
      <c r="D6" s="22">
        <f>Returns!G6</f>
        <v>-5.7659556264603479E-2</v>
      </c>
      <c r="F6" s="4" t="s">
        <v>28</v>
      </c>
      <c r="H6">
        <f>STEYX(D:D,C:C)</f>
        <v>3.4722156002965757E-2</v>
      </c>
    </row>
    <row r="7" spans="1:19">
      <c r="A7" s="17">
        <f>Returns!A7</f>
        <v>43344</v>
      </c>
      <c r="B7" s="22">
        <f>Returns!B7</f>
        <v>1.7749999999999999E-3</v>
      </c>
      <c r="C7" s="22">
        <f>Returns!C7</f>
        <v>4.2942871026614426E-3</v>
      </c>
      <c r="D7" s="22">
        <f>Returns!G7</f>
        <v>1.3527874306333069E-2</v>
      </c>
      <c r="F7" s="4" t="s">
        <v>29</v>
      </c>
      <c r="G7" t="s">
        <v>33</v>
      </c>
      <c r="H7">
        <f>COUNT(D:D)</f>
        <v>36</v>
      </c>
    </row>
    <row r="8" spans="1:19">
      <c r="A8" s="17">
        <f>Returns!A8</f>
        <v>43313</v>
      </c>
      <c r="B8" s="22">
        <f>Returns!B8</f>
        <v>1.6916666666666666E-3</v>
      </c>
      <c r="C8" s="22">
        <f>Returns!C8</f>
        <v>3.0263211466054596E-2</v>
      </c>
      <c r="D8" s="22">
        <f>Returns!G8</f>
        <v>0.10708472687670645</v>
      </c>
      <c r="F8" s="4" t="s">
        <v>30</v>
      </c>
      <c r="G8" t="s">
        <v>34</v>
      </c>
      <c r="H8">
        <v>2</v>
      </c>
    </row>
    <row r="9" spans="1:19" ht="15" thickBot="1">
      <c r="A9" s="17">
        <f>Returns!A9</f>
        <v>43282</v>
      </c>
      <c r="B9" s="22">
        <f>Returns!B9</f>
        <v>1.6333333333333332E-3</v>
      </c>
      <c r="C9" s="22">
        <f>Returns!C9</f>
        <v>3.6021556221367268E-2</v>
      </c>
      <c r="D9" s="22">
        <f>Returns!G9</f>
        <v>2.3431335637726213E-2</v>
      </c>
    </row>
    <row r="10" spans="1:19" ht="15" thickBot="1">
      <c r="A10" s="17">
        <f>Returns!A10</f>
        <v>43252</v>
      </c>
      <c r="B10" s="22">
        <f>Returns!B10</f>
        <v>1.5833333333333333E-3</v>
      </c>
      <c r="C10" s="22">
        <f>Returns!C10</f>
        <v>4.8424360241865472E-3</v>
      </c>
      <c r="D10" s="22">
        <f>Returns!G10</f>
        <v>2.4061093432064997E-3</v>
      </c>
      <c r="F10" s="7" t="s">
        <v>35</v>
      </c>
      <c r="G10" s="7"/>
      <c r="H10" s="7"/>
    </row>
    <row r="11" spans="1:19">
      <c r="A11" s="17">
        <f>Returns!A11</f>
        <v>43221</v>
      </c>
      <c r="B11" s="22">
        <f>Returns!B11</f>
        <v>1.5499999999999999E-3</v>
      </c>
      <c r="C11" s="22">
        <f>Returns!C11</f>
        <v>2.1608341965291933E-2</v>
      </c>
      <c r="D11" s="22">
        <f>Returns!G11</f>
        <v>-8.8648596252454206E-4</v>
      </c>
      <c r="F11" s="4" t="s">
        <v>36</v>
      </c>
      <c r="G11" t="s">
        <v>44</v>
      </c>
      <c r="H11">
        <f>INTERCEPT(D:D, C:C)</f>
        <v>1.6150188471067313E-2</v>
      </c>
    </row>
    <row r="12" spans="1:19">
      <c r="A12" s="17">
        <f>Returns!A12</f>
        <v>43191</v>
      </c>
      <c r="B12" s="22">
        <f>Returns!B12</f>
        <v>1.4666666666666667E-3</v>
      </c>
      <c r="C12" s="22">
        <f>Returns!C12</f>
        <v>2.718775131643536E-3</v>
      </c>
      <c r="D12" s="22">
        <f>Returns!G12</f>
        <v>4.7537550980268586E-2</v>
      </c>
      <c r="F12" s="4" t="s">
        <v>37</v>
      </c>
      <c r="G12" t="s">
        <v>45</v>
      </c>
      <c r="H12">
        <f>SLOPE(D:D,C:C)</f>
        <v>1.0218365573942987</v>
      </c>
    </row>
    <row r="13" spans="1:19">
      <c r="A13" s="17">
        <f>Returns!A13</f>
        <v>43160</v>
      </c>
      <c r="B13" s="22">
        <f>Returns!B13</f>
        <v>1.4166666666666666E-3</v>
      </c>
      <c r="C13" s="22">
        <f>Returns!C13</f>
        <v>-2.6884498624825115E-2</v>
      </c>
      <c r="D13" s="22">
        <f>Returns!G13</f>
        <v>-1.9078078754741698E-2</v>
      </c>
      <c r="F13" s="23" t="s">
        <v>46</v>
      </c>
      <c r="H13">
        <f>rho*SQRT((N-k)/(1-rho^2))</f>
        <v>5.6279858217639305</v>
      </c>
    </row>
    <row r="14" spans="1:19" ht="15" thickBot="1">
      <c r="A14" s="17">
        <f>Returns!A14</f>
        <v>43132</v>
      </c>
      <c r="B14" s="22">
        <f>Returns!B14</f>
        <v>1.3083333333333332E-3</v>
      </c>
      <c r="C14" s="22">
        <f>Returns!C14</f>
        <v>-3.8947372061896912E-2</v>
      </c>
      <c r="D14" s="22">
        <f>Returns!G14</f>
        <v>4.1114732395140942E-2</v>
      </c>
    </row>
    <row r="15" spans="1:19" ht="15" thickBot="1">
      <c r="A15" s="17">
        <f>Returns!A15</f>
        <v>43101</v>
      </c>
      <c r="B15" s="22">
        <f>Returns!B15</f>
        <v>1.1749999999999998E-3</v>
      </c>
      <c r="C15" s="22">
        <f>Returns!C15</f>
        <v>5.6178704444133087E-2</v>
      </c>
      <c r="D15" s="22">
        <f>Returns!G15</f>
        <v>7.5318734357387257E-2</v>
      </c>
      <c r="F15" s="7" t="s">
        <v>38</v>
      </c>
      <c r="G15" s="7"/>
      <c r="H15" s="7"/>
    </row>
    <row r="16" spans="1:19">
      <c r="A16" s="17">
        <f>Returns!A16</f>
        <v>43070</v>
      </c>
      <c r="B16" s="22">
        <f>Returns!B16</f>
        <v>1.1000000000000001E-3</v>
      </c>
      <c r="C16" s="22">
        <f>Returns!C16</f>
        <v>3.4342557364422932E-2</v>
      </c>
      <c r="D16" s="22">
        <f>Returns!G16</f>
        <v>4.5749265323813751E-2</v>
      </c>
      <c r="G16" s="42" t="s">
        <v>39</v>
      </c>
      <c r="H16" s="42" t="s">
        <v>40</v>
      </c>
    </row>
    <row r="17" spans="1:14">
      <c r="A17" s="17">
        <f>Returns!A17</f>
        <v>43040</v>
      </c>
      <c r="B17" s="22">
        <f>Returns!B17</f>
        <v>1.0249999999999999E-3</v>
      </c>
      <c r="C17" s="22">
        <f>Returns!C17</f>
        <v>3.7200430103365711E-3</v>
      </c>
      <c r="D17" s="22">
        <f>Returns!G17</f>
        <v>6.6012327954174721E-2</v>
      </c>
      <c r="F17" s="4" t="s">
        <v>41</v>
      </c>
      <c r="G17" s="15">
        <f>MIN(C:C)</f>
        <v>-9.1776894596563907E-2</v>
      </c>
      <c r="H17" s="15">
        <f>alpha +beta * G17</f>
        <v>-7.7630797551824976E-2</v>
      </c>
    </row>
    <row r="18" spans="1:14">
      <c r="A18" s="17">
        <f>Returns!A18</f>
        <v>43009</v>
      </c>
      <c r="B18" s="22">
        <f>Returns!B18</f>
        <v>8.9166666666666669E-4</v>
      </c>
      <c r="C18" s="22">
        <f>Returns!C18</f>
        <v>2.218813533034969E-2</v>
      </c>
      <c r="D18" s="22">
        <f>Returns!G18</f>
        <v>-2.4224090648290869E-3</v>
      </c>
      <c r="F18" s="4" t="s">
        <v>42</v>
      </c>
      <c r="G18" s="15">
        <f>AVERAGE(C:C)</f>
        <v>9.7773852046508548E-3</v>
      </c>
      <c r="H18" s="15">
        <f>alpha +beta * G18</f>
        <v>2.6141078108905695E-2</v>
      </c>
    </row>
    <row r="19" spans="1:14">
      <c r="A19" s="17">
        <f>Returns!A19</f>
        <v>42979</v>
      </c>
      <c r="B19" s="22">
        <f>Returns!B19</f>
        <v>8.5833333333333334E-4</v>
      </c>
      <c r="C19" s="22">
        <f>Returns!C19</f>
        <v>1.9302978533243698E-2</v>
      </c>
      <c r="D19" s="22">
        <f>Returns!G19</f>
        <v>5.5502679786717996E-2</v>
      </c>
      <c r="F19" s="4" t="s">
        <v>43</v>
      </c>
      <c r="G19" s="15">
        <f>MAX(C:C)</f>
        <v>7.8684401655036762E-2</v>
      </c>
      <c r="H19" s="15">
        <f>alpha +beta * G19</f>
        <v>9.6552786578880334E-2</v>
      </c>
    </row>
    <row r="20" spans="1:14">
      <c r="A20" s="17">
        <f>Returns!A20</f>
        <v>42948</v>
      </c>
      <c r="B20" s="22">
        <f>Returns!B20</f>
        <v>8.4166666666666667E-4</v>
      </c>
      <c r="C20" s="22">
        <f>Returns!C20</f>
        <v>5.4643281108557318E-4</v>
      </c>
      <c r="D20" s="22">
        <f>Returns!G20</f>
        <v>2.2279427004299933E-2</v>
      </c>
    </row>
    <row r="21" spans="1:14">
      <c r="A21" s="17">
        <f>Returns!A21</f>
        <v>42917</v>
      </c>
      <c r="B21" s="22">
        <f>Returns!B21</f>
        <v>8.9166666666666669E-4</v>
      </c>
      <c r="C21" s="22">
        <f>Returns!C21</f>
        <v>1.9348826118030571E-2</v>
      </c>
      <c r="D21" s="22">
        <f>Returns!G21</f>
        <v>-2.3338335596094724E-2</v>
      </c>
      <c r="F21" s="39"/>
      <c r="G21" s="39"/>
      <c r="H21" s="39"/>
      <c r="I21" s="39"/>
      <c r="J21" s="39"/>
      <c r="K21" s="39"/>
      <c r="L21" s="39"/>
      <c r="M21" s="39"/>
      <c r="N21" s="39"/>
    </row>
    <row r="22" spans="1:14">
      <c r="A22" s="17">
        <f>Returns!A22</f>
        <v>42887</v>
      </c>
      <c r="B22" s="22">
        <f>Returns!B22</f>
        <v>8.166666666666666E-4</v>
      </c>
      <c r="C22" s="22">
        <f>Returns!C22</f>
        <v>4.8137750908554544E-3</v>
      </c>
      <c r="D22" s="22">
        <f>Returns!G22</f>
        <v>-3.2362947952185952E-3</v>
      </c>
      <c r="F22" s="39"/>
      <c r="G22" s="39"/>
      <c r="H22" s="39"/>
      <c r="I22" s="39"/>
      <c r="J22" s="39"/>
      <c r="K22" s="39"/>
      <c r="L22" s="39"/>
      <c r="M22" s="39"/>
      <c r="N22" s="39"/>
    </row>
    <row r="23" spans="1:14">
      <c r="A23" s="17">
        <f>Returns!A23</f>
        <v>42856</v>
      </c>
      <c r="B23" s="22">
        <f>Returns!B23</f>
        <v>7.4166666666666673E-4</v>
      </c>
      <c r="C23" s="22">
        <f>Returns!C23</f>
        <v>1.157625139134133E-2</v>
      </c>
      <c r="D23" s="22">
        <f>Returns!G23</f>
        <v>-3.53378223678424E-2</v>
      </c>
      <c r="F23" s="40"/>
      <c r="G23" s="40"/>
      <c r="H23" s="39"/>
      <c r="I23" s="39"/>
      <c r="J23" s="39"/>
      <c r="K23" s="39"/>
      <c r="L23" s="39"/>
      <c r="M23" s="39"/>
      <c r="N23" s="39"/>
    </row>
    <row r="24" spans="1:14">
      <c r="A24" s="17">
        <f>Returns!A24</f>
        <v>42826</v>
      </c>
      <c r="B24" s="22">
        <f>Returns!B24</f>
        <v>6.6666666666666664E-4</v>
      </c>
      <c r="C24" s="22">
        <f>Returns!C24</f>
        <v>9.0912085493182193E-3</v>
      </c>
      <c r="D24" s="22">
        <f>Returns!G24</f>
        <v>3.7733533585117586E-2</v>
      </c>
      <c r="F24" s="24"/>
      <c r="G24" s="24"/>
      <c r="H24" s="39"/>
      <c r="I24" s="39"/>
      <c r="J24" s="39"/>
      <c r="K24" s="39"/>
      <c r="L24" s="39"/>
      <c r="M24" s="39"/>
      <c r="N24" s="39"/>
    </row>
    <row r="25" spans="1:14">
      <c r="A25" s="17">
        <f>Returns!A25</f>
        <v>42795</v>
      </c>
      <c r="B25" s="22">
        <f>Returns!B25</f>
        <v>6.1666666666666673E-4</v>
      </c>
      <c r="C25" s="22">
        <f>Returns!C25</f>
        <v>-3.8919718808450021E-4</v>
      </c>
      <c r="D25" s="22">
        <f>Returns!G25</f>
        <v>-1.8441286793579877E-2</v>
      </c>
      <c r="F25" s="24"/>
      <c r="G25" s="24"/>
      <c r="H25" s="39"/>
      <c r="I25" s="39"/>
      <c r="J25" s="39"/>
      <c r="K25" s="39"/>
      <c r="L25" s="39"/>
      <c r="M25" s="39"/>
      <c r="N25" s="39"/>
    </row>
    <row r="26" spans="1:14">
      <c r="A26" s="17">
        <f>Returns!A26</f>
        <v>42767</v>
      </c>
      <c r="B26" s="22">
        <f>Returns!B26</f>
        <v>4.3333333333333337E-4</v>
      </c>
      <c r="C26" s="22">
        <f>Returns!C26</f>
        <v>3.7198160337279074E-2</v>
      </c>
      <c r="D26" s="22">
        <f>Returns!G26</f>
        <v>9.4191438786856652E-2</v>
      </c>
      <c r="F26" s="24"/>
      <c r="G26" s="24"/>
      <c r="H26" s="39"/>
      <c r="I26" s="39"/>
      <c r="J26" s="39"/>
      <c r="K26" s="39"/>
      <c r="L26" s="39"/>
      <c r="M26" s="39"/>
      <c r="N26" s="39"/>
    </row>
    <row r="27" spans="1:14">
      <c r="A27" s="17">
        <f>Returns!A27</f>
        <v>42736</v>
      </c>
      <c r="B27" s="22">
        <f>Returns!B27</f>
        <v>4.2500000000000003E-4</v>
      </c>
      <c r="C27" s="22">
        <f>Returns!C27</f>
        <v>1.7884358171464498E-2</v>
      </c>
      <c r="D27" s="22">
        <f>Returns!G27</f>
        <v>9.9621261679119749E-2</v>
      </c>
      <c r="F27" s="24"/>
      <c r="G27" s="24"/>
      <c r="H27" s="39"/>
      <c r="I27" s="39"/>
      <c r="J27" s="39"/>
      <c r="K27" s="39"/>
      <c r="L27" s="39"/>
      <c r="M27" s="39"/>
      <c r="N27" s="39"/>
    </row>
    <row r="28" spans="1:14">
      <c r="A28" s="17">
        <f>Returns!A28</f>
        <v>42705</v>
      </c>
      <c r="B28" s="22">
        <f>Returns!B28</f>
        <v>4.2500000000000003E-4</v>
      </c>
      <c r="C28" s="22">
        <f>Returns!C28</f>
        <v>1.8200762196895148E-2</v>
      </c>
      <c r="D28" s="22">
        <f>Returns!G28</f>
        <v>1.2316390934197306E-2</v>
      </c>
      <c r="F28" s="24"/>
      <c r="G28" s="24"/>
      <c r="H28" s="39"/>
      <c r="I28" s="39"/>
      <c r="J28" s="39"/>
      <c r="K28" s="39"/>
      <c r="L28" s="39"/>
      <c r="M28" s="39"/>
      <c r="N28" s="39"/>
    </row>
    <row r="29" spans="1:14">
      <c r="A29" s="17">
        <f>Returns!A29</f>
        <v>42675</v>
      </c>
      <c r="B29" s="22">
        <f>Returns!B29</f>
        <v>3.7500000000000001E-4</v>
      </c>
      <c r="C29" s="22">
        <f>Returns!C29</f>
        <v>3.4174522187570444E-2</v>
      </c>
      <c r="D29" s="22">
        <f>Returns!G29</f>
        <v>2.8457270074957602E-2</v>
      </c>
      <c r="F29" s="39"/>
      <c r="G29" s="39"/>
      <c r="H29" s="39"/>
      <c r="I29" s="39"/>
      <c r="J29" s="39"/>
      <c r="K29" s="39"/>
      <c r="L29" s="39"/>
      <c r="M29" s="39"/>
      <c r="N29" s="39"/>
    </row>
    <row r="30" spans="1:14">
      <c r="A30" s="17">
        <f>Returns!A30</f>
        <v>42644</v>
      </c>
      <c r="B30" s="22">
        <f>Returns!B30</f>
        <v>2.7500000000000002E-4</v>
      </c>
      <c r="C30" s="22">
        <f>Returns!C30</f>
        <v>-1.9425679279557517E-2</v>
      </c>
      <c r="D30" s="22">
        <f>Returns!G30</f>
        <v>-1.7613092613647401E-2</v>
      </c>
      <c r="F30" s="39"/>
      <c r="G30" s="39"/>
      <c r="H30" s="39"/>
      <c r="I30" s="39"/>
      <c r="J30" s="39"/>
      <c r="K30" s="39"/>
      <c r="L30" s="39"/>
      <c r="M30" s="39"/>
      <c r="N30" s="39"/>
    </row>
    <row r="31" spans="1:14">
      <c r="A31" s="17">
        <f>Returns!A31</f>
        <v>42614</v>
      </c>
      <c r="B31" s="22">
        <f>Returns!B31</f>
        <v>2.4166666666666667E-4</v>
      </c>
      <c r="C31" s="22">
        <f>Returns!C31</f>
        <v>-1.2344508443253854E-3</v>
      </c>
      <c r="D31" s="22">
        <f>Returns!G31</f>
        <v>3.0570572821318379E-2</v>
      </c>
      <c r="F31" s="41"/>
      <c r="G31" s="41"/>
      <c r="H31" s="41"/>
      <c r="I31" s="41"/>
      <c r="J31" s="41"/>
      <c r="K31" s="41"/>
      <c r="L31" s="39"/>
      <c r="M31" s="39"/>
      <c r="N31" s="39"/>
    </row>
    <row r="32" spans="1:14">
      <c r="A32" s="17">
        <f>Returns!A32</f>
        <v>42583</v>
      </c>
      <c r="B32" s="22">
        <f>Returns!B32</f>
        <v>2.5000000000000001E-4</v>
      </c>
      <c r="C32" s="22">
        <f>Returns!C32</f>
        <v>-1.2192431360480427E-3</v>
      </c>
      <c r="D32" s="22">
        <f>Returns!G32</f>
        <v>2.0966691567475534E-2</v>
      </c>
      <c r="F32" s="24"/>
      <c r="G32" s="24"/>
      <c r="H32" s="24"/>
      <c r="I32" s="24"/>
      <c r="J32" s="24"/>
      <c r="K32" s="24"/>
      <c r="L32" s="39"/>
      <c r="M32" s="39"/>
      <c r="N32" s="39"/>
    </row>
    <row r="33" spans="1:14">
      <c r="A33" s="17">
        <f>Returns!A33</f>
        <v>42552</v>
      </c>
      <c r="B33" s="22">
        <f>Returns!B33</f>
        <v>2.5000000000000001E-4</v>
      </c>
      <c r="C33" s="22">
        <f>Returns!C33</f>
        <v>3.5609801125254359E-2</v>
      </c>
      <c r="D33" s="22">
        <f>Returns!G33</f>
        <v>7.6857729528830548E-2</v>
      </c>
      <c r="F33" s="24"/>
      <c r="G33" s="24"/>
      <c r="H33" s="24"/>
      <c r="I33" s="24"/>
      <c r="J33" s="24"/>
      <c r="K33" s="24"/>
      <c r="L33" s="39"/>
      <c r="M33" s="39"/>
      <c r="N33" s="39"/>
    </row>
    <row r="34" spans="1:14">
      <c r="A34" s="17">
        <f>Returns!A34</f>
        <v>42522</v>
      </c>
      <c r="B34" s="22">
        <f>Returns!B34</f>
        <v>2.2500000000000002E-4</v>
      </c>
      <c r="C34" s="22">
        <f>Returns!C34</f>
        <v>9.1092112097812539E-4</v>
      </c>
      <c r="D34" s="22">
        <f>Returns!G34</f>
        <v>-1.0299720922440131E-2</v>
      </c>
      <c r="F34" s="24"/>
      <c r="G34" s="24"/>
      <c r="H34" s="24"/>
      <c r="I34" s="24"/>
      <c r="J34" s="24"/>
      <c r="K34" s="24"/>
      <c r="L34" s="39"/>
      <c r="M34" s="39"/>
      <c r="N34" s="39"/>
    </row>
    <row r="35" spans="1:14">
      <c r="A35" s="17">
        <f>Returns!A35</f>
        <v>42491</v>
      </c>
      <c r="B35" s="22">
        <f>Returns!B35</f>
        <v>2.2500000000000002E-4</v>
      </c>
      <c r="C35" s="22">
        <f>Returns!C35</f>
        <v>1.5324602357572603E-2</v>
      </c>
      <c r="D35" s="22">
        <f>Returns!G35</f>
        <v>3.2233605320226504E-2</v>
      </c>
      <c r="F35" s="39"/>
      <c r="G35" s="39"/>
      <c r="H35" s="39"/>
      <c r="I35" s="39"/>
      <c r="J35" s="39"/>
      <c r="K35" s="39"/>
      <c r="L35" s="39"/>
      <c r="M35" s="39"/>
      <c r="N35" s="39"/>
    </row>
    <row r="36" spans="1:14">
      <c r="A36" s="17">
        <f>Returns!A36</f>
        <v>42461</v>
      </c>
      <c r="B36" s="22">
        <f>Returns!B36</f>
        <v>1.916666666666667E-4</v>
      </c>
      <c r="C36" s="22">
        <f>Returns!C36</f>
        <v>2.6993984808731941E-3</v>
      </c>
      <c r="D36" s="22">
        <f>Returns!G36</f>
        <v>-1.6804606843816954E-3</v>
      </c>
      <c r="F36" s="41"/>
      <c r="G36" s="41"/>
      <c r="H36" s="41"/>
      <c r="I36" s="41"/>
      <c r="J36" s="41"/>
      <c r="K36" s="41"/>
      <c r="L36" s="41"/>
      <c r="M36" s="41"/>
      <c r="N36" s="41"/>
    </row>
    <row r="37" spans="1:14">
      <c r="A37" s="17">
        <f>Returns!A37</f>
        <v>42430</v>
      </c>
      <c r="B37" s="22">
        <f>Returns!B37</f>
        <v>2.4166666666666667E-4</v>
      </c>
      <c r="C37" s="22">
        <f>Returns!C37</f>
        <v>6.5991114577365062E-2</v>
      </c>
      <c r="D37" s="22">
        <f>Returns!G37</f>
        <v>8.4205539157090628E-2</v>
      </c>
      <c r="F37" s="24"/>
      <c r="G37" s="24"/>
      <c r="H37" s="24"/>
      <c r="I37" s="24"/>
      <c r="J37" s="24"/>
      <c r="K37" s="24"/>
      <c r="L37" s="24"/>
      <c r="M37" s="24"/>
      <c r="N37" s="24"/>
    </row>
    <row r="38" spans="1:14">
      <c r="A38" s="17">
        <f>Returns!A38</f>
        <v>42401</v>
      </c>
      <c r="B38" s="22">
        <f>Returns!B38</f>
        <v>2.5833333333333334E-4</v>
      </c>
      <c r="C38" s="22">
        <f>Returns!C38</f>
        <v>-4.1283604302990717E-3</v>
      </c>
      <c r="D38" s="22">
        <f>Returns!G38</f>
        <v>8.5955804096912919E-2</v>
      </c>
      <c r="F38" s="24"/>
      <c r="G38" s="24"/>
      <c r="H38" s="24"/>
      <c r="I38" s="24"/>
      <c r="J38" s="24"/>
      <c r="K38" s="24"/>
      <c r="L38" s="24"/>
      <c r="M38" s="24"/>
      <c r="N38" s="24"/>
    </row>
    <row r="39" spans="1:14">
      <c r="A39" s="14"/>
    </row>
    <row r="40" spans="1:14">
      <c r="A40" s="14"/>
    </row>
    <row r="41" spans="1:14">
      <c r="A41" s="14"/>
    </row>
    <row r="42" spans="1:14">
      <c r="A42" s="14"/>
    </row>
    <row r="43" spans="1:14">
      <c r="A43" s="14"/>
    </row>
    <row r="44" spans="1:14">
      <c r="A44" s="14"/>
    </row>
    <row r="45" spans="1:14">
      <c r="A45" s="14"/>
    </row>
    <row r="46" spans="1:14">
      <c r="A46" s="14"/>
    </row>
    <row r="47" spans="1:14">
      <c r="A47" s="14"/>
    </row>
    <row r="48" spans="1:14">
      <c r="A48" s="14"/>
    </row>
    <row r="49" spans="1:1">
      <c r="A49" s="14"/>
    </row>
    <row r="50" spans="1:1">
      <c r="A50" s="14"/>
    </row>
    <row r="51" spans="1:1">
      <c r="A51" s="14"/>
    </row>
    <row r="52" spans="1:1">
      <c r="A52" s="14"/>
    </row>
    <row r="53" spans="1:1">
      <c r="A53" s="14"/>
    </row>
    <row r="54" spans="1:1">
      <c r="A54" s="14"/>
    </row>
    <row r="55" spans="1:1">
      <c r="A55" s="14"/>
    </row>
    <row r="56" spans="1:1">
      <c r="A56" s="14"/>
    </row>
    <row r="57" spans="1:1">
      <c r="A57" s="14"/>
    </row>
    <row r="58" spans="1:1">
      <c r="A58" s="14"/>
    </row>
    <row r="59" spans="1:1">
      <c r="A59" s="14"/>
    </row>
    <row r="60" spans="1:1">
      <c r="A60" s="14"/>
    </row>
  </sheetData>
  <mergeCells count="3">
    <mergeCell ref="B1:D1"/>
    <mergeCell ref="F1:H1"/>
    <mergeCell ref="J1:S1"/>
  </mergeCells>
  <pageMargins left="0.7" right="0.7" top="0.75" bottom="0.75" header="0.3" footer="0.3"/>
  <pageSetup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B575F-81D1-4385-B34E-D8A04D8D78AC}">
  <dimension ref="A1:T9"/>
  <sheetViews>
    <sheetView tabSelected="1" zoomScale="70" zoomScaleNormal="70" workbookViewId="0">
      <selection activeCell="X13" sqref="X13"/>
    </sheetView>
  </sheetViews>
  <sheetFormatPr defaultRowHeight="14.4"/>
  <cols>
    <col min="1" max="1" width="24.21875" customWidth="1"/>
    <col min="3" max="3" width="9.77734375" customWidth="1"/>
    <col min="4" max="4" width="2.21875" customWidth="1"/>
    <col min="6" max="6" width="10.21875" customWidth="1"/>
    <col min="7" max="7" width="10.21875" bestFit="1" customWidth="1"/>
    <col min="8" max="8" width="9.77734375" bestFit="1" customWidth="1"/>
    <col min="9" max="9" width="2.5546875" customWidth="1"/>
  </cols>
  <sheetData>
    <row r="1" spans="1:20" ht="15" thickBot="1">
      <c r="A1" s="54" t="s">
        <v>62</v>
      </c>
      <c r="B1" s="54"/>
      <c r="C1" s="54"/>
      <c r="D1" s="53"/>
      <c r="E1" s="54"/>
      <c r="F1" s="54"/>
      <c r="G1" s="54"/>
      <c r="H1" s="54"/>
      <c r="J1" s="53" t="s">
        <v>62</v>
      </c>
      <c r="K1" s="53"/>
      <c r="L1" s="53"/>
      <c r="M1" s="53"/>
      <c r="N1" s="53"/>
      <c r="O1" s="53"/>
      <c r="P1" s="53"/>
      <c r="Q1" s="53"/>
      <c r="R1" s="53"/>
      <c r="S1" s="53"/>
      <c r="T1" s="53"/>
    </row>
    <row r="2" spans="1:20" ht="43.2" customHeight="1" thickBot="1">
      <c r="A2" s="55" t="s">
        <v>63</v>
      </c>
      <c r="B2" s="55"/>
      <c r="C2" s="57" t="s">
        <v>69</v>
      </c>
      <c r="E2" s="59" t="s">
        <v>65</v>
      </c>
      <c r="F2" s="59"/>
      <c r="G2" s="59"/>
      <c r="H2" s="59"/>
    </row>
    <row r="3" spans="1:20" ht="29.4" thickBot="1">
      <c r="A3" s="56"/>
      <c r="B3" s="56"/>
      <c r="C3" s="58"/>
      <c r="E3" s="43" t="s">
        <v>37</v>
      </c>
      <c r="F3" s="44" t="s">
        <v>66</v>
      </c>
      <c r="G3" s="43" t="s">
        <v>67</v>
      </c>
      <c r="H3" s="43" t="s">
        <v>68</v>
      </c>
    </row>
    <row r="4" spans="1:20">
      <c r="A4" s="45" t="str">
        <f>Returns!B2</f>
        <v>3 Month T-Bill</v>
      </c>
      <c r="B4" s="45" t="str">
        <f>Data!S1</f>
        <v>TB3MS</v>
      </c>
      <c r="C4" s="22">
        <f>Returns!B41</f>
        <v>9.3425925925925946E-4</v>
      </c>
      <c r="E4">
        <v>0</v>
      </c>
      <c r="F4" s="15">
        <f>C4*4</f>
        <v>3.7370370370370378E-3</v>
      </c>
      <c r="G4" s="16">
        <f>$F$4+E4*($F$5-$F$4)</f>
        <v>3.7370370370370378E-3</v>
      </c>
      <c r="H4" s="16">
        <f>F4-G4</f>
        <v>0</v>
      </c>
    </row>
    <row r="5" spans="1:20">
      <c r="A5" s="45" t="str">
        <f>Returns!C2</f>
        <v>Standard &amp; Poor 500</v>
      </c>
      <c r="B5" s="45" t="str">
        <f>Data!L1</f>
        <v>S&amp;P 500</v>
      </c>
      <c r="C5" s="22">
        <f>Returns!C41</f>
        <v>9.7773852046508548E-3</v>
      </c>
      <c r="E5">
        <v>1</v>
      </c>
      <c r="F5" s="15">
        <f t="shared" ref="F5:F9" si="0">C5*4</f>
        <v>3.9109540818603419E-2</v>
      </c>
      <c r="G5" s="16">
        <f t="shared" ref="G5:G9" si="1">$F$4+E5*($F$5-$F$4)</f>
        <v>3.9109540818603419E-2</v>
      </c>
      <c r="H5" s="16">
        <f t="shared" ref="H5:H9" si="2">F5-G5</f>
        <v>0</v>
      </c>
    </row>
    <row r="6" spans="1:20">
      <c r="A6" s="45" t="str">
        <f>Data!C1</f>
        <v>CSX Corporation</v>
      </c>
      <c r="B6" s="45" t="str">
        <f>Data!B1</f>
        <v>CSX</v>
      </c>
      <c r="C6" s="22">
        <f>Returns!D41</f>
        <v>3.3890651179348613E-2</v>
      </c>
      <c r="E6" s="46">
        <f>beta</f>
        <v>1.152129135897443</v>
      </c>
      <c r="F6" s="15">
        <f t="shared" si="0"/>
        <v>0.13556260471739445</v>
      </c>
      <c r="G6" s="16">
        <f t="shared" si="1"/>
        <v>4.4490729253422151E-2</v>
      </c>
      <c r="H6" s="16">
        <f t="shared" si="2"/>
        <v>9.1071875463972302E-2</v>
      </c>
    </row>
    <row r="7" spans="1:20">
      <c r="A7" s="45" t="str">
        <f>Data!W1</f>
        <v>Cisco System</v>
      </c>
      <c r="B7" s="45" t="str">
        <f>Data!V1</f>
        <v>CSCO</v>
      </c>
      <c r="C7" s="22">
        <f>Returns!E41</f>
        <v>2.3127355248177908E-2</v>
      </c>
      <c r="E7" s="46">
        <f>'R(CSCO)'!beta</f>
        <v>0.97116722130974265</v>
      </c>
      <c r="F7" s="15">
        <f t="shared" si="0"/>
        <v>9.250942099271163E-2</v>
      </c>
      <c r="G7" s="16">
        <f t="shared" si="1"/>
        <v>3.8089653245349221E-2</v>
      </c>
      <c r="H7" s="16">
        <f t="shared" si="2"/>
        <v>5.4419767747362409E-2</v>
      </c>
    </row>
    <row r="8" spans="1:20">
      <c r="A8" s="45" t="str">
        <f>'R(50-50 Portfolio)'!D2</f>
        <v>50/50 Portfolio</v>
      </c>
      <c r="B8" s="45"/>
      <c r="C8" s="22">
        <f>Returns!F41</f>
        <v>2.8509003213763255E-2</v>
      </c>
      <c r="E8" s="46">
        <f>'R(50-50 Portfolio)'!beta</f>
        <v>1.0616481786035932</v>
      </c>
      <c r="F8" s="15">
        <f t="shared" si="0"/>
        <v>0.11403601285505302</v>
      </c>
      <c r="G8" s="16">
        <f t="shared" si="1"/>
        <v>4.1290191249385697E-2</v>
      </c>
      <c r="H8" s="16">
        <f t="shared" si="2"/>
        <v>7.2745821605667324E-2</v>
      </c>
    </row>
    <row r="9" spans="1:20">
      <c r="A9" s="45" t="str">
        <f>EPF!A8</f>
        <v>Minimum Variance Portfolio</v>
      </c>
      <c r="B9" s="45" t="str">
        <f>'R(MVP)'!D2</f>
        <v>MVP</v>
      </c>
      <c r="C9" s="22">
        <f>Returns!G41</f>
        <v>2.6141078108905692E-2</v>
      </c>
      <c r="E9" s="46">
        <f>'R(MVP)'!beta</f>
        <v>1.0218365573942987</v>
      </c>
      <c r="F9" s="15">
        <f t="shared" si="0"/>
        <v>0.10456431243562277</v>
      </c>
      <c r="G9" s="16">
        <f t="shared" si="1"/>
        <v>3.9881954527609641E-2</v>
      </c>
      <c r="H9" s="16">
        <f t="shared" si="2"/>
        <v>6.4682357908013133E-2</v>
      </c>
    </row>
  </sheetData>
  <mergeCells count="5">
    <mergeCell ref="A1:H1"/>
    <mergeCell ref="A2:B3"/>
    <mergeCell ref="C2:C3"/>
    <mergeCell ref="E2:H2"/>
    <mergeCell ref="J1:T1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D 7 p H T h 0 0 L D K n A A A A + Q A A A B I A H A B D b 2 5 m a W c v U G F j a 2 F n Z S 5 4 b W w g o h g A K K A U A A A A A A A A A A A A A A A A A A A A A A A A A A A A h Y 9 N D o I w G E S v Q r q n f 0 S j 5 K M s 3 E p i Q j R u G 6 j Q C M X Q Y r m b C 4 / k F S R R 1 J 3 L m b x J 3 j x u d 0 j H t g m u q r e 6 M w l i m K J A m a I r t a k S N L h T u E K p g J 0 s z r J S w Q Q b G 4 9 W J 6 h 2 7 h I T 4 r 3 H P s J d X x F O K S P H b J s X t W p l q I 1 1 0 h Q K f V b l / x U S c H j J C I 6 X D C / Y m m M W U Q Z k 7 i H T 5 s v w S R l T I D 8 l b I b G D b 0 S y o T 7 H M g c g b x v i C d Q S w M E F A A C A A g A D 7 p H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+ 6 R 0 4 o i k e 4 D g A A A B E A A A A T A B w A R m 9 y b X V s Y X M v U 2 V j d G l v b j E u b S C i G A A o o B Q A A A A A A A A A A A A A A A A A A A A A A A A A A A A r T k 0 u y c z P U w i G 0 I b W A F B L A Q I t A B Q A A g A I A A + 6 R 0 4 d N C w y p w A A A P k A A A A S A A A A A A A A A A A A A A A A A A A A A A B D b 2 5 m a W c v U G F j a 2 F n Z S 5 4 b W x Q S w E C L Q A U A A I A C A A P u k d O D 8 r p q 6 Q A A A D p A A A A E w A A A A A A A A A A A A A A A A D z A A A A W 0 N v b n R l b n R f V H l w Z X N d L n h t b F B L A Q I t A B Q A A g A I A A + 6 R 0 4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x N l L C 6 j Z x R b M Z 5 P Z D Q Q R z A A A A A A I A A A A A A B B m A A A A A Q A A I A A A A O 9 b V y l R s T U m 1 t k y 3 Z s W u 3 4 x w P 4 f X 3 U v i 8 u 1 J 0 9 H 9 8 J B A A A A A A 6 A A A A A A g A A I A A A A K O H Y r 4 o a H W S K I b h C M + r O 9 k n o b k P M t x b b P 4 k + y m y W W B O U A A A A C m R 9 M d 5 O H f t 7 3 F b A z E I L N T h a X 3 2 J s d s 8 e l m l R P L / S 1 m K 3 y t K G + q l K 9 2 f H H + 9 Q 1 g 2 4 o m i 8 C 6 h L D E D K K 2 r J n U N A g J Q n K / r 8 v e w Z h z P l B 1 A Z k C Q A A A A P s t i d G S e 4 h c b p h N m U h B l 9 N a B u V + r O v w l v e y U j m M v V U H g W B K 1 B P m e D t b 4 H w g l + A q Y B H R 1 e 5 N m P s P c x s C 5 I i z u Q I = < / D a t a M a s h u p > 
</file>

<file path=customXml/itemProps1.xml><?xml version="1.0" encoding="utf-8"?>
<ds:datastoreItem xmlns:ds="http://schemas.openxmlformats.org/officeDocument/2006/customXml" ds:itemID="{B06DF756-9499-47DB-A758-E8D053AEA71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24</vt:i4>
      </vt:variant>
    </vt:vector>
  </HeadingPairs>
  <TitlesOfParts>
    <vt:vector size="33" baseType="lpstr">
      <vt:lpstr>Data</vt:lpstr>
      <vt:lpstr>Candlestick</vt:lpstr>
      <vt:lpstr>Returns</vt:lpstr>
      <vt:lpstr>EPF</vt:lpstr>
      <vt:lpstr>R(CSX)</vt:lpstr>
      <vt:lpstr>R(CSCO)</vt:lpstr>
      <vt:lpstr>R(50-50 Portfolio)</vt:lpstr>
      <vt:lpstr>R(MVP)</vt:lpstr>
      <vt:lpstr>CAPM</vt:lpstr>
      <vt:lpstr>'R(50-50 Portfolio)'!alpha</vt:lpstr>
      <vt:lpstr>'R(CSCO)'!alpha</vt:lpstr>
      <vt:lpstr>'R(MVP)'!alpha</vt:lpstr>
      <vt:lpstr>alpha</vt:lpstr>
      <vt:lpstr>'R(50-50 Portfolio)'!beta</vt:lpstr>
      <vt:lpstr>'R(CSCO)'!beta</vt:lpstr>
      <vt:lpstr>'R(MVP)'!beta</vt:lpstr>
      <vt:lpstr>beta</vt:lpstr>
      <vt:lpstr>'R(50-50 Portfolio)'!k</vt:lpstr>
      <vt:lpstr>'R(CSCO)'!k</vt:lpstr>
      <vt:lpstr>'R(MVP)'!k</vt:lpstr>
      <vt:lpstr>k</vt:lpstr>
      <vt:lpstr>'R(50-50 Portfolio)'!N</vt:lpstr>
      <vt:lpstr>'R(CSCO)'!N</vt:lpstr>
      <vt:lpstr>'R(MVP)'!N</vt:lpstr>
      <vt:lpstr>N</vt:lpstr>
      <vt:lpstr>'R(50-50 Portfolio)'!rho</vt:lpstr>
      <vt:lpstr>'R(CSCO)'!rho</vt:lpstr>
      <vt:lpstr>'R(MVP)'!rho</vt:lpstr>
      <vt:lpstr>rho</vt:lpstr>
      <vt:lpstr>'R(50-50 Portfolio)'!RR</vt:lpstr>
      <vt:lpstr>'R(CSCO)'!RR</vt:lpstr>
      <vt:lpstr>'R(MVP)'!RR</vt:lpstr>
      <vt:lpstr>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 Phurwo</dc:creator>
  <cp:lastModifiedBy>Wilson Phurwo</cp:lastModifiedBy>
  <cp:lastPrinted>2019-02-20T01:47:35Z</cp:lastPrinted>
  <dcterms:created xsi:type="dcterms:W3CDTF">2019-02-07T04:59:23Z</dcterms:created>
  <dcterms:modified xsi:type="dcterms:W3CDTF">2019-02-20T19:52:26Z</dcterms:modified>
</cp:coreProperties>
</file>