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tonngo/Downloads/"/>
    </mc:Choice>
  </mc:AlternateContent>
  <xr:revisionPtr revIDLastSave="0" documentId="13_ncr:1_{689C6760-771C-6643-AC4B-269D651D40C1}" xr6:coauthVersionLast="47" xr6:coauthVersionMax="47" xr10:uidLastSave="{00000000-0000-0000-0000-000000000000}"/>
  <bookViews>
    <workbookView xWindow="0" yWindow="500" windowWidth="28800" windowHeight="16240" activeTab="1" xr2:uid="{D93AAA56-1308-4026-9D8F-E913B55E5CC3}"/>
  </bookViews>
  <sheets>
    <sheet name="Income Statement" sheetId="14" r:id="rId1"/>
    <sheet name="Balance Sheet" sheetId="17" r:id="rId2"/>
    <sheet name="Cash Flow Statement" sheetId="21" r:id="rId3"/>
    <sheet name="Fixed Assets" sheetId="18" r:id="rId4"/>
    <sheet name="Debt Schedule" sheetId="19" r:id="rId5"/>
    <sheet name="Retained Earnings" sheetId="20" r:id="rId6"/>
    <sheet name="Data Source --&gt;" sheetId="6" r:id="rId7"/>
    <sheet name="Income Statement - Data" sheetId="2" r:id="rId8"/>
    <sheet name="Balance Sheet - Data" sheetId="3" r:id="rId9"/>
    <sheet name="Statement of Cashflows - Data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17" l="1"/>
  <c r="D44" i="17"/>
  <c r="E43" i="17"/>
  <c r="D43" i="17"/>
  <c r="E42" i="17"/>
  <c r="D42" i="17"/>
  <c r="E41" i="17"/>
  <c r="D41" i="17"/>
  <c r="C44" i="17"/>
  <c r="C43" i="17"/>
  <c r="C42" i="17"/>
  <c r="C41" i="17"/>
  <c r="D3" i="17"/>
  <c r="E3" i="17" s="1"/>
  <c r="B21" i="21" l="1"/>
  <c r="B20" i="21"/>
  <c r="B18" i="21"/>
  <c r="B17" i="21"/>
  <c r="B16" i="21"/>
  <c r="B14" i="21"/>
  <c r="B13" i="21"/>
  <c r="B12" i="21"/>
  <c r="B11" i="21"/>
  <c r="B10" i="21"/>
  <c r="B9" i="21"/>
  <c r="B8" i="21"/>
  <c r="B7" i="21"/>
  <c r="B6" i="21"/>
  <c r="D3" i="21"/>
  <c r="E3" i="21" s="1"/>
  <c r="F3" i="21" s="1"/>
  <c r="G3" i="21" s="1"/>
  <c r="E6" i="20" l="1"/>
  <c r="D6" i="20"/>
  <c r="C6" i="20"/>
  <c r="D3" i="20"/>
  <c r="E3" i="20" s="1"/>
  <c r="F3" i="20" s="1"/>
  <c r="G3" i="20" s="1"/>
  <c r="H3" i="20" s="1"/>
  <c r="I3" i="20" s="1"/>
  <c r="J3" i="20" s="1"/>
  <c r="K24" i="17" l="1"/>
  <c r="J24" i="17"/>
  <c r="F14" i="21" s="1"/>
  <c r="I24" i="17"/>
  <c r="H24" i="17"/>
  <c r="D14" i="21" s="1"/>
  <c r="G24" i="17"/>
  <c r="D3" i="19"/>
  <c r="E3" i="19" s="1"/>
  <c r="F3" i="19" s="1"/>
  <c r="G3" i="19" s="1"/>
  <c r="H3" i="19" s="1"/>
  <c r="I3" i="19" s="1"/>
  <c r="J3" i="19" s="1"/>
  <c r="E14" i="21" l="1"/>
  <c r="G14" i="21"/>
  <c r="D3" i="18"/>
  <c r="E3" i="18" s="1"/>
  <c r="F3" i="18" s="1"/>
  <c r="G3" i="18" s="1"/>
  <c r="H3" i="18" s="1"/>
  <c r="I3" i="18" s="1"/>
  <c r="J3" i="18" s="1"/>
  <c r="D32" i="17" l="1"/>
  <c r="E32" i="17"/>
  <c r="G32" i="17" s="1"/>
  <c r="H32" i="17" s="1"/>
  <c r="I32" i="17" s="1"/>
  <c r="J32" i="17" s="1"/>
  <c r="K32" i="17" s="1"/>
  <c r="C32" i="17"/>
  <c r="C34" i="17"/>
  <c r="C33" i="17"/>
  <c r="C28" i="17"/>
  <c r="C27" i="17"/>
  <c r="C7" i="19" s="1"/>
  <c r="D4" i="19" s="1"/>
  <c r="C24" i="17"/>
  <c r="C23" i="17"/>
  <c r="C22" i="17"/>
  <c r="C21" i="17"/>
  <c r="C20" i="17"/>
  <c r="C15" i="17"/>
  <c r="C14" i="17"/>
  <c r="D4" i="18" s="1"/>
  <c r="C13" i="17"/>
  <c r="C10" i="17"/>
  <c r="C9" i="17"/>
  <c r="C8" i="17"/>
  <c r="C7" i="17"/>
  <c r="C6" i="17"/>
  <c r="C5" i="17"/>
  <c r="D20" i="14"/>
  <c r="D5" i="18" s="1"/>
  <c r="E20" i="14"/>
  <c r="E5" i="18" s="1"/>
  <c r="C20" i="14"/>
  <c r="E25" i="14"/>
  <c r="E5" i="20" s="1"/>
  <c r="E10" i="20" s="1"/>
  <c r="D25" i="14"/>
  <c r="D5" i="20" s="1"/>
  <c r="D10" i="20" s="1"/>
  <c r="C25" i="14"/>
  <c r="C5" i="20" s="1"/>
  <c r="C10" i="20" s="1"/>
  <c r="F10" i="20" s="1"/>
  <c r="G10" i="20" s="1"/>
  <c r="H10" i="20" s="1"/>
  <c r="I10" i="20" s="1"/>
  <c r="J10" i="20" s="1"/>
  <c r="E24" i="14"/>
  <c r="D24" i="14"/>
  <c r="C24" i="14"/>
  <c r="E22" i="14"/>
  <c r="D22" i="14"/>
  <c r="C22" i="14"/>
  <c r="E18" i="14"/>
  <c r="D18" i="14"/>
  <c r="C18" i="14"/>
  <c r="E17" i="14"/>
  <c r="D17" i="14"/>
  <c r="C17" i="14"/>
  <c r="C55" i="14" s="1"/>
  <c r="E16" i="14"/>
  <c r="E52" i="14" s="1"/>
  <c r="G52" i="14" s="1"/>
  <c r="H52" i="14" s="1"/>
  <c r="I52" i="14" s="1"/>
  <c r="J52" i="14" s="1"/>
  <c r="K52" i="14" s="1"/>
  <c r="D16" i="14"/>
  <c r="D52" i="14" s="1"/>
  <c r="C16" i="14"/>
  <c r="C52" i="14" s="1"/>
  <c r="E13" i="14"/>
  <c r="D13" i="14"/>
  <c r="C13" i="14"/>
  <c r="E12" i="14"/>
  <c r="E45" i="14" s="1"/>
  <c r="D12" i="14"/>
  <c r="D45" i="14" s="1"/>
  <c r="C12" i="14"/>
  <c r="E11" i="14"/>
  <c r="D11" i="14"/>
  <c r="C11" i="14"/>
  <c r="E9" i="14"/>
  <c r="D9" i="14"/>
  <c r="C9" i="14"/>
  <c r="E8" i="14"/>
  <c r="E35" i="14" s="1"/>
  <c r="D8" i="14"/>
  <c r="C8" i="14"/>
  <c r="E7" i="14"/>
  <c r="E32" i="14" s="1"/>
  <c r="D7" i="14"/>
  <c r="C7" i="14"/>
  <c r="D10" i="19" l="1"/>
  <c r="D55" i="14"/>
  <c r="G55" i="14" s="1"/>
  <c r="H55" i="14" s="1"/>
  <c r="I55" i="14" s="1"/>
  <c r="J55" i="14" s="1"/>
  <c r="K55" i="14" s="1"/>
  <c r="E55" i="14"/>
  <c r="E14" i="14"/>
  <c r="C42" i="14"/>
  <c r="D42" i="14"/>
  <c r="E42" i="14"/>
  <c r="G42" i="14" s="1"/>
  <c r="H42" i="14" s="1"/>
  <c r="I42" i="14" s="1"/>
  <c r="J42" i="14" s="1"/>
  <c r="K42" i="14" s="1"/>
  <c r="D32" i="14"/>
  <c r="G32" i="14" s="1"/>
  <c r="H32" i="14" s="1"/>
  <c r="I32" i="14" s="1"/>
  <c r="J32" i="14" s="1"/>
  <c r="K32" i="14" s="1"/>
  <c r="D36" i="14"/>
  <c r="C46" i="14"/>
  <c r="D10" i="18"/>
  <c r="E36" i="14"/>
  <c r="G36" i="14" s="1"/>
  <c r="D46" i="14"/>
  <c r="G46" i="14" s="1"/>
  <c r="C56" i="14"/>
  <c r="D14" i="14"/>
  <c r="D21" i="14" s="1"/>
  <c r="C49" i="17"/>
  <c r="D37" i="14"/>
  <c r="E46" i="14"/>
  <c r="D56" i="14"/>
  <c r="E37" i="14"/>
  <c r="C47" i="14"/>
  <c r="E56" i="14"/>
  <c r="C40" i="14"/>
  <c r="D47" i="14"/>
  <c r="C57" i="14"/>
  <c r="D40" i="14"/>
  <c r="G40" i="14" s="1"/>
  <c r="H40" i="14" s="1"/>
  <c r="I40" i="14" s="1"/>
  <c r="J40" i="14" s="1"/>
  <c r="K40" i="14" s="1"/>
  <c r="E47" i="14"/>
  <c r="G47" i="14" s="1"/>
  <c r="H47" i="14" s="1"/>
  <c r="I47" i="14" s="1"/>
  <c r="J47" i="14" s="1"/>
  <c r="K47" i="14" s="1"/>
  <c r="D57" i="14"/>
  <c r="E40" i="14"/>
  <c r="C50" i="14"/>
  <c r="E57" i="14"/>
  <c r="G57" i="14" s="1"/>
  <c r="H57" i="14" s="1"/>
  <c r="I57" i="14" s="1"/>
  <c r="J57" i="14" s="1"/>
  <c r="K57" i="14" s="1"/>
  <c r="C41" i="14"/>
  <c r="D50" i="14"/>
  <c r="G50" i="14" s="1"/>
  <c r="H50" i="14" s="1"/>
  <c r="I50" i="14" s="1"/>
  <c r="J50" i="14" s="1"/>
  <c r="K50" i="14" s="1"/>
  <c r="E51" i="14"/>
  <c r="C45" i="17"/>
  <c r="D30" i="14"/>
  <c r="D41" i="14"/>
  <c r="E50" i="14"/>
  <c r="C47" i="17"/>
  <c r="E30" i="14"/>
  <c r="E41" i="14"/>
  <c r="C51" i="14"/>
  <c r="D31" i="14"/>
  <c r="D51" i="14"/>
  <c r="C46" i="17"/>
  <c r="E31" i="14"/>
  <c r="C48" i="17"/>
  <c r="C45" i="14"/>
  <c r="G45" i="14" s="1"/>
  <c r="H45" i="14" s="1"/>
  <c r="I45" i="14" s="1"/>
  <c r="J45" i="14" s="1"/>
  <c r="K45" i="14" s="1"/>
  <c r="C50" i="17"/>
  <c r="D35" i="14"/>
  <c r="C51" i="17"/>
  <c r="C29" i="17"/>
  <c r="E24" i="17"/>
  <c r="C14" i="21" s="1"/>
  <c r="G3" i="17"/>
  <c r="H3" i="17" s="1"/>
  <c r="I3" i="17" s="1"/>
  <c r="J3" i="17" s="1"/>
  <c r="K3" i="17" s="1"/>
  <c r="C16" i="17"/>
  <c r="C35" i="17"/>
  <c r="E15" i="17"/>
  <c r="E46" i="17" s="1"/>
  <c r="C25" i="17"/>
  <c r="C30" i="17" s="1"/>
  <c r="C36" i="17" s="1"/>
  <c r="E34" i="17"/>
  <c r="G34" i="17" s="1"/>
  <c r="H34" i="17" s="1"/>
  <c r="I34" i="17" s="1"/>
  <c r="J34" i="17" s="1"/>
  <c r="K34" i="17" s="1"/>
  <c r="C11" i="17"/>
  <c r="D20" i="17"/>
  <c r="E6" i="17"/>
  <c r="G6" i="17" s="1"/>
  <c r="H6" i="17" s="1"/>
  <c r="I6" i="17" s="1"/>
  <c r="J6" i="17" s="1"/>
  <c r="K6" i="17" s="1"/>
  <c r="D7" i="17"/>
  <c r="E7" i="17"/>
  <c r="D8" i="17"/>
  <c r="D23" i="17"/>
  <c r="D51" i="17" s="1"/>
  <c r="E8" i="17"/>
  <c r="E23" i="17"/>
  <c r="E51" i="17" s="1"/>
  <c r="E13" i="17"/>
  <c r="E47" i="17" s="1"/>
  <c r="D15" i="17"/>
  <c r="D46" i="17" s="1"/>
  <c r="D24" i="17"/>
  <c r="D14" i="17"/>
  <c r="D27" i="17"/>
  <c r="D7" i="19" s="1"/>
  <c r="E4" i="19" s="1"/>
  <c r="E10" i="19" s="1"/>
  <c r="F10" i="19" s="1"/>
  <c r="E14" i="17"/>
  <c r="E7" i="18" s="1"/>
  <c r="F4" i="18" s="1"/>
  <c r="E27" i="17"/>
  <c r="E7" i="19" s="1"/>
  <c r="F4" i="19" s="1"/>
  <c r="F7" i="19" s="1"/>
  <c r="D10" i="17"/>
  <c r="D45" i="17" s="1"/>
  <c r="E21" i="17"/>
  <c r="E48" i="17" s="1"/>
  <c r="E28" i="17"/>
  <c r="E49" i="17" s="1"/>
  <c r="E5" i="17"/>
  <c r="E10" i="17"/>
  <c r="E45" i="17" s="1"/>
  <c r="D33" i="17"/>
  <c r="E20" i="17"/>
  <c r="E9" i="17"/>
  <c r="D5" i="17"/>
  <c r="D22" i="17"/>
  <c r="D50" i="17" s="1"/>
  <c r="E33" i="17"/>
  <c r="E7" i="20" s="1"/>
  <c r="F4" i="20" s="1"/>
  <c r="D28" i="17"/>
  <c r="D49" i="17" s="1"/>
  <c r="D21" i="17"/>
  <c r="D48" i="17" s="1"/>
  <c r="E22" i="17"/>
  <c r="E50" i="17" s="1"/>
  <c r="D9" i="17"/>
  <c r="D13" i="17"/>
  <c r="D47" i="17" s="1"/>
  <c r="D6" i="17"/>
  <c r="D34" i="17"/>
  <c r="C14" i="14"/>
  <c r="C21" i="14" s="1"/>
  <c r="C19" i="14" s="1"/>
  <c r="E21" i="14"/>
  <c r="E23" i="14" s="1"/>
  <c r="E59" i="14" s="1"/>
  <c r="D35" i="17" l="1"/>
  <c r="G4" i="19"/>
  <c r="G7" i="19" s="1"/>
  <c r="G27" i="17"/>
  <c r="C20" i="21" s="1"/>
  <c r="E4" i="18"/>
  <c r="D7" i="18"/>
  <c r="D6" i="18" s="1"/>
  <c r="D11" i="18" s="1"/>
  <c r="G41" i="14"/>
  <c r="H41" i="14" s="1"/>
  <c r="I41" i="14" s="1"/>
  <c r="G44" i="14" a="1"/>
  <c r="G44" i="14" s="1"/>
  <c r="H46" i="14"/>
  <c r="D19" i="14"/>
  <c r="D23" i="14"/>
  <c r="D59" i="14" s="1"/>
  <c r="H36" i="14"/>
  <c r="G34" i="14" a="1"/>
  <c r="G34" i="14" s="1"/>
  <c r="G8" i="14" s="1"/>
  <c r="G35" i="14"/>
  <c r="H35" i="14" s="1"/>
  <c r="I35" i="14" s="1"/>
  <c r="J35" i="14" s="1"/>
  <c r="K35" i="14" s="1"/>
  <c r="G10" i="19"/>
  <c r="G22" i="14"/>
  <c r="G37" i="14"/>
  <c r="H37" i="14" s="1"/>
  <c r="I37" i="14" s="1"/>
  <c r="J37" i="14" s="1"/>
  <c r="K37" i="14" s="1"/>
  <c r="H39" i="14" a="1"/>
  <c r="H39" i="14" s="1"/>
  <c r="G56" i="14"/>
  <c r="G51" i="17"/>
  <c r="H51" i="17" s="1"/>
  <c r="I51" i="17" s="1"/>
  <c r="J51" i="17" s="1"/>
  <c r="K51" i="17" s="1"/>
  <c r="G48" i="17"/>
  <c r="H48" i="17" s="1"/>
  <c r="I48" i="17" s="1"/>
  <c r="J48" i="17" s="1"/>
  <c r="K48" i="17" s="1"/>
  <c r="G51" i="14"/>
  <c r="G44" i="17"/>
  <c r="H44" i="17" s="1"/>
  <c r="I44" i="17" s="1"/>
  <c r="J44" i="17" s="1"/>
  <c r="K44" i="17" s="1"/>
  <c r="G31" i="14"/>
  <c r="G39" i="14" a="1"/>
  <c r="G39" i="14" s="1"/>
  <c r="G47" i="17"/>
  <c r="H47" i="17" s="1"/>
  <c r="I47" i="17" s="1"/>
  <c r="J47" i="17" s="1"/>
  <c r="K47" i="17" s="1"/>
  <c r="G42" i="17"/>
  <c r="H42" i="17" s="1"/>
  <c r="I42" i="17" s="1"/>
  <c r="J42" i="17" s="1"/>
  <c r="K42" i="17" s="1"/>
  <c r="G46" i="17"/>
  <c r="H46" i="17" s="1"/>
  <c r="I46" i="17" s="1"/>
  <c r="J46" i="17" s="1"/>
  <c r="K46" i="17" s="1"/>
  <c r="E35" i="17"/>
  <c r="C17" i="17"/>
  <c r="C38" i="17" s="1"/>
  <c r="G50" i="17"/>
  <c r="H50" i="17" s="1"/>
  <c r="I50" i="17" s="1"/>
  <c r="J50" i="17" s="1"/>
  <c r="K50" i="17" s="1"/>
  <c r="G45" i="17"/>
  <c r="H45" i="17" s="1"/>
  <c r="I45" i="17" s="1"/>
  <c r="J45" i="17" s="1"/>
  <c r="K45" i="17" s="1"/>
  <c r="G49" i="17"/>
  <c r="H49" i="17" s="1"/>
  <c r="I49" i="17" s="1"/>
  <c r="J49" i="17" s="1"/>
  <c r="K49" i="17" s="1"/>
  <c r="G43" i="17"/>
  <c r="H43" i="17" s="1"/>
  <c r="I43" i="17" s="1"/>
  <c r="J43" i="17" s="1"/>
  <c r="K43" i="17" s="1"/>
  <c r="G41" i="17"/>
  <c r="H41" i="17" s="1"/>
  <c r="I41" i="17" s="1"/>
  <c r="J41" i="17" s="1"/>
  <c r="K41" i="17" s="1"/>
  <c r="E16" i="17"/>
  <c r="E29" i="17"/>
  <c r="D25" i="17"/>
  <c r="D29" i="17"/>
  <c r="D16" i="17"/>
  <c r="I46" i="14"/>
  <c r="H44" i="14" a="1"/>
  <c r="H44" i="14" s="1"/>
  <c r="J41" i="14"/>
  <c r="I39" i="14" a="1"/>
  <c r="I39" i="14" s="1"/>
  <c r="D11" i="17"/>
  <c r="E25" i="17"/>
  <c r="E11" i="17"/>
  <c r="E17" i="17" s="1"/>
  <c r="C23" i="14"/>
  <c r="C59" i="14" s="1"/>
  <c r="G59" i="14" s="1"/>
  <c r="H59" i="14" s="1"/>
  <c r="I59" i="14" s="1"/>
  <c r="J59" i="14" s="1"/>
  <c r="K59" i="14" s="1"/>
  <c r="E19" i="14"/>
  <c r="G12" i="14" l="1"/>
  <c r="E10" i="18"/>
  <c r="F10" i="18" s="1"/>
  <c r="E6" i="18"/>
  <c r="E11" i="18" s="1"/>
  <c r="F11" i="18" s="1"/>
  <c r="H4" i="19"/>
  <c r="H7" i="19" s="1"/>
  <c r="H27" i="17"/>
  <c r="D20" i="21" s="1"/>
  <c r="H51" i="14"/>
  <c r="G49" i="14" a="1"/>
  <c r="G49" i="14" s="1"/>
  <c r="H34" i="14" a="1"/>
  <c r="H34" i="14" s="1"/>
  <c r="H8" i="14" s="1"/>
  <c r="I36" i="14"/>
  <c r="H56" i="14"/>
  <c r="G54" i="14" a="1"/>
  <c r="G54" i="14" s="1"/>
  <c r="H31" i="14"/>
  <c r="G30" i="14"/>
  <c r="H30" i="14" s="1"/>
  <c r="I30" i="14" s="1"/>
  <c r="J30" i="14" s="1"/>
  <c r="K30" i="14" s="1"/>
  <c r="G29" i="14" a="1"/>
  <c r="G29" i="14" s="1"/>
  <c r="G7" i="14" s="1"/>
  <c r="F6" i="18"/>
  <c r="C17" i="21" s="1"/>
  <c r="G11" i="18"/>
  <c r="H10" i="19"/>
  <c r="H22" i="14"/>
  <c r="G10" i="18"/>
  <c r="F5" i="18"/>
  <c r="E30" i="17"/>
  <c r="E36" i="17" s="1"/>
  <c r="E38" i="17" s="1"/>
  <c r="D17" i="17"/>
  <c r="D30" i="17"/>
  <c r="D36" i="17" s="1"/>
  <c r="D38" i="17" s="1"/>
  <c r="K41" i="14"/>
  <c r="K39" i="14" s="1" a="1"/>
  <c r="K39" i="14" s="1"/>
  <c r="J39" i="14" a="1"/>
  <c r="J39" i="14" s="1"/>
  <c r="I44" i="14" a="1"/>
  <c r="I44" i="14" s="1"/>
  <c r="J46" i="14"/>
  <c r="I4" i="19" l="1"/>
  <c r="I7" i="19" s="1"/>
  <c r="I27" i="17"/>
  <c r="E20" i="21" s="1"/>
  <c r="H12" i="14"/>
  <c r="I31" i="14"/>
  <c r="H29" i="14" a="1"/>
  <c r="H29" i="14" s="1"/>
  <c r="H7" i="14" s="1"/>
  <c r="H54" i="14" a="1"/>
  <c r="H54" i="14" s="1"/>
  <c r="I56" i="14"/>
  <c r="G11" i="14"/>
  <c r="G13" i="14" s="1"/>
  <c r="G9" i="14"/>
  <c r="J36" i="14"/>
  <c r="I34" i="14" a="1"/>
  <c r="I34" i="14" s="1"/>
  <c r="I8" i="14" s="1"/>
  <c r="F7" i="18"/>
  <c r="G20" i="14"/>
  <c r="C5" i="21" s="1"/>
  <c r="H10" i="18"/>
  <c r="H11" i="18"/>
  <c r="I10" i="19"/>
  <c r="I22" i="14"/>
  <c r="I51" i="14"/>
  <c r="H49" i="14" a="1"/>
  <c r="H49" i="14" s="1"/>
  <c r="J44" i="14" a="1"/>
  <c r="J44" i="14" s="1"/>
  <c r="K46" i="14"/>
  <c r="K44" i="14" s="1" a="1"/>
  <c r="K44" i="14" s="1"/>
  <c r="G8" i="17" l="1"/>
  <c r="G20" i="17"/>
  <c r="G7" i="17"/>
  <c r="C6" i="21" s="1"/>
  <c r="G9" i="17"/>
  <c r="C8" i="21" s="1"/>
  <c r="J4" i="19"/>
  <c r="J7" i="19" s="1"/>
  <c r="K27" i="17" s="1"/>
  <c r="J27" i="17"/>
  <c r="F20" i="21" s="1"/>
  <c r="I12" i="14"/>
  <c r="I11" i="18"/>
  <c r="G16" i="14"/>
  <c r="G17" i="14"/>
  <c r="G22" i="17"/>
  <c r="C12" i="21" s="1"/>
  <c r="G21" i="17"/>
  <c r="C11" i="21" s="1"/>
  <c r="G28" i="17"/>
  <c r="G10" i="17"/>
  <c r="C9" i="21" s="1"/>
  <c r="G13" i="17"/>
  <c r="G15" i="17"/>
  <c r="C18" i="21" s="1"/>
  <c r="H11" i="14"/>
  <c r="H13" i="14" s="1"/>
  <c r="H20" i="17" s="1"/>
  <c r="H9" i="14"/>
  <c r="J34" i="14" a="1"/>
  <c r="J34" i="14" s="1"/>
  <c r="J8" i="14" s="1"/>
  <c r="K36" i="14"/>
  <c r="K34" i="14" s="1" a="1"/>
  <c r="K34" i="14" s="1"/>
  <c r="J31" i="14"/>
  <c r="I29" i="14" a="1"/>
  <c r="I29" i="14" s="1"/>
  <c r="I7" i="14" s="1"/>
  <c r="G4" i="18"/>
  <c r="G14" i="17"/>
  <c r="G23" i="17"/>
  <c r="C13" i="21" s="1"/>
  <c r="J56" i="14"/>
  <c r="I54" i="14" a="1"/>
  <c r="I54" i="14" s="1"/>
  <c r="C10" i="21"/>
  <c r="G14" i="14"/>
  <c r="J10" i="19"/>
  <c r="K22" i="14" s="1"/>
  <c r="J22" i="14"/>
  <c r="I10" i="18"/>
  <c r="I49" i="14" a="1"/>
  <c r="I49" i="14" s="1"/>
  <c r="J51" i="14"/>
  <c r="C7" i="21"/>
  <c r="H7" i="17" l="1"/>
  <c r="H9" i="17"/>
  <c r="H23" i="17"/>
  <c r="D13" i="21" s="1"/>
  <c r="H8" i="17"/>
  <c r="D7" i="21" s="1"/>
  <c r="G20" i="21"/>
  <c r="K8" i="14"/>
  <c r="K12" i="14" s="1"/>
  <c r="J12" i="14"/>
  <c r="I9" i="14"/>
  <c r="I11" i="14"/>
  <c r="I13" i="14" s="1"/>
  <c r="I20" i="17" s="1"/>
  <c r="K56" i="14"/>
  <c r="K54" i="14" s="1" a="1"/>
  <c r="K54" i="14" s="1"/>
  <c r="J54" i="14" a="1"/>
  <c r="J54" i="14" s="1"/>
  <c r="D10" i="21"/>
  <c r="G18" i="14"/>
  <c r="G21" i="14" s="1"/>
  <c r="C16" i="21"/>
  <c r="C19" i="21" s="1"/>
  <c r="G16" i="17"/>
  <c r="G6" i="18"/>
  <c r="D17" i="21" s="1"/>
  <c r="G5" i="18"/>
  <c r="H20" i="14" s="1"/>
  <c r="D5" i="21" s="1"/>
  <c r="J29" i="14" a="1"/>
  <c r="J29" i="14" s="1"/>
  <c r="J7" i="14" s="1"/>
  <c r="K31" i="14"/>
  <c r="K29" i="14" s="1" a="1"/>
  <c r="K29" i="14" s="1"/>
  <c r="J11" i="18"/>
  <c r="C21" i="21"/>
  <c r="G29" i="17"/>
  <c r="J10" i="18"/>
  <c r="H22" i="17"/>
  <c r="D12" i="21" s="1"/>
  <c r="H17" i="14"/>
  <c r="H13" i="17"/>
  <c r="H28" i="17"/>
  <c r="H16" i="14"/>
  <c r="H10" i="17"/>
  <c r="D9" i="21" s="1"/>
  <c r="H15" i="17"/>
  <c r="D18" i="21" s="1"/>
  <c r="D6" i="21"/>
  <c r="D8" i="21"/>
  <c r="H21" i="17"/>
  <c r="D11" i="21" s="1"/>
  <c r="H14" i="14"/>
  <c r="G25" i="17"/>
  <c r="K51" i="14"/>
  <c r="K49" i="14" s="1" a="1"/>
  <c r="K49" i="14" s="1"/>
  <c r="J49" i="14" a="1"/>
  <c r="J49" i="14" s="1"/>
  <c r="H18" i="14" l="1"/>
  <c r="I8" i="17"/>
  <c r="I9" i="17"/>
  <c r="I7" i="17"/>
  <c r="E10" i="21"/>
  <c r="H25" i="17"/>
  <c r="I23" i="17"/>
  <c r="E13" i="21" s="1"/>
  <c r="H21" i="14"/>
  <c r="H23" i="14" s="1"/>
  <c r="H24" i="14" s="1"/>
  <c r="H25" i="14" s="1"/>
  <c r="G19" i="14"/>
  <c r="G23" i="14"/>
  <c r="H29" i="17"/>
  <c r="D21" i="21"/>
  <c r="E6" i="21"/>
  <c r="I10" i="17"/>
  <c r="E9" i="21" s="1"/>
  <c r="I16" i="14"/>
  <c r="I13" i="17"/>
  <c r="I21" i="17"/>
  <c r="E11" i="21" s="1"/>
  <c r="I28" i="17"/>
  <c r="I17" i="14"/>
  <c r="E8" i="21"/>
  <c r="I15" i="17"/>
  <c r="E18" i="21" s="1"/>
  <c r="I22" i="17"/>
  <c r="E12" i="21" s="1"/>
  <c r="K7" i="14"/>
  <c r="J9" i="14"/>
  <c r="J11" i="14"/>
  <c r="J13" i="14" s="1"/>
  <c r="J20" i="17" s="1"/>
  <c r="G7" i="18"/>
  <c r="G30" i="17"/>
  <c r="D16" i="21"/>
  <c r="D19" i="21" s="1"/>
  <c r="I14" i="14"/>
  <c r="E7" i="21"/>
  <c r="G24" i="14"/>
  <c r="G25" i="14" s="1"/>
  <c r="H30" i="17" l="1"/>
  <c r="J23" i="17"/>
  <c r="J8" i="17"/>
  <c r="F7" i="21" s="1"/>
  <c r="J7" i="17"/>
  <c r="F6" i="21" s="1"/>
  <c r="J9" i="17"/>
  <c r="H19" i="14"/>
  <c r="F13" i="21"/>
  <c r="J14" i="14"/>
  <c r="F10" i="21"/>
  <c r="K11" i="14"/>
  <c r="K13" i="14" s="1"/>
  <c r="K9" i="14"/>
  <c r="J21" i="17"/>
  <c r="F11" i="21" s="1"/>
  <c r="J15" i="17"/>
  <c r="F18" i="21" s="1"/>
  <c r="F8" i="21"/>
  <c r="J16" i="14"/>
  <c r="J22" i="17"/>
  <c r="F12" i="21" s="1"/>
  <c r="J10" i="17"/>
  <c r="F9" i="21" s="1"/>
  <c r="J28" i="17"/>
  <c r="J13" i="17"/>
  <c r="J17" i="14"/>
  <c r="I18" i="14"/>
  <c r="I21" i="14" s="1"/>
  <c r="H4" i="18"/>
  <c r="H14" i="17"/>
  <c r="H16" i="17" s="1"/>
  <c r="I29" i="17"/>
  <c r="E21" i="21"/>
  <c r="E16" i="21"/>
  <c r="I25" i="17"/>
  <c r="G5" i="20"/>
  <c r="D4" i="21"/>
  <c r="D15" i="21" s="1"/>
  <c r="F5" i="20"/>
  <c r="C4" i="21"/>
  <c r="C15" i="21" s="1"/>
  <c r="I30" i="17" l="1"/>
  <c r="K8" i="17"/>
  <c r="G7" i="21" s="1"/>
  <c r="K20" i="17"/>
  <c r="K9" i="17"/>
  <c r="G8" i="21" s="1"/>
  <c r="K7" i="17"/>
  <c r="G6" i="21" s="1"/>
  <c r="I23" i="14"/>
  <c r="I24" i="14" s="1"/>
  <c r="I25" i="14" s="1"/>
  <c r="J18" i="14"/>
  <c r="J21" i="14" s="1"/>
  <c r="J23" i="14" s="1"/>
  <c r="J24" i="14" s="1"/>
  <c r="J25" i="14" s="1"/>
  <c r="H6" i="18"/>
  <c r="E17" i="21" s="1"/>
  <c r="H5" i="18"/>
  <c r="I20" i="14" s="1"/>
  <c r="E5" i="21" s="1"/>
  <c r="F21" i="21"/>
  <c r="J29" i="17"/>
  <c r="K23" i="17"/>
  <c r="G13" i="21" s="1"/>
  <c r="F16" i="21"/>
  <c r="E19" i="21"/>
  <c r="K21" i="17"/>
  <c r="G11" i="21" s="1"/>
  <c r="K16" i="14"/>
  <c r="K10" i="17"/>
  <c r="G9" i="21" s="1"/>
  <c r="K17" i="14"/>
  <c r="K28" i="17"/>
  <c r="K22" i="17"/>
  <c r="G12" i="21" s="1"/>
  <c r="K14" i="14"/>
  <c r="K15" i="17"/>
  <c r="G18" i="21" s="1"/>
  <c r="K13" i="17"/>
  <c r="J25" i="17"/>
  <c r="J30" i="17" l="1"/>
  <c r="K18" i="14"/>
  <c r="K21" i="14" s="1"/>
  <c r="K23" i="14" s="1"/>
  <c r="K24" i="14" s="1"/>
  <c r="K25" i="14" s="1"/>
  <c r="G16" i="21"/>
  <c r="H7" i="18"/>
  <c r="K25" i="17"/>
  <c r="G10" i="21"/>
  <c r="G21" i="21"/>
  <c r="K29" i="17"/>
  <c r="I19" i="14"/>
  <c r="I5" i="20"/>
  <c r="F4" i="21"/>
  <c r="H5" i="20"/>
  <c r="E4" i="21"/>
  <c r="E15" i="21" s="1"/>
  <c r="K30" i="17" l="1"/>
  <c r="I4" i="18"/>
  <c r="I14" i="17"/>
  <c r="I16" i="17" s="1"/>
  <c r="J5" i="20"/>
  <c r="G4" i="21"/>
  <c r="G6" i="20"/>
  <c r="H6" i="20"/>
  <c r="F6" i="20"/>
  <c r="I6" i="18" l="1"/>
  <c r="F17" i="21" s="1"/>
  <c r="F19" i="21" s="1"/>
  <c r="I5" i="18"/>
  <c r="J20" i="14" s="1"/>
  <c r="D22" i="21"/>
  <c r="D23" i="21" s="1"/>
  <c r="D24" i="21" s="1"/>
  <c r="E22" i="21"/>
  <c r="E23" i="21" s="1"/>
  <c r="E24" i="21" s="1"/>
  <c r="C22" i="21"/>
  <c r="C23" i="21" s="1"/>
  <c r="C24" i="21" s="1"/>
  <c r="G5" i="17" s="1"/>
  <c r="F7" i="20"/>
  <c r="I6" i="20"/>
  <c r="F5" i="21" l="1"/>
  <c r="F15" i="21" s="1"/>
  <c r="J19" i="14"/>
  <c r="I7" i="18"/>
  <c r="G11" i="17"/>
  <c r="G17" i="17" s="1"/>
  <c r="H5" i="17"/>
  <c r="F22" i="21"/>
  <c r="F23" i="21" s="1"/>
  <c r="G4" i="20"/>
  <c r="G7" i="20" s="1"/>
  <c r="G33" i="17"/>
  <c r="G35" i="17" s="1"/>
  <c r="G36" i="17" s="1"/>
  <c r="J6" i="20"/>
  <c r="F24" i="21" l="1"/>
  <c r="J4" i="18"/>
  <c r="J14" i="17"/>
  <c r="J16" i="17" s="1"/>
  <c r="G38" i="17"/>
  <c r="I5" i="17"/>
  <c r="H11" i="17"/>
  <c r="H17" i="17" s="1"/>
  <c r="G22" i="21"/>
  <c r="G23" i="21" s="1"/>
  <c r="H4" i="20"/>
  <c r="H7" i="20" s="1"/>
  <c r="H33" i="17"/>
  <c r="H35" i="17" s="1"/>
  <c r="H36" i="17" s="1"/>
  <c r="J6" i="18" l="1"/>
  <c r="G17" i="21" s="1"/>
  <c r="G19" i="21" s="1"/>
  <c r="J5" i="18"/>
  <c r="K20" i="14" s="1"/>
  <c r="H38" i="17"/>
  <c r="J5" i="17"/>
  <c r="I11" i="17"/>
  <c r="I17" i="17" s="1"/>
  <c r="I4" i="20"/>
  <c r="I7" i="20" s="1"/>
  <c r="I33" i="17"/>
  <c r="I35" i="17" s="1"/>
  <c r="I36" i="17" s="1"/>
  <c r="G5" i="21" l="1"/>
  <c r="G15" i="21" s="1"/>
  <c r="G24" i="21" s="1"/>
  <c r="K5" i="17" s="1"/>
  <c r="K11" i="17" s="1"/>
  <c r="K19" i="14"/>
  <c r="J7" i="18"/>
  <c r="K14" i="17" s="1"/>
  <c r="K16" i="17" s="1"/>
  <c r="I38" i="17"/>
  <c r="J11" i="17"/>
  <c r="J17" i="17" s="1"/>
  <c r="J4" i="20"/>
  <c r="J7" i="20" s="1"/>
  <c r="K33" i="17" s="1"/>
  <c r="K35" i="17" s="1"/>
  <c r="K36" i="17" s="1"/>
  <c r="J33" i="17"/>
  <c r="J35" i="17" s="1"/>
  <c r="J36" i="17" s="1"/>
  <c r="K17" i="17" l="1"/>
  <c r="K38" i="17" s="1"/>
  <c r="J3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Quach</author>
  </authors>
  <commentList>
    <comment ref="F6" authorId="0" shapeId="0" xr:uid="{455E9CEB-B642-284C-AE95-6C306DB6C95B}">
      <text>
        <r>
          <rPr>
            <b/>
            <sz val="9"/>
            <color indexed="81"/>
            <rFont val="Tahoma"/>
            <family val="2"/>
          </rPr>
          <t>Michael Quach:</t>
        </r>
        <r>
          <rPr>
            <sz val="9"/>
            <color indexed="81"/>
            <rFont val="Tahoma"/>
            <family val="2"/>
          </rPr>
          <t xml:space="preserve">
Principal Repayments from 10k Term Debt Section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<sst xmlns="http://schemas.openxmlformats.org/spreadsheetml/2006/main" count="241" uniqueCount="148">
  <si>
    <t>Gross margin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</si>
  <si>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</si>
  <si>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</si>
  <si>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</si>
  <si>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</si>
  <si>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</si>
  <si>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</si>
  <si>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</si>
  <si>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</si>
  <si>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Income Statement</t>
  </si>
  <si>
    <t>Current assets:</t>
  </si>
  <si>
    <t>Cash and cash equivalents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</si>
  <si>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</si>
  <si>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</si>
  <si>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</si>
  <si>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</si>
  <si>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</si>
  <si>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</si>
  <si>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</si>
  <si>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</si>
  <si>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</si>
  <si>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</si>
  <si>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Current liabilities:</t>
  </si>
  <si>
    <t>Accounts payable</t>
  </si>
  <si>
    <t>Other current liabilities</t>
  </si>
  <si>
    <t>Deferred revenue</t>
  </si>
  <si>
    <t>Commercial paper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</si>
  <si>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</si>
  <si>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</si>
  <si>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</si>
  <si>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</si>
  <si>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</si>
  <si>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 xml:space="preserve"> </t>
  </si>
  <si>
    <t>Shareholders’ equity:</t>
  </si>
  <si>
    <t>Common stock and additional paid-in capital, $0.00001 par value: 50,400,000 shares authorized; 16,426,786 and 16,976,763 shares issued and outstanding, respectively</t>
  </si>
  <si>
    <t>Retained earnings</t>
  </si>
  <si>
    <t>Accumulated other comprehensive income/(loss)</t>
  </si>
  <si>
    <t>Total shareholders’ equity</t>
  </si>
  <si>
    <t>Total liabilities and shareholders’ equity</t>
  </si>
  <si>
    <t>Balance Sheet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</si>
  <si>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</si>
  <si>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</si>
  <si>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</si>
  <si>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</si>
  <si>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</si>
  <si>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</si>
  <si>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</si>
  <si>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</si>
  <si>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</si>
  <si>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</si>
  <si>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</si>
  <si>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</si>
  <si>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</si>
  <si>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</si>
  <si>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</si>
  <si>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</si>
  <si>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</si>
  <si>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</si>
  <si>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</si>
  <si>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by/(used in)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</si>
  <si>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</si>
  <si>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</si>
  <si>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</si>
  <si>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</si>
  <si>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</si>
  <si>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</si>
  <si>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</si>
  <si>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</si>
  <si>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</si>
  <si>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 restricted cash</t>
  </si>
  <si>
    <t>Cash, cash equivalents and restricted cash, ending balances</t>
  </si>
  <si>
    <t>Cash paid for income taxes, net</t>
  </si>
  <si>
    <t>Cash paid for interest</t>
  </si>
  <si>
    <t>Statement of Cash Flows</t>
  </si>
  <si>
    <t>Total Net Sales</t>
  </si>
  <si>
    <t>Net Sales</t>
  </si>
  <si>
    <t>Cost of Sales</t>
  </si>
  <si>
    <t>EBITDA</t>
  </si>
  <si>
    <t>Depreciation and Amortization</t>
  </si>
  <si>
    <t>Total Cost of Sales</t>
  </si>
  <si>
    <t>EBIT</t>
  </si>
  <si>
    <t>EBT</t>
  </si>
  <si>
    <t>Operating expenses</t>
  </si>
  <si>
    <t>Common stock and additional paid-in capital</t>
  </si>
  <si>
    <t>Check</t>
  </si>
  <si>
    <t>Non-current Marketable securities</t>
  </si>
  <si>
    <t>Current Term debt</t>
  </si>
  <si>
    <t>Non-current Term debt</t>
  </si>
  <si>
    <t>Current marketable securities</t>
  </si>
  <si>
    <t>Forecast</t>
  </si>
  <si>
    <t>Products Sales</t>
  </si>
  <si>
    <t>Services Sales</t>
  </si>
  <si>
    <t>Products Cost of Sales</t>
  </si>
  <si>
    <t>Services Cost of Sales</t>
  </si>
  <si>
    <t>$ in millions</t>
  </si>
  <si>
    <t>Scenario -&gt;</t>
  </si>
  <si>
    <t>Scenario Assumptions:</t>
  </si>
  <si>
    <t>Product Revenue Growth</t>
  </si>
  <si>
    <t>Selected Case</t>
  </si>
  <si>
    <t>Worst Case</t>
  </si>
  <si>
    <t>Base Case</t>
  </si>
  <si>
    <t>Best Case</t>
  </si>
  <si>
    <t>Service Revenue Growth</t>
  </si>
  <si>
    <t>Product COGS as a % of Revenue</t>
  </si>
  <si>
    <t>Service COGS as a % of Revenue</t>
  </si>
  <si>
    <t>R&amp;D as a % of Revenue</t>
  </si>
  <si>
    <t>SGA as a % of Revenue</t>
  </si>
  <si>
    <t>Balance Sheet Metrics:</t>
  </si>
  <si>
    <t>Days Sales Outstanding (DSO) - Acc Receivables</t>
  </si>
  <si>
    <t>Days Sales Outstanding (DSO) - Vendor Receivables</t>
  </si>
  <si>
    <t>Days Payable Outstanding (DPO)</t>
  </si>
  <si>
    <t>Days Inventory Outstanding (DIO)</t>
  </si>
  <si>
    <t>Other Current Assets % of Revenue</t>
  </si>
  <si>
    <t>Other Non-Current Assets % of Revenue</t>
  </si>
  <si>
    <t>Non Current Marketable Securities % of Revenue</t>
  </si>
  <si>
    <t>Other Current Liabilities % of Revenue</t>
  </si>
  <si>
    <t>Other Non-Current Liabilities % of Revenue</t>
  </si>
  <si>
    <t>Deferred Revenue % of Revenue</t>
  </si>
  <si>
    <t>Commerical Paper % of COGS</t>
  </si>
  <si>
    <t>Fixed Assets Schedule</t>
  </si>
  <si>
    <t>Beginning PP&amp;E</t>
  </si>
  <si>
    <t>Depreciation &amp; Amortization</t>
  </si>
  <si>
    <t>Capital Expenditures</t>
  </si>
  <si>
    <t>Ending PP&amp;E</t>
  </si>
  <si>
    <t>Fixed Assets Metrics:</t>
  </si>
  <si>
    <t>D&amp;A as a % of beginning PP&amp;E</t>
  </si>
  <si>
    <t>Capex as a % of beginning PP&amp;E</t>
  </si>
  <si>
    <t>Debt</t>
  </si>
  <si>
    <t>Beginning Debt</t>
  </si>
  <si>
    <t>New Debt</t>
  </si>
  <si>
    <t>Principal Repayments</t>
  </si>
  <si>
    <t>Ending Debt</t>
  </si>
  <si>
    <t>Debt Metrics:</t>
  </si>
  <si>
    <t>Other Income (Expense) as % of Beginning Debt</t>
  </si>
  <si>
    <t>Retained Earnings</t>
  </si>
  <si>
    <t>Beginning Retained Earnings</t>
  </si>
  <si>
    <t>Net Income</t>
  </si>
  <si>
    <t>Dividends</t>
  </si>
  <si>
    <t>Ending Retained Earnings</t>
  </si>
  <si>
    <t>Retained Earnings Metrics:</t>
  </si>
  <si>
    <t>Dividends as % of Net Income</t>
  </si>
  <si>
    <t>Tax as % of EBT</t>
  </si>
  <si>
    <t>Cash Flow Statement</t>
  </si>
  <si>
    <t>Operating Cash Flow</t>
  </si>
  <si>
    <t>Investing Cash Flow</t>
  </si>
  <si>
    <t>Financing Cash Flow</t>
  </si>
  <si>
    <t>Net Cash Flow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</si>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</sst>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yyyy\E"/>
    <numFmt numFmtId="169" formatCode="yyyy\A"/>
    <numFmt numFmtId="170" formatCode="mmm\-yy\A"/>
    <numFmt numFmtId="171" formatCode="mmm\-yy\E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432FF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62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indent="1"/>
    </xf>
    <xf numFmtId="0" fontId="6" fillId="0" borderId="10" xfId="0" applyFont="1" applyBorder="1"/>
    <xf numFmtId="165" fontId="0" fillId="0" borderId="0" xfId="1" applyNumberFormat="1" applyFont="1"/>
    <xf numFmtId="165" fontId="0" fillId="0" borderId="0" xfId="0" applyNumberFormat="1"/>
    <xf numFmtId="165" fontId="6" fillId="0" borderId="10" xfId="0" applyNumberFormat="1" applyFont="1" applyBorder="1"/>
    <xf numFmtId="165" fontId="0" fillId="0" borderId="0" xfId="1" applyNumberFormat="1" applyFont="1" applyBorder="1"/>
    <xf numFmtId="165" fontId="1" fillId="0" borderId="0" xfId="1" applyNumberFormat="1" applyFont="1" applyBorder="1"/>
    <xf numFmtId="0" fontId="20" fillId="33" borderId="0" xfId="0" applyFont="1" applyFill="1"/>
    <xf numFmtId="0" fontId="21" fillId="33" borderId="0" xfId="0" applyFont="1" applyFill="1"/>
    <xf numFmtId="17" fontId="20" fillId="33" borderId="0" xfId="0" applyNumberFormat="1" applyFont="1" applyFill="1"/>
    <xf numFmtId="0" fontId="0" fillId="0" borderId="10" xfId="0" applyBorder="1"/>
    <xf numFmtId="165" fontId="1" fillId="0" borderId="10" xfId="1" applyNumberFormat="1" applyFont="1" applyBorder="1"/>
    <xf numFmtId="0" fontId="0" fillId="0" borderId="11" xfId="0" applyBorder="1"/>
    <xf numFmtId="165" fontId="6" fillId="0" borderId="11" xfId="0" applyNumberFormat="1" applyFont="1" applyBorder="1"/>
    <xf numFmtId="0" fontId="6" fillId="34" borderId="11" xfId="0" applyFont="1" applyFill="1" applyBorder="1"/>
    <xf numFmtId="165" fontId="6" fillId="34" borderId="11" xfId="1" applyNumberFormat="1" applyFont="1" applyFill="1" applyBorder="1"/>
    <xf numFmtId="0" fontId="6" fillId="0" borderId="0" xfId="0" applyFont="1"/>
    <xf numFmtId="165" fontId="6" fillId="0" borderId="0" xfId="0" applyNumberFormat="1" applyFont="1"/>
    <xf numFmtId="165" fontId="6" fillId="0" borderId="10" xfId="1" applyNumberFormat="1" applyFont="1" applyBorder="1"/>
    <xf numFmtId="0" fontId="6" fillId="0" borderId="11" xfId="0" applyFont="1" applyBorder="1"/>
    <xf numFmtId="165" fontId="6" fillId="0" borderId="11" xfId="1" applyNumberFormat="1" applyFont="1" applyBorder="1"/>
    <xf numFmtId="0" fontId="22" fillId="0" borderId="0" xfId="0" applyFont="1"/>
    <xf numFmtId="165" fontId="22" fillId="0" borderId="0" xfId="0" applyNumberFormat="1" applyFont="1"/>
    <xf numFmtId="0" fontId="6" fillId="0" borderId="0" xfId="0" applyFont="1" applyAlignment="1">
      <alignment horizontal="right"/>
    </xf>
    <xf numFmtId="0" fontId="6" fillId="35" borderId="0" xfId="0" applyFont="1" applyFill="1"/>
    <xf numFmtId="0" fontId="0" fillId="35" borderId="0" xfId="0" applyFill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left" indent="1"/>
    </xf>
    <xf numFmtId="0" fontId="6" fillId="34" borderId="12" xfId="0" applyFont="1" applyFill="1" applyBorder="1" applyAlignment="1">
      <alignment horizontal="center" vertical="center"/>
    </xf>
    <xf numFmtId="166" fontId="0" fillId="35" borderId="0" xfId="0" applyNumberFormat="1" applyFill="1"/>
    <xf numFmtId="166" fontId="6" fillId="35" borderId="0" xfId="0" applyNumberFormat="1" applyFont="1" applyFill="1"/>
    <xf numFmtId="0" fontId="0" fillId="0" borderId="0" xfId="1" applyNumberFormat="1" applyFont="1"/>
    <xf numFmtId="0" fontId="6" fillId="35" borderId="0" xfId="0" applyFont="1" applyFill="1" applyAlignment="1">
      <alignment horizontal="left"/>
    </xf>
    <xf numFmtId="167" fontId="0" fillId="35" borderId="0" xfId="0" applyNumberFormat="1" applyFill="1"/>
    <xf numFmtId="0" fontId="0" fillId="35" borderId="0" xfId="0" applyFill="1" applyAlignment="1">
      <alignment horizontal="right"/>
    </xf>
    <xf numFmtId="10" fontId="0" fillId="35" borderId="0" xfId="0" applyNumberFormat="1" applyFill="1"/>
    <xf numFmtId="165" fontId="25" fillId="0" borderId="0" xfId="0" applyNumberFormat="1" applyFont="1"/>
    <xf numFmtId="166" fontId="0" fillId="35" borderId="0" xfId="1" applyNumberFormat="1" applyFont="1" applyFill="1"/>
    <xf numFmtId="168" fontId="20" fillId="33" borderId="0" xfId="0" applyNumberFormat="1" applyFont="1" applyFill="1"/>
    <xf numFmtId="0" fontId="21" fillId="0" borderId="0" xfId="0" applyFont="1"/>
    <xf numFmtId="165" fontId="0" fillId="0" borderId="0" xfId="1" applyNumberFormat="1" applyFont="1" applyFill="1" applyBorder="1"/>
    <xf numFmtId="165" fontId="6" fillId="0" borderId="0" xfId="1" applyNumberFormat="1" applyFont="1" applyFill="1" applyBorder="1"/>
    <xf numFmtId="166" fontId="0" fillId="0" borderId="0" xfId="0" applyNumberFormat="1"/>
    <xf numFmtId="169" fontId="20" fillId="33" borderId="0" xfId="0" applyNumberFormat="1" applyFont="1" applyFill="1"/>
    <xf numFmtId="169" fontId="20" fillId="0" borderId="0" xfId="0" applyNumberFormat="1" applyFont="1"/>
    <xf numFmtId="169" fontId="0" fillId="0" borderId="0" xfId="0" applyNumberFormat="1"/>
    <xf numFmtId="170" fontId="20" fillId="33" borderId="0" xfId="0" applyNumberFormat="1" applyFont="1" applyFill="1"/>
    <xf numFmtId="171" fontId="20" fillId="33" borderId="0" xfId="0" applyNumberFormat="1" applyFont="1" applyFill="1"/>
    <xf numFmtId="165" fontId="21" fillId="0" borderId="0" xfId="1" applyNumberFormat="1" applyFont="1" applyFill="1" applyBorder="1"/>
    <xf numFmtId="170" fontId="20" fillId="0" borderId="0" xfId="0" applyNumberFormat="1" applyFont="1"/>
    <xf numFmtId="165" fontId="20" fillId="0" borderId="0" xfId="0" applyNumberFormat="1" applyFont="1"/>
    <xf numFmtId="165" fontId="20" fillId="0" borderId="0" xfId="1" applyNumberFormat="1" applyFont="1" applyFill="1" applyBorder="1"/>
    <xf numFmtId="165" fontId="26" fillId="0" borderId="0" xfId="0" applyNumberFormat="1" applyFont="1"/>
    <xf numFmtId="167" fontId="21" fillId="0" borderId="0" xfId="0" applyNumberFormat="1" applyFont="1"/>
    <xf numFmtId="166" fontId="21" fillId="0" borderId="0" xfId="0" applyNumberFormat="1" applyFont="1"/>
    <xf numFmtId="0" fontId="25" fillId="35" borderId="0" xfId="0" applyFont="1" applyFill="1"/>
    <xf numFmtId="0" fontId="20" fillId="33" borderId="0" xfId="0" applyFont="1" applyFill="1" applyAlignment="1">
      <alignment horizontal="center"/>
    </xf>
  </cellXfs>
  <cellStyles count="45">
    <cellStyle name="20% - Accent1 2" xfId="22" xr:uid="{7F1DC058-3DA4-4945-98D8-2DC0ECB9F210}"/>
    <cellStyle name="20% - Accent2 2" xfId="26" xr:uid="{45C01AB0-7BD0-441C-B632-D5CA9D59C11F}"/>
    <cellStyle name="20% - Accent3 2" xfId="30" xr:uid="{FF46D41A-4C13-4327-A3EF-A592E83334A6}"/>
    <cellStyle name="20% - Accent4 2" xfId="34" xr:uid="{60CB4C5D-1654-4FB2-A9AE-41707540D512}"/>
    <cellStyle name="20% - Accent5 2" xfId="38" xr:uid="{B9148941-556E-45FB-A6E5-D156F982822C}"/>
    <cellStyle name="20% - Accent6 2" xfId="42" xr:uid="{D701C1F9-CC1C-415D-AB5A-3AEBE452AD7B}"/>
    <cellStyle name="40% - Accent1 2" xfId="23" xr:uid="{B4DF7009-C890-4574-98F7-B1E1259498EE}"/>
    <cellStyle name="40% - Accent2 2" xfId="27" xr:uid="{8CC9300A-F395-427E-AFBE-095C11BA3F25}"/>
    <cellStyle name="40% - Accent3 2" xfId="31" xr:uid="{8C0FA83C-E176-4D21-817F-708103C3CA13}"/>
    <cellStyle name="40% - Accent4 2" xfId="35" xr:uid="{492D7345-1BEE-4718-8753-B8B116E4D3F7}"/>
    <cellStyle name="40% - Accent5 2" xfId="39" xr:uid="{66EAAEF1-90AD-498D-A1A2-E487053B40C7}"/>
    <cellStyle name="40% - Accent6 2" xfId="43" xr:uid="{CA2EF9F4-0DD9-459F-8A56-120B69564979}"/>
    <cellStyle name="60% - Accent1 2" xfId="24" xr:uid="{4258D6A2-318D-48A7-B6FA-4F677587C322}"/>
    <cellStyle name="60% - Accent2 2" xfId="28" xr:uid="{1CADD22E-3695-45AA-96EE-D839DA46B422}"/>
    <cellStyle name="60% - Accent3 2" xfId="32" xr:uid="{D019651C-468A-42EF-B786-9794BE5389FE}"/>
    <cellStyle name="60% - Accent4 2" xfId="36" xr:uid="{CE1F672C-6B0B-40CC-8A7D-99F443B6CAEE}"/>
    <cellStyle name="60% - Accent5 2" xfId="40" xr:uid="{D8CC3222-3D87-4C53-BA3B-93CA96E3CAC9}"/>
    <cellStyle name="60% - Accent6 2" xfId="44" xr:uid="{77A8A508-081C-4EA9-86E5-F20F771CAE21}"/>
    <cellStyle name="Accent1 2" xfId="21" xr:uid="{4313AFB0-34CF-4C7D-9F85-B48FB7A0B637}"/>
    <cellStyle name="Accent2 2" xfId="25" xr:uid="{3FF54B56-CB20-40F5-96D2-B868C3E33CB1}"/>
    <cellStyle name="Accent3 2" xfId="29" xr:uid="{D688ED5A-4DAA-41DC-AF4C-15144DC9D6E1}"/>
    <cellStyle name="Accent4 2" xfId="33" xr:uid="{4513D313-02F5-4D11-AC42-EC85E25FB1AD}"/>
    <cellStyle name="Accent5 2" xfId="37" xr:uid="{1C934920-121D-4087-8895-6601069E712A}"/>
    <cellStyle name="Accent6 2" xfId="41" xr:uid="{7F24DB20-F4FE-4BB5-B28C-7996C08EEC30}"/>
    <cellStyle name="Bad 2" xfId="10" xr:uid="{19614A3E-05A3-4598-AE6A-61CCBEB594BC}"/>
    <cellStyle name="Calculation 2" xfId="14" xr:uid="{547728B2-D44C-42D4-A3A5-58BA5B6933E0}"/>
    <cellStyle name="Check Cell 2" xfId="16" xr:uid="{F650B455-05A3-44E2-BC38-44C9ADB9B8C8}"/>
    <cellStyle name="Comma" xfId="1" builtinId="3"/>
    <cellStyle name="Comma 2" xfId="8" xr:uid="{B3F42421-5733-4A50-9950-FBDA15F3806F}"/>
    <cellStyle name="Explanatory Text 2" xfId="19" xr:uid="{1C04E58A-8D6F-4F2D-8F5D-F159D8447989}"/>
    <cellStyle name="Good 2" xfId="9" xr:uid="{AD2E9F06-3D2C-4D0F-8F87-6A0E76663689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2" xfId="12" xr:uid="{2EB06483-728B-4A71-A619-EBFCCDB8149E}"/>
    <cellStyle name="Linked Cell 2" xfId="15" xr:uid="{D8A5E33E-2F79-4D22-B567-A86B45D634AF}"/>
    <cellStyle name="Neutral 2" xfId="11" xr:uid="{7B68193F-BB8C-4382-A989-55ED6F80FF5F}"/>
    <cellStyle name="Normal" xfId="0" builtinId="0"/>
    <cellStyle name="Normal 2" xfId="7" xr:uid="{50C5D470-A540-4427-993E-364FCFB33DD7}"/>
    <cellStyle name="Note 2" xfId="18" xr:uid="{D8871CBF-77C4-4F23-8715-C24DBB590DC1}"/>
    <cellStyle name="Output 2" xfId="13" xr:uid="{5AD3C5CA-9C2E-4EE5-9603-20EA11D218A8}"/>
    <cellStyle name="Title" xfId="2" builtinId="15" customBuiltin="1"/>
    <cellStyle name="Total 2" xfId="20" xr:uid="{B35A9D29-1401-4F12-8C56-1140A3273586}"/>
    <cellStyle name="Warning Text 2" xfId="17" xr:uid="{E51E2C50-3966-4D48-9241-AF9BC335CBD7}"/>
  </cellStyles>
  <dxfs count="0"/>
  <tableStyles count="0" defaultTableStyle="TableStyleMedium2" defaultPivotStyle="PivotStyleLight16"/>
  <colors>
    <mruColors>
      <color rgb="FFFFFF99"/>
      <color rgb="FF0432FF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9103-0ABC-4685-BF2F-BC567F1C3559}">
  <dimension ref="B2:Q64"/>
  <sheetViews>
    <sheetView showGridLines="0" zoomScale="80" zoomScaleNormal="80" workbookViewId="0">
      <selection activeCell="B29" sqref="B29"/>
    </sheetView>
  </sheetViews>
  <sheetFormatPr baseColWidth="10" defaultColWidth="8.83203125" defaultRowHeight="15" outlineLevelRow="1" x14ac:dyDescent="0.2"/>
  <cols>
    <col min="2" max="2" width="29.6640625" bestFit="1" customWidth="1"/>
    <col min="3" max="5" width="11.1640625" bestFit="1" customWidth="1"/>
    <col min="6" max="6" width="2.83203125" customWidth="1"/>
    <col min="7" max="11" width="11.1640625" bestFit="1" customWidth="1"/>
  </cols>
  <sheetData>
    <row r="2" spans="2:11" x14ac:dyDescent="0.2">
      <c r="B2" s="28" t="s">
        <v>95</v>
      </c>
      <c r="C2" s="33" t="s">
        <v>100</v>
      </c>
    </row>
    <row r="4" spans="2:11" x14ac:dyDescent="0.2">
      <c r="B4" s="12" t="s">
        <v>9</v>
      </c>
      <c r="C4" s="13"/>
      <c r="D4" s="13"/>
      <c r="E4" s="13"/>
      <c r="F4" s="44"/>
      <c r="G4" s="61" t="s">
        <v>89</v>
      </c>
      <c r="H4" s="61"/>
      <c r="I4" s="61"/>
      <c r="J4" s="61"/>
      <c r="K4" s="61"/>
    </row>
    <row r="5" spans="2:11" x14ac:dyDescent="0.2">
      <c r="B5" s="12" t="s">
        <v>94</v>
      </c>
      <c r="C5" s="48">
        <v>43466</v>
      </c>
      <c r="D5" s="48">
        <v>43831</v>
      </c>
      <c r="E5" s="48">
        <v>44197</v>
      </c>
      <c r="F5" s="49"/>
      <c r="G5" s="43">
        <v>44562</v>
      </c>
      <c r="H5" s="43">
        <v>44927</v>
      </c>
      <c r="I5" s="43">
        <v>45292</v>
      </c>
      <c r="J5" s="43">
        <v>45658</v>
      </c>
      <c r="K5" s="43">
        <v>46023</v>
      </c>
    </row>
    <row r="6" spans="2:11" x14ac:dyDescent="0.2">
      <c r="B6" t="s">
        <v>75</v>
      </c>
    </row>
    <row r="7" spans="2:11" x14ac:dyDescent="0.2">
      <c r="B7" s="5" t="s">
        <v>90</v>
      </c>
      <c r="C7" s="7">
        <f>INDEX('Income Statement - Data'!$C$3:$E$23,MATCH('Income Statement'!$B7,'Income Statement - Data'!$B$3:$B$23,0),MATCH('Income Statement'!C$5,'Income Statement - Data'!$C$2:$E$2,0))</f>
        <v>213883</v>
      </c>
      <c r="D7" s="7">
        <f>INDEX('Income Statement - Data'!$C$3:$E$23,MATCH('Income Statement'!$B7,'Income Statement - Data'!$B$3:$B$23,0),MATCH('Income Statement'!D$5,'Income Statement - Data'!$C$2:$E$2,0))</f>
        <v>220747</v>
      </c>
      <c r="E7" s="7">
        <f>INDEX('Income Statement - Data'!$C$3:$E$23,MATCH('Income Statement'!$B7,'Income Statement - Data'!$B$3:$B$23,0),MATCH('Income Statement'!E$5,'Income Statement - Data'!$C$2:$E$2,0))</f>
        <v>297392</v>
      </c>
      <c r="F7" s="45"/>
      <c r="G7" s="7">
        <f ca="1">E7*(1+G29)</f>
        <v>353792.35543561343</v>
      </c>
      <c r="H7" s="7">
        <f t="shared" ref="H7:K7" ca="1" si="0">G7*(1+H29)</f>
        <v>410275.26053037134</v>
      </c>
      <c r="I7" s="7">
        <f t="shared" ca="1" si="0"/>
        <v>463467.3965110734</v>
      </c>
      <c r="J7" s="7">
        <f t="shared" ca="1" si="0"/>
        <v>509651.86434327136</v>
      </c>
      <c r="K7" s="7">
        <f t="shared" ca="1" si="0"/>
        <v>545149.05266202451</v>
      </c>
    </row>
    <row r="8" spans="2:11" x14ac:dyDescent="0.2">
      <c r="B8" s="5" t="s">
        <v>91</v>
      </c>
      <c r="C8" s="7">
        <f>INDEX('Income Statement - Data'!$C$3:$E$23,MATCH('Income Statement'!$B8,'Income Statement - Data'!$B$3:$B$23,0),MATCH('Income Statement'!C$5,'Income Statement - Data'!$C$2:$E$2,0))</f>
        <v>46291</v>
      </c>
      <c r="D8" s="7">
        <f>INDEX('Income Statement - Data'!$C$3:$E$23,MATCH('Income Statement'!$B8,'Income Statement - Data'!$B$3:$B$23,0),MATCH('Income Statement'!D$5,'Income Statement - Data'!$C$2:$E$2,0))</f>
        <v>53768</v>
      </c>
      <c r="E8" s="7">
        <f>INDEX('Income Statement - Data'!$C$3:$E$23,MATCH('Income Statement'!$B8,'Income Statement - Data'!$B$3:$B$23,0),MATCH('Income Statement'!E$5,'Income Statement - Data'!$C$2:$E$2,0))</f>
        <v>68425</v>
      </c>
      <c r="F8" s="45"/>
      <c r="G8" s="7">
        <f ca="1">E8*(1+G34)</f>
        <v>83277.288139699696</v>
      </c>
      <c r="H8" s="7">
        <f t="shared" ref="H8:K8" ca="1" si="1">G8*(1+H34)</f>
        <v>98855.086104111047</v>
      </c>
      <c r="I8" s="7">
        <f t="shared" ca="1" si="1"/>
        <v>114381.20472877531</v>
      </c>
      <c r="J8" s="7">
        <f t="shared" ca="1" si="1"/>
        <v>128914.40979091299</v>
      </c>
      <c r="K8" s="7">
        <f t="shared" ca="1" si="1"/>
        <v>141426.76259735474</v>
      </c>
    </row>
    <row r="9" spans="2:11" x14ac:dyDescent="0.2">
      <c r="B9" t="s">
        <v>74</v>
      </c>
      <c r="C9" s="7">
        <f>INDEX('Income Statement - Data'!$C$3:$E$23,MATCH('Income Statement'!$B9,'Income Statement - Data'!$B$3:$B$23,0),MATCH('Income Statement'!C$5,'Income Statement - Data'!$C$2:$E$2,0))</f>
        <v>260174</v>
      </c>
      <c r="D9" s="7">
        <f>INDEX('Income Statement - Data'!$C$3:$E$23,MATCH('Income Statement'!$B9,'Income Statement - Data'!$B$3:$B$23,0),MATCH('Income Statement'!D$5,'Income Statement - Data'!$C$2:$E$2,0))</f>
        <v>274515</v>
      </c>
      <c r="E9" s="7">
        <f>INDEX('Income Statement - Data'!$C$3:$E$23,MATCH('Income Statement'!$B9,'Income Statement - Data'!$B$3:$B$23,0),MATCH('Income Statement'!E$5,'Income Statement - Data'!$C$2:$E$2,0))</f>
        <v>365817</v>
      </c>
      <c r="F9" s="45"/>
      <c r="G9" s="7">
        <f ca="1">SUM(G7:G8)</f>
        <v>437069.64357531315</v>
      </c>
      <c r="H9" s="7">
        <f t="shared" ref="H9:K9" ca="1" si="2">SUM(H7:H8)</f>
        <v>509130.34663448238</v>
      </c>
      <c r="I9" s="7">
        <f t="shared" ca="1" si="2"/>
        <v>577848.60123984865</v>
      </c>
      <c r="J9" s="7">
        <f t="shared" ca="1" si="2"/>
        <v>638566.27413418435</v>
      </c>
      <c r="K9" s="7">
        <f t="shared" ca="1" si="2"/>
        <v>686575.81525937922</v>
      </c>
    </row>
    <row r="10" spans="2:11" x14ac:dyDescent="0.2">
      <c r="B10" t="s">
        <v>76</v>
      </c>
      <c r="C10" s="7"/>
      <c r="D10" s="7"/>
      <c r="E10" s="7"/>
      <c r="F10" s="45"/>
      <c r="G10" s="36"/>
      <c r="H10" s="36"/>
      <c r="I10" s="36"/>
      <c r="J10" s="36"/>
      <c r="K10" s="36"/>
    </row>
    <row r="11" spans="2:11" x14ac:dyDescent="0.2">
      <c r="B11" s="5" t="s">
        <v>92</v>
      </c>
      <c r="C11" s="7">
        <f>INDEX('Income Statement - Data'!$C$3:$E$23,MATCH('Income Statement'!$B11,'Income Statement - Data'!$B$3:$B$23,0),MATCH('Income Statement'!C$5,'Income Statement - Data'!$C$2:$E$2,0))</f>
        <v>144996</v>
      </c>
      <c r="D11" s="7">
        <f>INDEX('Income Statement - Data'!$C$3:$E$23,MATCH('Income Statement'!$B11,'Income Statement - Data'!$B$3:$B$23,0),MATCH('Income Statement'!D$5,'Income Statement - Data'!$C$2:$E$2,0))</f>
        <v>151286</v>
      </c>
      <c r="E11" s="7">
        <f>INDEX('Income Statement - Data'!$C$3:$E$23,MATCH('Income Statement'!$B11,'Income Statement - Data'!$B$3:$B$23,0),MATCH('Income Statement'!E$5,'Income Statement - Data'!$C$2:$E$2,0))</f>
        <v>192266</v>
      </c>
      <c r="F11" s="45"/>
      <c r="G11" s="7">
        <f ca="1">G7*G39</f>
        <v>237013.23702808513</v>
      </c>
      <c r="H11" s="7">
        <f t="shared" ref="H11:K11" ca="1" si="3">H7*H39</f>
        <v>274852.37054123142</v>
      </c>
      <c r="I11" s="7">
        <f t="shared" ca="1" si="3"/>
        <v>310486.94584939879</v>
      </c>
      <c r="J11" s="7">
        <f t="shared" ca="1" si="3"/>
        <v>341426.93099365337</v>
      </c>
      <c r="K11" s="7">
        <f t="shared" ca="1" si="3"/>
        <v>365207.27384041774</v>
      </c>
    </row>
    <row r="12" spans="2:11" x14ac:dyDescent="0.2">
      <c r="B12" s="5" t="s">
        <v>93</v>
      </c>
      <c r="C12" s="7">
        <f>INDEX('Income Statement - Data'!$C$3:$E$23,MATCH('Income Statement'!$B12,'Income Statement - Data'!$B$3:$B$23,0),MATCH('Income Statement'!C$5,'Income Statement - Data'!$C$2:$E$2,0))</f>
        <v>16786</v>
      </c>
      <c r="D12" s="7">
        <f>INDEX('Income Statement - Data'!$C$3:$E$23,MATCH('Income Statement'!$B12,'Income Statement - Data'!$B$3:$B$23,0),MATCH('Income Statement'!D$5,'Income Statement - Data'!$C$2:$E$2,0))</f>
        <v>18273</v>
      </c>
      <c r="E12" s="7">
        <f>INDEX('Income Statement - Data'!$C$3:$E$23,MATCH('Income Statement'!$B12,'Income Statement - Data'!$B$3:$B$23,0),MATCH('Income Statement'!E$5,'Income Statement - Data'!$C$2:$E$2,0))</f>
        <v>20715</v>
      </c>
      <c r="F12" s="45"/>
      <c r="G12" s="7">
        <f ca="1">G8*G44</f>
        <v>27903.673495424511</v>
      </c>
      <c r="H12" s="7">
        <f t="shared" ref="H12:K12" ca="1" si="4">H8*H44</f>
        <v>33123.317384973845</v>
      </c>
      <c r="I12" s="7">
        <f t="shared" ca="1" si="4"/>
        <v>38325.645107594901</v>
      </c>
      <c r="J12" s="7">
        <f t="shared" ca="1" si="4"/>
        <v>43195.27784846483</v>
      </c>
      <c r="K12" s="7">
        <f t="shared" ca="1" si="4"/>
        <v>47387.784775261207</v>
      </c>
    </row>
    <row r="13" spans="2:11" x14ac:dyDescent="0.2">
      <c r="B13" t="s">
        <v>79</v>
      </c>
      <c r="C13" s="7">
        <f>INDEX('Income Statement - Data'!$C$3:$E$23,MATCH('Income Statement'!$B13,'Income Statement - Data'!$B$3:$B$23,0),MATCH('Income Statement'!C$5,'Income Statement - Data'!$C$2:$E$2,0))</f>
        <v>161782</v>
      </c>
      <c r="D13" s="7">
        <f>INDEX('Income Statement - Data'!$C$3:$E$23,MATCH('Income Statement'!$B13,'Income Statement - Data'!$B$3:$B$23,0),MATCH('Income Statement'!D$5,'Income Statement - Data'!$C$2:$E$2,0))</f>
        <v>169559</v>
      </c>
      <c r="E13" s="7">
        <f>INDEX('Income Statement - Data'!$C$3:$E$23,MATCH('Income Statement'!$B13,'Income Statement - Data'!$B$3:$B$23,0),MATCH('Income Statement'!E$5,'Income Statement - Data'!$C$2:$E$2,0))</f>
        <v>212981</v>
      </c>
      <c r="F13" s="45"/>
      <c r="G13" s="7">
        <f ca="1">SUM(G11:G12)</f>
        <v>264916.91052350966</v>
      </c>
      <c r="H13" s="7">
        <f t="shared" ref="H13:K13" ca="1" si="5">SUM(H11:H12)</f>
        <v>307975.68792620528</v>
      </c>
      <c r="I13" s="7">
        <f t="shared" ca="1" si="5"/>
        <v>348812.59095699369</v>
      </c>
      <c r="J13" s="7">
        <f t="shared" ca="1" si="5"/>
        <v>384622.20884211821</v>
      </c>
      <c r="K13" s="7">
        <f t="shared" ca="1" si="5"/>
        <v>412595.05861567892</v>
      </c>
    </row>
    <row r="14" spans="2:11" x14ac:dyDescent="0.2">
      <c r="B14" s="6" t="s">
        <v>0</v>
      </c>
      <c r="C14" s="9">
        <f>C9-C13</f>
        <v>98392</v>
      </c>
      <c r="D14" s="9">
        <f t="shared" ref="D14:K14" si="6">D9-D13</f>
        <v>104956</v>
      </c>
      <c r="E14" s="9">
        <f t="shared" si="6"/>
        <v>152836</v>
      </c>
      <c r="F14" s="22"/>
      <c r="G14" s="9">
        <f t="shared" ca="1" si="6"/>
        <v>172152.73305180349</v>
      </c>
      <c r="H14" s="9">
        <f t="shared" ca="1" si="6"/>
        <v>201154.6587082771</v>
      </c>
      <c r="I14" s="9">
        <f t="shared" ca="1" si="6"/>
        <v>229036.01028285496</v>
      </c>
      <c r="J14" s="9">
        <f t="shared" ca="1" si="6"/>
        <v>253944.06529206614</v>
      </c>
      <c r="K14" s="9">
        <f t="shared" ca="1" si="6"/>
        <v>273980.7566437003</v>
      </c>
    </row>
    <row r="15" spans="2:11" x14ac:dyDescent="0.2">
      <c r="B15" t="s">
        <v>82</v>
      </c>
      <c r="C15" s="7"/>
      <c r="D15" s="7"/>
      <c r="E15" s="7"/>
      <c r="F15" s="45"/>
      <c r="G15" s="36"/>
      <c r="H15" s="36"/>
      <c r="I15" s="36"/>
      <c r="J15" s="36"/>
      <c r="K15" s="36"/>
    </row>
    <row r="16" spans="2:11" x14ac:dyDescent="0.2">
      <c r="B16" t="s">
        <v>1</v>
      </c>
      <c r="C16" s="7">
        <f>INDEX('Income Statement - Data'!$C$3:$E$23,MATCH('Income Statement'!$B16,'Income Statement - Data'!$B$3:$B$23,0),MATCH('Income Statement'!C$5,'Income Statement - Data'!$C$2:$E$2,0))</f>
        <v>16217</v>
      </c>
      <c r="D16" s="7">
        <f>INDEX('Income Statement - Data'!$C$3:$E$23,MATCH('Income Statement'!$B16,'Income Statement - Data'!$B$3:$B$23,0),MATCH('Income Statement'!D$5,'Income Statement - Data'!$C$2:$E$2,0))</f>
        <v>18752</v>
      </c>
      <c r="E16" s="7">
        <f>INDEX('Income Statement - Data'!$C$3:$E$23,MATCH('Income Statement'!$B16,'Income Statement - Data'!$B$3:$B$23,0),MATCH('Income Statement'!E$5,'Income Statement - Data'!$C$2:$E$2,0))</f>
        <v>21914</v>
      </c>
      <c r="F16" s="45"/>
      <c r="G16" s="7">
        <f ca="1">G9*G49</f>
        <v>27760.506977390334</v>
      </c>
      <c r="H16" s="7">
        <f t="shared" ref="H16:K16" ca="1" si="7">H9*H49</f>
        <v>32337.447241888516</v>
      </c>
      <c r="I16" s="7">
        <f t="shared" ca="1" si="7"/>
        <v>36702.0916743899</v>
      </c>
      <c r="J16" s="7">
        <f t="shared" ca="1" si="7"/>
        <v>40558.578636618535</v>
      </c>
      <c r="K16" s="7">
        <f t="shared" ca="1" si="7"/>
        <v>43607.907778960645</v>
      </c>
    </row>
    <row r="17" spans="2:11" x14ac:dyDescent="0.2">
      <c r="B17" t="s">
        <v>2</v>
      </c>
      <c r="C17" s="7">
        <f>INDEX('Income Statement - Data'!$C$3:$E$23,MATCH('Income Statement'!$B17,'Income Statement - Data'!$B$3:$B$23,0),MATCH('Income Statement'!C$5,'Income Statement - Data'!$C$2:$E$2,0))</f>
        <v>18245</v>
      </c>
      <c r="D17" s="7">
        <f>INDEX('Income Statement - Data'!$C$3:$E$23,MATCH('Income Statement'!$B17,'Income Statement - Data'!$B$3:$B$23,0),MATCH('Income Statement'!D$5,'Income Statement - Data'!$C$2:$E$2,0))</f>
        <v>19916</v>
      </c>
      <c r="E17" s="7">
        <f>INDEX('Income Statement - Data'!$C$3:$E$23,MATCH('Income Statement'!$B17,'Income Statement - Data'!$B$3:$B$23,0),MATCH('Income Statement'!E$5,'Income Statement - Data'!$C$2:$E$2,0))</f>
        <v>21973</v>
      </c>
      <c r="F17" s="45"/>
      <c r="G17" s="7">
        <f ca="1">G9*G54</f>
        <v>29537.380362763906</v>
      </c>
      <c r="H17" s="7">
        <f t="shared" ref="H17:K17" ca="1" si="8">H9*H54</f>
        <v>34407.27793344728</v>
      </c>
      <c r="I17" s="7">
        <f t="shared" ca="1" si="8"/>
        <v>39051.291202225577</v>
      </c>
      <c r="J17" s="7">
        <f t="shared" ca="1" si="8"/>
        <v>43154.621244438495</v>
      </c>
      <c r="K17" s="7">
        <f t="shared" ca="1" si="8"/>
        <v>46399.129523843359</v>
      </c>
    </row>
    <row r="18" spans="2:11" x14ac:dyDescent="0.2">
      <c r="B18" t="s">
        <v>3</v>
      </c>
      <c r="C18" s="7">
        <f>INDEX('Income Statement - Data'!$C$3:$E$23,MATCH('Income Statement'!$B18,'Income Statement - Data'!$B$3:$B$23,0),MATCH('Income Statement'!C$5,'Income Statement - Data'!$C$2:$E$2,0))</f>
        <v>34462</v>
      </c>
      <c r="D18" s="7">
        <f>INDEX('Income Statement - Data'!$C$3:$E$23,MATCH('Income Statement'!$B18,'Income Statement - Data'!$B$3:$B$23,0),MATCH('Income Statement'!D$5,'Income Statement - Data'!$C$2:$E$2,0))</f>
        <v>38668</v>
      </c>
      <c r="E18" s="7">
        <f>INDEX('Income Statement - Data'!$C$3:$E$23,MATCH('Income Statement'!$B18,'Income Statement - Data'!$B$3:$B$23,0),MATCH('Income Statement'!E$5,'Income Statement - Data'!$C$2:$E$2,0))</f>
        <v>43887</v>
      </c>
      <c r="F18" s="45"/>
      <c r="G18" s="7">
        <f ca="1">SUM(G16:G17)</f>
        <v>57297.887340154237</v>
      </c>
      <c r="H18" s="7">
        <f t="shared" ref="H18:K18" ca="1" si="9">SUM(H16:H17)</f>
        <v>66744.7251753358</v>
      </c>
      <c r="I18" s="7">
        <f t="shared" ca="1" si="9"/>
        <v>75753.382876615477</v>
      </c>
      <c r="J18" s="7">
        <f t="shared" ca="1" si="9"/>
        <v>83713.199881057022</v>
      </c>
      <c r="K18" s="7">
        <f t="shared" ca="1" si="9"/>
        <v>90007.037302804005</v>
      </c>
    </row>
    <row r="19" spans="2:11" x14ac:dyDescent="0.2">
      <c r="B19" s="6" t="s">
        <v>77</v>
      </c>
      <c r="C19" s="9">
        <f>C21+C20</f>
        <v>76477</v>
      </c>
      <c r="D19" s="9">
        <f t="shared" ref="D19:K19" si="10">D21+D20</f>
        <v>77344</v>
      </c>
      <c r="E19" s="9">
        <f t="shared" si="10"/>
        <v>120233</v>
      </c>
      <c r="F19" s="22"/>
      <c r="G19" s="9">
        <f t="shared" ca="1" si="10"/>
        <v>126740.1481498818</v>
      </c>
      <c r="H19" s="9">
        <f t="shared" ca="1" si="10"/>
        <v>146630.14580071188</v>
      </c>
      <c r="I19" s="9">
        <f t="shared" ca="1" si="10"/>
        <v>165847.18675552413</v>
      </c>
      <c r="J19" s="9">
        <f t="shared" ca="1" si="10"/>
        <v>183149.47502125753</v>
      </c>
      <c r="K19" s="9">
        <f t="shared" ca="1" si="10"/>
        <v>197256.35581246536</v>
      </c>
    </row>
    <row r="20" spans="2:11" x14ac:dyDescent="0.2">
      <c r="B20" t="s">
        <v>78</v>
      </c>
      <c r="C20" s="1">
        <f>'Statement of Cashflows - Data'!C7</f>
        <v>12547</v>
      </c>
      <c r="D20" s="1">
        <f>'Statement of Cashflows - Data'!D7</f>
        <v>11056</v>
      </c>
      <c r="E20" s="1">
        <f>'Statement of Cashflows - Data'!E7</f>
        <v>11284</v>
      </c>
      <c r="F20" s="1"/>
      <c r="G20" s="1">
        <f>-'Fixed Assets'!F5</f>
        <v>11885.302438232553</v>
      </c>
      <c r="H20" s="1">
        <f>-'Fixed Assets'!G5</f>
        <v>12220.212267770579</v>
      </c>
      <c r="I20" s="1">
        <f>-'Fixed Assets'!H5</f>
        <v>12564.559349284656</v>
      </c>
      <c r="J20" s="1">
        <f>-'Fixed Assets'!I5</f>
        <v>12918.609610248408</v>
      </c>
      <c r="K20" s="1">
        <f>-'Fixed Assets'!J5</f>
        <v>13282.636471569067</v>
      </c>
    </row>
    <row r="21" spans="2:11" x14ac:dyDescent="0.2">
      <c r="B21" s="6" t="s">
        <v>80</v>
      </c>
      <c r="C21" s="9">
        <f>C14-C18</f>
        <v>63930</v>
      </c>
      <c r="D21" s="9">
        <f t="shared" ref="D21:K21" si="11">D14-D18</f>
        <v>66288</v>
      </c>
      <c r="E21" s="9">
        <f t="shared" si="11"/>
        <v>108949</v>
      </c>
      <c r="F21" s="22"/>
      <c r="G21" s="9">
        <f t="shared" ca="1" si="11"/>
        <v>114854.84571164925</v>
      </c>
      <c r="H21" s="9">
        <f t="shared" ca="1" si="11"/>
        <v>134409.9335329413</v>
      </c>
      <c r="I21" s="9">
        <f t="shared" ca="1" si="11"/>
        <v>153282.62740623948</v>
      </c>
      <c r="J21" s="9">
        <f t="shared" ca="1" si="11"/>
        <v>170230.86541100912</v>
      </c>
      <c r="K21" s="9">
        <f t="shared" ca="1" si="11"/>
        <v>183973.71934089629</v>
      </c>
    </row>
    <row r="22" spans="2:11" x14ac:dyDescent="0.2">
      <c r="B22" t="s">
        <v>5</v>
      </c>
      <c r="C22" s="7">
        <f>INDEX('Income Statement - Data'!$C$3:$E$23,MATCH('Income Statement'!$B22,'Income Statement - Data'!$B$3:$B$23,0),MATCH('Income Statement'!C$5,'Income Statement - Data'!$C$2:$E$2,0))</f>
        <v>1807</v>
      </c>
      <c r="D22" s="7">
        <f>INDEX('Income Statement - Data'!$C$3:$E$23,MATCH('Income Statement'!$B22,'Income Statement - Data'!$B$3:$B$23,0),MATCH('Income Statement'!D$5,'Income Statement - Data'!$C$2:$E$2,0))</f>
        <v>803</v>
      </c>
      <c r="E22" s="7">
        <f>INDEX('Income Statement - Data'!$C$3:$E$23,MATCH('Income Statement'!$B22,'Income Statement - Data'!$B$3:$B$23,0),MATCH('Income Statement'!E$5,'Income Statement - Data'!$C$2:$E$2,0))</f>
        <v>258</v>
      </c>
      <c r="F22" s="45"/>
      <c r="G22" s="7">
        <f>'Debt Schedule'!F10*'Debt Schedule'!F4</f>
        <v>619.80204196166721</v>
      </c>
      <c r="H22" s="7">
        <f>'Debt Schedule'!G10*'Debt Schedule'!G4</f>
        <v>565.363578741325</v>
      </c>
      <c r="I22" s="7">
        <f>'Debt Schedule'!H10*'Debt Schedule'!H4</f>
        <v>500.65435046803702</v>
      </c>
      <c r="J22" s="7">
        <f>'Debt Schedule'!I10*'Debt Schedule'!I4</f>
        <v>442.69951359295294</v>
      </c>
      <c r="K22" s="7">
        <f>'Debt Schedule'!J10*'Debt Schedule'!J4</f>
        <v>380.6999949049831</v>
      </c>
    </row>
    <row r="23" spans="2:11" x14ac:dyDescent="0.2">
      <c r="B23" s="6" t="s">
        <v>81</v>
      </c>
      <c r="C23" s="9">
        <f>C21+C22</f>
        <v>65737</v>
      </c>
      <c r="D23" s="9">
        <f t="shared" ref="D23:K23" si="12">D21+D22</f>
        <v>67091</v>
      </c>
      <c r="E23" s="9">
        <f t="shared" si="12"/>
        <v>109207</v>
      </c>
      <c r="F23" s="22"/>
      <c r="G23" s="9">
        <f t="shared" ca="1" si="12"/>
        <v>115474.64775361092</v>
      </c>
      <c r="H23" s="9">
        <f t="shared" ca="1" si="12"/>
        <v>134975.29711168262</v>
      </c>
      <c r="I23" s="9">
        <f t="shared" ca="1" si="12"/>
        <v>153783.28175670753</v>
      </c>
      <c r="J23" s="9">
        <f t="shared" ca="1" si="12"/>
        <v>170673.56492460208</v>
      </c>
      <c r="K23" s="9">
        <f t="shared" ca="1" si="12"/>
        <v>184354.41933580127</v>
      </c>
    </row>
    <row r="24" spans="2:11" x14ac:dyDescent="0.2">
      <c r="B24" t="s">
        <v>7</v>
      </c>
      <c r="C24" s="7">
        <f>INDEX('Income Statement - Data'!$C$3:$E$23,MATCH('Income Statement'!$B24,'Income Statement - Data'!$B$3:$B$23,0),MATCH('Income Statement'!C$5,'Income Statement - Data'!$C$2:$E$2,0))</f>
        <v>10481</v>
      </c>
      <c r="D24" s="7">
        <f>INDEX('Income Statement - Data'!$C$3:$E$23,MATCH('Income Statement'!$B24,'Income Statement - Data'!$B$3:$B$23,0),MATCH('Income Statement'!D$5,'Income Statement - Data'!$C$2:$E$2,0))</f>
        <v>9680</v>
      </c>
      <c r="E24" s="7">
        <f>INDEX('Income Statement - Data'!$C$3:$E$23,MATCH('Income Statement'!$B24,'Income Statement - Data'!$B$3:$B$23,0),MATCH('Income Statement'!E$5,'Income Statement - Data'!$C$2:$E$2,0))</f>
        <v>14527</v>
      </c>
      <c r="F24" s="45"/>
      <c r="G24" s="8">
        <f ca="1">G23*G59</f>
        <v>16810.900214022258</v>
      </c>
      <c r="H24" s="8">
        <f t="shared" ref="H24:K24" ca="1" si="13">H23*H59</f>
        <v>19649.82180282554</v>
      </c>
      <c r="I24" s="8">
        <f t="shared" ca="1" si="13"/>
        <v>22387.904656899365</v>
      </c>
      <c r="J24" s="8">
        <f t="shared" ca="1" si="13"/>
        <v>24846.806852712092</v>
      </c>
      <c r="K24" s="8">
        <f t="shared" ca="1" si="13"/>
        <v>26838.477603160813</v>
      </c>
    </row>
    <row r="25" spans="2:11" x14ac:dyDescent="0.2">
      <c r="B25" s="19" t="s">
        <v>8</v>
      </c>
      <c r="C25" s="20">
        <f>INDEX('Income Statement - Data'!$C$3:$E$23,MATCH('Income Statement'!$B25,'Income Statement - Data'!$B$3:$B$23,0),MATCH('Income Statement'!C$5,'Income Statement - Data'!$C$2:$E$2,0))</f>
        <v>55256</v>
      </c>
      <c r="D25" s="20">
        <f>INDEX('Income Statement - Data'!$C$3:$E$23,MATCH('Income Statement'!$B25,'Income Statement - Data'!$B$3:$B$23,0),MATCH('Income Statement'!D$5,'Income Statement - Data'!$C$2:$E$2,0))</f>
        <v>57411</v>
      </c>
      <c r="E25" s="20">
        <f>INDEX('Income Statement - Data'!$C$3:$E$23,MATCH('Income Statement'!$B25,'Income Statement - Data'!$B$3:$B$23,0),MATCH('Income Statement'!E$5,'Income Statement - Data'!$C$2:$E$2,0))</f>
        <v>94680</v>
      </c>
      <c r="F25" s="46"/>
      <c r="G25" s="20">
        <f ca="1">G23-G24</f>
        <v>98663.747539588658</v>
      </c>
      <c r="H25" s="20">
        <f t="shared" ref="H25:K25" ca="1" si="14">H23-H24</f>
        <v>115325.47530885709</v>
      </c>
      <c r="I25" s="20">
        <f t="shared" ca="1" si="14"/>
        <v>131395.37709980816</v>
      </c>
      <c r="J25" s="20">
        <f t="shared" ca="1" si="14"/>
        <v>145826.75807188998</v>
      </c>
      <c r="K25" s="20">
        <f t="shared" ca="1" si="14"/>
        <v>157515.94173264047</v>
      </c>
    </row>
    <row r="26" spans="2:11" x14ac:dyDescent="0.2">
      <c r="C26" s="8"/>
      <c r="D26" s="8"/>
      <c r="E26" s="8"/>
      <c r="F26" s="8"/>
    </row>
    <row r="27" spans="2:11" x14ac:dyDescent="0.2">
      <c r="B27" s="29" t="s">
        <v>96</v>
      </c>
      <c r="C27" s="30"/>
      <c r="D27" s="30"/>
      <c r="E27" s="30"/>
      <c r="G27" s="30"/>
      <c r="H27" s="30"/>
      <c r="I27" s="30"/>
      <c r="J27" s="30"/>
      <c r="K27" s="30"/>
    </row>
    <row r="28" spans="2:11" x14ac:dyDescent="0.2">
      <c r="B28" s="30" t="s">
        <v>97</v>
      </c>
      <c r="C28" s="30"/>
      <c r="D28" s="30"/>
      <c r="E28" s="30"/>
      <c r="G28" s="30"/>
      <c r="H28" s="30"/>
      <c r="I28" s="30"/>
      <c r="J28" s="30"/>
      <c r="K28" s="30"/>
    </row>
    <row r="29" spans="2:11" x14ac:dyDescent="0.2">
      <c r="B29" s="37" t="s">
        <v>98</v>
      </c>
      <c r="C29" s="29"/>
      <c r="D29" s="30"/>
      <c r="E29" s="30"/>
      <c r="G29" s="35" cm="1">
        <f t="array" aca="1" ref="G29" ca="1">OFFSET(G29,MATCH($C$2,$B30:$B32,0),,)</f>
        <v>0.18964987435981262</v>
      </c>
      <c r="H29" s="35" cm="1">
        <f t="array" aca="1" ref="H29" ca="1">OFFSET(H29,MATCH($C$2,$B30:$B32,0),,)</f>
        <v>0.15964987435981262</v>
      </c>
      <c r="I29" s="35" cm="1">
        <f t="array" aca="1" ref="I29" ca="1">OFFSET(I29,MATCH($C$2,$B30:$B32,0),,)</f>
        <v>0.12964987435981262</v>
      </c>
      <c r="J29" s="35" cm="1">
        <f t="array" aca="1" ref="J29" ca="1">OFFSET(J29,MATCH($C$2,$B30:$B32,0),,)</f>
        <v>9.9649874359812624E-2</v>
      </c>
      <c r="K29" s="35" cm="1">
        <f t="array" aca="1" ref="K29" ca="1">OFFSET(K29,MATCH($C$2,$B30:$B32,0),,)</f>
        <v>6.9649874359812625E-2</v>
      </c>
    </row>
    <row r="30" spans="2:11" hidden="1" outlineLevel="1" x14ac:dyDescent="0.2">
      <c r="B30" s="32" t="s">
        <v>99</v>
      </c>
      <c r="C30" s="30"/>
      <c r="D30" s="34">
        <f>D$7/C$7-1</f>
        <v>3.2092312151970948E-2</v>
      </c>
      <c r="E30" s="34">
        <f>E$7/D$7-1</f>
        <v>0.34720743656765429</v>
      </c>
      <c r="F30" s="47"/>
      <c r="G30" s="34">
        <f>G31-0.05</f>
        <v>0.13964987435981263</v>
      </c>
      <c r="H30" s="34">
        <f t="shared" ref="H30:K32" si="15">G30-0.03</f>
        <v>0.10964987435981263</v>
      </c>
      <c r="I30" s="34">
        <f t="shared" si="15"/>
        <v>7.9649874359812634E-2</v>
      </c>
      <c r="J30" s="34">
        <f t="shared" si="15"/>
        <v>4.9649874359812635E-2</v>
      </c>
      <c r="K30" s="34">
        <f t="shared" si="15"/>
        <v>1.9649874359812636E-2</v>
      </c>
    </row>
    <row r="31" spans="2:11" hidden="1" outlineLevel="1" x14ac:dyDescent="0.2">
      <c r="B31" s="32" t="s">
        <v>100</v>
      </c>
      <c r="C31" s="30"/>
      <c r="D31" s="34">
        <f t="shared" ref="D31:E32" si="16">D$7/C$7-1</f>
        <v>3.2092312151970948E-2</v>
      </c>
      <c r="E31" s="34">
        <f t="shared" si="16"/>
        <v>0.34720743656765429</v>
      </c>
      <c r="F31" s="47"/>
      <c r="G31" s="34">
        <f>AVERAGE(D31:E31)</f>
        <v>0.18964987435981262</v>
      </c>
      <c r="H31" s="34">
        <f>G31-0.03</f>
        <v>0.15964987435981262</v>
      </c>
      <c r="I31" s="34">
        <f t="shared" si="15"/>
        <v>0.12964987435981262</v>
      </c>
      <c r="J31" s="34">
        <f t="shared" si="15"/>
        <v>9.9649874359812624E-2</v>
      </c>
      <c r="K31" s="34">
        <f t="shared" si="15"/>
        <v>6.9649874359812625E-2</v>
      </c>
    </row>
    <row r="32" spans="2:11" hidden="1" outlineLevel="1" x14ac:dyDescent="0.2">
      <c r="B32" s="32" t="s">
        <v>101</v>
      </c>
      <c r="C32" s="30"/>
      <c r="D32" s="34">
        <f t="shared" si="16"/>
        <v>3.2092312151970948E-2</v>
      </c>
      <c r="E32" s="34">
        <f t="shared" si="16"/>
        <v>0.34720743656765429</v>
      </c>
      <c r="F32" s="47"/>
      <c r="G32" s="34">
        <f>AVERAGE(D32:E32)</f>
        <v>0.18964987435981262</v>
      </c>
      <c r="H32" s="34">
        <f>G32</f>
        <v>0.18964987435981262</v>
      </c>
      <c r="I32" s="34">
        <f>H32</f>
        <v>0.18964987435981262</v>
      </c>
      <c r="J32" s="34">
        <f t="shared" si="15"/>
        <v>0.15964987435981262</v>
      </c>
      <c r="K32" s="34">
        <f t="shared" si="15"/>
        <v>0.12964987435981262</v>
      </c>
    </row>
    <row r="33" spans="2:11" collapsed="1" x14ac:dyDescent="0.2">
      <c r="B33" s="31" t="s">
        <v>102</v>
      </c>
      <c r="C33" s="30"/>
      <c r="D33" s="30"/>
      <c r="E33" s="30"/>
      <c r="G33" s="30"/>
      <c r="H33" s="30"/>
      <c r="I33" s="30"/>
      <c r="J33" s="30"/>
      <c r="K33" s="30"/>
    </row>
    <row r="34" spans="2:11" x14ac:dyDescent="0.2">
      <c r="B34" s="37" t="s">
        <v>98</v>
      </c>
      <c r="C34" s="30"/>
      <c r="D34" s="30"/>
      <c r="E34" s="30"/>
      <c r="G34" s="35" cm="1">
        <f t="array" aca="1" ref="G34" ca="1">OFFSET(G34,MATCH($C$2,$B35:$B37,0),,)</f>
        <v>0.21705938092363453</v>
      </c>
      <c r="H34" s="35" cm="1">
        <f t="array" aca="1" ref="H34" ca="1">OFFSET(H34,MATCH($C$2,$B35:$B37,0),,)</f>
        <v>0.18705938092363453</v>
      </c>
      <c r="I34" s="35" cm="1">
        <f t="array" aca="1" ref="I34" ca="1">OFFSET(I34,MATCH($C$2,$B35:$B37,0),,)</f>
        <v>0.15705938092363453</v>
      </c>
      <c r="J34" s="35" cm="1">
        <f t="array" aca="1" ref="J34" ca="1">OFFSET(J34,MATCH($C$2,$B35:$B37,0),,)</f>
        <v>0.12705938092363453</v>
      </c>
      <c r="K34" s="35" cm="1">
        <f t="array" aca="1" ref="K34" ca="1">OFFSET(K34,MATCH($C$2,$B35:$B37,0),,)</f>
        <v>9.7059380923634531E-2</v>
      </c>
    </row>
    <row r="35" spans="2:11" x14ac:dyDescent="0.2">
      <c r="B35" s="32" t="s">
        <v>99</v>
      </c>
      <c r="C35" s="30"/>
      <c r="D35" s="34">
        <f>D$8/C$8-1</f>
        <v>0.16152167807997242</v>
      </c>
      <c r="E35" s="34">
        <f>E$8/D$8-1</f>
        <v>0.27259708376729663</v>
      </c>
      <c r="F35" s="47"/>
      <c r="G35" s="34">
        <f>G36-0.05</f>
        <v>0.16705938092363454</v>
      </c>
      <c r="H35" s="34">
        <f t="shared" ref="H35:K37" si="17">G35-0.03</f>
        <v>0.13705938092363454</v>
      </c>
      <c r="I35" s="34">
        <f t="shared" si="17"/>
        <v>0.10705938092363454</v>
      </c>
      <c r="J35" s="34">
        <f t="shared" si="17"/>
        <v>7.7059380923634541E-2</v>
      </c>
      <c r="K35" s="34">
        <f t="shared" si="17"/>
        <v>4.7059380923634542E-2</v>
      </c>
    </row>
    <row r="36" spans="2:11" x14ac:dyDescent="0.2">
      <c r="B36" s="32" t="s">
        <v>100</v>
      </c>
      <c r="C36" s="30"/>
      <c r="D36" s="34">
        <f t="shared" ref="D36:E37" si="18">D$8/C$8-1</f>
        <v>0.16152167807997242</v>
      </c>
      <c r="E36" s="34">
        <f t="shared" si="18"/>
        <v>0.27259708376729663</v>
      </c>
      <c r="F36" s="47"/>
      <c r="G36" s="34">
        <f>AVERAGE(D36:E36)</f>
        <v>0.21705938092363453</v>
      </c>
      <c r="H36" s="34">
        <f>G36-0.03</f>
        <v>0.18705938092363453</v>
      </c>
      <c r="I36" s="34">
        <f t="shared" si="17"/>
        <v>0.15705938092363453</v>
      </c>
      <c r="J36" s="34">
        <f t="shared" si="17"/>
        <v>0.12705938092363453</v>
      </c>
      <c r="K36" s="34">
        <f t="shared" si="17"/>
        <v>9.7059380923634531E-2</v>
      </c>
    </row>
    <row r="37" spans="2:11" x14ac:dyDescent="0.2">
      <c r="B37" s="32" t="s">
        <v>101</v>
      </c>
      <c r="C37" s="30"/>
      <c r="D37" s="34">
        <f t="shared" si="18"/>
        <v>0.16152167807997242</v>
      </c>
      <c r="E37" s="34">
        <f t="shared" si="18"/>
        <v>0.27259708376729663</v>
      </c>
      <c r="F37" s="47"/>
      <c r="G37" s="34">
        <f>AVERAGE(D37:E37)</f>
        <v>0.21705938092363453</v>
      </c>
      <c r="H37" s="34">
        <f>G37</f>
        <v>0.21705938092363453</v>
      </c>
      <c r="I37" s="34">
        <f>H37</f>
        <v>0.21705938092363453</v>
      </c>
      <c r="J37" s="34">
        <f t="shared" si="17"/>
        <v>0.18705938092363453</v>
      </c>
      <c r="K37" s="34">
        <f t="shared" si="17"/>
        <v>0.15705938092363453</v>
      </c>
    </row>
    <row r="38" spans="2:11" x14ac:dyDescent="0.2">
      <c r="B38" s="30" t="s">
        <v>103</v>
      </c>
      <c r="C38" s="30"/>
      <c r="D38" s="30"/>
      <c r="E38" s="30"/>
      <c r="G38" s="30"/>
      <c r="H38" s="30"/>
      <c r="I38" s="30"/>
      <c r="J38" s="30"/>
      <c r="K38" s="30"/>
    </row>
    <row r="39" spans="2:11" x14ac:dyDescent="0.2">
      <c r="B39" s="29" t="s">
        <v>98</v>
      </c>
      <c r="C39" s="30"/>
      <c r="D39" s="30"/>
      <c r="E39" s="30"/>
      <c r="G39" s="35" cm="1">
        <f t="array" aca="1" ref="G39" ca="1">OFFSET(G39,MATCH($C$2,$B40:$B42,0),,)</f>
        <v>0.66992187193038177</v>
      </c>
      <c r="H39" s="35" cm="1">
        <f t="array" aca="1" ref="H39" ca="1">OFFSET(H39,MATCH($C$2,$B40:$B42,0),,)</f>
        <v>0.66992187193038177</v>
      </c>
      <c r="I39" s="35" cm="1">
        <f t="array" aca="1" ref="I39" ca="1">OFFSET(I39,MATCH($C$2,$B40:$B42,0),,)</f>
        <v>0.66992187193038177</v>
      </c>
      <c r="J39" s="35" cm="1">
        <f t="array" aca="1" ref="J39" ca="1">OFFSET(J39,MATCH($C$2,$B40:$B42,0),,)</f>
        <v>0.66992187193038177</v>
      </c>
      <c r="K39" s="35" cm="1">
        <f t="array" aca="1" ref="K39" ca="1">OFFSET(K39,MATCH($C$2,$B40:$B42,0),,)</f>
        <v>0.66992187193038177</v>
      </c>
    </row>
    <row r="40" spans="2:11" x14ac:dyDescent="0.2">
      <c r="B40" s="32" t="s">
        <v>99</v>
      </c>
      <c r="C40" s="34">
        <f>C$11/C$7</f>
        <v>0.67792204148997348</v>
      </c>
      <c r="D40" s="34">
        <f t="shared" ref="D40:E42" si="19">D$11/D$7</f>
        <v>0.68533660706600774</v>
      </c>
      <c r="E40" s="34">
        <f t="shared" si="19"/>
        <v>0.64650696723516432</v>
      </c>
      <c r="F40" s="47"/>
      <c r="G40" s="34">
        <f>D40</f>
        <v>0.68533660706600774</v>
      </c>
      <c r="H40" s="34">
        <f>G40</f>
        <v>0.68533660706600774</v>
      </c>
      <c r="I40" s="34">
        <f t="shared" ref="I40:K42" si="20">H40</f>
        <v>0.68533660706600774</v>
      </c>
      <c r="J40" s="34">
        <f t="shared" si="20"/>
        <v>0.68533660706600774</v>
      </c>
      <c r="K40" s="34">
        <f t="shared" si="20"/>
        <v>0.68533660706600774</v>
      </c>
    </row>
    <row r="41" spans="2:11" x14ac:dyDescent="0.2">
      <c r="B41" s="32" t="s">
        <v>100</v>
      </c>
      <c r="C41" s="34">
        <f t="shared" ref="C41:C42" si="21">C$11/C$7</f>
        <v>0.67792204148997348</v>
      </c>
      <c r="D41" s="34">
        <f t="shared" si="19"/>
        <v>0.68533660706600774</v>
      </c>
      <c r="E41" s="34">
        <f t="shared" si="19"/>
        <v>0.64650696723516432</v>
      </c>
      <c r="F41" s="47"/>
      <c r="G41" s="34">
        <f>AVERAGE(C41:E41)</f>
        <v>0.66992187193038177</v>
      </c>
      <c r="H41" s="34">
        <f>G41</f>
        <v>0.66992187193038177</v>
      </c>
      <c r="I41" s="34">
        <f t="shared" si="20"/>
        <v>0.66992187193038177</v>
      </c>
      <c r="J41" s="34">
        <f t="shared" si="20"/>
        <v>0.66992187193038177</v>
      </c>
      <c r="K41" s="34">
        <f t="shared" si="20"/>
        <v>0.66992187193038177</v>
      </c>
    </row>
    <row r="42" spans="2:11" x14ac:dyDescent="0.2">
      <c r="B42" s="32" t="s">
        <v>101</v>
      </c>
      <c r="C42" s="34">
        <f t="shared" si="21"/>
        <v>0.67792204148997348</v>
      </c>
      <c r="D42" s="34">
        <f t="shared" si="19"/>
        <v>0.68533660706600774</v>
      </c>
      <c r="E42" s="34">
        <f t="shared" si="19"/>
        <v>0.64650696723516432</v>
      </c>
      <c r="F42" s="47"/>
      <c r="G42" s="34">
        <f>E42</f>
        <v>0.64650696723516432</v>
      </c>
      <c r="H42" s="34">
        <f>G42</f>
        <v>0.64650696723516432</v>
      </c>
      <c r="I42" s="34">
        <f t="shared" si="20"/>
        <v>0.64650696723516432</v>
      </c>
      <c r="J42" s="34">
        <f t="shared" si="20"/>
        <v>0.64650696723516432</v>
      </c>
      <c r="K42" s="34">
        <f t="shared" si="20"/>
        <v>0.64650696723516432</v>
      </c>
    </row>
    <row r="43" spans="2:11" x14ac:dyDescent="0.2">
      <c r="B43" s="30" t="s">
        <v>104</v>
      </c>
      <c r="C43" s="30"/>
      <c r="D43" s="30"/>
      <c r="E43" s="30"/>
      <c r="G43" s="30"/>
      <c r="H43" s="30"/>
      <c r="I43" s="30"/>
      <c r="J43" s="30"/>
      <c r="K43" s="30"/>
    </row>
    <row r="44" spans="2:11" x14ac:dyDescent="0.2">
      <c r="B44" s="29" t="s">
        <v>98</v>
      </c>
      <c r="C44" s="30"/>
      <c r="D44" s="30"/>
      <c r="E44" s="30"/>
      <c r="G44" s="35" cm="1">
        <f t="array" aca="1" ref="G44" ca="1">OFFSET(G44,MATCH($C$2,$B45:$B47,0),,)</f>
        <v>0.33506943031832898</v>
      </c>
      <c r="H44" s="35" cm="1">
        <f t="array" aca="1" ref="H44" ca="1">OFFSET(H44,MATCH($C$2,$B45:$B47,0),,)</f>
        <v>0.33506943031832898</v>
      </c>
      <c r="I44" s="35" cm="1">
        <f t="array" aca="1" ref="I44" ca="1">OFFSET(I44,MATCH($C$2,$B45:$B47,0),,)</f>
        <v>0.33506943031832898</v>
      </c>
      <c r="J44" s="35" cm="1">
        <f t="array" aca="1" ref="J44" ca="1">OFFSET(J44,MATCH($C$2,$B45:$B47,0),,)</f>
        <v>0.33506943031832898</v>
      </c>
      <c r="K44" s="35" cm="1">
        <f t="array" aca="1" ref="K44" ca="1">OFFSET(K44,MATCH($C$2,$B45:$B47,0),,)</f>
        <v>0.33506943031832898</v>
      </c>
    </row>
    <row r="45" spans="2:11" x14ac:dyDescent="0.2">
      <c r="B45" s="32" t="s">
        <v>99</v>
      </c>
      <c r="C45" s="34">
        <f>C$12/C$8</f>
        <v>0.36261908362316647</v>
      </c>
      <c r="D45" s="34">
        <f t="shared" ref="D45:E47" si="22">D$12/D$8</f>
        <v>0.33984898080642761</v>
      </c>
      <c r="E45" s="34">
        <f t="shared" si="22"/>
        <v>0.30274022652539279</v>
      </c>
      <c r="F45" s="47"/>
      <c r="G45" s="34">
        <f>C45</f>
        <v>0.36261908362316647</v>
      </c>
      <c r="H45" s="34">
        <f>G45</f>
        <v>0.36261908362316647</v>
      </c>
      <c r="I45" s="34">
        <f t="shared" ref="I45:K47" si="23">H45</f>
        <v>0.36261908362316647</v>
      </c>
      <c r="J45" s="34">
        <f t="shared" si="23"/>
        <v>0.36261908362316647</v>
      </c>
      <c r="K45" s="34">
        <f t="shared" si="23"/>
        <v>0.36261908362316647</v>
      </c>
    </row>
    <row r="46" spans="2:11" x14ac:dyDescent="0.2">
      <c r="B46" s="32" t="s">
        <v>100</v>
      </c>
      <c r="C46" s="34">
        <f t="shared" ref="C46:C47" si="24">C$12/C$8</f>
        <v>0.36261908362316647</v>
      </c>
      <c r="D46" s="34">
        <f t="shared" si="22"/>
        <v>0.33984898080642761</v>
      </c>
      <c r="E46" s="34">
        <f t="shared" si="22"/>
        <v>0.30274022652539279</v>
      </c>
      <c r="F46" s="47"/>
      <c r="G46" s="34">
        <f>AVERAGE(C46:E46)</f>
        <v>0.33506943031832898</v>
      </c>
      <c r="H46" s="34">
        <f>G46</f>
        <v>0.33506943031832898</v>
      </c>
      <c r="I46" s="34">
        <f t="shared" si="23"/>
        <v>0.33506943031832898</v>
      </c>
      <c r="J46" s="34">
        <f t="shared" si="23"/>
        <v>0.33506943031832898</v>
      </c>
      <c r="K46" s="34">
        <f t="shared" si="23"/>
        <v>0.33506943031832898</v>
      </c>
    </row>
    <row r="47" spans="2:11" x14ac:dyDescent="0.2">
      <c r="B47" s="32" t="s">
        <v>101</v>
      </c>
      <c r="C47" s="34">
        <f t="shared" si="24"/>
        <v>0.36261908362316647</v>
      </c>
      <c r="D47" s="34">
        <f t="shared" si="22"/>
        <v>0.33984898080642761</v>
      </c>
      <c r="E47" s="34">
        <f t="shared" si="22"/>
        <v>0.30274022652539279</v>
      </c>
      <c r="F47" s="47"/>
      <c r="G47" s="34">
        <f>E47</f>
        <v>0.30274022652539279</v>
      </c>
      <c r="H47" s="34">
        <f>G47</f>
        <v>0.30274022652539279</v>
      </c>
      <c r="I47" s="34">
        <f t="shared" si="23"/>
        <v>0.30274022652539279</v>
      </c>
      <c r="J47" s="34">
        <f t="shared" si="23"/>
        <v>0.30274022652539279</v>
      </c>
      <c r="K47" s="34">
        <f t="shared" si="23"/>
        <v>0.30274022652539279</v>
      </c>
    </row>
    <row r="48" spans="2:11" x14ac:dyDescent="0.2">
      <c r="B48" s="30" t="s">
        <v>105</v>
      </c>
      <c r="C48" s="30"/>
      <c r="D48" s="30"/>
      <c r="E48" s="30"/>
      <c r="G48" s="30"/>
      <c r="H48" s="30"/>
      <c r="I48" s="30"/>
      <c r="J48" s="30"/>
      <c r="K48" s="30"/>
    </row>
    <row r="49" spans="2:17" x14ac:dyDescent="0.2">
      <c r="B49" s="29" t="s">
        <v>98</v>
      </c>
      <c r="C49" s="30"/>
      <c r="D49" s="30"/>
      <c r="E49" s="30"/>
      <c r="G49" s="35" cm="1">
        <f t="array" aca="1" ref="G49" ca="1">OFFSET(G49,MATCH($C$2,$B50:$B52,0),,)</f>
        <v>6.3515065357328607E-2</v>
      </c>
      <c r="H49" s="35" cm="1">
        <f t="array" aca="1" ref="H49" ca="1">OFFSET(H49,MATCH($C$2,$B50:$B52,0),,)</f>
        <v>6.3515065357328607E-2</v>
      </c>
      <c r="I49" s="35" cm="1">
        <f t="array" aca="1" ref="I49" ca="1">OFFSET(I49,MATCH($C$2,$B50:$B52,0),,)</f>
        <v>6.3515065357328607E-2</v>
      </c>
      <c r="J49" s="35" cm="1">
        <f t="array" aca="1" ref="J49" ca="1">OFFSET(J49,MATCH($C$2,$B50:$B52,0),,)</f>
        <v>6.3515065357328607E-2</v>
      </c>
      <c r="K49" s="35" cm="1">
        <f t="array" aca="1" ref="K49" ca="1">OFFSET(K49,MATCH($C$2,$B50:$B52,0),,)</f>
        <v>6.3515065357328607E-2</v>
      </c>
    </row>
    <row r="50" spans="2:17" x14ac:dyDescent="0.2">
      <c r="B50" s="32" t="s">
        <v>99</v>
      </c>
      <c r="C50" s="34">
        <f>C$16/C$9</f>
        <v>6.233136285716482E-2</v>
      </c>
      <c r="D50" s="34">
        <f t="shared" ref="D50:E52" si="25">D$16/D$9</f>
        <v>6.8309564140393061E-2</v>
      </c>
      <c r="E50" s="34">
        <f t="shared" si="25"/>
        <v>5.9904269074427925E-2</v>
      </c>
      <c r="F50" s="47"/>
      <c r="G50" s="34">
        <f>D50</f>
        <v>6.8309564140393061E-2</v>
      </c>
      <c r="H50" s="34">
        <f>G50</f>
        <v>6.8309564140393061E-2</v>
      </c>
      <c r="I50" s="34">
        <f t="shared" ref="I50:K52" si="26">H50</f>
        <v>6.8309564140393061E-2</v>
      </c>
      <c r="J50" s="34">
        <f t="shared" si="26"/>
        <v>6.8309564140393061E-2</v>
      </c>
      <c r="K50" s="34">
        <f t="shared" si="26"/>
        <v>6.8309564140393061E-2</v>
      </c>
    </row>
    <row r="51" spans="2:17" x14ac:dyDescent="0.2">
      <c r="B51" s="32" t="s">
        <v>100</v>
      </c>
      <c r="C51" s="34">
        <f t="shared" ref="C51:C52" si="27">C$16/C$9</f>
        <v>6.233136285716482E-2</v>
      </c>
      <c r="D51" s="34">
        <f t="shared" si="25"/>
        <v>6.8309564140393061E-2</v>
      </c>
      <c r="E51" s="34">
        <f t="shared" si="25"/>
        <v>5.9904269074427925E-2</v>
      </c>
      <c r="F51" s="47"/>
      <c r="G51" s="34">
        <f>AVERAGE(C51:E51)</f>
        <v>6.3515065357328607E-2</v>
      </c>
      <c r="H51" s="34">
        <f>G51</f>
        <v>6.3515065357328607E-2</v>
      </c>
      <c r="I51" s="34">
        <f t="shared" si="26"/>
        <v>6.3515065357328607E-2</v>
      </c>
      <c r="J51" s="34">
        <f t="shared" si="26"/>
        <v>6.3515065357328607E-2</v>
      </c>
      <c r="K51" s="34">
        <f t="shared" si="26"/>
        <v>6.3515065357328607E-2</v>
      </c>
    </row>
    <row r="52" spans="2:17" x14ac:dyDescent="0.2">
      <c r="B52" s="32" t="s">
        <v>101</v>
      </c>
      <c r="C52" s="34">
        <f t="shared" si="27"/>
        <v>6.233136285716482E-2</v>
      </c>
      <c r="D52" s="34">
        <f t="shared" si="25"/>
        <v>6.8309564140393061E-2</v>
      </c>
      <c r="E52" s="34">
        <f t="shared" si="25"/>
        <v>5.9904269074427925E-2</v>
      </c>
      <c r="F52" s="47"/>
      <c r="G52" s="34">
        <f>E52</f>
        <v>5.9904269074427925E-2</v>
      </c>
      <c r="H52" s="34">
        <f>G52</f>
        <v>5.9904269074427925E-2</v>
      </c>
      <c r="I52" s="34">
        <f t="shared" si="26"/>
        <v>5.9904269074427925E-2</v>
      </c>
      <c r="J52" s="34">
        <f t="shared" si="26"/>
        <v>5.9904269074427925E-2</v>
      </c>
      <c r="K52" s="34">
        <f t="shared" si="26"/>
        <v>5.9904269074427925E-2</v>
      </c>
    </row>
    <row r="53" spans="2:17" x14ac:dyDescent="0.2">
      <c r="B53" s="30" t="s">
        <v>106</v>
      </c>
      <c r="C53" s="30"/>
      <c r="D53" s="30"/>
      <c r="E53" s="30"/>
      <c r="G53" s="30"/>
      <c r="H53" s="30"/>
      <c r="I53" s="30"/>
      <c r="J53" s="30"/>
      <c r="K53" s="30"/>
    </row>
    <row r="54" spans="2:17" x14ac:dyDescent="0.2">
      <c r="B54" s="29" t="s">
        <v>98</v>
      </c>
      <c r="C54" s="30"/>
      <c r="D54" s="30"/>
      <c r="E54" s="30"/>
      <c r="G54" s="35" cm="1">
        <f t="array" aca="1" ref="G54" ca="1">OFFSET(G54,MATCH($C$2,$B55:$B57,0),,)</f>
        <v>6.7580489281164655E-2</v>
      </c>
      <c r="H54" s="35" cm="1">
        <f t="array" aca="1" ref="H54" ca="1">OFFSET(H54,MATCH($C$2,$B55:$B57,0),,)</f>
        <v>6.7580489281164655E-2</v>
      </c>
      <c r="I54" s="35" cm="1">
        <f t="array" aca="1" ref="I54" ca="1">OFFSET(I54,MATCH($C$2,$B55:$B57,0),,)</f>
        <v>6.7580489281164655E-2</v>
      </c>
      <c r="J54" s="35" cm="1">
        <f t="array" aca="1" ref="J54" ca="1">OFFSET(J54,MATCH($C$2,$B55:$B57,0),,)</f>
        <v>6.7580489281164655E-2</v>
      </c>
      <c r="K54" s="35" cm="1">
        <f t="array" aca="1" ref="K54" ca="1">OFFSET(K54,MATCH($C$2,$B55:$B57,0),,)</f>
        <v>6.7580489281164655E-2</v>
      </c>
    </row>
    <row r="55" spans="2:17" x14ac:dyDescent="0.2">
      <c r="B55" s="32" t="s">
        <v>99</v>
      </c>
      <c r="C55" s="34">
        <f>C$17/C$9</f>
        <v>7.0126146348213125E-2</v>
      </c>
      <c r="D55" s="34">
        <f t="shared" ref="D55:E57" si="28">D$17/D$9</f>
        <v>7.2549769593646979E-2</v>
      </c>
      <c r="E55" s="34">
        <f t="shared" si="28"/>
        <v>6.006555190163388E-2</v>
      </c>
      <c r="F55" s="47"/>
      <c r="G55" s="34">
        <f>D55</f>
        <v>7.2549769593646979E-2</v>
      </c>
      <c r="H55" s="34">
        <f>G55</f>
        <v>7.2549769593646979E-2</v>
      </c>
      <c r="I55" s="34">
        <f t="shared" ref="I55:K57" si="29">H55</f>
        <v>7.2549769593646979E-2</v>
      </c>
      <c r="J55" s="34">
        <f t="shared" si="29"/>
        <v>7.2549769593646979E-2</v>
      </c>
      <c r="K55" s="34">
        <f t="shared" si="29"/>
        <v>7.2549769593646979E-2</v>
      </c>
    </row>
    <row r="56" spans="2:17" x14ac:dyDescent="0.2">
      <c r="B56" s="32" t="s">
        <v>100</v>
      </c>
      <c r="C56" s="34">
        <f t="shared" ref="C56:C57" si="30">C$17/C$9</f>
        <v>7.0126146348213125E-2</v>
      </c>
      <c r="D56" s="34">
        <f t="shared" si="28"/>
        <v>7.2549769593646979E-2</v>
      </c>
      <c r="E56" s="34">
        <f t="shared" si="28"/>
        <v>6.006555190163388E-2</v>
      </c>
      <c r="F56" s="47"/>
      <c r="G56" s="34">
        <f>AVERAGE(C56:E56)</f>
        <v>6.7580489281164655E-2</v>
      </c>
      <c r="H56" s="34">
        <f>G56</f>
        <v>6.7580489281164655E-2</v>
      </c>
      <c r="I56" s="34">
        <f t="shared" si="29"/>
        <v>6.7580489281164655E-2</v>
      </c>
      <c r="J56" s="34">
        <f t="shared" si="29"/>
        <v>6.7580489281164655E-2</v>
      </c>
      <c r="K56" s="34">
        <f t="shared" si="29"/>
        <v>6.7580489281164655E-2</v>
      </c>
    </row>
    <row r="57" spans="2:17" x14ac:dyDescent="0.2">
      <c r="B57" s="32" t="s">
        <v>101</v>
      </c>
      <c r="C57" s="34">
        <f t="shared" si="30"/>
        <v>7.0126146348213125E-2</v>
      </c>
      <c r="D57" s="34">
        <f t="shared" si="28"/>
        <v>7.2549769593646979E-2</v>
      </c>
      <c r="E57" s="34">
        <f t="shared" si="28"/>
        <v>6.006555190163388E-2</v>
      </c>
      <c r="F57" s="47"/>
      <c r="G57" s="34">
        <f>E57</f>
        <v>6.006555190163388E-2</v>
      </c>
      <c r="H57" s="34">
        <f>G57</f>
        <v>6.006555190163388E-2</v>
      </c>
      <c r="I57" s="34">
        <f t="shared" si="29"/>
        <v>6.006555190163388E-2</v>
      </c>
      <c r="J57" s="34">
        <f t="shared" si="29"/>
        <v>6.006555190163388E-2</v>
      </c>
      <c r="K57" s="34">
        <f t="shared" si="29"/>
        <v>6.006555190163388E-2</v>
      </c>
    </row>
    <row r="58" spans="2:17" x14ac:dyDescent="0.2">
      <c r="B58" s="30"/>
      <c r="C58" s="30"/>
      <c r="D58" s="30"/>
      <c r="E58" s="30"/>
      <c r="G58" s="30"/>
      <c r="H58" s="30"/>
      <c r="I58" s="30"/>
      <c r="J58" s="30"/>
      <c r="K58" s="30"/>
    </row>
    <row r="59" spans="2:17" x14ac:dyDescent="0.2">
      <c r="B59" s="31" t="s">
        <v>141</v>
      </c>
      <c r="C59" s="34">
        <f>C24/C23</f>
        <v>0.15943836804235059</v>
      </c>
      <c r="D59" s="34">
        <f t="shared" ref="D59:E59" si="31">D24/D23</f>
        <v>0.14428164731484103</v>
      </c>
      <c r="E59" s="34">
        <f t="shared" si="31"/>
        <v>0.13302260844085087</v>
      </c>
      <c r="F59" s="47"/>
      <c r="G59" s="34">
        <f>AVERAGE(C59:E59)</f>
        <v>0.14558087459934752</v>
      </c>
      <c r="H59" s="34">
        <f>G59</f>
        <v>0.14558087459934752</v>
      </c>
      <c r="I59" s="34">
        <f t="shared" ref="I59:K59" si="32">H59</f>
        <v>0.14558087459934752</v>
      </c>
      <c r="J59" s="34">
        <f t="shared" si="32"/>
        <v>0.14558087459934752</v>
      </c>
      <c r="K59" s="34">
        <f t="shared" si="32"/>
        <v>0.14558087459934752</v>
      </c>
    </row>
    <row r="60" spans="2:17" x14ac:dyDescent="0.2">
      <c r="B60" s="30"/>
      <c r="C60" s="30"/>
      <c r="D60" s="30"/>
      <c r="E60" s="30"/>
      <c r="G60" s="30"/>
      <c r="H60" s="30"/>
      <c r="I60" s="30"/>
      <c r="J60" s="30"/>
      <c r="K60" s="30"/>
    </row>
    <row r="64" spans="2:17" x14ac:dyDescent="0.2">
      <c r="Q64" t="s">
        <v>32</v>
      </c>
    </row>
  </sheetData>
  <mergeCells count="1">
    <mergeCell ref="G4:K4"/>
  </mergeCells>
  <dataValidations count="1">
    <dataValidation type="list" allowBlank="1" showInputMessage="1" showErrorMessage="1" sqref="C2" xr:uid="{E215AB0E-6195-4F4F-AD62-8ECD2E496A45}">
      <formula1>$B$30:$B$32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A409-3D5C-4C1C-8064-FACA9642D2DD}">
  <dimension ref="B2:K53"/>
  <sheetViews>
    <sheetView showGridLines="0" tabSelected="1" workbookViewId="0">
      <selection activeCell="G20" sqref="G20:K20"/>
    </sheetView>
  </sheetViews>
  <sheetFormatPr baseColWidth="10" defaultColWidth="8.83203125" defaultRowHeight="15" x14ac:dyDescent="0.2"/>
  <cols>
    <col min="2" max="2" width="42.33203125" bestFit="1" customWidth="1"/>
    <col min="3" max="5" width="11.1640625" bestFit="1" customWidth="1"/>
    <col min="6" max="6" width="2.83203125" style="44" customWidth="1"/>
    <col min="7" max="11" width="9.83203125" bestFit="1" customWidth="1"/>
  </cols>
  <sheetData>
    <row r="2" spans="2:11" x14ac:dyDescent="0.2">
      <c r="B2" s="12" t="s">
        <v>39</v>
      </c>
      <c r="C2" s="13"/>
      <c r="D2" s="13"/>
      <c r="E2" s="13"/>
      <c r="G2" s="61" t="s">
        <v>89</v>
      </c>
      <c r="H2" s="61"/>
      <c r="I2" s="61"/>
      <c r="J2" s="61"/>
      <c r="K2" s="61"/>
    </row>
    <row r="3" spans="2:11" x14ac:dyDescent="0.2">
      <c r="B3" s="12" t="s">
        <v>94</v>
      </c>
      <c r="C3" s="51">
        <v>43709</v>
      </c>
      <c r="D3" s="51">
        <f>EDATE(C3,12)</f>
        <v>44075</v>
      </c>
      <c r="E3" s="51">
        <f>EDATE(D3,12)</f>
        <v>44440</v>
      </c>
      <c r="F3" s="54"/>
      <c r="G3" s="52">
        <f>EDATE(E3,12)</f>
        <v>44805</v>
      </c>
      <c r="H3" s="52">
        <f t="shared" ref="H3:K3" si="0">EDATE(G3,12)</f>
        <v>45170</v>
      </c>
      <c r="I3" s="52">
        <f t="shared" si="0"/>
        <v>45536</v>
      </c>
      <c r="J3" s="52">
        <f t="shared" si="0"/>
        <v>45901</v>
      </c>
      <c r="K3" s="52">
        <f t="shared" si="0"/>
        <v>46266</v>
      </c>
    </row>
    <row r="4" spans="2:11" x14ac:dyDescent="0.2">
      <c r="B4" t="s">
        <v>10</v>
      </c>
    </row>
    <row r="5" spans="2:11" x14ac:dyDescent="0.2">
      <c r="B5" s="5" t="s">
        <v>11</v>
      </c>
      <c r="C5" s="10">
        <f>INDEX('Balance Sheet - Data'!$C$3:$E$38,MATCH('Balance Sheet'!$B5,'Balance Sheet - Data'!$B$3:$B$38,0),MATCH('Balance Sheet'!C$3,'Balance Sheet - Data'!$C$2:$E$2,0))</f>
        <v>48844</v>
      </c>
      <c r="D5" s="10">
        <f>INDEX('Balance Sheet - Data'!$C$3:$E$38,MATCH('Balance Sheet'!$B5,'Balance Sheet - Data'!$B$3:$B$38,0),MATCH('Balance Sheet'!D$3,'Balance Sheet - Data'!$C$2:$E$2,0))</f>
        <v>38016</v>
      </c>
      <c r="E5" s="10">
        <f>INDEX('Balance Sheet - Data'!$C$3:$E$38,MATCH('Balance Sheet'!$B5,'Balance Sheet - Data'!$B$3:$B$38,0),MATCH('Balance Sheet'!E$3,'Balance Sheet - Data'!$C$2:$E$2,0))</f>
        <v>34940</v>
      </c>
      <c r="F5" s="53"/>
      <c r="G5" s="10">
        <f ca="1">E5+'Cash Flow Statement'!C24</f>
        <v>94633.271404686515</v>
      </c>
      <c r="H5" s="10">
        <f ca="1">G5+'Cash Flow Statement'!D24</f>
        <v>159683.34831867175</v>
      </c>
      <c r="I5" s="10">
        <f ca="1">H5+'Cash Flow Statement'!E24</f>
        <v>236070.77398464337</v>
      </c>
      <c r="J5" s="10">
        <f ca="1">I5+'Cash Flow Statement'!F24</f>
        <v>326436.61073036096</v>
      </c>
      <c r="K5" s="10">
        <f ca="1">J5+'Cash Flow Statement'!G24</f>
        <v>427677.40517256275</v>
      </c>
    </row>
    <row r="6" spans="2:11" x14ac:dyDescent="0.2">
      <c r="B6" s="5" t="s">
        <v>88</v>
      </c>
      <c r="C6" s="10">
        <f>INDEX('Balance Sheet - Data'!$C$3:$E$38,MATCH('Balance Sheet'!$B6,'Balance Sheet - Data'!$B$3:$B$38,0),MATCH('Balance Sheet'!C$3,'Balance Sheet - Data'!$C$2:$E$2,0))</f>
        <v>51713</v>
      </c>
      <c r="D6" s="10">
        <f>INDEX('Balance Sheet - Data'!$C$3:$E$38,MATCH('Balance Sheet'!$B6,'Balance Sheet - Data'!$B$3:$B$38,0),MATCH('Balance Sheet'!D$3,'Balance Sheet - Data'!$C$2:$E$2,0))</f>
        <v>52927</v>
      </c>
      <c r="E6" s="10">
        <f>INDEX('Balance Sheet - Data'!$C$3:$E$38,MATCH('Balance Sheet'!$B6,'Balance Sheet - Data'!$B$3:$B$38,0),MATCH('Balance Sheet'!E$3,'Balance Sheet - Data'!$C$2:$E$2,0))</f>
        <v>27699</v>
      </c>
      <c r="F6" s="53"/>
      <c r="G6" s="10">
        <f>E6</f>
        <v>27699</v>
      </c>
      <c r="H6" s="10">
        <f t="shared" ref="H6:K6" si="1">G6</f>
        <v>27699</v>
      </c>
      <c r="I6" s="10">
        <f t="shared" si="1"/>
        <v>27699</v>
      </c>
      <c r="J6" s="10">
        <f t="shared" si="1"/>
        <v>27699</v>
      </c>
      <c r="K6" s="10">
        <f t="shared" si="1"/>
        <v>27699</v>
      </c>
    </row>
    <row r="7" spans="2:11" x14ac:dyDescent="0.2">
      <c r="B7" s="5" t="s">
        <v>12</v>
      </c>
      <c r="C7" s="10">
        <f>INDEX('Balance Sheet - Data'!$C$3:$E$38,MATCH('Balance Sheet'!$B7,'Balance Sheet - Data'!$B$3:$B$38,0),MATCH('Balance Sheet'!C$3,'Balance Sheet - Data'!$C$2:$E$2,0))</f>
        <v>22926</v>
      </c>
      <c r="D7" s="10">
        <f>INDEX('Balance Sheet - Data'!$C$3:$E$38,MATCH('Balance Sheet'!$B7,'Balance Sheet - Data'!$B$3:$B$38,0),MATCH('Balance Sheet'!D$3,'Balance Sheet - Data'!$C$2:$E$2,0))</f>
        <v>16120</v>
      </c>
      <c r="E7" s="10">
        <f>INDEX('Balance Sheet - Data'!$C$3:$E$38,MATCH('Balance Sheet'!$B7,'Balance Sheet - Data'!$B$3:$B$38,0),MATCH('Balance Sheet'!E$3,'Balance Sheet - Data'!$C$2:$E$2,0))</f>
        <v>26278</v>
      </c>
      <c r="F7" s="53"/>
      <c r="G7" s="10">
        <f ca="1">G41*'Income Statement'!G$9/$C$53</f>
        <v>31858.505822263429</v>
      </c>
      <c r="H7" s="10">
        <f ca="1">H41*'Income Statement'!H$9/$C$53</f>
        <v>37111.092822328901</v>
      </c>
      <c r="I7" s="10">
        <f ca="1">I41*'Income Statement'!I$9/$C$53</f>
        <v>42120.044934702273</v>
      </c>
      <c r="J7" s="10">
        <f ca="1">J41*'Income Statement'!J$9/$C$53</f>
        <v>46545.825502748434</v>
      </c>
      <c r="K7" s="10">
        <f ca="1">K41*'Income Statement'!K$9/$C$53</f>
        <v>50045.295822740263</v>
      </c>
    </row>
    <row r="8" spans="2:11" x14ac:dyDescent="0.2">
      <c r="B8" s="5" t="s">
        <v>13</v>
      </c>
      <c r="C8" s="10">
        <f>INDEX('Balance Sheet - Data'!$C$3:$E$38,MATCH('Balance Sheet'!$B8,'Balance Sheet - Data'!$B$3:$B$38,0),MATCH('Balance Sheet'!C$3,'Balance Sheet - Data'!$C$2:$E$2,0))</f>
        <v>4106</v>
      </c>
      <c r="D8" s="10">
        <f>INDEX('Balance Sheet - Data'!$C$3:$E$38,MATCH('Balance Sheet'!$B8,'Balance Sheet - Data'!$B$3:$B$38,0),MATCH('Balance Sheet'!D$3,'Balance Sheet - Data'!$C$2:$E$2,0))</f>
        <v>4061</v>
      </c>
      <c r="E8" s="10">
        <f>INDEX('Balance Sheet - Data'!$C$3:$E$38,MATCH('Balance Sheet'!$B8,'Balance Sheet - Data'!$B$3:$B$38,0),MATCH('Balance Sheet'!E$3,'Balance Sheet - Data'!$C$2:$E$2,0))</f>
        <v>6580</v>
      </c>
      <c r="F8" s="53"/>
      <c r="G8" s="10">
        <f ca="1">G44*'Income Statement'!G$13/$C$53</f>
        <v>7084.317254555659</v>
      </c>
      <c r="H8" s="10">
        <f ca="1">H44*'Income Statement'!H$13/$C$53</f>
        <v>8235.7803269249744</v>
      </c>
      <c r="I8" s="10">
        <f ca="1">I44*'Income Statement'!I$13/$C$53</f>
        <v>9327.8267961063248</v>
      </c>
      <c r="J8" s="10">
        <f ca="1">J44*'Income Statement'!J$13/$C$53</f>
        <v>10285.43532838656</v>
      </c>
      <c r="K8" s="10">
        <f ca="1">K44*'Income Statement'!K$13/$C$53</f>
        <v>11033.475692885464</v>
      </c>
    </row>
    <row r="9" spans="2:11" x14ac:dyDescent="0.2">
      <c r="B9" s="5" t="s">
        <v>14</v>
      </c>
      <c r="C9" s="10">
        <f>INDEX('Balance Sheet - Data'!$C$3:$E$38,MATCH('Balance Sheet'!$B9,'Balance Sheet - Data'!$B$3:$B$38,0),MATCH('Balance Sheet'!C$3,'Balance Sheet - Data'!$C$2:$E$2,0))</f>
        <v>22878</v>
      </c>
      <c r="D9" s="10">
        <f>INDEX('Balance Sheet - Data'!$C$3:$E$38,MATCH('Balance Sheet'!$B9,'Balance Sheet - Data'!$B$3:$B$38,0),MATCH('Balance Sheet'!D$3,'Balance Sheet - Data'!$C$2:$E$2,0))</f>
        <v>21325</v>
      </c>
      <c r="E9" s="10">
        <f>INDEX('Balance Sheet - Data'!$C$3:$E$38,MATCH('Balance Sheet'!$B9,'Balance Sheet - Data'!$B$3:$B$38,0),MATCH('Balance Sheet'!E$3,'Balance Sheet - Data'!$C$2:$E$2,0))</f>
        <v>25228</v>
      </c>
      <c r="F9" s="53"/>
      <c r="G9" s="10">
        <f ca="1">G42*'Income Statement'!G$9/$C$53</f>
        <v>34175.839312676944</v>
      </c>
      <c r="H9" s="10">
        <f ca="1">H42*'Income Statement'!H$9/$C$53</f>
        <v>39810.490551237126</v>
      </c>
      <c r="I9" s="10">
        <f ca="1">I42*'Income Statement'!I$9/$C$53</f>
        <v>45183.785315040463</v>
      </c>
      <c r="J9" s="10">
        <f ca="1">J42*'Income Statement'!J$9/$C$53</f>
        <v>49931.48962893874</v>
      </c>
      <c r="K9" s="10">
        <f ca="1">K42*'Income Statement'!K$9/$C$53</f>
        <v>53685.505463916961</v>
      </c>
    </row>
    <row r="10" spans="2:11" x14ac:dyDescent="0.2">
      <c r="B10" s="5" t="s">
        <v>15</v>
      </c>
      <c r="C10" s="10">
        <f>INDEX('Balance Sheet - Data'!$C$3:$E$38,MATCH('Balance Sheet'!$B10,'Balance Sheet - Data'!$B$3:$B$38,0),MATCH('Balance Sheet'!C$3,'Balance Sheet - Data'!$C$2:$E$2,0))</f>
        <v>12352</v>
      </c>
      <c r="D10" s="10">
        <f>INDEX('Balance Sheet - Data'!$C$3:$E$38,MATCH('Balance Sheet'!$B10,'Balance Sheet - Data'!$B$3:$B$38,0),MATCH('Balance Sheet'!D$3,'Balance Sheet - Data'!$C$2:$E$2,0))</f>
        <v>11264</v>
      </c>
      <c r="E10" s="10">
        <f>INDEX('Balance Sheet - Data'!$C$3:$E$38,MATCH('Balance Sheet'!$B10,'Balance Sheet - Data'!$B$3:$B$38,0),MATCH('Balance Sheet'!E$3,'Balance Sheet - Data'!$C$2:$E$2,0))</f>
        <v>14111</v>
      </c>
      <c r="F10" s="53"/>
      <c r="G10" s="10">
        <f ca="1">G45*'Income Statement'!G$9</f>
        <v>18514.593228742564</v>
      </c>
      <c r="H10" s="10">
        <f ca="1">H45*'Income Statement'!H$9</f>
        <v>21567.137885021872</v>
      </c>
      <c r="I10" s="10">
        <f ca="1">I45*'Income Statement'!I$9</f>
        <v>24478.093953715965</v>
      </c>
      <c r="J10" s="10">
        <f ca="1">J45*'Income Statement'!J$9</f>
        <v>27050.139466276858</v>
      </c>
      <c r="K10" s="10">
        <f ca="1">K45*'Income Statement'!K$9</f>
        <v>29083.859121937192</v>
      </c>
    </row>
    <row r="11" spans="2:11" x14ac:dyDescent="0.2">
      <c r="B11" s="15" t="s">
        <v>16</v>
      </c>
      <c r="C11" s="16">
        <f>SUM(C5:C10)</f>
        <v>162819</v>
      </c>
      <c r="D11" s="16">
        <f t="shared" ref="D11:K11" si="2">SUM(D5:D10)</f>
        <v>143713</v>
      </c>
      <c r="E11" s="16">
        <f t="shared" si="2"/>
        <v>134836</v>
      </c>
      <c r="F11" s="53"/>
      <c r="G11" s="16">
        <f t="shared" ca="1" si="2"/>
        <v>213965.52702292515</v>
      </c>
      <c r="H11" s="16">
        <f t="shared" ca="1" si="2"/>
        <v>294106.84990418464</v>
      </c>
      <c r="I11" s="16">
        <f t="shared" ca="1" si="2"/>
        <v>384879.52498420846</v>
      </c>
      <c r="J11" s="16">
        <f t="shared" ca="1" si="2"/>
        <v>487948.50065671152</v>
      </c>
      <c r="K11" s="16">
        <f t="shared" ca="1" si="2"/>
        <v>599224.54127404257</v>
      </c>
    </row>
    <row r="12" spans="2:11" x14ac:dyDescent="0.2">
      <c r="B12" t="s">
        <v>17</v>
      </c>
      <c r="C12" s="10"/>
      <c r="D12" s="10"/>
      <c r="E12" s="10"/>
      <c r="F12" s="53"/>
      <c r="G12" s="10"/>
      <c r="H12" s="10"/>
      <c r="I12" s="10"/>
      <c r="J12" s="10"/>
      <c r="K12" s="10"/>
    </row>
    <row r="13" spans="2:11" x14ac:dyDescent="0.2">
      <c r="B13" s="5" t="s">
        <v>85</v>
      </c>
      <c r="C13" s="10">
        <f>INDEX('Balance Sheet - Data'!$C$3:$E$38,MATCH('Balance Sheet'!$B13,'Balance Sheet - Data'!$B$3:$B$38,0),MATCH('Balance Sheet'!C$3,'Balance Sheet - Data'!$C$2:$E$2,0))</f>
        <v>105341</v>
      </c>
      <c r="D13" s="10">
        <f>INDEX('Balance Sheet - Data'!$C$3:$E$38,MATCH('Balance Sheet'!$B13,'Balance Sheet - Data'!$B$3:$B$38,0),MATCH('Balance Sheet'!D$3,'Balance Sheet - Data'!$C$2:$E$2,0))</f>
        <v>100887</v>
      </c>
      <c r="E13" s="10">
        <f>INDEX('Balance Sheet - Data'!$C$3:$E$38,MATCH('Balance Sheet'!$B13,'Balance Sheet - Data'!$B$3:$B$38,0),MATCH('Balance Sheet'!E$3,'Balance Sheet - Data'!$C$2:$E$2,0))</f>
        <v>127877</v>
      </c>
      <c r="F13" s="53"/>
      <c r="G13" s="10">
        <f ca="1">G47*'Income Statement'!G$9</f>
        <v>163458.53887837421</v>
      </c>
      <c r="H13" s="10">
        <f ca="1">H47*'Income Statement'!H$9</f>
        <v>190408.33373542773</v>
      </c>
      <c r="I13" s="10">
        <f ca="1">I47*'Income Statement'!I$9</f>
        <v>216108.09499127837</v>
      </c>
      <c r="J13" s="10">
        <f ca="1">J47*'Income Statement'!J$9</f>
        <v>238815.73950810236</v>
      </c>
      <c r="K13" s="10">
        <f ca="1">K47*'Income Statement'!K$9</f>
        <v>256770.70288728137</v>
      </c>
    </row>
    <row r="14" spans="2:11" x14ac:dyDescent="0.2">
      <c r="B14" s="5" t="s">
        <v>18</v>
      </c>
      <c r="C14" s="10">
        <f>INDEX('Balance Sheet - Data'!$C$3:$E$38,MATCH('Balance Sheet'!$B14,'Balance Sheet - Data'!$B$3:$B$38,0),MATCH('Balance Sheet'!C$3,'Balance Sheet - Data'!$C$2:$E$2,0))</f>
        <v>37378</v>
      </c>
      <c r="D14" s="10">
        <f>INDEX('Balance Sheet - Data'!$C$3:$E$38,MATCH('Balance Sheet'!$B14,'Balance Sheet - Data'!$B$3:$B$38,0),MATCH('Balance Sheet'!D$3,'Balance Sheet - Data'!$C$2:$E$2,0))</f>
        <v>36766</v>
      </c>
      <c r="E14" s="10">
        <f>INDEX('Balance Sheet - Data'!$C$3:$E$38,MATCH('Balance Sheet'!$B14,'Balance Sheet - Data'!$B$3:$B$38,0),MATCH('Balance Sheet'!E$3,'Balance Sheet - Data'!$C$2:$E$2,0))</f>
        <v>39440</v>
      </c>
      <c r="F14" s="53"/>
      <c r="G14" s="10">
        <f>'Fixed Assets'!F7</f>
        <v>40551.359491744159</v>
      </c>
      <c r="H14" s="10">
        <f>'Fixed Assets'!G7</f>
        <v>41694.035411477409</v>
      </c>
      <c r="I14" s="10">
        <f>'Fixed Assets'!H7</f>
        <v>42868.910208730515</v>
      </c>
      <c r="J14" s="10">
        <f>'Fixed Assets'!I7</f>
        <v>44076.891199126068</v>
      </c>
      <c r="K14" s="10">
        <f>'Fixed Assets'!J7</f>
        <v>45318.911265067327</v>
      </c>
    </row>
    <row r="15" spans="2:11" x14ac:dyDescent="0.2">
      <c r="B15" s="5" t="s">
        <v>19</v>
      </c>
      <c r="C15" s="10">
        <f>INDEX('Balance Sheet - Data'!$C$3:$E$38,MATCH('Balance Sheet'!$B15,'Balance Sheet - Data'!$B$3:$B$38,0),MATCH('Balance Sheet'!C$3,'Balance Sheet - Data'!$C$2:$E$2,0))</f>
        <v>32978</v>
      </c>
      <c r="D15" s="10">
        <f>INDEX('Balance Sheet - Data'!$C$3:$E$38,MATCH('Balance Sheet'!$B15,'Balance Sheet - Data'!$B$3:$B$38,0),MATCH('Balance Sheet'!D$3,'Balance Sheet - Data'!$C$2:$E$2,0))</f>
        <v>42522</v>
      </c>
      <c r="E15" s="10">
        <f>INDEX('Balance Sheet - Data'!$C$3:$E$38,MATCH('Balance Sheet'!$B15,'Balance Sheet - Data'!$B$3:$B$38,0),MATCH('Balance Sheet'!E$3,'Balance Sheet - Data'!$C$2:$E$2,0))</f>
        <v>48849</v>
      </c>
      <c r="F15" s="53"/>
      <c r="G15" s="10">
        <f ca="1">G46*'Income Statement'!G$9</f>
        <v>60488.435963785472</v>
      </c>
      <c r="H15" s="10">
        <f ca="1">H46*'Income Statement'!H$9</f>
        <v>70461.30707614134</v>
      </c>
      <c r="I15" s="10">
        <f ca="1">I46*'Income Statement'!I$9</f>
        <v>79971.598638002135</v>
      </c>
      <c r="J15" s="10">
        <f ca="1">J46*'Income Statement'!J$9</f>
        <v>88374.646350708907</v>
      </c>
      <c r="K15" s="10">
        <f ca="1">K46*'Income Statement'!K$9</f>
        <v>95018.946856794428</v>
      </c>
    </row>
    <row r="16" spans="2:11" x14ac:dyDescent="0.2">
      <c r="B16" s="17" t="s">
        <v>20</v>
      </c>
      <c r="C16" s="18">
        <f>SUM(C13:C15)</f>
        <v>175697</v>
      </c>
      <c r="D16" s="18">
        <f t="shared" ref="D16:K16" si="3">SUM(D13:D15)</f>
        <v>180175</v>
      </c>
      <c r="E16" s="18">
        <f t="shared" si="3"/>
        <v>216166</v>
      </c>
      <c r="F16" s="55"/>
      <c r="G16" s="18">
        <f t="shared" ca="1" si="3"/>
        <v>264498.33433390385</v>
      </c>
      <c r="H16" s="18">
        <f t="shared" ca="1" si="3"/>
        <v>302563.6762230465</v>
      </c>
      <c r="I16" s="18">
        <f t="shared" ca="1" si="3"/>
        <v>338948.60383801104</v>
      </c>
      <c r="J16" s="18">
        <f t="shared" ca="1" si="3"/>
        <v>371267.27705793735</v>
      </c>
      <c r="K16" s="18">
        <f t="shared" ca="1" si="3"/>
        <v>397108.56100914313</v>
      </c>
    </row>
    <row r="17" spans="2:11" x14ac:dyDescent="0.2">
      <c r="B17" s="19" t="s">
        <v>21</v>
      </c>
      <c r="C17" s="20">
        <f>SUM(C11,C16)</f>
        <v>338516</v>
      </c>
      <c r="D17" s="20">
        <f t="shared" ref="D17:K17" si="4">SUM(D11,D16)</f>
        <v>323888</v>
      </c>
      <c r="E17" s="20">
        <f t="shared" si="4"/>
        <v>351002</v>
      </c>
      <c r="F17" s="56"/>
      <c r="G17" s="20">
        <f ca="1">SUM(G11,G16)</f>
        <v>478463.861356829</v>
      </c>
      <c r="H17" s="20">
        <f t="shared" ca="1" si="4"/>
        <v>596670.52612723107</v>
      </c>
      <c r="I17" s="20">
        <f t="shared" ca="1" si="4"/>
        <v>723828.12882221956</v>
      </c>
      <c r="J17" s="20">
        <f t="shared" ca="1" si="4"/>
        <v>859215.77771464887</v>
      </c>
      <c r="K17" s="20">
        <f t="shared" ca="1" si="4"/>
        <v>996333.1022831857</v>
      </c>
    </row>
    <row r="18" spans="2:11" x14ac:dyDescent="0.2">
      <c r="B18" s="21"/>
      <c r="C18" s="22"/>
      <c r="D18" s="22"/>
      <c r="E18" s="22"/>
      <c r="F18" s="55"/>
      <c r="G18" s="22"/>
      <c r="H18" s="22"/>
      <c r="I18" s="22"/>
      <c r="J18" s="22"/>
      <c r="K18" s="22"/>
    </row>
    <row r="19" spans="2:11" x14ac:dyDescent="0.2">
      <c r="B19" t="s">
        <v>22</v>
      </c>
      <c r="C19" s="10"/>
      <c r="D19" s="10"/>
      <c r="E19" s="10"/>
      <c r="F19" s="53"/>
      <c r="G19" s="10"/>
      <c r="H19" s="10"/>
      <c r="I19" s="10"/>
      <c r="J19" s="10"/>
      <c r="K19" s="10"/>
    </row>
    <row r="20" spans="2:11" x14ac:dyDescent="0.2">
      <c r="B20" s="5" t="s">
        <v>23</v>
      </c>
      <c r="C20" s="11">
        <f>INDEX('Balance Sheet - Data'!$C$3:$E$38,MATCH('Balance Sheet'!$B20,'Balance Sheet - Data'!$B$3:$B$38,0),MATCH('Balance Sheet'!C$3,'Balance Sheet - Data'!$C$2:$E$2,0))</f>
        <v>46236</v>
      </c>
      <c r="D20" s="11">
        <f>INDEX('Balance Sheet - Data'!$C$3:$E$38,MATCH('Balance Sheet'!$B20,'Balance Sheet - Data'!$B$3:$B$38,0),MATCH('Balance Sheet'!D$3,'Balance Sheet - Data'!$C$2:$E$2,0))</f>
        <v>42296</v>
      </c>
      <c r="E20" s="11">
        <f>INDEX('Balance Sheet - Data'!$C$3:$E$38,MATCH('Balance Sheet'!$B20,'Balance Sheet - Data'!$B$3:$B$38,0),MATCH('Balance Sheet'!E$3,'Balance Sheet - Data'!$C$2:$E$2,0))</f>
        <v>54763</v>
      </c>
      <c r="F20" s="53"/>
      <c r="G20" s="11">
        <f ca="1">G43*'Income Statement'!G$13/$C$53</f>
        <v>69970.323251311522</v>
      </c>
      <c r="H20" s="11">
        <f ca="1">H43*'Income Statement'!H$13/$C$53</f>
        <v>81343.083743343261</v>
      </c>
      <c r="I20" s="11">
        <f ca="1">I43*'Income Statement'!I$13/$C$53</f>
        <v>92128.998844044836</v>
      </c>
      <c r="J20" s="11">
        <f ca="1">J43*'Income Statement'!J$13/$C$53</f>
        <v>101587.09849490026</v>
      </c>
      <c r="K20" s="11">
        <f ca="1">K43*'Income Statement'!K$13/$C$53</f>
        <v>108975.33708279791</v>
      </c>
    </row>
    <row r="21" spans="2:11" x14ac:dyDescent="0.2">
      <c r="B21" s="5" t="s">
        <v>24</v>
      </c>
      <c r="C21" s="10">
        <f>INDEX('Balance Sheet - Data'!$C$3:$E$38,MATCH('Balance Sheet'!$B21,'Balance Sheet - Data'!$B$3:$B$38,0),MATCH('Balance Sheet'!C$3,'Balance Sheet - Data'!$C$2:$E$2,0))</f>
        <v>37720</v>
      </c>
      <c r="D21" s="10">
        <f>INDEX('Balance Sheet - Data'!$C$3:$E$38,MATCH('Balance Sheet'!$B21,'Balance Sheet - Data'!$B$3:$B$38,0),MATCH('Balance Sheet'!D$3,'Balance Sheet - Data'!$C$2:$E$2,0))</f>
        <v>42684</v>
      </c>
      <c r="E21" s="10">
        <f>INDEX('Balance Sheet - Data'!$C$3:$E$38,MATCH('Balance Sheet'!$B21,'Balance Sheet - Data'!$B$3:$B$38,0),MATCH('Balance Sheet'!E$3,'Balance Sheet - Data'!$C$2:$E$2,0))</f>
        <v>47493</v>
      </c>
      <c r="F21" s="53"/>
      <c r="G21" s="10">
        <f ca="1">G48*'Income Statement'!G$9</f>
        <v>62689.755322722071</v>
      </c>
      <c r="H21" s="10">
        <f ca="1">H48*'Income Statement'!H$9</f>
        <v>73025.563150071728</v>
      </c>
      <c r="I21" s="10">
        <f ca="1">I48*'Income Statement'!I$9</f>
        <v>82881.957046877826</v>
      </c>
      <c r="J21" s="10">
        <f ca="1">J48*'Income Statement'!J$9</f>
        <v>91590.811833437911</v>
      </c>
      <c r="K21" s="10">
        <f ca="1">K48*'Income Statement'!K$9</f>
        <v>98476.914381477298</v>
      </c>
    </row>
    <row r="22" spans="2:11" x14ac:dyDescent="0.2">
      <c r="B22" s="5" t="s">
        <v>25</v>
      </c>
      <c r="C22" s="11">
        <f>INDEX('Balance Sheet - Data'!$C$3:$E$38,MATCH('Balance Sheet'!$B22,'Balance Sheet - Data'!$B$3:$B$38,0),MATCH('Balance Sheet'!C$3,'Balance Sheet - Data'!$C$2:$E$2,0))</f>
        <v>5522</v>
      </c>
      <c r="D22" s="11">
        <f>INDEX('Balance Sheet - Data'!$C$3:$E$38,MATCH('Balance Sheet'!$B22,'Balance Sheet - Data'!$B$3:$B$38,0),MATCH('Balance Sheet'!D$3,'Balance Sheet - Data'!$C$2:$E$2,0))</f>
        <v>6643</v>
      </c>
      <c r="E22" s="11">
        <f>INDEX('Balance Sheet - Data'!$C$3:$E$38,MATCH('Balance Sheet'!$B22,'Balance Sheet - Data'!$B$3:$B$38,0),MATCH('Balance Sheet'!E$3,'Balance Sheet - Data'!$C$2:$E$2,0))</f>
        <v>7612</v>
      </c>
      <c r="F22" s="53"/>
      <c r="G22" s="11">
        <f ca="1">G50*'Income Statement'!G$9</f>
        <v>9649.2619704654808</v>
      </c>
      <c r="H22" s="11">
        <f ca="1">H50*'Income Statement'!H$9</f>
        <v>11240.158551399112</v>
      </c>
      <c r="I22" s="11">
        <f ca="1">I50*'Income Statement'!I$9</f>
        <v>12757.263320827162</v>
      </c>
      <c r="J22" s="11">
        <f ca="1">J50*'Income Statement'!J$9</f>
        <v>14097.737866718429</v>
      </c>
      <c r="K22" s="11">
        <f ca="1">K50*'Income Statement'!K$9</f>
        <v>15157.652793798045</v>
      </c>
    </row>
    <row r="23" spans="2:11" x14ac:dyDescent="0.2">
      <c r="B23" s="5" t="s">
        <v>26</v>
      </c>
      <c r="C23" s="7">
        <f>INDEX('Balance Sheet - Data'!$C$3:$E$38,MATCH('Balance Sheet'!$B23,'Balance Sheet - Data'!$B$3:$B$38,0),MATCH('Balance Sheet'!C$3,'Balance Sheet - Data'!$C$2:$E$2,0))</f>
        <v>5980</v>
      </c>
      <c r="D23" s="7">
        <f>INDEX('Balance Sheet - Data'!$C$3:$E$38,MATCH('Balance Sheet'!$B23,'Balance Sheet - Data'!$B$3:$B$38,0),MATCH('Balance Sheet'!D$3,'Balance Sheet - Data'!$C$2:$E$2,0))</f>
        <v>4996</v>
      </c>
      <c r="E23" s="7">
        <f>INDEX('Balance Sheet - Data'!$C$3:$E$38,MATCH('Balance Sheet'!$B23,'Balance Sheet - Data'!$B$3:$B$38,0),MATCH('Balance Sheet'!E$3,'Balance Sheet - Data'!$C$2:$E$2,0))</f>
        <v>6000</v>
      </c>
      <c r="F23" s="53"/>
      <c r="G23" s="7">
        <f ca="1">G51*'Income Statement'!G13</f>
        <v>8353.6706963995948</v>
      </c>
      <c r="H23" s="7">
        <f ca="1">H51*'Income Statement'!H13</f>
        <v>9711.4505614179543</v>
      </c>
      <c r="I23" s="7">
        <f ca="1">I51*'Income Statement'!I13</f>
        <v>10999.167678101356</v>
      </c>
      <c r="J23" s="7">
        <f ca="1">J51*'Income Statement'!J13</f>
        <v>12128.358543966013</v>
      </c>
      <c r="K23" s="7">
        <f ca="1">K51*'Income Statement'!K13</f>
        <v>13010.431247389923</v>
      </c>
    </row>
    <row r="24" spans="2:11" x14ac:dyDescent="0.2">
      <c r="B24" s="5" t="s">
        <v>86</v>
      </c>
      <c r="C24" s="7">
        <f>INDEX('Balance Sheet - Data'!$C$3:$E$38,MATCH('Balance Sheet'!$B24,'Balance Sheet - Data'!$B$3:$B$38,0),MATCH('Balance Sheet'!C$3,'Balance Sheet - Data'!$C$2:$E$2,0))</f>
        <v>10260</v>
      </c>
      <c r="D24" s="7">
        <f>INDEX('Balance Sheet - Data'!$C$3:$E$38,MATCH('Balance Sheet'!$B24,'Balance Sheet - Data'!$B$3:$B$38,0),MATCH('Balance Sheet'!D$3,'Balance Sheet - Data'!$C$2:$E$2,0))</f>
        <v>8773</v>
      </c>
      <c r="E24" s="7">
        <f>INDEX('Balance Sheet - Data'!$C$3:$E$38,MATCH('Balance Sheet'!$B24,'Balance Sheet - Data'!$B$3:$B$38,0),MATCH('Balance Sheet'!E$3,'Balance Sheet - Data'!$C$2:$E$2,0))</f>
        <v>9613</v>
      </c>
      <c r="F24" s="53"/>
      <c r="G24" s="7">
        <f>'Debt Schedule'!F6</f>
        <v>9583</v>
      </c>
      <c r="H24" s="7">
        <f>'Debt Schedule'!G6</f>
        <v>11391</v>
      </c>
      <c r="I24" s="7">
        <f>'Debt Schedule'!H6</f>
        <v>10202</v>
      </c>
      <c r="J24" s="7">
        <f>'Debt Schedule'!I6</f>
        <v>10914</v>
      </c>
      <c r="K24" s="7">
        <f>'Debt Schedule'!J6</f>
        <v>11408</v>
      </c>
    </row>
    <row r="25" spans="2:11" x14ac:dyDescent="0.2">
      <c r="B25" s="15" t="s">
        <v>27</v>
      </c>
      <c r="C25" s="16">
        <f>SUM(C20:C24)</f>
        <v>105718</v>
      </c>
      <c r="D25" s="16">
        <f t="shared" ref="D25:K25" si="5">SUM(D20:D24)</f>
        <v>105392</v>
      </c>
      <c r="E25" s="16">
        <f t="shared" si="5"/>
        <v>125481</v>
      </c>
      <c r="F25" s="53"/>
      <c r="G25" s="16">
        <f t="shared" ca="1" si="5"/>
        <v>160246.01124089866</v>
      </c>
      <c r="H25" s="16">
        <f t="shared" ca="1" si="5"/>
        <v>186711.25600623206</v>
      </c>
      <c r="I25" s="16">
        <f t="shared" ca="1" si="5"/>
        <v>208969.38688985119</v>
      </c>
      <c r="J25" s="16">
        <f t="shared" ca="1" si="5"/>
        <v>230318.00673902262</v>
      </c>
      <c r="K25" s="16">
        <f t="shared" ca="1" si="5"/>
        <v>247028.33550546318</v>
      </c>
    </row>
    <row r="26" spans="2:11" x14ac:dyDescent="0.2">
      <c r="B26" t="s">
        <v>28</v>
      </c>
      <c r="C26" s="7"/>
      <c r="D26" s="7"/>
      <c r="E26" s="7"/>
      <c r="F26" s="53"/>
      <c r="G26" s="7"/>
      <c r="H26" s="7"/>
      <c r="I26" s="7"/>
      <c r="J26" s="7"/>
      <c r="K26" s="7"/>
    </row>
    <row r="27" spans="2:11" x14ac:dyDescent="0.2">
      <c r="B27" s="5" t="s">
        <v>87</v>
      </c>
      <c r="C27" s="7">
        <f>INDEX('Balance Sheet - Data'!$C$3:$E$38,MATCH('Balance Sheet'!$B27,'Balance Sheet - Data'!$B$3:$B$38,0),MATCH('Balance Sheet'!C$3,'Balance Sheet - Data'!$C$2:$E$2,0))</f>
        <v>91807</v>
      </c>
      <c r="D27" s="7">
        <f>INDEX('Balance Sheet - Data'!$C$3:$E$38,MATCH('Balance Sheet'!$B27,'Balance Sheet - Data'!$B$3:$B$38,0),MATCH('Balance Sheet'!D$3,'Balance Sheet - Data'!$C$2:$E$2,0))</f>
        <v>98667</v>
      </c>
      <c r="E27" s="7">
        <f>INDEX('Balance Sheet - Data'!$C$3:$E$38,MATCH('Balance Sheet'!$B27,'Balance Sheet - Data'!$B$3:$B$38,0),MATCH('Balance Sheet'!E$3,'Balance Sheet - Data'!$C$2:$E$2,0))</f>
        <v>109106</v>
      </c>
      <c r="F27" s="53"/>
      <c r="G27" s="7">
        <f>'Debt Schedule'!F7</f>
        <v>99523</v>
      </c>
      <c r="H27" s="7">
        <f>'Debt Schedule'!G7</f>
        <v>88132</v>
      </c>
      <c r="I27" s="7">
        <f>'Debt Schedule'!H7</f>
        <v>77930</v>
      </c>
      <c r="J27" s="7">
        <f>'Debt Schedule'!I7</f>
        <v>67016</v>
      </c>
      <c r="K27" s="7">
        <f>'Debt Schedule'!J7</f>
        <v>55608</v>
      </c>
    </row>
    <row r="28" spans="2:11" x14ac:dyDescent="0.2">
      <c r="B28" s="5" t="s">
        <v>29</v>
      </c>
      <c r="C28" s="7">
        <f>INDEX('Balance Sheet - Data'!$C$3:$E$38,MATCH('Balance Sheet'!$B28,'Balance Sheet - Data'!$B$3:$B$38,0),MATCH('Balance Sheet'!C$3,'Balance Sheet - Data'!$C$2:$E$2,0))</f>
        <v>50503</v>
      </c>
      <c r="D28" s="7">
        <f>INDEX('Balance Sheet - Data'!$C$3:$E$38,MATCH('Balance Sheet'!$B28,'Balance Sheet - Data'!$B$3:$B$38,0),MATCH('Balance Sheet'!D$3,'Balance Sheet - Data'!$C$2:$E$2,0))</f>
        <v>54490</v>
      </c>
      <c r="E28" s="7">
        <f>INDEX('Balance Sheet - Data'!$C$3:$E$38,MATCH('Balance Sheet'!$B28,'Balance Sheet - Data'!$B$3:$B$38,0),MATCH('Balance Sheet'!E$3,'Balance Sheet - Data'!$C$2:$E$2,0))</f>
        <v>53325</v>
      </c>
      <c r="F28" s="53"/>
      <c r="G28" s="7">
        <f ca="1">G49*'Income Statement'!G$9</f>
        <v>78436.159298762519</v>
      </c>
      <c r="H28" s="7">
        <f ca="1">H49*'Income Statement'!H$9</f>
        <v>91368.113890927823</v>
      </c>
      <c r="I28" s="7">
        <f ca="1">I49*'Income Statement'!I$9</f>
        <v>103700.23542851215</v>
      </c>
      <c r="J28" s="7">
        <f ca="1">J49*'Income Statement'!J$9</f>
        <v>114596.57914259953</v>
      </c>
      <c r="K28" s="7">
        <f ca="1">K49*'Income Statement'!K$9</f>
        <v>123212.33196577035</v>
      </c>
    </row>
    <row r="29" spans="2:11" x14ac:dyDescent="0.2">
      <c r="B29" t="s">
        <v>30</v>
      </c>
      <c r="C29" s="7">
        <f>SUM(C27:C28)</f>
        <v>142310</v>
      </c>
      <c r="D29" s="7">
        <f t="shared" ref="D29:K29" si="6">SUM(D27:D28)</f>
        <v>153157</v>
      </c>
      <c r="E29" s="7">
        <f t="shared" si="6"/>
        <v>162431</v>
      </c>
      <c r="F29" s="53"/>
      <c r="G29" s="7">
        <f t="shared" ca="1" si="6"/>
        <v>177959.1592987625</v>
      </c>
      <c r="H29" s="7">
        <f t="shared" ca="1" si="6"/>
        <v>179500.11389092781</v>
      </c>
      <c r="I29" s="7">
        <f t="shared" ca="1" si="6"/>
        <v>181630.23542851215</v>
      </c>
      <c r="J29" s="7">
        <f t="shared" ca="1" si="6"/>
        <v>181612.57914259954</v>
      </c>
      <c r="K29" s="7">
        <f t="shared" ca="1" si="6"/>
        <v>178820.33196577034</v>
      </c>
    </row>
    <row r="30" spans="2:11" x14ac:dyDescent="0.2">
      <c r="B30" s="6" t="s">
        <v>31</v>
      </c>
      <c r="C30" s="23">
        <f>SUM(C25,C29)</f>
        <v>248028</v>
      </c>
      <c r="D30" s="23">
        <f t="shared" ref="D30:K30" si="7">SUM(D25,D29)</f>
        <v>258549</v>
      </c>
      <c r="E30" s="23">
        <f t="shared" si="7"/>
        <v>287912</v>
      </c>
      <c r="F30" s="56"/>
      <c r="G30" s="23">
        <f t="shared" ca="1" si="7"/>
        <v>338205.17053966119</v>
      </c>
      <c r="H30" s="23">
        <f t="shared" ca="1" si="7"/>
        <v>366211.36989715986</v>
      </c>
      <c r="I30" s="23">
        <f t="shared" ca="1" si="7"/>
        <v>390599.62231836334</v>
      </c>
      <c r="J30" s="23">
        <f t="shared" ca="1" si="7"/>
        <v>411930.58588162216</v>
      </c>
      <c r="K30" s="23">
        <f t="shared" ca="1" si="7"/>
        <v>425848.66747123352</v>
      </c>
    </row>
    <row r="31" spans="2:11" x14ac:dyDescent="0.2">
      <c r="B31" t="s">
        <v>33</v>
      </c>
      <c r="C31" s="7"/>
      <c r="D31" s="7"/>
      <c r="E31" s="7"/>
      <c r="F31" s="53"/>
      <c r="G31" s="7"/>
      <c r="H31" s="7"/>
      <c r="I31" s="7"/>
      <c r="J31" s="7"/>
      <c r="K31" s="7"/>
    </row>
    <row r="32" spans="2:11" x14ac:dyDescent="0.2">
      <c r="B32" s="5" t="s">
        <v>83</v>
      </c>
      <c r="C32" s="7">
        <f>'Balance Sheet - Data'!C34</f>
        <v>45174</v>
      </c>
      <c r="D32" s="7">
        <f>'Balance Sheet - Data'!D34</f>
        <v>50779</v>
      </c>
      <c r="E32" s="7">
        <f>'Balance Sheet - Data'!E34</f>
        <v>57365</v>
      </c>
      <c r="F32" s="53"/>
      <c r="G32" s="7">
        <f>E32</f>
        <v>57365</v>
      </c>
      <c r="H32" s="7">
        <f t="shared" ref="H32:K32" si="8">G32</f>
        <v>57365</v>
      </c>
      <c r="I32" s="7">
        <f t="shared" si="8"/>
        <v>57365</v>
      </c>
      <c r="J32" s="7">
        <f t="shared" si="8"/>
        <v>57365</v>
      </c>
      <c r="K32" s="7">
        <f t="shared" si="8"/>
        <v>57365</v>
      </c>
    </row>
    <row r="33" spans="2:11" x14ac:dyDescent="0.2">
      <c r="B33" s="5" t="s">
        <v>35</v>
      </c>
      <c r="C33" s="7">
        <f>INDEX('Balance Sheet - Data'!$C$3:$E$38,MATCH('Balance Sheet'!$B33,'Balance Sheet - Data'!$B$3:$B$38,0),MATCH('Balance Sheet'!C$3,'Balance Sheet - Data'!$C$2:$E$2,0))</f>
        <v>45898</v>
      </c>
      <c r="D33" s="7">
        <f>INDEX('Balance Sheet - Data'!$C$3:$E$38,MATCH('Balance Sheet'!$B33,'Balance Sheet - Data'!$B$3:$B$38,0),MATCH('Balance Sheet'!D$3,'Balance Sheet - Data'!$C$2:$E$2,0))</f>
        <v>14966</v>
      </c>
      <c r="E33" s="7">
        <f>INDEX('Balance Sheet - Data'!$C$3:$E$38,MATCH('Balance Sheet'!$B33,'Balance Sheet - Data'!$B$3:$B$38,0),MATCH('Balance Sheet'!E$3,'Balance Sheet - Data'!$C$2:$E$2,0))</f>
        <v>5562</v>
      </c>
      <c r="F33" s="53"/>
      <c r="G33" s="7">
        <f ca="1">'Retained Earnings'!F7</f>
        <v>82730.69081716775</v>
      </c>
      <c r="H33" s="7">
        <f ca="1">'Retained Earnings'!G7</f>
        <v>172931.15623007124</v>
      </c>
      <c r="I33" s="7">
        <f ca="1">'Retained Earnings'!H7</f>
        <v>275700.50650385604</v>
      </c>
      <c r="J33" s="7">
        <f ca="1">'Retained Earnings'!I7</f>
        <v>389757.19183302671</v>
      </c>
      <c r="K33" s="7">
        <f ca="1">'Retained Earnings'!J7</f>
        <v>512956.43481195223</v>
      </c>
    </row>
    <row r="34" spans="2:11" x14ac:dyDescent="0.2">
      <c r="B34" s="5" t="s">
        <v>36</v>
      </c>
      <c r="C34" s="7">
        <f>INDEX('Balance Sheet - Data'!$C$3:$E$38,MATCH('Balance Sheet'!$B34,'Balance Sheet - Data'!$B$3:$B$38,0),MATCH('Balance Sheet'!C$3,'Balance Sheet - Data'!$C$2:$E$2,0))</f>
        <v>-584</v>
      </c>
      <c r="D34" s="7">
        <f>INDEX('Balance Sheet - Data'!$C$3:$E$38,MATCH('Balance Sheet'!$B34,'Balance Sheet - Data'!$B$3:$B$38,0),MATCH('Balance Sheet'!D$3,'Balance Sheet - Data'!$C$2:$E$2,0))</f>
        <v>-406</v>
      </c>
      <c r="E34" s="7">
        <f>INDEX('Balance Sheet - Data'!$C$3:$E$38,MATCH('Balance Sheet'!$B34,'Balance Sheet - Data'!$B$3:$B$38,0),MATCH('Balance Sheet'!E$3,'Balance Sheet - Data'!$C$2:$E$2,0))</f>
        <v>163</v>
      </c>
      <c r="F34" s="53"/>
      <c r="G34" s="7">
        <f>E34</f>
        <v>163</v>
      </c>
      <c r="H34" s="7">
        <f t="shared" ref="H34:K34" si="9">G34</f>
        <v>163</v>
      </c>
      <c r="I34" s="7">
        <f t="shared" si="9"/>
        <v>163</v>
      </c>
      <c r="J34" s="7">
        <f t="shared" si="9"/>
        <v>163</v>
      </c>
      <c r="K34" s="7">
        <f t="shared" si="9"/>
        <v>163</v>
      </c>
    </row>
    <row r="35" spans="2:11" x14ac:dyDescent="0.2">
      <c r="B35" s="24" t="s">
        <v>37</v>
      </c>
      <c r="C35" s="25">
        <f>SUM(C32:C34)</f>
        <v>90488</v>
      </c>
      <c r="D35" s="25">
        <f t="shared" ref="D35:K35" si="10">SUM(D32:D34)</f>
        <v>65339</v>
      </c>
      <c r="E35" s="25">
        <f t="shared" si="10"/>
        <v>63090</v>
      </c>
      <c r="F35" s="56"/>
      <c r="G35" s="25">
        <f t="shared" ca="1" si="10"/>
        <v>140258.69081716775</v>
      </c>
      <c r="H35" s="25">
        <f t="shared" ca="1" si="10"/>
        <v>230459.15623007124</v>
      </c>
      <c r="I35" s="25">
        <f t="shared" ca="1" si="10"/>
        <v>333228.50650385604</v>
      </c>
      <c r="J35" s="25">
        <f t="shared" ca="1" si="10"/>
        <v>447285.19183302671</v>
      </c>
      <c r="K35" s="25">
        <f t="shared" ca="1" si="10"/>
        <v>570484.43481195229</v>
      </c>
    </row>
    <row r="36" spans="2:11" x14ac:dyDescent="0.2">
      <c r="B36" s="19" t="s">
        <v>38</v>
      </c>
      <c r="C36" s="20">
        <f>SUM(C30,C35)</f>
        <v>338516</v>
      </c>
      <c r="D36" s="20">
        <f t="shared" ref="D36:K36" si="11">SUM(D30,D35)</f>
        <v>323888</v>
      </c>
      <c r="E36" s="20">
        <f t="shared" si="11"/>
        <v>351002</v>
      </c>
      <c r="F36" s="56"/>
      <c r="G36" s="20">
        <f t="shared" ca="1" si="11"/>
        <v>478463.86135682894</v>
      </c>
      <c r="H36" s="20">
        <f t="shared" ca="1" si="11"/>
        <v>596670.52612723107</v>
      </c>
      <c r="I36" s="20">
        <f t="shared" ca="1" si="11"/>
        <v>723828.12882221933</v>
      </c>
      <c r="J36" s="20">
        <f t="shared" ca="1" si="11"/>
        <v>859215.77771464887</v>
      </c>
      <c r="K36" s="20">
        <f t="shared" ca="1" si="11"/>
        <v>996333.10228318581</v>
      </c>
    </row>
    <row r="38" spans="2:11" x14ac:dyDescent="0.2">
      <c r="B38" s="26" t="s">
        <v>84</v>
      </c>
      <c r="C38" s="27">
        <f>C17-C36</f>
        <v>0</v>
      </c>
      <c r="D38" s="27">
        <f t="shared" ref="D38:K38" si="12">D17-D36</f>
        <v>0</v>
      </c>
      <c r="E38" s="27">
        <f t="shared" si="12"/>
        <v>0</v>
      </c>
      <c r="F38" s="57"/>
      <c r="G38" s="27">
        <f t="shared" ca="1" si="12"/>
        <v>0</v>
      </c>
      <c r="H38" s="27">
        <f t="shared" ca="1" si="12"/>
        <v>0</v>
      </c>
      <c r="I38" s="27">
        <f t="shared" ca="1" si="12"/>
        <v>0</v>
      </c>
      <c r="J38" s="27">
        <f t="shared" ca="1" si="12"/>
        <v>0</v>
      </c>
      <c r="K38" s="27">
        <f t="shared" ca="1" si="12"/>
        <v>0</v>
      </c>
    </row>
    <row r="40" spans="2:11" x14ac:dyDescent="0.2">
      <c r="B40" s="29" t="s">
        <v>107</v>
      </c>
      <c r="C40" s="30"/>
      <c r="D40" s="30"/>
      <c r="E40" s="30"/>
      <c r="G40" s="30"/>
      <c r="H40" s="30"/>
      <c r="I40" s="30"/>
      <c r="J40" s="30"/>
      <c r="K40" s="30"/>
    </row>
    <row r="41" spans="2:11" x14ac:dyDescent="0.2">
      <c r="B41" s="30" t="s">
        <v>108</v>
      </c>
      <c r="C41" s="38">
        <f>C7/'Income Statement'!C$9*$C$53</f>
        <v>31.722462659604727</v>
      </c>
      <c r="D41" s="38">
        <f>D7/'Income Statement'!D$9*$C$53</f>
        <v>21.139828424676246</v>
      </c>
      <c r="E41" s="38">
        <f>E7/'Income Statement'!E$9*$C$53</f>
        <v>25.860143186347273</v>
      </c>
      <c r="F41" s="58"/>
      <c r="G41" s="38">
        <f t="shared" ref="G41:G51" si="13">AVERAGE(C41:E41)</f>
        <v>26.240811423542748</v>
      </c>
      <c r="H41" s="38">
        <f t="shared" ref="H41:H51" si="14">G41</f>
        <v>26.240811423542748</v>
      </c>
      <c r="I41" s="38">
        <f t="shared" ref="I41:K41" si="15">H41</f>
        <v>26.240811423542748</v>
      </c>
      <c r="J41" s="38">
        <f t="shared" si="15"/>
        <v>26.240811423542748</v>
      </c>
      <c r="K41" s="38">
        <f t="shared" si="15"/>
        <v>26.240811423542748</v>
      </c>
    </row>
    <row r="42" spans="2:11" x14ac:dyDescent="0.2">
      <c r="B42" s="30" t="s">
        <v>109</v>
      </c>
      <c r="C42" s="38">
        <f>C9/'Income Statement'!C$9*$C$53</f>
        <v>31.656045569503487</v>
      </c>
      <c r="D42" s="38">
        <f>D9/'Income Statement'!D$9*$C$53</f>
        <v>27.965684935249438</v>
      </c>
      <c r="E42" s="38">
        <f>E9/'Income Statement'!E$9*$C$53</f>
        <v>24.826839649332861</v>
      </c>
      <c r="F42" s="58"/>
      <c r="G42" s="38">
        <f t="shared" si="13"/>
        <v>28.149523384695261</v>
      </c>
      <c r="H42" s="38">
        <f t="shared" si="14"/>
        <v>28.149523384695261</v>
      </c>
      <c r="I42" s="38">
        <f t="shared" ref="I42:K51" si="16">H42</f>
        <v>28.149523384695261</v>
      </c>
      <c r="J42" s="38">
        <f t="shared" si="16"/>
        <v>28.149523384695261</v>
      </c>
      <c r="K42" s="38">
        <f t="shared" si="16"/>
        <v>28.149523384695261</v>
      </c>
    </row>
    <row r="43" spans="2:11" x14ac:dyDescent="0.2">
      <c r="B43" s="30" t="s">
        <v>110</v>
      </c>
      <c r="C43" s="38">
        <f>C20/'Income Statement'!C$13*$C$53</f>
        <v>102.88511700930883</v>
      </c>
      <c r="D43" s="38">
        <f>D20/'Income Statement'!D$13*$C$53</f>
        <v>89.800954240117008</v>
      </c>
      <c r="E43" s="38">
        <f>E20/'Income Statement'!E$13*$C$53</f>
        <v>92.565440109681134</v>
      </c>
      <c r="F43" s="58"/>
      <c r="G43" s="38">
        <f t="shared" si="13"/>
        <v>95.083837119702324</v>
      </c>
      <c r="H43" s="38">
        <f t="shared" si="14"/>
        <v>95.083837119702324</v>
      </c>
      <c r="I43" s="38">
        <f t="shared" si="16"/>
        <v>95.083837119702324</v>
      </c>
      <c r="J43" s="38">
        <f t="shared" si="16"/>
        <v>95.083837119702324</v>
      </c>
      <c r="K43" s="38">
        <f t="shared" si="16"/>
        <v>95.083837119702324</v>
      </c>
    </row>
    <row r="44" spans="2:11" x14ac:dyDescent="0.2">
      <c r="B44" s="30" t="s">
        <v>111</v>
      </c>
      <c r="C44" s="38">
        <f>C8/'Income Statement'!C$13*$C$53</f>
        <v>9.1367395631157979</v>
      </c>
      <c r="D44" s="38">
        <f>D8/'Income Statement'!D$13*$C$53</f>
        <v>8.6221315294381302</v>
      </c>
      <c r="E44" s="38">
        <f>E8/'Income Statement'!E$13*$C$53</f>
        <v>11.122118874453591</v>
      </c>
      <c r="F44" s="58"/>
      <c r="G44" s="38">
        <f t="shared" si="13"/>
        <v>9.6269966556691724</v>
      </c>
      <c r="H44" s="38">
        <f t="shared" si="14"/>
        <v>9.6269966556691724</v>
      </c>
      <c r="I44" s="38">
        <f t="shared" si="16"/>
        <v>9.6269966556691724</v>
      </c>
      <c r="J44" s="38">
        <f t="shared" si="16"/>
        <v>9.6269966556691724</v>
      </c>
      <c r="K44" s="38">
        <f t="shared" si="16"/>
        <v>9.6269966556691724</v>
      </c>
    </row>
    <row r="45" spans="2:11" x14ac:dyDescent="0.2">
      <c r="B45" s="30" t="s">
        <v>112</v>
      </c>
      <c r="C45" s="34">
        <f>C10/'Income Statement'!C$9</f>
        <v>4.7475919961256698E-2</v>
      </c>
      <c r="D45" s="34">
        <f>D10/'Income Statement'!D$9</f>
        <v>4.1032366173068865E-2</v>
      </c>
      <c r="E45" s="34">
        <f>E10/'Income Statement'!E$9</f>
        <v>3.8573931774630484E-2</v>
      </c>
      <c r="F45" s="59"/>
      <c r="G45" s="34">
        <f t="shared" si="13"/>
        <v>4.2360739302985347E-2</v>
      </c>
      <c r="H45" s="34">
        <f t="shared" si="14"/>
        <v>4.2360739302985347E-2</v>
      </c>
      <c r="I45" s="34">
        <f t="shared" si="16"/>
        <v>4.2360739302985347E-2</v>
      </c>
      <c r="J45" s="34">
        <f t="shared" si="16"/>
        <v>4.2360739302985347E-2</v>
      </c>
      <c r="K45" s="34">
        <f t="shared" si="16"/>
        <v>4.2360739302985347E-2</v>
      </c>
    </row>
    <row r="46" spans="2:11" x14ac:dyDescent="0.2">
      <c r="B46" s="30" t="s">
        <v>113</v>
      </c>
      <c r="C46" s="34">
        <f>C15/'Income Statement'!C$9</f>
        <v>0.12675363410640572</v>
      </c>
      <c r="D46" s="34">
        <f>D15/'Income Statement'!D$9</f>
        <v>0.15489863941861101</v>
      </c>
      <c r="E46" s="34">
        <f>E15/'Income Statement'!E$9</f>
        <v>0.13353398010480649</v>
      </c>
      <c r="F46" s="59"/>
      <c r="G46" s="34">
        <f t="shared" si="13"/>
        <v>0.13839541787660775</v>
      </c>
      <c r="H46" s="34">
        <f t="shared" si="14"/>
        <v>0.13839541787660775</v>
      </c>
      <c r="I46" s="34">
        <f t="shared" si="16"/>
        <v>0.13839541787660775</v>
      </c>
      <c r="J46" s="34">
        <f t="shared" si="16"/>
        <v>0.13839541787660775</v>
      </c>
      <c r="K46" s="34">
        <f t="shared" si="16"/>
        <v>0.13839541787660775</v>
      </c>
    </row>
    <row r="47" spans="2:11" x14ac:dyDescent="0.2">
      <c r="B47" s="30" t="s">
        <v>114</v>
      </c>
      <c r="C47" s="34">
        <f>C13/'Income Statement'!C$9</f>
        <v>0.40488672965015721</v>
      </c>
      <c r="D47" s="34">
        <f>D13/'Income Statement'!D$9</f>
        <v>0.36750997213267034</v>
      </c>
      <c r="E47" s="34">
        <f>E13/'Income Statement'!E$9</f>
        <v>0.3495654931290782</v>
      </c>
      <c r="F47" s="59"/>
      <c r="G47" s="34">
        <f t="shared" si="13"/>
        <v>0.37398739830396854</v>
      </c>
      <c r="H47" s="34">
        <f t="shared" si="14"/>
        <v>0.37398739830396854</v>
      </c>
      <c r="I47" s="34">
        <f t="shared" si="16"/>
        <v>0.37398739830396854</v>
      </c>
      <c r="J47" s="34">
        <f t="shared" si="16"/>
        <v>0.37398739830396854</v>
      </c>
      <c r="K47" s="34">
        <f t="shared" si="16"/>
        <v>0.37398739830396854</v>
      </c>
    </row>
    <row r="48" spans="2:11" x14ac:dyDescent="0.2">
      <c r="B48" s="30" t="s">
        <v>115</v>
      </c>
      <c r="C48" s="34">
        <f>C21/'Income Statement'!C$9</f>
        <v>0.14497989806821587</v>
      </c>
      <c r="D48" s="34">
        <f>D21/'Income Statement'!D$9</f>
        <v>0.15548877110540407</v>
      </c>
      <c r="E48" s="34">
        <f>E21/'Income Statement'!E$9</f>
        <v>0.12982720868631037</v>
      </c>
      <c r="F48" s="59"/>
      <c r="G48" s="34">
        <f t="shared" si="13"/>
        <v>0.14343195928664343</v>
      </c>
      <c r="H48" s="34">
        <f t="shared" si="14"/>
        <v>0.14343195928664343</v>
      </c>
      <c r="I48" s="34">
        <f t="shared" si="16"/>
        <v>0.14343195928664343</v>
      </c>
      <c r="J48" s="34">
        <f t="shared" si="16"/>
        <v>0.14343195928664343</v>
      </c>
      <c r="K48" s="34">
        <f t="shared" si="16"/>
        <v>0.14343195928664343</v>
      </c>
    </row>
    <row r="49" spans="2:11" x14ac:dyDescent="0.2">
      <c r="B49" s="30" t="s">
        <v>116</v>
      </c>
      <c r="C49" s="34">
        <f>C28/'Income Statement'!C$9</f>
        <v>0.19411240170040051</v>
      </c>
      <c r="D49" s="34">
        <f>D28/'Income Statement'!D$9</f>
        <v>0.19849552847749669</v>
      </c>
      <c r="E49" s="34">
        <f>E28/'Income Statement'!E$9</f>
        <v>0.14576960611453268</v>
      </c>
      <c r="F49" s="59"/>
      <c r="G49" s="34">
        <f t="shared" si="13"/>
        <v>0.1794591787641433</v>
      </c>
      <c r="H49" s="34">
        <f t="shared" si="14"/>
        <v>0.1794591787641433</v>
      </c>
      <c r="I49" s="34">
        <f t="shared" si="16"/>
        <v>0.1794591787641433</v>
      </c>
      <c r="J49" s="34">
        <f t="shared" si="16"/>
        <v>0.1794591787641433</v>
      </c>
      <c r="K49" s="34">
        <f t="shared" si="16"/>
        <v>0.1794591787641433</v>
      </c>
    </row>
    <row r="50" spans="2:11" x14ac:dyDescent="0.2">
      <c r="B50" s="30" t="s">
        <v>117</v>
      </c>
      <c r="C50" s="34">
        <f>C22/'Income Statement'!C$9</f>
        <v>2.1224257612213363E-2</v>
      </c>
      <c r="D50" s="34">
        <f>D22/'Income Statement'!D$9</f>
        <v>2.419904194670601E-2</v>
      </c>
      <c r="E50" s="34">
        <f>E22/'Income Statement'!E$9</f>
        <v>2.0808218316808676E-2</v>
      </c>
      <c r="F50" s="59"/>
      <c r="G50" s="34">
        <f t="shared" si="13"/>
        <v>2.2077172625242683E-2</v>
      </c>
      <c r="H50" s="34">
        <f t="shared" si="14"/>
        <v>2.2077172625242683E-2</v>
      </c>
      <c r="I50" s="34">
        <f t="shared" si="16"/>
        <v>2.2077172625242683E-2</v>
      </c>
      <c r="J50" s="34">
        <f t="shared" si="16"/>
        <v>2.2077172625242683E-2</v>
      </c>
      <c r="K50" s="34">
        <f t="shared" si="16"/>
        <v>2.2077172625242683E-2</v>
      </c>
    </row>
    <row r="51" spans="2:11" x14ac:dyDescent="0.2">
      <c r="B51" s="30" t="s">
        <v>118</v>
      </c>
      <c r="C51" s="34">
        <f>C23/'Income Statement'!C$13</f>
        <v>3.6963321012226331E-2</v>
      </c>
      <c r="D51" s="34">
        <f>D23/'Income Statement'!D$13</f>
        <v>2.9464670114827288E-2</v>
      </c>
      <c r="E51" s="34">
        <f>E23/'Income Statement'!E$13</f>
        <v>2.8171527037623073E-2</v>
      </c>
      <c r="F51" s="59"/>
      <c r="G51" s="34">
        <f t="shared" si="13"/>
        <v>3.1533172721558901E-2</v>
      </c>
      <c r="H51" s="34">
        <f t="shared" si="14"/>
        <v>3.1533172721558901E-2</v>
      </c>
      <c r="I51" s="34">
        <f t="shared" si="16"/>
        <v>3.1533172721558901E-2</v>
      </c>
      <c r="J51" s="34">
        <f t="shared" si="16"/>
        <v>3.1533172721558901E-2</v>
      </c>
      <c r="K51" s="34">
        <f t="shared" si="16"/>
        <v>3.1533172721558901E-2</v>
      </c>
    </row>
    <row r="52" spans="2:11" x14ac:dyDescent="0.2">
      <c r="B52" s="30"/>
      <c r="C52" s="30"/>
      <c r="D52" s="30"/>
      <c r="E52" s="30"/>
      <c r="G52" s="30"/>
      <c r="H52" s="30"/>
      <c r="I52" s="30"/>
      <c r="J52" s="30"/>
      <c r="K52" s="30"/>
    </row>
    <row r="53" spans="2:11" x14ac:dyDescent="0.2">
      <c r="B53" s="30" t="s">
        <v>147</v>
      </c>
      <c r="C53" s="60">
        <v>360</v>
      </c>
      <c r="D53" s="30"/>
      <c r="E53" s="30"/>
      <c r="G53" s="30"/>
      <c r="H53" s="30"/>
      <c r="I53" s="30"/>
      <c r="J53" s="30"/>
      <c r="K53" s="30"/>
    </row>
  </sheetData>
  <mergeCells count="1">
    <mergeCell ref="G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BEBF-00BC-494C-AA85-1C159295DE6C}">
  <dimension ref="B2:G24"/>
  <sheetViews>
    <sheetView showGridLines="0" workbookViewId="0"/>
  </sheetViews>
  <sheetFormatPr baseColWidth="10" defaultRowHeight="15" x14ac:dyDescent="0.2"/>
  <cols>
    <col min="2" max="2" width="36.1640625" bestFit="1" customWidth="1"/>
  </cols>
  <sheetData>
    <row r="2" spans="2:7" x14ac:dyDescent="0.2">
      <c r="B2" s="12" t="s">
        <v>142</v>
      </c>
      <c r="C2" s="61" t="s">
        <v>89</v>
      </c>
      <c r="D2" s="61"/>
      <c r="E2" s="61"/>
      <c r="F2" s="61"/>
      <c r="G2" s="61"/>
    </row>
    <row r="3" spans="2:7" x14ac:dyDescent="0.2">
      <c r="B3" s="12" t="s">
        <v>94</v>
      </c>
      <c r="C3" s="14">
        <v>44805</v>
      </c>
      <c r="D3" s="14">
        <f t="shared" ref="D3:G3" si="0">EDATE(C3,12)</f>
        <v>45170</v>
      </c>
      <c r="E3" s="14">
        <f t="shared" si="0"/>
        <v>45536</v>
      </c>
      <c r="F3" s="14">
        <f t="shared" si="0"/>
        <v>45901</v>
      </c>
      <c r="G3" s="14">
        <f t="shared" si="0"/>
        <v>46266</v>
      </c>
    </row>
    <row r="4" spans="2:7" x14ac:dyDescent="0.2">
      <c r="B4" t="s">
        <v>136</v>
      </c>
      <c r="C4" s="8">
        <f ca="1">'Income Statement'!G25</f>
        <v>98663.747539588658</v>
      </c>
      <c r="D4" s="8">
        <f ca="1">'Income Statement'!H25</f>
        <v>115325.47530885709</v>
      </c>
      <c r="E4" s="8">
        <f ca="1">'Income Statement'!I25</f>
        <v>131395.37709980816</v>
      </c>
      <c r="F4" s="8">
        <f ca="1">'Income Statement'!J25</f>
        <v>145826.75807188998</v>
      </c>
      <c r="G4" s="8">
        <f ca="1">'Income Statement'!K25</f>
        <v>157515.94173264047</v>
      </c>
    </row>
    <row r="5" spans="2:7" x14ac:dyDescent="0.2">
      <c r="B5" t="s">
        <v>78</v>
      </c>
      <c r="C5" s="8">
        <f>'Income Statement'!G20</f>
        <v>11885.302438232553</v>
      </c>
      <c r="D5" s="8">
        <f>'Income Statement'!H20</f>
        <v>12220.212267770579</v>
      </c>
      <c r="E5" s="8">
        <f>'Income Statement'!I20</f>
        <v>12564.559349284656</v>
      </c>
      <c r="F5" s="8">
        <f>'Income Statement'!J20</f>
        <v>12918.609610248408</v>
      </c>
      <c r="G5" s="8">
        <f>'Income Statement'!K20</f>
        <v>13282.636471569067</v>
      </c>
    </row>
    <row r="6" spans="2:7" x14ac:dyDescent="0.2">
      <c r="B6" t="str">
        <f>"Change in "&amp;'Balance Sheet'!B7</f>
        <v>Change in Accounts receivable, net</v>
      </c>
      <c r="C6" s="8">
        <f ca="1">-('Balance Sheet'!G7-'Balance Sheet'!E7)</f>
        <v>-5580.5058222634289</v>
      </c>
      <c r="D6" s="8">
        <f ca="1">-('Balance Sheet'!H7-'Balance Sheet'!G7)</f>
        <v>-5252.5870000654722</v>
      </c>
      <c r="E6" s="8">
        <f ca="1">-('Balance Sheet'!I7-'Balance Sheet'!H7)</f>
        <v>-5008.9521123733721</v>
      </c>
      <c r="F6" s="8">
        <f ca="1">-('Balance Sheet'!J7-'Balance Sheet'!I7)</f>
        <v>-4425.7805680461606</v>
      </c>
      <c r="G6" s="8">
        <f ca="1">-('Balance Sheet'!K7-'Balance Sheet'!J7)</f>
        <v>-3499.4703199918295</v>
      </c>
    </row>
    <row r="7" spans="2:7" x14ac:dyDescent="0.2">
      <c r="B7" t="str">
        <f>"Change in "&amp;'Balance Sheet'!B8</f>
        <v>Change in Inventories</v>
      </c>
      <c r="C7" s="8">
        <f ca="1">-('Balance Sheet'!G8-'Balance Sheet'!E8)</f>
        <v>-504.31725455565902</v>
      </c>
      <c r="D7" s="8">
        <f ca="1">-('Balance Sheet'!H8-'Balance Sheet'!G8)</f>
        <v>-1151.4630723693153</v>
      </c>
      <c r="E7" s="8">
        <f ca="1">-('Balance Sheet'!I8-'Balance Sheet'!H8)</f>
        <v>-1092.0464691813504</v>
      </c>
      <c r="F7" s="8">
        <f ca="1">-('Balance Sheet'!J8-'Balance Sheet'!I8)</f>
        <v>-957.60853228023552</v>
      </c>
      <c r="G7" s="8">
        <f ca="1">-('Balance Sheet'!K8-'Balance Sheet'!J8)</f>
        <v>-748.04036449890373</v>
      </c>
    </row>
    <row r="8" spans="2:7" x14ac:dyDescent="0.2">
      <c r="B8" t="str">
        <f>"Change in "&amp;'Balance Sheet'!B9</f>
        <v>Change in Vendor non-trade receivables</v>
      </c>
      <c r="C8" s="8">
        <f ca="1">-('Balance Sheet'!G9-'Balance Sheet'!E9)</f>
        <v>-8947.8393126769442</v>
      </c>
      <c r="D8" s="8">
        <f ca="1">-('Balance Sheet'!H9-'Balance Sheet'!G9)</f>
        <v>-5634.6512385601818</v>
      </c>
      <c r="E8" s="8">
        <f ca="1">-('Balance Sheet'!I9-'Balance Sheet'!H9)</f>
        <v>-5373.2947638033365</v>
      </c>
      <c r="F8" s="8">
        <f ca="1">-('Balance Sheet'!J9-'Balance Sheet'!I9)</f>
        <v>-4747.7043138982772</v>
      </c>
      <c r="G8" s="8">
        <f ca="1">-('Balance Sheet'!K9-'Balance Sheet'!J9)</f>
        <v>-3754.0158349782214</v>
      </c>
    </row>
    <row r="9" spans="2:7" x14ac:dyDescent="0.2">
      <c r="B9" t="str">
        <f>"Change in "&amp;'Balance Sheet'!B10</f>
        <v>Change in Other current assets</v>
      </c>
      <c r="C9" s="8">
        <f ca="1">-('Balance Sheet'!G10-'Balance Sheet'!E10)</f>
        <v>-4403.593228742564</v>
      </c>
      <c r="D9" s="8">
        <f ca="1">-('Balance Sheet'!H10-'Balance Sheet'!G10)</f>
        <v>-3052.5446562793077</v>
      </c>
      <c r="E9" s="8">
        <f ca="1">-('Balance Sheet'!I10-'Balance Sheet'!H10)</f>
        <v>-2910.9560686940931</v>
      </c>
      <c r="F9" s="8">
        <f ca="1">-('Balance Sheet'!J10-'Balance Sheet'!I10)</f>
        <v>-2572.0455125608933</v>
      </c>
      <c r="G9" s="8">
        <f ca="1">-('Balance Sheet'!K10-'Balance Sheet'!J10)</f>
        <v>-2033.719655660334</v>
      </c>
    </row>
    <row r="10" spans="2:7" x14ac:dyDescent="0.2">
      <c r="B10" t="str">
        <f>"Change in "&amp;'Balance Sheet'!B20</f>
        <v>Change in Accounts payable</v>
      </c>
      <c r="C10" s="8">
        <f ca="1">'Balance Sheet'!G20-'Balance Sheet'!E20</f>
        <v>15207.323251311522</v>
      </c>
      <c r="D10" s="8">
        <f ca="1">'Balance Sheet'!H20-'Balance Sheet'!G20</f>
        <v>11372.760492031739</v>
      </c>
      <c r="E10" s="8">
        <f ca="1">'Balance Sheet'!I20-'Balance Sheet'!H20</f>
        <v>10785.915100701575</v>
      </c>
      <c r="F10" s="8">
        <f ca="1">'Balance Sheet'!J20-'Balance Sheet'!I20</f>
        <v>9458.0996508554235</v>
      </c>
      <c r="G10" s="8">
        <f ca="1">'Balance Sheet'!K20-'Balance Sheet'!J20</f>
        <v>7388.2385878976493</v>
      </c>
    </row>
    <row r="11" spans="2:7" x14ac:dyDescent="0.2">
      <c r="B11" t="str">
        <f>"Change in "&amp;'Balance Sheet'!B21</f>
        <v>Change in Other current liabilities</v>
      </c>
      <c r="C11" s="8">
        <f ca="1">'Balance Sheet'!G21-'Balance Sheet'!E21</f>
        <v>15196.755322722071</v>
      </c>
      <c r="D11" s="8">
        <f ca="1">'Balance Sheet'!H21-'Balance Sheet'!G21</f>
        <v>10335.807827349658</v>
      </c>
      <c r="E11" s="8">
        <f ca="1">'Balance Sheet'!I21-'Balance Sheet'!H21</f>
        <v>9856.3938968060975</v>
      </c>
      <c r="F11" s="8">
        <f ca="1">'Balance Sheet'!J21-'Balance Sheet'!I21</f>
        <v>8708.8547865600849</v>
      </c>
      <c r="G11" s="8">
        <f ca="1">'Balance Sheet'!K21-'Balance Sheet'!J21</f>
        <v>6886.1025480393873</v>
      </c>
    </row>
    <row r="12" spans="2:7" x14ac:dyDescent="0.2">
      <c r="B12" t="str">
        <f>"Change in "&amp;'Balance Sheet'!B22</f>
        <v>Change in Deferred revenue</v>
      </c>
      <c r="C12" s="8">
        <f ca="1">'Balance Sheet'!G22-'Balance Sheet'!E22</f>
        <v>2037.2619704654808</v>
      </c>
      <c r="D12" s="8">
        <f ca="1">'Balance Sheet'!H22-'Balance Sheet'!G22</f>
        <v>1590.8965809336314</v>
      </c>
      <c r="E12" s="8">
        <f ca="1">'Balance Sheet'!I22-'Balance Sheet'!H22</f>
        <v>1517.1047694280496</v>
      </c>
      <c r="F12" s="8">
        <f ca="1">'Balance Sheet'!J22-'Balance Sheet'!I22</f>
        <v>1340.4745458912676</v>
      </c>
      <c r="G12" s="8">
        <f ca="1">'Balance Sheet'!K22-'Balance Sheet'!J22</f>
        <v>1059.9149270796152</v>
      </c>
    </row>
    <row r="13" spans="2:7" x14ac:dyDescent="0.2">
      <c r="B13" t="str">
        <f>"Change in "&amp;'Balance Sheet'!B23</f>
        <v>Change in Commercial paper</v>
      </c>
      <c r="C13" s="8">
        <f ca="1">'Balance Sheet'!G23-'Balance Sheet'!E23</f>
        <v>2353.6706963995948</v>
      </c>
      <c r="D13" s="8">
        <f ca="1">'Balance Sheet'!H23-'Balance Sheet'!G23</f>
        <v>1357.7798650183595</v>
      </c>
      <c r="E13" s="8">
        <f ca="1">'Balance Sheet'!I23-'Balance Sheet'!H23</f>
        <v>1287.7171166834014</v>
      </c>
      <c r="F13" s="8">
        <f ca="1">'Balance Sheet'!J23-'Balance Sheet'!I23</f>
        <v>1129.1908658646571</v>
      </c>
      <c r="G13" s="8">
        <f ca="1">'Balance Sheet'!K23-'Balance Sheet'!J23</f>
        <v>882.07270342390984</v>
      </c>
    </row>
    <row r="14" spans="2:7" x14ac:dyDescent="0.2">
      <c r="B14" t="str">
        <f>"Change in "&amp;'Balance Sheet'!B24</f>
        <v>Change in Current Term debt</v>
      </c>
      <c r="C14" s="8">
        <f>'Balance Sheet'!G24-'Balance Sheet'!E24</f>
        <v>-30</v>
      </c>
      <c r="D14" s="8">
        <f>'Balance Sheet'!H24-'Balance Sheet'!G24</f>
        <v>1808</v>
      </c>
      <c r="E14" s="8">
        <f>'Balance Sheet'!I24-'Balance Sheet'!H24</f>
        <v>-1189</v>
      </c>
      <c r="F14" s="8">
        <f>'Balance Sheet'!J24-'Balance Sheet'!I24</f>
        <v>712</v>
      </c>
      <c r="G14" s="8">
        <f>'Balance Sheet'!K24-'Balance Sheet'!J24</f>
        <v>494</v>
      </c>
    </row>
    <row r="15" spans="2:7" x14ac:dyDescent="0.2">
      <c r="B15" s="6" t="s">
        <v>143</v>
      </c>
      <c r="C15" s="23">
        <f ca="1">SUM(C4:C14)</f>
        <v>125877.8056004813</v>
      </c>
      <c r="D15" s="23">
        <f t="shared" ref="D15:G15" ca="1" si="1">SUM(D4:D14)</f>
        <v>138919.68637468677</v>
      </c>
      <c r="E15" s="23">
        <f t="shared" ca="1" si="1"/>
        <v>151832.81791865983</v>
      </c>
      <c r="F15" s="23">
        <f t="shared" ca="1" si="1"/>
        <v>167390.84860452428</v>
      </c>
      <c r="G15" s="23">
        <f t="shared" ca="1" si="1"/>
        <v>177473.66079552079</v>
      </c>
    </row>
    <row r="16" spans="2:7" x14ac:dyDescent="0.2">
      <c r="B16" t="str">
        <f>"Change in "&amp;'Balance Sheet'!B13</f>
        <v>Change in Non-current Marketable securities</v>
      </c>
      <c r="C16" s="8">
        <f ca="1">-('Balance Sheet'!G13-'Balance Sheet'!E13)</f>
        <v>-35581.538878374209</v>
      </c>
      <c r="D16" s="8">
        <f ca="1">-('Balance Sheet'!H13-'Balance Sheet'!G13)</f>
        <v>-26949.794857053523</v>
      </c>
      <c r="E16" s="8">
        <f ca="1">-('Balance Sheet'!I13-'Balance Sheet'!H13)</f>
        <v>-25699.761255850637</v>
      </c>
      <c r="F16" s="8">
        <f ca="1">-('Balance Sheet'!J13-'Balance Sheet'!I13)</f>
        <v>-22707.644516823988</v>
      </c>
      <c r="G16" s="8">
        <f ca="1">-('Balance Sheet'!K13-'Balance Sheet'!J13)</f>
        <v>-17954.963379179011</v>
      </c>
    </row>
    <row r="17" spans="2:7" x14ac:dyDescent="0.2">
      <c r="B17" t="str">
        <f>"Change in "&amp;'Balance Sheet'!B14</f>
        <v>Change in Property, plant and equipment, net</v>
      </c>
      <c r="C17" s="8">
        <f>-'Fixed Assets'!F6</f>
        <v>-12996.66192997671</v>
      </c>
      <c r="D17" s="8">
        <f>-'Fixed Assets'!G6</f>
        <v>-13362.888187503828</v>
      </c>
      <c r="E17" s="8">
        <f>-'Fixed Assets'!H6</f>
        <v>-13739.43414653776</v>
      </c>
      <c r="F17" s="8">
        <f>-'Fixed Assets'!I6</f>
        <v>-14126.59060064396</v>
      </c>
      <c r="G17" s="8">
        <f>-'Fixed Assets'!J6</f>
        <v>-14524.656537510326</v>
      </c>
    </row>
    <row r="18" spans="2:7" x14ac:dyDescent="0.2">
      <c r="B18" t="str">
        <f>"Change in "&amp;'Balance Sheet'!B15</f>
        <v>Change in Other non-current assets</v>
      </c>
      <c r="C18" s="8">
        <f ca="1">-('Balance Sheet'!G15-'Balance Sheet'!E15)</f>
        <v>-11639.435963785472</v>
      </c>
      <c r="D18" s="8">
        <f ca="1">-('Balance Sheet'!H15-'Balance Sheet'!G15)</f>
        <v>-9972.8711123558678</v>
      </c>
      <c r="E18" s="8">
        <f ca="1">-('Balance Sheet'!I15-'Balance Sheet'!H15)</f>
        <v>-9510.2915618607949</v>
      </c>
      <c r="F18" s="8">
        <f ca="1">-('Balance Sheet'!J15-'Balance Sheet'!I15)</f>
        <v>-8403.0477127067716</v>
      </c>
      <c r="G18" s="8">
        <f ca="1">-('Balance Sheet'!K15-'Balance Sheet'!J15)</f>
        <v>-6644.3005060855212</v>
      </c>
    </row>
    <row r="19" spans="2:7" x14ac:dyDescent="0.2">
      <c r="B19" s="6" t="s">
        <v>144</v>
      </c>
      <c r="C19" s="23">
        <f ca="1">SUM(C16:C18)</f>
        <v>-60217.636772136393</v>
      </c>
      <c r="D19" s="23">
        <f t="shared" ref="D19:G19" ca="1" si="2">SUM(D16:D18)</f>
        <v>-50285.554156913218</v>
      </c>
      <c r="E19" s="23">
        <f t="shared" ca="1" si="2"/>
        <v>-48949.48696424919</v>
      </c>
      <c r="F19" s="23">
        <f t="shared" ca="1" si="2"/>
        <v>-45237.282830174721</v>
      </c>
      <c r="G19" s="23">
        <f t="shared" ca="1" si="2"/>
        <v>-39123.920422774856</v>
      </c>
    </row>
    <row r="20" spans="2:7" x14ac:dyDescent="0.2">
      <c r="B20" t="str">
        <f>"Change in "&amp;'Balance Sheet'!B27</f>
        <v>Change in Non-current Term debt</v>
      </c>
      <c r="C20" s="8">
        <f>'Balance Sheet'!G27-'Balance Sheet'!E27</f>
        <v>-9583</v>
      </c>
      <c r="D20" s="8">
        <f>'Balance Sheet'!H27-'Balance Sheet'!G27</f>
        <v>-11391</v>
      </c>
      <c r="E20" s="8">
        <f>'Balance Sheet'!I27-'Balance Sheet'!H27</f>
        <v>-10202</v>
      </c>
      <c r="F20" s="8">
        <f>'Balance Sheet'!J27-'Balance Sheet'!I27</f>
        <v>-10914</v>
      </c>
      <c r="G20" s="8">
        <f>'Balance Sheet'!K27-'Balance Sheet'!J27</f>
        <v>-11408</v>
      </c>
    </row>
    <row r="21" spans="2:7" x14ac:dyDescent="0.2">
      <c r="B21" t="str">
        <f>"Change in "&amp;'Balance Sheet'!B28</f>
        <v>Change in Other non-current liabilities</v>
      </c>
      <c r="C21" s="8">
        <f ca="1">'Balance Sheet'!G28-'Balance Sheet'!E28</f>
        <v>25111.159298762519</v>
      </c>
      <c r="D21" s="8">
        <f ca="1">'Balance Sheet'!H28-'Balance Sheet'!G28</f>
        <v>12931.954592165304</v>
      </c>
      <c r="E21" s="8">
        <f ca="1">'Balance Sheet'!I28-'Balance Sheet'!H28</f>
        <v>12332.121537584331</v>
      </c>
      <c r="F21" s="8">
        <f ca="1">'Balance Sheet'!J28-'Balance Sheet'!I28</f>
        <v>10896.343714087372</v>
      </c>
      <c r="G21" s="8">
        <f ca="1">'Balance Sheet'!K28-'Balance Sheet'!J28</f>
        <v>8615.7528231708275</v>
      </c>
    </row>
    <row r="22" spans="2:7" x14ac:dyDescent="0.2">
      <c r="B22" t="s">
        <v>137</v>
      </c>
      <c r="C22" s="8">
        <f ca="1">'Retained Earnings'!F6</f>
        <v>-21495.056722420901</v>
      </c>
      <c r="D22" s="8">
        <f ca="1">'Retained Earnings'!G6</f>
        <v>-25125.009895953612</v>
      </c>
      <c r="E22" s="8">
        <f ca="1">'Retained Earnings'!H6</f>
        <v>-28626.026826023353</v>
      </c>
      <c r="F22" s="8">
        <f ca="1">'Retained Earnings'!I6</f>
        <v>-31770.072742719309</v>
      </c>
      <c r="G22" s="8">
        <f ca="1">'Retained Earnings'!J6</f>
        <v>-34316.698753714983</v>
      </c>
    </row>
    <row r="23" spans="2:7" x14ac:dyDescent="0.2">
      <c r="B23" s="6" t="s">
        <v>145</v>
      </c>
      <c r="C23" s="23">
        <f ca="1">SUM(C20:C22)</f>
        <v>-5966.8974236583817</v>
      </c>
      <c r="D23" s="23">
        <f ca="1">SUM(D20:D22)</f>
        <v>-23584.055303788307</v>
      </c>
      <c r="E23" s="23">
        <f ca="1">SUM(E20:E22)</f>
        <v>-26495.905288439022</v>
      </c>
      <c r="F23" s="23">
        <f ca="1">SUM(F20:F22)</f>
        <v>-31787.729028631937</v>
      </c>
      <c r="G23" s="23">
        <f ca="1">SUM(G20:G22)</f>
        <v>-37108.945930544156</v>
      </c>
    </row>
    <row r="24" spans="2:7" x14ac:dyDescent="0.2">
      <c r="B24" s="19" t="s">
        <v>146</v>
      </c>
      <c r="C24" s="20">
        <f ca="1">C23+C19+C15</f>
        <v>59693.271404686515</v>
      </c>
      <c r="D24" s="20">
        <f t="shared" ref="D24:G24" ca="1" si="3">D23+D19+D15</f>
        <v>65050.076913985249</v>
      </c>
      <c r="E24" s="20">
        <f t="shared" ca="1" si="3"/>
        <v>76387.425665971619</v>
      </c>
      <c r="F24" s="20">
        <f t="shared" ca="1" si="3"/>
        <v>90365.836745717621</v>
      </c>
      <c r="G24" s="20">
        <f t="shared" ca="1" si="3"/>
        <v>101240.79444220178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DCA2-6973-6246-B5A3-6F25CFD82E1F}">
  <dimension ref="B2:J11"/>
  <sheetViews>
    <sheetView showGridLines="0" workbookViewId="0">
      <selection activeCell="D4" sqref="D4:J7"/>
    </sheetView>
  </sheetViews>
  <sheetFormatPr baseColWidth="10" defaultRowHeight="15" x14ac:dyDescent="0.2"/>
  <cols>
    <col min="2" max="2" width="24.83203125" bestFit="1" customWidth="1"/>
  </cols>
  <sheetData>
    <row r="2" spans="2:10" x14ac:dyDescent="0.2">
      <c r="B2" s="12" t="s">
        <v>119</v>
      </c>
      <c r="C2" s="13"/>
      <c r="D2" s="13"/>
      <c r="E2" s="13"/>
      <c r="F2" s="61" t="s">
        <v>89</v>
      </c>
      <c r="G2" s="61"/>
      <c r="H2" s="61"/>
      <c r="I2" s="61"/>
      <c r="J2" s="61"/>
    </row>
    <row r="3" spans="2:10" x14ac:dyDescent="0.2">
      <c r="B3" s="12" t="s">
        <v>94</v>
      </c>
      <c r="C3" s="14">
        <v>43709</v>
      </c>
      <c r="D3" s="14">
        <f>EDATE(C3,12)</f>
        <v>44075</v>
      </c>
      <c r="E3" s="14">
        <f>EDATE(D3,12)</f>
        <v>44440</v>
      </c>
      <c r="F3" s="14">
        <f>EDATE(E3,12)</f>
        <v>44805</v>
      </c>
      <c r="G3" s="14">
        <f t="shared" ref="G3:J3" si="0">EDATE(F3,12)</f>
        <v>45170</v>
      </c>
      <c r="H3" s="14">
        <f t="shared" si="0"/>
        <v>45536</v>
      </c>
      <c r="I3" s="14">
        <f t="shared" si="0"/>
        <v>45901</v>
      </c>
      <c r="J3" s="14">
        <f t="shared" si="0"/>
        <v>46266</v>
      </c>
    </row>
    <row r="4" spans="2:10" x14ac:dyDescent="0.2">
      <c r="B4" t="s">
        <v>120</v>
      </c>
      <c r="D4" s="8">
        <f>'Balance Sheet'!C14</f>
        <v>37378</v>
      </c>
      <c r="E4" s="8">
        <f>'Balance Sheet'!D14</f>
        <v>36766</v>
      </c>
      <c r="F4" s="8">
        <f>E7</f>
        <v>39440</v>
      </c>
      <c r="G4" s="8">
        <f t="shared" ref="G4:J4" si="1">F7</f>
        <v>40551.359491744159</v>
      </c>
      <c r="H4" s="8">
        <f t="shared" si="1"/>
        <v>41694.035411477409</v>
      </c>
      <c r="I4" s="8">
        <f t="shared" si="1"/>
        <v>42868.910208730515</v>
      </c>
      <c r="J4" s="8">
        <f t="shared" si="1"/>
        <v>44076.891199126068</v>
      </c>
    </row>
    <row r="5" spans="2:10" x14ac:dyDescent="0.2">
      <c r="B5" t="s">
        <v>121</v>
      </c>
      <c r="D5" s="8">
        <f>-'Income Statement'!D20</f>
        <v>-11056</v>
      </c>
      <c r="E5" s="8">
        <f>-'Income Statement'!E20</f>
        <v>-11284</v>
      </c>
      <c r="F5" s="8">
        <f>F10*F4</f>
        <v>-11885.302438232553</v>
      </c>
      <c r="G5" s="8">
        <f t="shared" ref="G5:J5" si="2">G10*G4</f>
        <v>-12220.212267770579</v>
      </c>
      <c r="H5" s="8">
        <f t="shared" si="2"/>
        <v>-12564.559349284656</v>
      </c>
      <c r="I5" s="8">
        <f t="shared" si="2"/>
        <v>-12918.609610248408</v>
      </c>
      <c r="J5" s="8">
        <f t="shared" si="2"/>
        <v>-13282.636471569067</v>
      </c>
    </row>
    <row r="6" spans="2:10" x14ac:dyDescent="0.2">
      <c r="B6" t="s">
        <v>122</v>
      </c>
      <c r="D6" s="8">
        <f>D7-D5-D4</f>
        <v>10444</v>
      </c>
      <c r="E6" s="8">
        <f>E7-E5-E4</f>
        <v>13958</v>
      </c>
      <c r="F6" s="8">
        <f>F11*F4</f>
        <v>12996.66192997671</v>
      </c>
      <c r="G6" s="8">
        <f t="shared" ref="G6:J6" si="3">G11*G4</f>
        <v>13362.888187503828</v>
      </c>
      <c r="H6" s="8">
        <f t="shared" si="3"/>
        <v>13739.43414653776</v>
      </c>
      <c r="I6" s="8">
        <f t="shared" si="3"/>
        <v>14126.59060064396</v>
      </c>
      <c r="J6" s="8">
        <f t="shared" si="3"/>
        <v>14524.656537510326</v>
      </c>
    </row>
    <row r="7" spans="2:10" x14ac:dyDescent="0.2">
      <c r="B7" s="19" t="s">
        <v>123</v>
      </c>
      <c r="C7" s="19"/>
      <c r="D7" s="20">
        <f>'Balance Sheet'!D14</f>
        <v>36766</v>
      </c>
      <c r="E7" s="20">
        <f>'Balance Sheet'!E14</f>
        <v>39440</v>
      </c>
      <c r="F7" s="20">
        <f>SUM(F4:F6)</f>
        <v>40551.359491744159</v>
      </c>
      <c r="G7" s="20">
        <f t="shared" ref="G7:J7" si="4">SUM(G4:G6)</f>
        <v>41694.035411477409</v>
      </c>
      <c r="H7" s="20">
        <f t="shared" si="4"/>
        <v>42868.910208730515</v>
      </c>
      <c r="I7" s="20">
        <f t="shared" si="4"/>
        <v>44076.891199126068</v>
      </c>
      <c r="J7" s="20">
        <f t="shared" si="4"/>
        <v>45318.911265067327</v>
      </c>
    </row>
    <row r="9" spans="2:10" x14ac:dyDescent="0.2">
      <c r="B9" s="29" t="s">
        <v>124</v>
      </c>
      <c r="C9" s="30"/>
      <c r="D9" s="30"/>
      <c r="E9" s="30"/>
      <c r="F9" s="30"/>
      <c r="G9" s="30"/>
      <c r="H9" s="30"/>
      <c r="I9" s="30"/>
      <c r="J9" s="30"/>
    </row>
    <row r="10" spans="2:10" x14ac:dyDescent="0.2">
      <c r="B10" s="30" t="s">
        <v>125</v>
      </c>
      <c r="C10" s="30"/>
      <c r="D10" s="34">
        <f>D5/D4</f>
        <v>-0.29578896677189792</v>
      </c>
      <c r="E10" s="34">
        <f>E5/E4</f>
        <v>-0.30691399662731872</v>
      </c>
      <c r="F10" s="34">
        <f>AVERAGE(D10:E10)</f>
        <v>-0.30135148169960835</v>
      </c>
      <c r="G10" s="34">
        <f>F10</f>
        <v>-0.30135148169960835</v>
      </c>
      <c r="H10" s="34">
        <f t="shared" ref="H10:J11" si="5">G10</f>
        <v>-0.30135148169960835</v>
      </c>
      <c r="I10" s="34">
        <f t="shared" si="5"/>
        <v>-0.30135148169960835</v>
      </c>
      <c r="J10" s="34">
        <f t="shared" si="5"/>
        <v>-0.30135148169960835</v>
      </c>
    </row>
    <row r="11" spans="2:10" x14ac:dyDescent="0.2">
      <c r="B11" s="30" t="s">
        <v>126</v>
      </c>
      <c r="C11" s="30"/>
      <c r="D11" s="34">
        <f>D6/D4</f>
        <v>0.27941569907432179</v>
      </c>
      <c r="E11" s="34">
        <f>E6/E4</f>
        <v>0.37964423652287438</v>
      </c>
      <c r="F11" s="34">
        <f>AVERAGE(D11:E11)</f>
        <v>0.32952996779859811</v>
      </c>
      <c r="G11" s="34">
        <f>F11</f>
        <v>0.32952996779859811</v>
      </c>
      <c r="H11" s="34">
        <f t="shared" si="5"/>
        <v>0.32952996779859811</v>
      </c>
      <c r="I11" s="34">
        <f t="shared" si="5"/>
        <v>0.32952996779859811</v>
      </c>
      <c r="J11" s="34">
        <f t="shared" si="5"/>
        <v>0.32952996779859811</v>
      </c>
    </row>
  </sheetData>
  <mergeCells count="1">
    <mergeCell ref="F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39E0-A4CD-4F42-928F-4475F760DFA0}">
  <dimension ref="B2:J10"/>
  <sheetViews>
    <sheetView showGridLines="0" workbookViewId="0">
      <selection activeCell="C4" sqref="C4:J4"/>
    </sheetView>
  </sheetViews>
  <sheetFormatPr baseColWidth="10" defaultRowHeight="15" x14ac:dyDescent="0.2"/>
  <cols>
    <col min="2" max="2" width="36.6640625" bestFit="1" customWidth="1"/>
  </cols>
  <sheetData>
    <row r="2" spans="2:10" x14ac:dyDescent="0.2">
      <c r="B2" s="12" t="s">
        <v>127</v>
      </c>
      <c r="C2" s="13"/>
      <c r="D2" s="13"/>
      <c r="E2" s="13"/>
      <c r="F2" s="61" t="s">
        <v>89</v>
      </c>
      <c r="G2" s="61"/>
      <c r="H2" s="61"/>
      <c r="I2" s="61"/>
      <c r="J2" s="61"/>
    </row>
    <row r="3" spans="2:10" x14ac:dyDescent="0.2">
      <c r="B3" s="12" t="s">
        <v>94</v>
      </c>
      <c r="C3" s="14">
        <v>43709</v>
      </c>
      <c r="D3" s="14">
        <f>EDATE(C3,12)</f>
        <v>44075</v>
      </c>
      <c r="E3" s="14">
        <f>EDATE(D3,12)</f>
        <v>44440</v>
      </c>
      <c r="F3" s="14">
        <f>EDATE(E3,12)</f>
        <v>44805</v>
      </c>
      <c r="G3" s="14">
        <f t="shared" ref="G3:J3" si="0">EDATE(F3,12)</f>
        <v>45170</v>
      </c>
      <c r="H3" s="14">
        <f t="shared" si="0"/>
        <v>45536</v>
      </c>
      <c r="I3" s="14">
        <f t="shared" si="0"/>
        <v>45901</v>
      </c>
      <c r="J3" s="14">
        <f t="shared" si="0"/>
        <v>46266</v>
      </c>
    </row>
    <row r="4" spans="2:10" x14ac:dyDescent="0.2">
      <c r="B4" t="s">
        <v>128</v>
      </c>
      <c r="C4" s="8"/>
      <c r="D4" s="8">
        <f>C7</f>
        <v>91807</v>
      </c>
      <c r="E4" s="8">
        <f>D7</f>
        <v>98667</v>
      </c>
      <c r="F4" s="8">
        <f>E7</f>
        <v>109106</v>
      </c>
      <c r="G4" s="8">
        <f t="shared" ref="G4:J4" si="1">F7</f>
        <v>99523</v>
      </c>
      <c r="H4" s="8">
        <f t="shared" si="1"/>
        <v>88132</v>
      </c>
      <c r="I4" s="8">
        <f t="shared" si="1"/>
        <v>77930</v>
      </c>
      <c r="J4" s="8">
        <f t="shared" si="1"/>
        <v>67016</v>
      </c>
    </row>
    <row r="5" spans="2:10" x14ac:dyDescent="0.2">
      <c r="B5" t="s">
        <v>129</v>
      </c>
      <c r="C5" s="8"/>
      <c r="D5" s="8"/>
      <c r="E5" s="8"/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2:10" x14ac:dyDescent="0.2">
      <c r="B6" t="s">
        <v>130</v>
      </c>
      <c r="C6" s="8"/>
      <c r="D6" s="8"/>
      <c r="E6" s="8"/>
      <c r="F6" s="41">
        <v>9583</v>
      </c>
      <c r="G6" s="41">
        <v>11391</v>
      </c>
      <c r="H6" s="41">
        <v>10202</v>
      </c>
      <c r="I6" s="41">
        <v>10914</v>
      </c>
      <c r="J6" s="41">
        <v>11408</v>
      </c>
    </row>
    <row r="7" spans="2:10" x14ac:dyDescent="0.2">
      <c r="B7" s="19" t="s">
        <v>131</v>
      </c>
      <c r="C7" s="20">
        <f>'Balance Sheet'!C27</f>
        <v>91807</v>
      </c>
      <c r="D7" s="20">
        <f>'Balance Sheet'!D27</f>
        <v>98667</v>
      </c>
      <c r="E7" s="20">
        <f>'Balance Sheet'!E27</f>
        <v>109106</v>
      </c>
      <c r="F7" s="20">
        <f>F4+F5-F6</f>
        <v>99523</v>
      </c>
      <c r="G7" s="20">
        <f t="shared" ref="G7:J7" si="2">G4+G5-G6</f>
        <v>88132</v>
      </c>
      <c r="H7" s="20">
        <f t="shared" si="2"/>
        <v>77930</v>
      </c>
      <c r="I7" s="20">
        <f t="shared" si="2"/>
        <v>67016</v>
      </c>
      <c r="J7" s="20">
        <f t="shared" si="2"/>
        <v>55608</v>
      </c>
    </row>
    <row r="9" spans="2:10" x14ac:dyDescent="0.2">
      <c r="B9" s="29" t="s">
        <v>132</v>
      </c>
      <c r="C9" s="39"/>
      <c r="D9" s="39"/>
      <c r="E9" s="39"/>
      <c r="F9" s="30"/>
      <c r="G9" s="30"/>
      <c r="H9" s="30"/>
      <c r="I9" s="30"/>
      <c r="J9" s="30"/>
    </row>
    <row r="10" spans="2:10" x14ac:dyDescent="0.2">
      <c r="B10" s="30" t="s">
        <v>133</v>
      </c>
      <c r="C10" s="30"/>
      <c r="D10" s="40">
        <f>'Income Statement'!D22/'Debt Schedule'!D4</f>
        <v>8.746609735641073E-3</v>
      </c>
      <c r="E10" s="40">
        <f>'Income Statement'!E22/'Debt Schedule'!E4</f>
        <v>2.6148560308917874E-3</v>
      </c>
      <c r="F10" s="40">
        <f>AVERAGE(D10:E10)</f>
        <v>5.6807328832664305E-3</v>
      </c>
      <c r="G10" s="40">
        <f>F10</f>
        <v>5.6807328832664305E-3</v>
      </c>
      <c r="H10" s="40">
        <f t="shared" ref="H10:J10" si="3">G10</f>
        <v>5.6807328832664305E-3</v>
      </c>
      <c r="I10" s="40">
        <f t="shared" si="3"/>
        <v>5.6807328832664305E-3</v>
      </c>
      <c r="J10" s="40">
        <f t="shared" si="3"/>
        <v>5.6807328832664305E-3</v>
      </c>
    </row>
  </sheetData>
  <mergeCells count="1">
    <mergeCell ref="F2:J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1C8B-C793-6C49-8C76-8F778D4DD15A}">
  <dimension ref="B2:J10"/>
  <sheetViews>
    <sheetView showGridLines="0" workbookViewId="0">
      <selection activeCell="E6" sqref="E6"/>
    </sheetView>
  </sheetViews>
  <sheetFormatPr baseColWidth="10" defaultRowHeight="15" x14ac:dyDescent="0.2"/>
  <cols>
    <col min="2" max="2" width="36.6640625" bestFit="1" customWidth="1"/>
  </cols>
  <sheetData>
    <row r="2" spans="2:10" x14ac:dyDescent="0.2">
      <c r="B2" s="12" t="s">
        <v>134</v>
      </c>
      <c r="C2" s="13"/>
      <c r="D2" s="13"/>
      <c r="E2" s="13"/>
      <c r="F2" s="61" t="s">
        <v>89</v>
      </c>
      <c r="G2" s="61"/>
      <c r="H2" s="61"/>
      <c r="I2" s="61"/>
      <c r="J2" s="61"/>
    </row>
    <row r="3" spans="2:10" x14ac:dyDescent="0.2">
      <c r="B3" s="12" t="s">
        <v>94</v>
      </c>
      <c r="C3" s="14">
        <v>43709</v>
      </c>
      <c r="D3" s="14">
        <f>EDATE(C3,12)</f>
        <v>44075</v>
      </c>
      <c r="E3" s="14">
        <f>EDATE(D3,12)</f>
        <v>44440</v>
      </c>
      <c r="F3" s="14">
        <f>EDATE(E3,12)</f>
        <v>44805</v>
      </c>
      <c r="G3" s="14">
        <f t="shared" ref="G3:J3" si="0">EDATE(F3,12)</f>
        <v>45170</v>
      </c>
      <c r="H3" s="14">
        <f t="shared" si="0"/>
        <v>45536</v>
      </c>
      <c r="I3" s="14">
        <f t="shared" si="0"/>
        <v>45901</v>
      </c>
      <c r="J3" s="14">
        <f t="shared" si="0"/>
        <v>46266</v>
      </c>
    </row>
    <row r="4" spans="2:10" x14ac:dyDescent="0.2">
      <c r="B4" t="s">
        <v>135</v>
      </c>
      <c r="C4" s="8"/>
      <c r="D4" s="8"/>
      <c r="E4" s="8"/>
      <c r="F4" s="8">
        <f>E7</f>
        <v>5562</v>
      </c>
      <c r="G4" s="8">
        <f t="shared" ref="G4:J4" ca="1" si="1">F7</f>
        <v>82730.69081716775</v>
      </c>
      <c r="H4" s="8">
        <f t="shared" ca="1" si="1"/>
        <v>172931.15623007124</v>
      </c>
      <c r="I4" s="8">
        <f t="shared" ca="1" si="1"/>
        <v>275700.50650385604</v>
      </c>
      <c r="J4" s="8">
        <f t="shared" ca="1" si="1"/>
        <v>389757.19183302671</v>
      </c>
    </row>
    <row r="5" spans="2:10" x14ac:dyDescent="0.2">
      <c r="B5" t="s">
        <v>136</v>
      </c>
      <c r="C5" s="8">
        <f>'Income Statement'!C25</f>
        <v>55256</v>
      </c>
      <c r="D5" s="8">
        <f>'Income Statement'!D25</f>
        <v>57411</v>
      </c>
      <c r="E5" s="8">
        <f>'Income Statement'!E25</f>
        <v>94680</v>
      </c>
      <c r="F5" s="8">
        <f ca="1">'Income Statement'!G25</f>
        <v>98663.747539588658</v>
      </c>
      <c r="G5" s="8">
        <f ca="1">'Income Statement'!H25</f>
        <v>115325.47530885709</v>
      </c>
      <c r="H5" s="8">
        <f ca="1">'Income Statement'!I25</f>
        <v>131395.37709980816</v>
      </c>
      <c r="I5" s="8">
        <f ca="1">'Income Statement'!J25</f>
        <v>145826.75807188998</v>
      </c>
      <c r="J5" s="8">
        <f ca="1">'Income Statement'!K25</f>
        <v>157515.94173264047</v>
      </c>
    </row>
    <row r="6" spans="2:10" x14ac:dyDescent="0.2">
      <c r="B6" t="s">
        <v>137</v>
      </c>
      <c r="C6" s="8">
        <f>'Statement of Cashflows - Data'!C35</f>
        <v>-14119</v>
      </c>
      <c r="D6" s="8">
        <f>'Statement of Cashflows - Data'!D35</f>
        <v>-14081</v>
      </c>
      <c r="E6" s="8">
        <f>'Statement of Cashflows - Data'!E35</f>
        <v>-14467</v>
      </c>
      <c r="F6" s="8">
        <f ca="1">F5*F10</f>
        <v>-21495.056722420901</v>
      </c>
      <c r="G6" s="8">
        <f t="shared" ref="G6:J6" ca="1" si="2">G5*G10</f>
        <v>-25125.009895953612</v>
      </c>
      <c r="H6" s="8">
        <f t="shared" ca="1" si="2"/>
        <v>-28626.026826023353</v>
      </c>
      <c r="I6" s="8">
        <f t="shared" ca="1" si="2"/>
        <v>-31770.072742719309</v>
      </c>
      <c r="J6" s="8">
        <f t="shared" ca="1" si="2"/>
        <v>-34316.698753714983</v>
      </c>
    </row>
    <row r="7" spans="2:10" x14ac:dyDescent="0.2">
      <c r="B7" s="19" t="s">
        <v>138</v>
      </c>
      <c r="C7" s="20"/>
      <c r="D7" s="20"/>
      <c r="E7" s="20">
        <f>'Balance Sheet'!E33</f>
        <v>5562</v>
      </c>
      <c r="F7" s="20">
        <f ca="1">SUM(F4:F6)</f>
        <v>82730.69081716775</v>
      </c>
      <c r="G7" s="20">
        <f t="shared" ref="G7:J7" ca="1" si="3">SUM(G4:G6)</f>
        <v>172931.15623007124</v>
      </c>
      <c r="H7" s="20">
        <f t="shared" ca="1" si="3"/>
        <v>275700.50650385604</v>
      </c>
      <c r="I7" s="20">
        <f t="shared" ca="1" si="3"/>
        <v>389757.19183302671</v>
      </c>
      <c r="J7" s="20">
        <f t="shared" ca="1" si="3"/>
        <v>512956.43481195223</v>
      </c>
    </row>
    <row r="9" spans="2:10" x14ac:dyDescent="0.2">
      <c r="B9" s="30" t="s">
        <v>139</v>
      </c>
      <c r="C9" s="39"/>
      <c r="D9" s="39"/>
      <c r="E9" s="39"/>
      <c r="F9" s="30"/>
      <c r="G9" s="30"/>
      <c r="H9" s="30"/>
      <c r="I9" s="30"/>
      <c r="J9" s="30"/>
    </row>
    <row r="10" spans="2:10" x14ac:dyDescent="0.2">
      <c r="B10" s="30" t="s">
        <v>140</v>
      </c>
      <c r="C10" s="42">
        <f>C6/C5</f>
        <v>-0.25551976255972203</v>
      </c>
      <c r="D10" s="42">
        <f t="shared" ref="D10:E10" si="4">D6/D5</f>
        <v>-0.24526658654264863</v>
      </c>
      <c r="E10" s="42">
        <f t="shared" si="4"/>
        <v>-0.15279890156316012</v>
      </c>
      <c r="F10" s="34">
        <f>AVERAGE(C10:E10)</f>
        <v>-0.21786175022184359</v>
      </c>
      <c r="G10" s="34">
        <f>F10</f>
        <v>-0.21786175022184359</v>
      </c>
      <c r="H10" s="34">
        <f t="shared" ref="H10:J10" si="5">G10</f>
        <v>-0.21786175022184359</v>
      </c>
      <c r="I10" s="34">
        <f t="shared" si="5"/>
        <v>-0.21786175022184359</v>
      </c>
      <c r="J10" s="34">
        <f t="shared" si="5"/>
        <v>-0.21786175022184359</v>
      </c>
    </row>
  </sheetData>
  <mergeCells count="1">
    <mergeCell ref="F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C55E-62D4-4777-B758-85DCA86509A0}">
  <dimension ref="A1"/>
  <sheetViews>
    <sheetView workbookViewId="0">
      <selection activeCell="D21" sqref="D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9A7B-3FC4-4BC4-BAB3-BD22406B3CBB}">
  <dimension ref="B2:L36"/>
  <sheetViews>
    <sheetView zoomScale="90" zoomScaleNormal="90" workbookViewId="0">
      <selection activeCell="C2" sqref="C2:E2"/>
    </sheetView>
  </sheetViews>
  <sheetFormatPr baseColWidth="10" defaultColWidth="8.83203125" defaultRowHeight="15" x14ac:dyDescent="0.2"/>
  <cols>
    <col min="2" max="2" width="36" bestFit="1" customWidth="1"/>
  </cols>
  <sheetData>
    <row r="2" spans="2:12" x14ac:dyDescent="0.2">
      <c r="B2" t="s">
        <v>9</v>
      </c>
      <c r="C2" s="50">
        <v>43466</v>
      </c>
      <c r="D2" s="50">
        <v>43831</v>
      </c>
      <c r="E2" s="50">
        <v>44197</v>
      </c>
    </row>
    <row r="3" spans="2:12" x14ac:dyDescent="0.2">
      <c r="B3" t="s">
        <v>75</v>
      </c>
    </row>
    <row r="4" spans="2:12" x14ac:dyDescent="0.2">
      <c r="B4" t="s">
        <v>90</v>
      </c>
      <c r="C4">
        <v>213883</v>
      </c>
      <c r="D4">
        <v>220747</v>
      </c>
      <c r="E4">
        <v>297392</v>
      </c>
    </row>
    <row r="5" spans="2:12" x14ac:dyDescent="0.2">
      <c r="B5" t="s">
        <v>91</v>
      </c>
      <c r="C5">
        <v>46291</v>
      </c>
      <c r="D5">
        <v>53768</v>
      </c>
      <c r="E5">
        <v>68425</v>
      </c>
    </row>
    <row r="6" spans="2:12" x14ac:dyDescent="0.2">
      <c r="B6" t="s">
        <v>74</v>
      </c>
      <c r="C6" s="1">
        <v>260174</v>
      </c>
      <c r="D6" s="1">
        <v>274515</v>
      </c>
      <c r="E6" s="1">
        <v>365817</v>
      </c>
      <c r="H6" s="1"/>
      <c r="L6" s="1"/>
    </row>
    <row r="7" spans="2:12" x14ac:dyDescent="0.2">
      <c r="C7" s="1"/>
      <c r="D7" s="1"/>
      <c r="E7" s="1"/>
      <c r="H7" s="1"/>
      <c r="L7" s="1"/>
    </row>
    <row r="8" spans="2:12" x14ac:dyDescent="0.2">
      <c r="B8" t="s">
        <v>76</v>
      </c>
      <c r="C8" s="1"/>
      <c r="D8" s="1"/>
      <c r="E8" s="1"/>
      <c r="H8" s="1"/>
    </row>
    <row r="9" spans="2:12" x14ac:dyDescent="0.2">
      <c r="B9" t="s">
        <v>92</v>
      </c>
      <c r="C9" s="1">
        <v>144996</v>
      </c>
      <c r="D9" s="1">
        <v>151286</v>
      </c>
      <c r="E9" s="1">
        <v>192266</v>
      </c>
      <c r="H9" s="1"/>
      <c r="L9" s="1"/>
    </row>
    <row r="10" spans="2:12" x14ac:dyDescent="0.2">
      <c r="B10" t="s">
        <v>93</v>
      </c>
      <c r="C10" s="1">
        <v>16786</v>
      </c>
      <c r="D10" s="1">
        <v>18273</v>
      </c>
      <c r="E10" s="1">
        <v>20715</v>
      </c>
      <c r="H10" s="1"/>
      <c r="L10" s="1"/>
    </row>
    <row r="11" spans="2:12" x14ac:dyDescent="0.2">
      <c r="B11" t="s">
        <v>79</v>
      </c>
      <c r="C11" s="1">
        <v>161782</v>
      </c>
      <c r="D11" s="1">
        <v>169559</v>
      </c>
      <c r="E11" s="1">
        <v>212981</v>
      </c>
      <c r="F11" s="1"/>
      <c r="G11" s="1"/>
      <c r="H11" s="1"/>
    </row>
    <row r="12" spans="2:12" x14ac:dyDescent="0.2">
      <c r="B12" t="s">
        <v>0</v>
      </c>
      <c r="C12" s="1">
        <v>98392</v>
      </c>
      <c r="D12" s="1">
        <v>104956</v>
      </c>
      <c r="E12" s="1">
        <v>152836</v>
      </c>
      <c r="I12" s="1"/>
    </row>
    <row r="13" spans="2:12" x14ac:dyDescent="0.2">
      <c r="C13" s="1"/>
      <c r="D13" s="1"/>
      <c r="E13" s="1"/>
      <c r="I13" s="1"/>
    </row>
    <row r="14" spans="2:12" x14ac:dyDescent="0.2">
      <c r="B14" t="s">
        <v>82</v>
      </c>
      <c r="E14" s="1"/>
    </row>
    <row r="15" spans="2:12" x14ac:dyDescent="0.2">
      <c r="B15" t="s">
        <v>1</v>
      </c>
      <c r="C15" s="1">
        <v>16217</v>
      </c>
      <c r="D15" s="1">
        <v>18752</v>
      </c>
      <c r="E15" s="1">
        <v>21914</v>
      </c>
      <c r="I15" s="1"/>
    </row>
    <row r="16" spans="2:12" x14ac:dyDescent="0.2">
      <c r="B16" t="s">
        <v>2</v>
      </c>
      <c r="C16" s="1">
        <v>18245</v>
      </c>
      <c r="D16" s="1">
        <v>19916</v>
      </c>
      <c r="E16" s="1">
        <v>21973</v>
      </c>
      <c r="I16" s="1"/>
    </row>
    <row r="17" spans="2:9" x14ac:dyDescent="0.2">
      <c r="B17" t="s">
        <v>3</v>
      </c>
      <c r="C17" s="1">
        <v>34462</v>
      </c>
      <c r="D17" s="1">
        <v>38668</v>
      </c>
      <c r="E17" s="1">
        <v>43887</v>
      </c>
      <c r="I17" s="1"/>
    </row>
    <row r="18" spans="2:9" x14ac:dyDescent="0.2">
      <c r="B18" t="s">
        <v>4</v>
      </c>
      <c r="C18" s="1">
        <v>63930</v>
      </c>
      <c r="D18" s="1">
        <v>66288</v>
      </c>
      <c r="E18" s="1">
        <v>108949</v>
      </c>
      <c r="I18" s="1"/>
    </row>
    <row r="19" spans="2:9" x14ac:dyDescent="0.2">
      <c r="C19" s="1"/>
      <c r="D19" s="1"/>
      <c r="E19" s="1"/>
      <c r="I19" s="1"/>
    </row>
    <row r="20" spans="2:9" x14ac:dyDescent="0.2">
      <c r="B20" t="s">
        <v>5</v>
      </c>
      <c r="C20" s="1">
        <v>1807</v>
      </c>
      <c r="D20">
        <v>803</v>
      </c>
      <c r="E20" s="1">
        <v>258</v>
      </c>
    </row>
    <row r="21" spans="2:9" x14ac:dyDescent="0.2">
      <c r="B21" t="s">
        <v>6</v>
      </c>
      <c r="C21" s="1">
        <v>65737</v>
      </c>
      <c r="D21" s="1">
        <v>67091</v>
      </c>
      <c r="E21" s="1">
        <v>109207</v>
      </c>
      <c r="G21" s="3"/>
      <c r="H21" s="3"/>
      <c r="I21" s="3"/>
    </row>
    <row r="22" spans="2:9" x14ac:dyDescent="0.2">
      <c r="B22" t="s">
        <v>7</v>
      </c>
      <c r="C22" s="1">
        <v>10481</v>
      </c>
      <c r="D22" s="1">
        <v>9680</v>
      </c>
      <c r="E22" s="1">
        <v>14527</v>
      </c>
      <c r="H22" s="1"/>
    </row>
    <row r="23" spans="2:9" x14ac:dyDescent="0.2">
      <c r="B23" s="1" t="s">
        <v>8</v>
      </c>
      <c r="C23" s="1">
        <v>55256</v>
      </c>
      <c r="D23" s="2">
        <v>57411</v>
      </c>
      <c r="E23" s="2">
        <v>94680</v>
      </c>
    </row>
    <row r="24" spans="2:9" x14ac:dyDescent="0.2">
      <c r="B24" s="1"/>
      <c r="C24" s="1"/>
      <c r="E24" s="1"/>
      <c r="H24" s="1"/>
    </row>
    <row r="26" spans="2:9" x14ac:dyDescent="0.2">
      <c r="B26" s="1"/>
      <c r="E26" s="1"/>
      <c r="H26" s="1"/>
    </row>
    <row r="28" spans="2:9" x14ac:dyDescent="0.2">
      <c r="B28" s="1"/>
      <c r="E28" s="1"/>
      <c r="H28" s="1"/>
    </row>
    <row r="30" spans="2:9" x14ac:dyDescent="0.2">
      <c r="H30" s="1"/>
    </row>
    <row r="32" spans="2:9" x14ac:dyDescent="0.2">
      <c r="B32" s="1"/>
      <c r="E32" s="1"/>
      <c r="H32" s="1"/>
    </row>
    <row r="34" spans="2:11" x14ac:dyDescent="0.2">
      <c r="B34" s="1"/>
      <c r="E34" s="1"/>
      <c r="H34" s="1"/>
    </row>
    <row r="36" spans="2:11" x14ac:dyDescent="0.2">
      <c r="C36" s="1"/>
      <c r="G36" s="1"/>
      <c r="K3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457C-C517-4759-A344-296D24F49324}">
  <dimension ref="B2:E38"/>
  <sheetViews>
    <sheetView topLeftCell="A17" workbookViewId="0">
      <selection activeCell="B34" sqref="B34"/>
    </sheetView>
  </sheetViews>
  <sheetFormatPr baseColWidth="10" defaultColWidth="8.83203125" defaultRowHeight="15" x14ac:dyDescent="0.2"/>
  <cols>
    <col min="2" max="2" width="46.6640625" customWidth="1"/>
  </cols>
  <sheetData>
    <row r="2" spans="2:5" x14ac:dyDescent="0.2">
      <c r="B2" t="s">
        <v>39</v>
      </c>
      <c r="C2" s="4">
        <v>43709</v>
      </c>
      <c r="D2" s="4">
        <v>44075</v>
      </c>
      <c r="E2" s="4">
        <v>44440</v>
      </c>
    </row>
    <row r="3" spans="2:5" x14ac:dyDescent="0.2">
      <c r="B3" t="s">
        <v>10</v>
      </c>
    </row>
    <row r="4" spans="2:5" x14ac:dyDescent="0.2">
      <c r="B4" t="s">
        <v>11</v>
      </c>
      <c r="C4" s="2">
        <v>48844</v>
      </c>
      <c r="D4" s="2">
        <v>38016</v>
      </c>
      <c r="E4" s="2">
        <v>34940</v>
      </c>
    </row>
    <row r="5" spans="2:5" x14ac:dyDescent="0.2">
      <c r="B5" t="s">
        <v>88</v>
      </c>
      <c r="C5" s="1">
        <v>51713</v>
      </c>
      <c r="D5" s="1">
        <v>52927</v>
      </c>
      <c r="E5" s="1">
        <v>27699</v>
      </c>
    </row>
    <row r="6" spans="2:5" x14ac:dyDescent="0.2">
      <c r="B6" t="s">
        <v>12</v>
      </c>
      <c r="C6" s="1">
        <v>22926</v>
      </c>
      <c r="D6" s="1">
        <v>16120</v>
      </c>
      <c r="E6" s="1">
        <v>26278</v>
      </c>
    </row>
    <row r="7" spans="2:5" x14ac:dyDescent="0.2">
      <c r="B7" t="s">
        <v>13</v>
      </c>
      <c r="C7" s="1">
        <v>4106</v>
      </c>
      <c r="D7" s="1">
        <v>4061</v>
      </c>
      <c r="E7" s="1">
        <v>6580</v>
      </c>
    </row>
    <row r="8" spans="2:5" x14ac:dyDescent="0.2">
      <c r="B8" t="s">
        <v>14</v>
      </c>
      <c r="C8" s="1">
        <v>22878</v>
      </c>
      <c r="D8" s="1">
        <v>21325</v>
      </c>
      <c r="E8" s="1">
        <v>25228</v>
      </c>
    </row>
    <row r="9" spans="2:5" x14ac:dyDescent="0.2">
      <c r="B9" t="s">
        <v>15</v>
      </c>
      <c r="C9" s="1">
        <v>12352</v>
      </c>
      <c r="D9" s="1">
        <v>11264</v>
      </c>
      <c r="E9" s="1">
        <v>14111</v>
      </c>
    </row>
    <row r="10" spans="2:5" x14ac:dyDescent="0.2">
      <c r="B10" t="s">
        <v>16</v>
      </c>
      <c r="C10" s="1">
        <v>162819</v>
      </c>
      <c r="D10" s="1">
        <v>143713</v>
      </c>
      <c r="E10" s="1">
        <v>134836</v>
      </c>
    </row>
    <row r="11" spans="2:5" x14ac:dyDescent="0.2">
      <c r="D11" s="1"/>
      <c r="E11" s="1"/>
    </row>
    <row r="12" spans="2:5" x14ac:dyDescent="0.2">
      <c r="B12" t="s">
        <v>17</v>
      </c>
    </row>
    <row r="13" spans="2:5" x14ac:dyDescent="0.2">
      <c r="B13" t="s">
        <v>85</v>
      </c>
      <c r="C13" s="1">
        <v>105341</v>
      </c>
      <c r="D13" s="1">
        <v>100887</v>
      </c>
      <c r="E13" s="1">
        <v>127877</v>
      </c>
    </row>
    <row r="14" spans="2:5" x14ac:dyDescent="0.2">
      <c r="B14" t="s">
        <v>18</v>
      </c>
      <c r="C14" s="1">
        <v>37378</v>
      </c>
      <c r="D14" s="1">
        <v>36766</v>
      </c>
      <c r="E14" s="1">
        <v>39440</v>
      </c>
    </row>
    <row r="15" spans="2:5" x14ac:dyDescent="0.2">
      <c r="B15" t="s">
        <v>19</v>
      </c>
      <c r="C15" s="1">
        <v>32978</v>
      </c>
      <c r="D15" s="1">
        <v>42522</v>
      </c>
      <c r="E15" s="1">
        <v>48849</v>
      </c>
    </row>
    <row r="16" spans="2:5" x14ac:dyDescent="0.2">
      <c r="B16" t="s">
        <v>20</v>
      </c>
      <c r="C16" s="1">
        <v>175697</v>
      </c>
      <c r="D16" s="1">
        <v>180175</v>
      </c>
      <c r="E16" s="1">
        <v>216166</v>
      </c>
    </row>
    <row r="17" spans="2:5" x14ac:dyDescent="0.2">
      <c r="B17" t="s">
        <v>21</v>
      </c>
      <c r="C17" s="1">
        <v>338516</v>
      </c>
      <c r="D17" s="1">
        <v>323888</v>
      </c>
      <c r="E17" s="1">
        <v>351002</v>
      </c>
    </row>
    <row r="18" spans="2:5" x14ac:dyDescent="0.2">
      <c r="D18" s="1"/>
      <c r="E18" s="1"/>
    </row>
    <row r="19" spans="2:5" x14ac:dyDescent="0.2">
      <c r="B19" t="s">
        <v>22</v>
      </c>
    </row>
    <row r="20" spans="2:5" x14ac:dyDescent="0.2">
      <c r="B20" t="s">
        <v>23</v>
      </c>
      <c r="C20" s="1">
        <v>46236</v>
      </c>
      <c r="D20" s="1">
        <v>42296</v>
      </c>
      <c r="E20" s="1">
        <v>54763</v>
      </c>
    </row>
    <row r="21" spans="2:5" x14ac:dyDescent="0.2">
      <c r="B21" t="s">
        <v>24</v>
      </c>
      <c r="C21" s="1">
        <v>37720</v>
      </c>
      <c r="D21" s="1">
        <v>42684</v>
      </c>
      <c r="E21" s="1">
        <v>47493</v>
      </c>
    </row>
    <row r="22" spans="2:5" x14ac:dyDescent="0.2">
      <c r="B22" t="s">
        <v>25</v>
      </c>
      <c r="C22" s="1">
        <v>5522</v>
      </c>
      <c r="D22" s="1">
        <v>6643</v>
      </c>
      <c r="E22" s="1">
        <v>7612</v>
      </c>
    </row>
    <row r="23" spans="2:5" x14ac:dyDescent="0.2">
      <c r="B23" t="s">
        <v>26</v>
      </c>
      <c r="C23" s="1">
        <v>5980</v>
      </c>
      <c r="D23" s="1">
        <v>4996</v>
      </c>
      <c r="E23" s="1">
        <v>6000</v>
      </c>
    </row>
    <row r="24" spans="2:5" x14ac:dyDescent="0.2">
      <c r="B24" t="s">
        <v>86</v>
      </c>
      <c r="C24" s="1">
        <v>10260</v>
      </c>
      <c r="D24" s="1">
        <v>8773</v>
      </c>
      <c r="E24" s="1">
        <v>9613</v>
      </c>
    </row>
    <row r="25" spans="2:5" x14ac:dyDescent="0.2">
      <c r="B25" t="s">
        <v>27</v>
      </c>
      <c r="C25" s="1">
        <v>105718</v>
      </c>
      <c r="D25" s="1">
        <v>105392</v>
      </c>
      <c r="E25" s="1">
        <v>125481</v>
      </c>
    </row>
    <row r="26" spans="2:5" x14ac:dyDescent="0.2">
      <c r="D26" s="1"/>
      <c r="E26" s="1"/>
    </row>
    <row r="27" spans="2:5" x14ac:dyDescent="0.2">
      <c r="B27" t="s">
        <v>28</v>
      </c>
    </row>
    <row r="28" spans="2:5" x14ac:dyDescent="0.2">
      <c r="B28" t="s">
        <v>87</v>
      </c>
      <c r="C28" s="1">
        <v>91807</v>
      </c>
      <c r="D28" s="1">
        <v>98667</v>
      </c>
      <c r="E28" s="1">
        <v>109106</v>
      </c>
    </row>
    <row r="29" spans="2:5" x14ac:dyDescent="0.2">
      <c r="B29" t="s">
        <v>29</v>
      </c>
      <c r="C29" s="1">
        <v>50503</v>
      </c>
      <c r="D29" s="1">
        <v>54490</v>
      </c>
      <c r="E29" s="1">
        <v>53325</v>
      </c>
    </row>
    <row r="30" spans="2:5" x14ac:dyDescent="0.2">
      <c r="B30" t="s">
        <v>30</v>
      </c>
      <c r="C30" s="1">
        <v>142310</v>
      </c>
      <c r="D30" s="1">
        <v>153157</v>
      </c>
      <c r="E30" s="1">
        <v>162431</v>
      </c>
    </row>
    <row r="31" spans="2:5" x14ac:dyDescent="0.2">
      <c r="B31" t="s">
        <v>31</v>
      </c>
      <c r="C31" s="1">
        <v>248028</v>
      </c>
      <c r="D31" s="1">
        <v>258549</v>
      </c>
      <c r="E31" s="1">
        <v>287912</v>
      </c>
    </row>
    <row r="32" spans="2:5" x14ac:dyDescent="0.2">
      <c r="D32" t="s">
        <v>32</v>
      </c>
      <c r="E32" t="s">
        <v>32</v>
      </c>
    </row>
    <row r="33" spans="2:5" x14ac:dyDescent="0.2">
      <c r="B33" t="s">
        <v>33</v>
      </c>
    </row>
    <row r="34" spans="2:5" x14ac:dyDescent="0.2">
      <c r="B34" t="s">
        <v>34</v>
      </c>
      <c r="C34" s="1">
        <v>45174</v>
      </c>
      <c r="D34" s="1">
        <v>50779</v>
      </c>
      <c r="E34" s="1">
        <v>57365</v>
      </c>
    </row>
    <row r="35" spans="2:5" x14ac:dyDescent="0.2">
      <c r="B35" t="s">
        <v>35</v>
      </c>
      <c r="C35" s="1">
        <v>45898</v>
      </c>
      <c r="D35" s="1">
        <v>14966</v>
      </c>
      <c r="E35" s="1">
        <v>5562</v>
      </c>
    </row>
    <row r="36" spans="2:5" x14ac:dyDescent="0.2">
      <c r="B36" t="s">
        <v>36</v>
      </c>
      <c r="C36">
        <v>-584</v>
      </c>
      <c r="D36">
        <v>-406</v>
      </c>
      <c r="E36">
        <v>163</v>
      </c>
    </row>
    <row r="37" spans="2:5" x14ac:dyDescent="0.2">
      <c r="B37" t="s">
        <v>37</v>
      </c>
      <c r="C37" s="1">
        <v>90488</v>
      </c>
      <c r="D37" s="1">
        <v>65339</v>
      </c>
      <c r="E37" s="1">
        <v>63090</v>
      </c>
    </row>
    <row r="38" spans="2:5" x14ac:dyDescent="0.2">
      <c r="B38" t="s">
        <v>38</v>
      </c>
      <c r="C38" s="2">
        <v>338516</v>
      </c>
      <c r="D38" s="2">
        <v>323888</v>
      </c>
      <c r="E38" s="2">
        <v>351002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5CB2-F87C-427D-8EBA-0C3FD3A67ACA}">
  <dimension ref="B2:E47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66.6640625" bestFit="1" customWidth="1"/>
  </cols>
  <sheetData>
    <row r="2" spans="2:5" x14ac:dyDescent="0.2">
      <c r="B2" t="s">
        <v>73</v>
      </c>
      <c r="C2">
        <v>2019</v>
      </c>
      <c r="D2">
        <v>2020</v>
      </c>
      <c r="E2">
        <v>2021</v>
      </c>
    </row>
    <row r="3" spans="2:5" x14ac:dyDescent="0.2">
      <c r="B3" t="s">
        <v>40</v>
      </c>
      <c r="C3" s="2">
        <v>25913</v>
      </c>
      <c r="D3" s="2">
        <v>50224</v>
      </c>
      <c r="E3" s="2">
        <v>39789</v>
      </c>
    </row>
    <row r="4" spans="2:5" x14ac:dyDescent="0.2">
      <c r="B4" t="s">
        <v>41</v>
      </c>
    </row>
    <row r="5" spans="2:5" x14ac:dyDescent="0.2">
      <c r="B5" t="s">
        <v>8</v>
      </c>
      <c r="C5" s="1">
        <v>55256</v>
      </c>
      <c r="D5" s="1">
        <v>57411</v>
      </c>
      <c r="E5" s="1">
        <v>94680</v>
      </c>
    </row>
    <row r="6" spans="2:5" x14ac:dyDescent="0.2">
      <c r="B6" t="s">
        <v>42</v>
      </c>
    </row>
    <row r="7" spans="2:5" x14ac:dyDescent="0.2">
      <c r="B7" t="s">
        <v>43</v>
      </c>
      <c r="C7" s="1">
        <v>12547</v>
      </c>
      <c r="D7" s="1">
        <v>11056</v>
      </c>
      <c r="E7" s="1">
        <v>11284</v>
      </c>
    </row>
    <row r="8" spans="2:5" x14ac:dyDescent="0.2">
      <c r="B8" t="s">
        <v>44</v>
      </c>
      <c r="C8" s="1">
        <v>6068</v>
      </c>
      <c r="D8" s="1">
        <v>6829</v>
      </c>
      <c r="E8" s="1">
        <v>7906</v>
      </c>
    </row>
    <row r="9" spans="2:5" x14ac:dyDescent="0.2">
      <c r="B9" t="s">
        <v>45</v>
      </c>
      <c r="C9">
        <v>-340</v>
      </c>
      <c r="D9">
        <v>-215</v>
      </c>
      <c r="E9" s="1">
        <v>-4774</v>
      </c>
    </row>
    <row r="10" spans="2:5" x14ac:dyDescent="0.2">
      <c r="B10" t="s">
        <v>46</v>
      </c>
      <c r="C10">
        <v>-652</v>
      </c>
      <c r="D10">
        <v>-97</v>
      </c>
      <c r="E10">
        <v>-147</v>
      </c>
    </row>
    <row r="11" spans="2:5" x14ac:dyDescent="0.2">
      <c r="B11" t="s">
        <v>47</v>
      </c>
    </row>
    <row r="12" spans="2:5" x14ac:dyDescent="0.2">
      <c r="B12" t="s">
        <v>12</v>
      </c>
      <c r="C12">
        <v>245</v>
      </c>
      <c r="D12" s="1">
        <v>6917</v>
      </c>
      <c r="E12" s="1">
        <v>-10125</v>
      </c>
    </row>
    <row r="13" spans="2:5" x14ac:dyDescent="0.2">
      <c r="B13" t="s">
        <v>13</v>
      </c>
      <c r="C13">
        <v>-289</v>
      </c>
      <c r="D13">
        <v>-127</v>
      </c>
      <c r="E13" s="1">
        <v>-2642</v>
      </c>
    </row>
    <row r="14" spans="2:5" x14ac:dyDescent="0.2">
      <c r="B14" t="s">
        <v>14</v>
      </c>
      <c r="C14" s="1">
        <v>2931</v>
      </c>
      <c r="D14" s="1">
        <v>1553</v>
      </c>
      <c r="E14" s="1">
        <v>-3903</v>
      </c>
    </row>
    <row r="15" spans="2:5" x14ac:dyDescent="0.2">
      <c r="B15" t="s">
        <v>48</v>
      </c>
      <c r="C15">
        <v>873</v>
      </c>
      <c r="D15" s="1">
        <v>-9588</v>
      </c>
      <c r="E15" s="1">
        <v>-8042</v>
      </c>
    </row>
    <row r="16" spans="2:5" x14ac:dyDescent="0.2">
      <c r="B16" t="s">
        <v>23</v>
      </c>
      <c r="C16" s="1">
        <v>-1923</v>
      </c>
      <c r="D16" s="1">
        <v>-4062</v>
      </c>
      <c r="E16" s="1">
        <v>12326</v>
      </c>
    </row>
    <row r="17" spans="2:5" x14ac:dyDescent="0.2">
      <c r="B17" t="s">
        <v>25</v>
      </c>
      <c r="C17">
        <v>-625</v>
      </c>
      <c r="D17" s="1">
        <v>2081</v>
      </c>
      <c r="E17" s="1">
        <v>1676</v>
      </c>
    </row>
    <row r="18" spans="2:5" x14ac:dyDescent="0.2">
      <c r="B18" t="s">
        <v>49</v>
      </c>
      <c r="C18" s="1">
        <v>-4700</v>
      </c>
      <c r="D18" s="1">
        <v>8916</v>
      </c>
      <c r="E18" s="1">
        <v>5799</v>
      </c>
    </row>
    <row r="19" spans="2:5" x14ac:dyDescent="0.2">
      <c r="B19" t="s">
        <v>50</v>
      </c>
      <c r="C19" s="1">
        <v>69391</v>
      </c>
      <c r="D19" s="1">
        <v>80674</v>
      </c>
      <c r="E19" s="1">
        <v>104038</v>
      </c>
    </row>
    <row r="20" spans="2:5" x14ac:dyDescent="0.2">
      <c r="C20" s="1"/>
      <c r="D20" s="1"/>
      <c r="E20" s="1"/>
    </row>
    <row r="21" spans="2:5" x14ac:dyDescent="0.2">
      <c r="B21" t="s">
        <v>51</v>
      </c>
    </row>
    <row r="22" spans="2:5" x14ac:dyDescent="0.2">
      <c r="B22" t="s">
        <v>52</v>
      </c>
      <c r="C22" s="1">
        <v>-39630</v>
      </c>
      <c r="D22" s="1">
        <v>-114938</v>
      </c>
      <c r="E22" s="1">
        <v>-109558</v>
      </c>
    </row>
    <row r="23" spans="2:5" x14ac:dyDescent="0.2">
      <c r="B23" t="s">
        <v>53</v>
      </c>
      <c r="C23" s="1">
        <v>40102</v>
      </c>
      <c r="D23" s="1">
        <v>69918</v>
      </c>
      <c r="E23" s="1">
        <v>59023</v>
      </c>
    </row>
    <row r="24" spans="2:5" x14ac:dyDescent="0.2">
      <c r="B24" t="s">
        <v>54</v>
      </c>
      <c r="C24" s="1">
        <v>56988</v>
      </c>
      <c r="D24" s="1">
        <v>50473</v>
      </c>
      <c r="E24" s="1">
        <v>47460</v>
      </c>
    </row>
    <row r="25" spans="2:5" x14ac:dyDescent="0.2">
      <c r="B25" t="s">
        <v>55</v>
      </c>
      <c r="C25" s="1">
        <v>-10495</v>
      </c>
      <c r="D25" s="1">
        <v>-7309</v>
      </c>
      <c r="E25" s="1">
        <v>-11085</v>
      </c>
    </row>
    <row r="26" spans="2:5" x14ac:dyDescent="0.2">
      <c r="B26" t="s">
        <v>56</v>
      </c>
      <c r="C26">
        <v>-624</v>
      </c>
      <c r="D26" s="1">
        <v>-1524</v>
      </c>
      <c r="E26">
        <v>-33</v>
      </c>
    </row>
    <row r="27" spans="2:5" x14ac:dyDescent="0.2">
      <c r="B27" t="s">
        <v>57</v>
      </c>
      <c r="C27" s="1">
        <v>-1001</v>
      </c>
      <c r="D27">
        <v>-210</v>
      </c>
      <c r="E27">
        <v>-131</v>
      </c>
    </row>
    <row r="28" spans="2:5" x14ac:dyDescent="0.2">
      <c r="B28" t="s">
        <v>58</v>
      </c>
      <c r="C28" s="1">
        <v>1634</v>
      </c>
      <c r="D28">
        <v>92</v>
      </c>
      <c r="E28">
        <v>387</v>
      </c>
    </row>
    <row r="29" spans="2:5" x14ac:dyDescent="0.2">
      <c r="B29" t="s">
        <v>46</v>
      </c>
      <c r="C29" s="1">
        <v>-1078</v>
      </c>
      <c r="D29">
        <v>-791</v>
      </c>
      <c r="E29">
        <v>-608</v>
      </c>
    </row>
    <row r="30" spans="2:5" x14ac:dyDescent="0.2">
      <c r="B30" t="s">
        <v>59</v>
      </c>
      <c r="C30" s="1">
        <v>45896</v>
      </c>
      <c r="D30" s="1">
        <v>-4289</v>
      </c>
      <c r="E30" s="1">
        <v>-14545</v>
      </c>
    </row>
    <row r="31" spans="2:5" x14ac:dyDescent="0.2">
      <c r="C31" s="1"/>
      <c r="D31" s="1"/>
      <c r="E31" s="1"/>
    </row>
    <row r="32" spans="2:5" x14ac:dyDescent="0.2">
      <c r="B32" t="s">
        <v>60</v>
      </c>
    </row>
    <row r="33" spans="2:5" x14ac:dyDescent="0.2">
      <c r="B33" t="s">
        <v>61</v>
      </c>
      <c r="C33">
        <v>781</v>
      </c>
      <c r="D33">
        <v>880</v>
      </c>
      <c r="E33" s="1">
        <v>1105</v>
      </c>
    </row>
    <row r="34" spans="2:5" x14ac:dyDescent="0.2">
      <c r="B34" t="s">
        <v>62</v>
      </c>
      <c r="C34" s="1">
        <v>-2817</v>
      </c>
      <c r="D34" s="1">
        <v>-3634</v>
      </c>
      <c r="E34" s="1">
        <v>-6556</v>
      </c>
    </row>
    <row r="35" spans="2:5" x14ac:dyDescent="0.2">
      <c r="B35" t="s">
        <v>63</v>
      </c>
      <c r="C35" s="1">
        <v>-14119</v>
      </c>
      <c r="D35" s="1">
        <v>-14081</v>
      </c>
      <c r="E35" s="1">
        <v>-14467</v>
      </c>
    </row>
    <row r="36" spans="2:5" x14ac:dyDescent="0.2">
      <c r="B36" t="s">
        <v>64</v>
      </c>
      <c r="C36" s="1">
        <v>-66897</v>
      </c>
      <c r="D36" s="1">
        <v>-72358</v>
      </c>
      <c r="E36" s="1">
        <v>-85971</v>
      </c>
    </row>
    <row r="37" spans="2:5" x14ac:dyDescent="0.2">
      <c r="B37" t="s">
        <v>65</v>
      </c>
      <c r="C37" s="1">
        <v>6963</v>
      </c>
      <c r="D37" s="1">
        <v>16091</v>
      </c>
      <c r="E37" s="1">
        <v>20393</v>
      </c>
    </row>
    <row r="38" spans="2:5" x14ac:dyDescent="0.2">
      <c r="B38" t="s">
        <v>66</v>
      </c>
      <c r="C38" s="1">
        <v>-8805</v>
      </c>
      <c r="D38" s="1">
        <v>-12629</v>
      </c>
      <c r="E38" s="1">
        <v>-8750</v>
      </c>
    </row>
    <row r="39" spans="2:5" x14ac:dyDescent="0.2">
      <c r="B39" t="s">
        <v>67</v>
      </c>
      <c r="C39" s="1">
        <v>-5977</v>
      </c>
      <c r="D39">
        <v>-963</v>
      </c>
      <c r="E39" s="1">
        <v>1022</v>
      </c>
    </row>
    <row r="40" spans="2:5" x14ac:dyDescent="0.2">
      <c r="B40" t="s">
        <v>46</v>
      </c>
      <c r="C40">
        <v>-105</v>
      </c>
      <c r="D40">
        <v>-126</v>
      </c>
      <c r="E40">
        <v>-129</v>
      </c>
    </row>
    <row r="41" spans="2:5" x14ac:dyDescent="0.2">
      <c r="B41" t="s">
        <v>68</v>
      </c>
      <c r="C41" s="1">
        <v>-90976</v>
      </c>
      <c r="D41" s="1">
        <v>-86820</v>
      </c>
      <c r="E41" s="1">
        <v>-93353</v>
      </c>
    </row>
    <row r="42" spans="2:5" x14ac:dyDescent="0.2">
      <c r="B42" t="s">
        <v>69</v>
      </c>
      <c r="C42" s="1">
        <v>24311</v>
      </c>
      <c r="D42" s="1">
        <v>-10435</v>
      </c>
      <c r="E42" s="1">
        <v>-3860</v>
      </c>
    </row>
    <row r="43" spans="2:5" x14ac:dyDescent="0.2">
      <c r="B43" t="s">
        <v>70</v>
      </c>
      <c r="C43" s="1">
        <v>50224</v>
      </c>
      <c r="D43" s="1">
        <v>39789</v>
      </c>
      <c r="E43" s="1">
        <v>35929</v>
      </c>
    </row>
    <row r="46" spans="2:5" x14ac:dyDescent="0.2">
      <c r="B46" t="s">
        <v>71</v>
      </c>
      <c r="C46" s="1">
        <v>15263</v>
      </c>
      <c r="D46" s="1">
        <v>9501</v>
      </c>
      <c r="E46" s="1">
        <v>25385</v>
      </c>
    </row>
    <row r="47" spans="2:5" x14ac:dyDescent="0.2">
      <c r="B47" t="s">
        <v>72</v>
      </c>
      <c r="C47" s="2">
        <v>3423</v>
      </c>
      <c r="D47" s="2">
        <v>3002</v>
      </c>
      <c r="E47" s="2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Income Statement</vt:lpstr>
      <vt:lpstr>Balance Sheet</vt:lpstr>
      <vt:lpstr>Cash Flow Statement</vt:lpstr>
      <vt:lpstr>Fixed Assets</vt:lpstr>
      <vt:lpstr>Debt Schedule</vt:lpstr>
      <vt:lpstr>Retained Earnings</vt:lpstr>
      <vt:lpstr>Data Source --&gt;</vt:lpstr>
      <vt:lpstr>Income Statement - Data</vt:lpstr>
      <vt:lpstr>Balance Sheet - Data</vt:lpstr>
      <vt:lpstr>Statement of Cashflows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Wilton Ngo</cp:lastModifiedBy>
  <dcterms:created xsi:type="dcterms:W3CDTF">2022-01-10T18:21:57Z</dcterms:created>
  <dcterms:modified xsi:type="dcterms:W3CDTF">2024-03-10T23:49:53Z</dcterms:modified>
</cp:coreProperties>
</file>