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wfros\Documents\Will\College\Code Workshop\Model_10_Story\docs\"/>
    </mc:Choice>
  </mc:AlternateContent>
  <xr:revisionPtr revIDLastSave="0" documentId="13_ncr:1_{6DF35CCB-B9E3-4E39-895D-9D45B8BE55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port Data" sheetId="4" r:id="rId1"/>
    <sheet name="Total Loads" sheetId="1" r:id="rId2"/>
    <sheet name="Import Data" sheetId="3" r:id="rId3"/>
    <sheet name="Voronoi Gravit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4" l="1"/>
  <c r="D13" i="4"/>
  <c r="D14" i="4"/>
  <c r="D15" i="4"/>
  <c r="D16" i="4"/>
  <c r="D17" i="4"/>
  <c r="D18" i="4"/>
  <c r="D19" i="4"/>
  <c r="D20" i="4"/>
  <c r="D11" i="4"/>
  <c r="E12" i="4"/>
  <c r="E13" i="4"/>
  <c r="E14" i="4"/>
  <c r="E15" i="4"/>
  <c r="E16" i="4"/>
  <c r="E17" i="4"/>
  <c r="E18" i="4"/>
  <c r="E19" i="4"/>
  <c r="E20" i="4"/>
  <c r="E11" i="4"/>
  <c r="C11" i="4"/>
  <c r="C12" i="4"/>
  <c r="C13" i="4"/>
  <c r="C14" i="4"/>
  <c r="C15" i="4"/>
  <c r="C16" i="4"/>
  <c r="C17" i="4"/>
  <c r="C18" i="4"/>
  <c r="C19" i="4"/>
  <c r="C20" i="4"/>
  <c r="B12" i="4"/>
  <c r="B13" i="4"/>
  <c r="B14" i="4"/>
  <c r="B15" i="4"/>
  <c r="B16" i="4"/>
  <c r="B17" i="4"/>
  <c r="B18" i="4"/>
  <c r="B19" i="4"/>
  <c r="B20" i="4"/>
  <c r="B11" i="4"/>
  <c r="C6" i="4"/>
  <c r="C5" i="4"/>
  <c r="W29" i="3"/>
  <c r="V29" i="3"/>
  <c r="AA29" i="3" s="1"/>
  <c r="AD29" i="3" s="1"/>
  <c r="U29" i="3"/>
  <c r="Z29" i="3" s="1"/>
  <c r="AC29" i="3" s="1"/>
  <c r="W28" i="3"/>
  <c r="V28" i="3"/>
  <c r="AA28" i="3" s="1"/>
  <c r="AD28" i="3" s="1"/>
  <c r="U28" i="3"/>
  <c r="Z28" i="3" s="1"/>
  <c r="AC28" i="3" s="1"/>
  <c r="W27" i="3"/>
  <c r="V27" i="3"/>
  <c r="AA27" i="3" s="1"/>
  <c r="AD27" i="3" s="1"/>
  <c r="U27" i="3"/>
  <c r="Z27" i="3" s="1"/>
  <c r="AC27" i="3" s="1"/>
  <c r="W26" i="3"/>
  <c r="V26" i="3"/>
  <c r="AA26" i="3" s="1"/>
  <c r="AD26" i="3" s="1"/>
  <c r="U26" i="3"/>
  <c r="Z26" i="3" s="1"/>
  <c r="AC26" i="3" s="1"/>
  <c r="W25" i="3"/>
  <c r="V25" i="3"/>
  <c r="AA25" i="3" s="1"/>
  <c r="AD25" i="3" s="1"/>
  <c r="U25" i="3"/>
  <c r="Z25" i="3" s="1"/>
  <c r="AC25" i="3" s="1"/>
  <c r="W24" i="3"/>
  <c r="V24" i="3"/>
  <c r="AA24" i="3" s="1"/>
  <c r="AD24" i="3" s="1"/>
  <c r="U24" i="3"/>
  <c r="Z24" i="3" s="1"/>
  <c r="AC24" i="3" s="1"/>
  <c r="W23" i="3"/>
  <c r="V23" i="3"/>
  <c r="AA23" i="3" s="1"/>
  <c r="AD23" i="3" s="1"/>
  <c r="U23" i="3"/>
  <c r="Z23" i="3" s="1"/>
  <c r="AC23" i="3" s="1"/>
  <c r="W22" i="3"/>
  <c r="V22" i="3"/>
  <c r="AA22" i="3" s="1"/>
  <c r="AD22" i="3" s="1"/>
  <c r="U22" i="3"/>
  <c r="Z22" i="3" s="1"/>
  <c r="AC22" i="3" s="1"/>
  <c r="Q22" i="3"/>
  <c r="P22" i="3"/>
  <c r="Z21" i="3"/>
  <c r="AC21" i="3" s="1"/>
  <c r="X21" i="3"/>
  <c r="W21" i="3"/>
  <c r="V21" i="3"/>
  <c r="AA21" i="3" s="1"/>
  <c r="AD21" i="3" s="1"/>
  <c r="U21" i="3"/>
  <c r="Z20" i="3"/>
  <c r="AC20" i="3" s="1"/>
  <c r="X20" i="3"/>
  <c r="W20" i="3"/>
  <c r="V20" i="3"/>
  <c r="AA20" i="3" s="1"/>
  <c r="AD20" i="3" s="1"/>
  <c r="U20" i="3"/>
  <c r="S20" i="3" s="1"/>
  <c r="AA17" i="3"/>
  <c r="Z17" i="3"/>
  <c r="X17" i="3"/>
  <c r="W17" i="3"/>
  <c r="AC16" i="3"/>
  <c r="AB16" i="3"/>
  <c r="AA16" i="3"/>
  <c r="Z16" i="3"/>
  <c r="X16" i="3"/>
  <c r="W16" i="3"/>
  <c r="AC15" i="3"/>
  <c r="AB15" i="3"/>
  <c r="AA15" i="3"/>
  <c r="Z15" i="3"/>
  <c r="X15" i="3"/>
  <c r="W15" i="3"/>
  <c r="AC14" i="3"/>
  <c r="AB14" i="3"/>
  <c r="AA14" i="3"/>
  <c r="Z14" i="3"/>
  <c r="X14" i="3"/>
  <c r="W14" i="3"/>
  <c r="AC13" i="3"/>
  <c r="AB13" i="3"/>
  <c r="AA13" i="3"/>
  <c r="Z13" i="3"/>
  <c r="X13" i="3"/>
  <c r="W13" i="3"/>
  <c r="AC12" i="3"/>
  <c r="AB12" i="3"/>
  <c r="AA12" i="3"/>
  <c r="Z12" i="3"/>
  <c r="X12" i="3"/>
  <c r="W12" i="3"/>
  <c r="AC11" i="3"/>
  <c r="AB11" i="3"/>
  <c r="AA11" i="3"/>
  <c r="Z11" i="3"/>
  <c r="X11" i="3"/>
  <c r="W11" i="3"/>
  <c r="AC10" i="3"/>
  <c r="AB10" i="3"/>
  <c r="AA10" i="3"/>
  <c r="Z10" i="3"/>
  <c r="X10" i="3"/>
  <c r="W10" i="3"/>
  <c r="AC9" i="3"/>
  <c r="AB9" i="3"/>
  <c r="AA9" i="3"/>
  <c r="Z9" i="3"/>
  <c r="X9" i="3"/>
  <c r="W9" i="3"/>
  <c r="AC8" i="3"/>
  <c r="AB8" i="3"/>
  <c r="AA8" i="3"/>
  <c r="Z8" i="3"/>
  <c r="X8" i="3"/>
  <c r="W8" i="3"/>
  <c r="AC7" i="3"/>
  <c r="AB7" i="3"/>
  <c r="AA7" i="3"/>
  <c r="Z7" i="3"/>
  <c r="X7" i="3"/>
  <c r="W7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3" i="2"/>
  <c r="E18" i="2"/>
  <c r="G3" i="2"/>
  <c r="L3" i="2" s="1"/>
  <c r="G4" i="2"/>
  <c r="L4" i="2" s="1"/>
  <c r="G5" i="2"/>
  <c r="L5" i="2" s="1"/>
  <c r="G6" i="2"/>
  <c r="L6" i="2" s="1"/>
  <c r="G7" i="2"/>
  <c r="K7" i="2" s="1"/>
  <c r="G8" i="2"/>
  <c r="K8" i="2" s="1"/>
  <c r="G9" i="2"/>
  <c r="K9" i="2" s="1"/>
  <c r="G10" i="2"/>
  <c r="L10" i="2" s="1"/>
  <c r="G11" i="2"/>
  <c r="L11" i="2" s="1"/>
  <c r="G12" i="2"/>
  <c r="L12" i="2" s="1"/>
  <c r="G13" i="2"/>
  <c r="K13" i="2" s="1"/>
  <c r="G14" i="2"/>
  <c r="K14" i="2" s="1"/>
  <c r="G15" i="2"/>
  <c r="L15" i="2" s="1"/>
  <c r="G16" i="2"/>
  <c r="L16" i="2" s="1"/>
  <c r="L9" i="2"/>
  <c r="D1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C18" i="2"/>
  <c r="F12" i="1"/>
  <c r="F11" i="1"/>
  <c r="G6" i="1"/>
  <c r="H6" i="1" s="1"/>
  <c r="I18" i="1" s="1"/>
  <c r="N18" i="1" s="1"/>
  <c r="G5" i="1"/>
  <c r="H5" i="1" s="1"/>
  <c r="H15" i="1" s="1"/>
  <c r="M15" i="1" s="1"/>
  <c r="F6" i="1"/>
  <c r="F5" i="1"/>
  <c r="B22" i="1"/>
  <c r="X22" i="3" l="1"/>
  <c r="X23" i="3"/>
  <c r="X24" i="3"/>
  <c r="X25" i="3"/>
  <c r="X26" i="3"/>
  <c r="X27" i="3"/>
  <c r="X28" i="3"/>
  <c r="X29" i="3"/>
  <c r="H13" i="1"/>
  <c r="M13" i="1" s="1"/>
  <c r="H14" i="1"/>
  <c r="M14" i="1" s="1"/>
  <c r="I17" i="1"/>
  <c r="N17" i="1" s="1"/>
  <c r="I16" i="1"/>
  <c r="N16" i="1" s="1"/>
  <c r="I15" i="1"/>
  <c r="N15" i="1" s="1"/>
  <c r="I11" i="1"/>
  <c r="N11" i="1" s="1"/>
  <c r="I21" i="1"/>
  <c r="N21" i="1" s="1"/>
  <c r="I20" i="1"/>
  <c r="N20" i="1" s="1"/>
  <c r="I12" i="1"/>
  <c r="N12" i="1" s="1"/>
  <c r="I13" i="1"/>
  <c r="N13" i="1" s="1"/>
  <c r="I19" i="1"/>
  <c r="N19" i="1" s="1"/>
  <c r="I14" i="1"/>
  <c r="N14" i="1" s="1"/>
  <c r="H11" i="1"/>
  <c r="M11" i="1" s="1"/>
  <c r="H20" i="1"/>
  <c r="M20" i="1" s="1"/>
  <c r="H18" i="1"/>
  <c r="H21" i="1"/>
  <c r="H17" i="1"/>
  <c r="M17" i="1" s="1"/>
  <c r="H12" i="1"/>
  <c r="M12" i="1" s="1"/>
  <c r="H16" i="1"/>
  <c r="H19" i="1"/>
  <c r="M19" i="1" s="1"/>
  <c r="F18" i="2"/>
  <c r="K11" i="2"/>
  <c r="K3" i="2"/>
  <c r="K4" i="2"/>
  <c r="K5" i="2"/>
  <c r="K6" i="2"/>
  <c r="L7" i="2"/>
  <c r="L8" i="2"/>
  <c r="K10" i="2"/>
  <c r="K12" i="2"/>
  <c r="L13" i="2"/>
  <c r="L14" i="2"/>
  <c r="K15" i="2"/>
  <c r="K16" i="2"/>
  <c r="J15" i="1" l="1"/>
  <c r="K15" i="1" s="1"/>
  <c r="J14" i="1"/>
  <c r="K14" i="1" s="1"/>
  <c r="J21" i="1"/>
  <c r="K21" i="1" s="1"/>
  <c r="M21" i="1"/>
  <c r="J18" i="1"/>
  <c r="K18" i="1" s="1"/>
  <c r="M18" i="1"/>
  <c r="J16" i="1"/>
  <c r="K16" i="1" s="1"/>
  <c r="M16" i="1"/>
  <c r="J13" i="1"/>
  <c r="K13" i="1" s="1"/>
  <c r="J20" i="1"/>
  <c r="K20" i="1" s="1"/>
  <c r="J19" i="1"/>
  <c r="K19" i="1" s="1"/>
  <c r="I22" i="1"/>
  <c r="J12" i="1"/>
  <c r="K12" i="1" s="1"/>
  <c r="J17" i="1"/>
  <c r="K17" i="1" s="1"/>
  <c r="J11" i="1"/>
  <c r="H22" i="1"/>
  <c r="G18" i="2"/>
  <c r="J22" i="1" l="1"/>
  <c r="K22" i="1" s="1"/>
  <c r="K24" i="1" s="1"/>
  <c r="L19" i="2"/>
  <c r="K19" i="2"/>
  <c r="M8" i="2" l="1"/>
  <c r="O8" i="2" s="1"/>
  <c r="M5" i="2"/>
  <c r="O5" i="2" s="1"/>
  <c r="M13" i="2"/>
  <c r="O13" i="2" s="1"/>
  <c r="M14" i="2"/>
  <c r="O14" i="2" s="1"/>
  <c r="M11" i="2"/>
  <c r="O11" i="2" s="1"/>
  <c r="M4" i="2"/>
  <c r="O4" i="2" s="1"/>
  <c r="M6" i="2"/>
  <c r="O6" i="2" s="1"/>
  <c r="M16" i="2"/>
  <c r="O16" i="2" s="1"/>
  <c r="M15" i="2"/>
  <c r="O15" i="2" s="1"/>
  <c r="M7" i="2"/>
  <c r="O7" i="2" s="1"/>
  <c r="M3" i="2"/>
  <c r="O3" i="2" s="1"/>
  <c r="M12" i="2"/>
  <c r="O12" i="2" s="1"/>
  <c r="M9" i="2"/>
  <c r="O9" i="2" s="1"/>
  <c r="M10" i="2"/>
  <c r="O10" i="2" s="1"/>
  <c r="N11" i="2"/>
  <c r="P11" i="2" s="1"/>
  <c r="N4" i="2"/>
  <c r="P4" i="2" s="1"/>
  <c r="N12" i="2"/>
  <c r="P12" i="2" s="1"/>
  <c r="N5" i="2"/>
  <c r="P5" i="2" s="1"/>
  <c r="N13" i="2"/>
  <c r="P13" i="2" s="1"/>
  <c r="N15" i="2"/>
  <c r="P15" i="2" s="1"/>
  <c r="N10" i="2"/>
  <c r="P10" i="2" s="1"/>
  <c r="N6" i="2"/>
  <c r="P6" i="2" s="1"/>
  <c r="N14" i="2"/>
  <c r="P14" i="2" s="1"/>
  <c r="N7" i="2"/>
  <c r="P7" i="2" s="1"/>
  <c r="N8" i="2"/>
  <c r="P8" i="2" s="1"/>
  <c r="N16" i="2"/>
  <c r="P16" i="2" s="1"/>
  <c r="N3" i="2"/>
  <c r="P3" i="2" s="1"/>
  <c r="N9" i="2"/>
  <c r="P9" i="2" s="1"/>
  <c r="O19" i="2" l="1"/>
  <c r="P19" i="2"/>
</calcChain>
</file>

<file path=xl/sharedStrings.xml><?xml version="1.0" encoding="utf-8"?>
<sst xmlns="http://schemas.openxmlformats.org/spreadsheetml/2006/main" count="128" uniqueCount="86">
  <si>
    <t>Floor</t>
  </si>
  <si>
    <t>-</t>
  </si>
  <si>
    <t>Roof</t>
  </si>
  <si>
    <t>Total</t>
  </si>
  <si>
    <t>Floor Weight (excludes walls)</t>
  </si>
  <si>
    <t>Walls</t>
  </si>
  <si>
    <t>MPP (east and west)</t>
  </si>
  <si>
    <t>CLT (north and south)</t>
  </si>
  <si>
    <t xml:space="preserve">Unit Weight </t>
  </si>
  <si>
    <t>(pcf)</t>
  </si>
  <si>
    <t>Weight per Unit Length</t>
  </si>
  <si>
    <t>(plf)</t>
  </si>
  <si>
    <t>(kli)</t>
  </si>
  <si>
    <t>Area</t>
  </si>
  <si>
    <t>Width</t>
  </si>
  <si>
    <t>Depth</t>
  </si>
  <si>
    <t>(in)</t>
  </si>
  <si>
    <t>(in²)</t>
  </si>
  <si>
    <t>Tributary Floor Height (ft)</t>
  </si>
  <si>
    <t>All Walls
(kip)</t>
  </si>
  <si>
    <t>Total
(kip)</t>
  </si>
  <si>
    <t>Total Gravity Load</t>
  </si>
  <si>
    <t>A1</t>
  </si>
  <si>
    <t>A2</t>
  </si>
  <si>
    <t>A3</t>
  </si>
  <si>
    <t>A4</t>
  </si>
  <si>
    <t>B1</t>
  </si>
  <si>
    <t>B2</t>
  </si>
  <si>
    <t>B3</t>
  </si>
  <si>
    <t>B4</t>
  </si>
  <si>
    <t>C2</t>
  </si>
  <si>
    <t>C3</t>
  </si>
  <si>
    <t>D1</t>
  </si>
  <si>
    <t>D2</t>
  </si>
  <si>
    <t>D4</t>
  </si>
  <si>
    <t>D3</t>
  </si>
  <si>
    <t>Useful Reference</t>
  </si>
  <si>
    <t>Column</t>
  </si>
  <si>
    <t>Percent</t>
  </si>
  <si>
    <t>Weight</t>
  </si>
  <si>
    <t>Rounded</t>
  </si>
  <si>
    <t>Voronoi Area</t>
  </si>
  <si>
    <t>x</t>
  </si>
  <si>
    <t>y</t>
  </si>
  <si>
    <t>Fx</t>
  </si>
  <si>
    <t>Fy</t>
  </si>
  <si>
    <t>each CLT
(kip)</t>
  </si>
  <si>
    <t>each MPP
(kip)</t>
  </si>
  <si>
    <t>Mass Update 01-28-2022.docx</t>
  </si>
  <si>
    <t>Last updated 12-13-2022.</t>
  </si>
  <si>
    <t>Table 1.</t>
  </si>
  <si>
    <t>Table 2</t>
  </si>
  <si>
    <t xml:space="preserve">Total </t>
  </si>
  <si>
    <t>Calculated with Wall Weight</t>
  </si>
  <si>
    <t>Calculated without Wall Weight</t>
  </si>
  <si>
    <t>Diaphragm</t>
  </si>
  <si>
    <t>Beams</t>
  </si>
  <si>
    <t>Columns</t>
  </si>
  <si>
    <t>CLT Walls</t>
  </si>
  <si>
    <t>MPP Walls</t>
  </si>
  <si>
    <t>Steel</t>
  </si>
  <si>
    <t>Stairs</t>
  </si>
  <si>
    <t>NS Walls</t>
  </si>
  <si>
    <t>Mass Plates</t>
  </si>
  <si>
    <t>w/o Walls</t>
  </si>
  <si>
    <t>Walls Only</t>
  </si>
  <si>
    <t>X</t>
  </si>
  <si>
    <t>Y</t>
  </si>
  <si>
    <t>m</t>
  </si>
  <si>
    <t>I</t>
  </si>
  <si>
    <t>Xm</t>
  </si>
  <si>
    <t>Ym</t>
  </si>
  <si>
    <t>Io</t>
  </si>
  <si>
    <t>k/floor</t>
  </si>
  <si>
    <t>in</t>
  </si>
  <si>
    <t>k in s2</t>
  </si>
  <si>
    <t>pcf</t>
  </si>
  <si>
    <t>kli</t>
  </si>
  <si>
    <t>klf</t>
  </si>
  <si>
    <t>Values to Export to OpenSees Model</t>
  </si>
  <si>
    <t>eleProperties</t>
  </si>
  <si>
    <t>CLT</t>
  </si>
  <si>
    <t>MPP</t>
  </si>
  <si>
    <t>Mass (kip*s²/in)</t>
  </si>
  <si>
    <t>Center of Mass, Mass, and Inertia</t>
  </si>
  <si>
    <t>Floor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</si>
</sst>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2" fillId="2" borderId="1" xfId="2" applyNumberFormat="1" applyAlignment="1">
      <alignment horizontal="center" wrapText="1"/>
    </xf>
    <xf numFmtId="164" fontId="2" fillId="2" borderId="1" xfId="2" applyNumberFormat="1" applyAlignment="1">
      <alignment horizontal="center"/>
    </xf>
    <xf numFmtId="0" fontId="2" fillId="2" borderId="1" xfId="2"/>
    <xf numFmtId="164" fontId="0" fillId="0" borderId="0" xfId="0" applyNumberFormat="1"/>
    <xf numFmtId="0" fontId="2" fillId="2" borderId="2" xfId="2" applyBorder="1" applyAlignment="1">
      <alignment horizontal="center"/>
    </xf>
    <xf numFmtId="0" fontId="2" fillId="2" borderId="1" xfId="2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164" fontId="3" fillId="0" borderId="3" xfId="0" applyNumberFormat="1" applyFont="1" applyBorder="1"/>
    <xf numFmtId="0" fontId="5" fillId="0" borderId="0" xfId="3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3" xfId="0" applyFont="1" applyBorder="1"/>
    <xf numFmtId="0" fontId="0" fillId="0" borderId="0" xfId="0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</cellXfs>
  <cellStyles count="4">
    <cellStyle name="Hyperlink" xfId="3" builtinId="8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221841841499158E-2"/>
          <c:y val="7.291042759301293E-2"/>
          <c:w val="0.86287159876175012"/>
          <c:h val="0.74677195967611931"/>
        </c:manualLayout>
      </c:layout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8F-4D21-B251-6878FF053DD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8F-4D21-B251-6878FF053DD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8F-4D21-B251-6878FF053DD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8F-4D21-B251-6878FF053D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78F-4D21-B251-6878FF053DD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78F-4D21-B251-6878FF053DD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78F-4D21-B251-6878FF053DD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78F-4D21-B251-6878FF053DD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78F-4D21-B251-6878FF053DD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78F-4D21-B251-6878FF053DD9}"/>
              </c:ext>
            </c:extLst>
          </c:dPt>
          <c:cat>
            <c:strRef>
              <c:f>'Total Loads'!$A$12:$A$21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Roof</c:v>
                </c:pt>
              </c:strCache>
            </c:strRef>
          </c:cat>
          <c:val>
            <c:numRef>
              <c:f>'Total Loads'!$B$12:$B$21</c:f>
              <c:numCache>
                <c:formatCode>0.0</c:formatCode>
                <c:ptCount val="10"/>
                <c:pt idx="0">
                  <c:v>56.988490816208198</c:v>
                </c:pt>
                <c:pt idx="1">
                  <c:v>54.148361192249887</c:v>
                </c:pt>
                <c:pt idx="2">
                  <c:v>45.325434576644867</c:v>
                </c:pt>
                <c:pt idx="3">
                  <c:v>42.59826794664486</c:v>
                </c:pt>
                <c:pt idx="4">
                  <c:v>48.077825718329116</c:v>
                </c:pt>
                <c:pt idx="5">
                  <c:v>42.101681913713733</c:v>
                </c:pt>
                <c:pt idx="6">
                  <c:v>45.724234295823827</c:v>
                </c:pt>
                <c:pt idx="7">
                  <c:v>44.224234295823827</c:v>
                </c:pt>
                <c:pt idx="8">
                  <c:v>42.034234295823829</c:v>
                </c:pt>
                <c:pt idx="9">
                  <c:v>34.477230064053003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6-44C1-9F10-7937B207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623670976"/>
        <c:axId val="623677216"/>
      </c:barChart>
      <c:catAx>
        <c:axId val="623670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23677216"/>
        <c:crosses val="autoZero"/>
        <c:auto val="1"/>
        <c:lblAlgn val="ctr"/>
        <c:lblOffset val="100"/>
        <c:noMultiLvlLbl val="0"/>
      </c:catAx>
      <c:valAx>
        <c:axId val="62367721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Floor Weight</a:t>
                </a:r>
                <a:r>
                  <a:rPr lang="en-US" baseline="0"/>
                  <a:t> (kip)</a:t>
                </a:r>
                <a:endParaRPr lang="en-US"/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7097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5013</xdr:rowOff>
    </xdr:from>
    <xdr:to>
      <xdr:col>4</xdr:col>
      <xdr:colOff>5013</xdr:colOff>
      <xdr:row>22</xdr:row>
      <xdr:rowOff>185487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F8D02B-E234-F024-4C60-510C6BCCF421}"/>
            </a:ext>
          </a:extLst>
        </xdr:cNvPr>
        <xdr:cNvSpPr/>
      </xdr:nvSpPr>
      <xdr:spPr>
        <a:xfrm>
          <a:off x="1905000" y="2672013"/>
          <a:ext cx="1839829" cy="37097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1218927</xdr:colOff>
      <xdr:row>10</xdr:row>
      <xdr:rowOff>4053</xdr:rowOff>
    </xdr:from>
    <xdr:to>
      <xdr:col>4</xdr:col>
      <xdr:colOff>213730</xdr:colOff>
      <xdr:row>23</xdr:row>
      <xdr:rowOff>77010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BD5D0-A32E-A6B8-0BC3-C42DAE9F0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ibby3d.com/blog/tributary-areas-of-irregular-column-lay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B580-7BB8-426F-82AF-EF6408344079}">
  <sheetPr codeName="Sheet3"/>
  <dimension ref="A1:E20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t="s">
        <v>79</v>
      </c>
    </row>
    <row r="3" spans="1:5" x14ac:dyDescent="0.3">
      <c r="B3" t="s">
        <v>80</v>
      </c>
    </row>
    <row r="4" spans="1:5" x14ac:dyDescent="0.3">
      <c r="C4" s="24" t="s">
        <v>83</v>
      </c>
      <c r="D4" s="24"/>
    </row>
    <row r="5" spans="1:5" x14ac:dyDescent="0.3">
      <c r="B5" t="s">
        <v>81</v>
      </c>
      <c r="C5" s="26">
        <f>'Total Loads'!H5/32.2/12</f>
        <v>7.8429946214927311E-5</v>
      </c>
      <c r="D5" s="27"/>
    </row>
    <row r="6" spans="1:5" x14ac:dyDescent="0.3">
      <c r="B6" t="s">
        <v>82</v>
      </c>
      <c r="C6" s="26">
        <f>'Total Loads'!H6/32.2/12</f>
        <v>5.3911559862023196E-5</v>
      </c>
      <c r="D6" s="27"/>
    </row>
    <row r="8" spans="1:5" x14ac:dyDescent="0.3">
      <c r="B8" t="s">
        <v>85</v>
      </c>
    </row>
    <row r="9" spans="1:5" x14ac:dyDescent="0.3">
      <c r="B9" t="s">
        <v>84</v>
      </c>
    </row>
    <row r="10" spans="1:5" x14ac:dyDescent="0.3">
      <c r="B10" t="s">
        <v>42</v>
      </c>
      <c r="C10" t="s">
        <v>43</v>
      </c>
      <c r="D10" t="s">
        <v>68</v>
      </c>
      <c r="E10" t="s">
        <v>69</v>
      </c>
    </row>
    <row r="11" spans="1:5" x14ac:dyDescent="0.3">
      <c r="B11" s="25">
        <f>'Import Data'!G8</f>
        <v>188.6</v>
      </c>
      <c r="C11" s="25">
        <f>'Import Data'!H8</f>
        <v>-125.4</v>
      </c>
      <c r="D11" s="25">
        <f>'Import Data'!W7/32.2/12</f>
        <v>0.1472567287784679</v>
      </c>
      <c r="E11" s="25">
        <f>'Import Data'!I8/32.2/12</f>
        <v>12.502587991718427</v>
      </c>
    </row>
    <row r="12" spans="1:5" x14ac:dyDescent="0.3">
      <c r="B12" s="25">
        <f>'Import Data'!G9</f>
        <v>194.7</v>
      </c>
      <c r="C12" s="25">
        <f>'Import Data'!H9</f>
        <v>-135.9</v>
      </c>
      <c r="D12" s="25">
        <f>'Import Data'!W8/32.2/12</f>
        <v>0.1400103519668737</v>
      </c>
      <c r="E12" s="25">
        <f>'Import Data'!I9/32.2/12</f>
        <v>10.986024844720497</v>
      </c>
    </row>
    <row r="13" spans="1:5" x14ac:dyDescent="0.3">
      <c r="B13" s="25">
        <f>'Import Data'!G10</f>
        <v>199</v>
      </c>
      <c r="C13" s="25">
        <f>'Import Data'!H10</f>
        <v>-144.30000000000001</v>
      </c>
      <c r="D13" s="25">
        <f>'Import Data'!W9/32.2/12</f>
        <v>0.11697722567287783</v>
      </c>
      <c r="E13" s="25">
        <f>'Import Data'!I10/32.2/12</f>
        <v>7.9244306418219459</v>
      </c>
    </row>
    <row r="14" spans="1:5" x14ac:dyDescent="0.3">
      <c r="B14" s="25">
        <f>'Import Data'!G11</f>
        <v>191.2</v>
      </c>
      <c r="C14" s="25">
        <f>'Import Data'!H11</f>
        <v>-139.9</v>
      </c>
      <c r="D14" s="25">
        <f>'Import Data'!W10/32.2/12</f>
        <v>0.10998964803312627</v>
      </c>
      <c r="E14" s="25">
        <f>'Import Data'!I11/32.2/12</f>
        <v>6.2862318840579698</v>
      </c>
    </row>
    <row r="15" spans="1:5" x14ac:dyDescent="0.3">
      <c r="B15" s="25">
        <f>'Import Data'!G12</f>
        <v>191.4</v>
      </c>
      <c r="C15" s="25">
        <f>'Import Data'!H12</f>
        <v>-144.6</v>
      </c>
      <c r="D15" s="25">
        <f>'Import Data'!W11/32.2/12</f>
        <v>0.12422360248447205</v>
      </c>
      <c r="E15" s="25">
        <f>'Import Data'!I12/32.2/12</f>
        <v>6.537267080745341</v>
      </c>
    </row>
    <row r="16" spans="1:5" x14ac:dyDescent="0.3">
      <c r="B16" s="25">
        <f>'Import Data'!G13</f>
        <v>191.1</v>
      </c>
      <c r="C16" s="25">
        <f>'Import Data'!H13</f>
        <v>-135.19999999999999</v>
      </c>
      <c r="D16" s="25">
        <f>'Import Data'!W12/32.2/12</f>
        <v>0.10895445134575567</v>
      </c>
      <c r="E16" s="25">
        <f>'Import Data'!I13/32.2/12</f>
        <v>6.1387163561076603</v>
      </c>
    </row>
    <row r="17" spans="2:5" x14ac:dyDescent="0.3">
      <c r="B17" s="25">
        <f>'Import Data'!G14</f>
        <v>192</v>
      </c>
      <c r="C17" s="25">
        <f>'Import Data'!H14</f>
        <v>-135.69999999999999</v>
      </c>
      <c r="D17" s="25">
        <f>'Import Data'!W13/32.2/12</f>
        <v>0.11853002070393372</v>
      </c>
      <c r="E17" s="25">
        <f>'Import Data'!I14/32.2/12</f>
        <v>6.9073498964803308</v>
      </c>
    </row>
    <row r="18" spans="2:5" x14ac:dyDescent="0.3">
      <c r="B18" s="25">
        <f>'Import Data'!G15</f>
        <v>192</v>
      </c>
      <c r="C18" s="25">
        <f>'Import Data'!H15</f>
        <v>-134.6</v>
      </c>
      <c r="D18" s="25">
        <f>'Import Data'!W14/32.2/12</f>
        <v>0.11464803312629397</v>
      </c>
      <c r="E18" s="25">
        <f>'Import Data'!I15/32.2/12</f>
        <v>6.8840579710144922</v>
      </c>
    </row>
    <row r="19" spans="2:5" x14ac:dyDescent="0.3">
      <c r="B19" s="25">
        <f>'Import Data'!G16</f>
        <v>192</v>
      </c>
      <c r="C19" s="25">
        <f>'Import Data'!H16</f>
        <v>-137.4</v>
      </c>
      <c r="D19" s="25">
        <f>'Import Data'!W15/32.2/12</f>
        <v>0.1089544513457557</v>
      </c>
      <c r="E19" s="25">
        <f>'Import Data'!I16/32.2/12</f>
        <v>6.70807453416149</v>
      </c>
    </row>
    <row r="20" spans="2:5" x14ac:dyDescent="0.3">
      <c r="B20" s="25">
        <f>'Import Data'!G17</f>
        <v>192</v>
      </c>
      <c r="C20" s="25">
        <f>'Import Data'!H17</f>
        <v>-135.80000000000001</v>
      </c>
      <c r="D20" s="25">
        <f>'Import Data'!W16/32.2/12</f>
        <v>8.9544513457556929E-2</v>
      </c>
      <c r="E20" s="25">
        <f>'Import Data'!I17/32.2/12</f>
        <v>5.9575569358178049</v>
      </c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N26"/>
  <sheetViews>
    <sheetView topLeftCell="A4" zoomScaleNormal="100" workbookViewId="0">
      <selection activeCell="K26" sqref="K26"/>
    </sheetView>
  </sheetViews>
  <sheetFormatPr defaultRowHeight="14.4" x14ac:dyDescent="0.3"/>
  <cols>
    <col min="2" max="2" width="19.44140625" customWidth="1"/>
    <col min="3" max="4" width="11.44140625" customWidth="1"/>
    <col min="8" max="8" width="9.109375" customWidth="1"/>
    <col min="9" max="9" width="9.88671875" customWidth="1"/>
  </cols>
  <sheetData>
    <row r="3" spans="1:14" x14ac:dyDescent="0.3">
      <c r="B3" t="s">
        <v>5</v>
      </c>
      <c r="C3" s="4" t="s">
        <v>8</v>
      </c>
      <c r="D3" s="4" t="s">
        <v>14</v>
      </c>
      <c r="E3" s="4" t="s">
        <v>15</v>
      </c>
      <c r="F3" s="4" t="s">
        <v>13</v>
      </c>
      <c r="G3" s="22" t="s">
        <v>10</v>
      </c>
      <c r="H3" s="22"/>
    </row>
    <row r="4" spans="1:14" x14ac:dyDescent="0.3">
      <c r="C4" s="4" t="s">
        <v>9</v>
      </c>
      <c r="D4" s="4" t="s">
        <v>16</v>
      </c>
      <c r="E4" s="4" t="s">
        <v>16</v>
      </c>
      <c r="F4" s="4" t="s">
        <v>17</v>
      </c>
      <c r="G4" s="4" t="s">
        <v>11</v>
      </c>
      <c r="H4" s="4" t="s">
        <v>12</v>
      </c>
    </row>
    <row r="5" spans="1:14" x14ac:dyDescent="0.3">
      <c r="B5" t="s">
        <v>7</v>
      </c>
      <c r="C5" s="12">
        <v>36.130000000000003</v>
      </c>
      <c r="D5" s="13">
        <v>117.125</v>
      </c>
      <c r="E5" s="13">
        <v>12.375</v>
      </c>
      <c r="F5" s="3">
        <f>D5*E5</f>
        <v>1449.421875</v>
      </c>
      <c r="G5" s="3">
        <f>C5/144*F5</f>
        <v>363.66397460937503</v>
      </c>
      <c r="H5" s="15">
        <f>G5/12/1000</f>
        <v>3.0305331217447919E-2</v>
      </c>
    </row>
    <row r="6" spans="1:14" x14ac:dyDescent="0.3">
      <c r="B6" t="s">
        <v>6</v>
      </c>
      <c r="C6" s="12">
        <v>37.270000000000003</v>
      </c>
      <c r="D6" s="13">
        <v>105.125</v>
      </c>
      <c r="E6" s="13">
        <v>9.1875</v>
      </c>
      <c r="F6" s="3">
        <f>D6*E6</f>
        <v>965.8359375</v>
      </c>
      <c r="G6" s="3">
        <f>C6/144*F6</f>
        <v>249.97712076822921</v>
      </c>
      <c r="H6" s="15">
        <f>G6/12/1000</f>
        <v>2.0831426730685765E-2</v>
      </c>
    </row>
    <row r="10" spans="1:14" ht="28.8" x14ac:dyDescent="0.3">
      <c r="A10" s="6" t="s">
        <v>0</v>
      </c>
      <c r="B10" s="7" t="s">
        <v>4</v>
      </c>
      <c r="C10" s="4"/>
      <c r="F10" s="21" t="s">
        <v>18</v>
      </c>
      <c r="G10" s="21"/>
      <c r="H10" s="7" t="s">
        <v>46</v>
      </c>
      <c r="I10" s="7" t="s">
        <v>47</v>
      </c>
      <c r="J10" s="7" t="s">
        <v>19</v>
      </c>
      <c r="K10" s="7" t="s">
        <v>20</v>
      </c>
    </row>
    <row r="11" spans="1:14" x14ac:dyDescent="0.3">
      <c r="A11" s="1" t="s">
        <v>1</v>
      </c>
      <c r="B11" s="5"/>
      <c r="C11" s="5"/>
      <c r="F11" s="21">
        <f>13/2</f>
        <v>6.5</v>
      </c>
      <c r="G11" s="21"/>
      <c r="H11" s="14">
        <f>(12*$F11)*($H$5)</f>
        <v>2.3638158349609375</v>
      </c>
      <c r="I11" s="14">
        <f>(12*$F11)*($H$6)</f>
        <v>1.6248512849934897</v>
      </c>
      <c r="J11" s="11">
        <f>2*H11+2*I11</f>
        <v>7.9773342399088545</v>
      </c>
      <c r="K11" s="11"/>
      <c r="M11">
        <f>H11*2</f>
        <v>4.727631669921875</v>
      </c>
      <c r="N11">
        <f>I11*2</f>
        <v>3.2497025699869795</v>
      </c>
    </row>
    <row r="12" spans="1:14" x14ac:dyDescent="0.3">
      <c r="A12" s="2">
        <v>2</v>
      </c>
      <c r="B12" s="8">
        <v>56.988490816208198</v>
      </c>
      <c r="C12" s="5"/>
      <c r="F12" s="21">
        <f>6.5+5.5</f>
        <v>12</v>
      </c>
      <c r="G12" s="21"/>
      <c r="H12" s="14">
        <f t="shared" ref="H12:H21" si="0">(12*$F12)*($H$5)</f>
        <v>4.3639676953125006</v>
      </c>
      <c r="I12" s="14">
        <f t="shared" ref="I12:I21" si="1">(12*$F12)*($H$6)</f>
        <v>2.9997254492187504</v>
      </c>
      <c r="J12" s="11">
        <f t="shared" ref="J12:J21" si="2">2*H12+2*I12</f>
        <v>14.727386289062501</v>
      </c>
      <c r="K12" s="11">
        <f>SUM(J12,B12)</f>
        <v>71.715877105270692</v>
      </c>
      <c r="M12">
        <f t="shared" ref="M12:M21" si="3">H12*2</f>
        <v>8.7279353906250012</v>
      </c>
      <c r="N12">
        <f t="shared" ref="N12:N21" si="4">I12*2</f>
        <v>5.9994508984375008</v>
      </c>
    </row>
    <row r="13" spans="1:14" x14ac:dyDescent="0.3">
      <c r="A13" s="2">
        <v>3</v>
      </c>
      <c r="B13" s="8">
        <v>54.148361192249887</v>
      </c>
      <c r="C13" s="5"/>
      <c r="F13" s="21">
        <v>11</v>
      </c>
      <c r="G13" s="21"/>
      <c r="H13" s="14">
        <f>(12*$F13)*($H$5)</f>
        <v>4.0003037207031253</v>
      </c>
      <c r="I13" s="14">
        <f t="shared" si="1"/>
        <v>2.7497483284505209</v>
      </c>
      <c r="J13" s="11">
        <f t="shared" si="2"/>
        <v>13.500104098307293</v>
      </c>
      <c r="K13" s="11">
        <f t="shared" ref="K13:K21" si="5">SUM(J13,B13)</f>
        <v>67.648465290557183</v>
      </c>
      <c r="M13">
        <f t="shared" si="3"/>
        <v>8.0006074414062507</v>
      </c>
      <c r="N13">
        <f t="shared" si="4"/>
        <v>5.4994966569010417</v>
      </c>
    </row>
    <row r="14" spans="1:14" x14ac:dyDescent="0.3">
      <c r="A14" s="2">
        <v>4</v>
      </c>
      <c r="B14" s="8">
        <v>45.325434576644867</v>
      </c>
      <c r="C14" s="5"/>
      <c r="F14" s="21">
        <v>11</v>
      </c>
      <c r="G14" s="21"/>
      <c r="H14" s="14">
        <f>(12*$F14)*($H$5)</f>
        <v>4.0003037207031253</v>
      </c>
      <c r="I14" s="14">
        <f t="shared" si="1"/>
        <v>2.7497483284505209</v>
      </c>
      <c r="J14" s="11">
        <f t="shared" si="2"/>
        <v>13.500104098307293</v>
      </c>
      <c r="K14" s="11">
        <f t="shared" si="5"/>
        <v>58.825538674952156</v>
      </c>
      <c r="M14">
        <f t="shared" si="3"/>
        <v>8.0006074414062507</v>
      </c>
      <c r="N14">
        <f t="shared" si="4"/>
        <v>5.4994966569010417</v>
      </c>
    </row>
    <row r="15" spans="1:14" x14ac:dyDescent="0.3">
      <c r="A15" s="2">
        <v>5</v>
      </c>
      <c r="B15" s="8">
        <v>42.59826794664486</v>
      </c>
      <c r="C15" s="5"/>
      <c r="F15" s="21">
        <v>11</v>
      </c>
      <c r="G15" s="21"/>
      <c r="H15" s="14">
        <f t="shared" si="0"/>
        <v>4.0003037207031253</v>
      </c>
      <c r="I15" s="14">
        <f t="shared" si="1"/>
        <v>2.7497483284505209</v>
      </c>
      <c r="J15" s="11">
        <f t="shared" si="2"/>
        <v>13.500104098307293</v>
      </c>
      <c r="K15" s="11">
        <f t="shared" si="5"/>
        <v>56.098372044952157</v>
      </c>
      <c r="M15">
        <f t="shared" si="3"/>
        <v>8.0006074414062507</v>
      </c>
      <c r="N15">
        <f t="shared" si="4"/>
        <v>5.4994966569010417</v>
      </c>
    </row>
    <row r="16" spans="1:14" x14ac:dyDescent="0.3">
      <c r="A16" s="2">
        <v>6</v>
      </c>
      <c r="B16" s="8">
        <v>48.077825718329116</v>
      </c>
      <c r="C16" s="5"/>
      <c r="F16" s="21">
        <v>11</v>
      </c>
      <c r="G16" s="21"/>
      <c r="H16" s="14">
        <f t="shared" si="0"/>
        <v>4.0003037207031253</v>
      </c>
      <c r="I16" s="14">
        <f t="shared" si="1"/>
        <v>2.7497483284505209</v>
      </c>
      <c r="J16" s="11">
        <f t="shared" si="2"/>
        <v>13.500104098307293</v>
      </c>
      <c r="K16" s="11">
        <f t="shared" si="5"/>
        <v>61.577929816636413</v>
      </c>
      <c r="M16">
        <f t="shared" si="3"/>
        <v>8.0006074414062507</v>
      </c>
      <c r="N16">
        <f t="shared" si="4"/>
        <v>5.4994966569010417</v>
      </c>
    </row>
    <row r="17" spans="1:14" x14ac:dyDescent="0.3">
      <c r="A17" s="2">
        <v>7</v>
      </c>
      <c r="B17" s="8">
        <v>42.101681913713733</v>
      </c>
      <c r="C17" s="5"/>
      <c r="F17" s="21">
        <v>11</v>
      </c>
      <c r="G17" s="21"/>
      <c r="H17" s="14">
        <f t="shared" si="0"/>
        <v>4.0003037207031253</v>
      </c>
      <c r="I17" s="14">
        <f t="shared" si="1"/>
        <v>2.7497483284505209</v>
      </c>
      <c r="J17" s="11">
        <f t="shared" si="2"/>
        <v>13.500104098307293</v>
      </c>
      <c r="K17" s="11">
        <f t="shared" si="5"/>
        <v>55.601786012021023</v>
      </c>
      <c r="M17">
        <f t="shared" si="3"/>
        <v>8.0006074414062507</v>
      </c>
      <c r="N17">
        <f t="shared" si="4"/>
        <v>5.4994966569010417</v>
      </c>
    </row>
    <row r="18" spans="1:14" x14ac:dyDescent="0.3">
      <c r="A18" s="2">
        <v>8</v>
      </c>
      <c r="B18" s="8">
        <v>45.724234295823827</v>
      </c>
      <c r="C18" s="5"/>
      <c r="F18" s="21">
        <v>11</v>
      </c>
      <c r="G18" s="21"/>
      <c r="H18" s="14">
        <f t="shared" si="0"/>
        <v>4.0003037207031253</v>
      </c>
      <c r="I18" s="14">
        <f t="shared" si="1"/>
        <v>2.7497483284505209</v>
      </c>
      <c r="J18" s="11">
        <f t="shared" si="2"/>
        <v>13.500104098307293</v>
      </c>
      <c r="K18" s="11">
        <f t="shared" si="5"/>
        <v>59.224338394131124</v>
      </c>
      <c r="M18">
        <f t="shared" si="3"/>
        <v>8.0006074414062507</v>
      </c>
      <c r="N18">
        <f t="shared" si="4"/>
        <v>5.4994966569010417</v>
      </c>
    </row>
    <row r="19" spans="1:14" x14ac:dyDescent="0.3">
      <c r="A19" s="2">
        <v>9</v>
      </c>
      <c r="B19" s="8">
        <v>44.224234295823827</v>
      </c>
      <c r="C19" s="5"/>
      <c r="F19" s="21">
        <v>11</v>
      </c>
      <c r="G19" s="21"/>
      <c r="H19" s="14">
        <f t="shared" si="0"/>
        <v>4.0003037207031253</v>
      </c>
      <c r="I19" s="14">
        <f t="shared" si="1"/>
        <v>2.7497483284505209</v>
      </c>
      <c r="J19" s="11">
        <f t="shared" si="2"/>
        <v>13.500104098307293</v>
      </c>
      <c r="K19" s="11">
        <f t="shared" si="5"/>
        <v>57.724338394131124</v>
      </c>
      <c r="M19">
        <f t="shared" si="3"/>
        <v>8.0006074414062507</v>
      </c>
      <c r="N19">
        <f t="shared" si="4"/>
        <v>5.4994966569010417</v>
      </c>
    </row>
    <row r="20" spans="1:14" x14ac:dyDescent="0.3">
      <c r="A20" s="2">
        <v>10</v>
      </c>
      <c r="B20" s="9">
        <v>42.034234295823829</v>
      </c>
      <c r="C20" s="3"/>
      <c r="F20" s="21">
        <v>11</v>
      </c>
      <c r="G20" s="21"/>
      <c r="H20" s="14">
        <f t="shared" si="0"/>
        <v>4.0003037207031253</v>
      </c>
      <c r="I20" s="14">
        <f t="shared" si="1"/>
        <v>2.7497483284505209</v>
      </c>
      <c r="J20" s="11">
        <f t="shared" si="2"/>
        <v>13.500104098307293</v>
      </c>
      <c r="K20" s="11">
        <f t="shared" si="5"/>
        <v>55.534338394131126</v>
      </c>
      <c r="M20">
        <f t="shared" si="3"/>
        <v>8.0006074414062507</v>
      </c>
      <c r="N20">
        <f t="shared" si="4"/>
        <v>5.4994966569010417</v>
      </c>
    </row>
    <row r="21" spans="1:14" x14ac:dyDescent="0.3">
      <c r="A21" s="3" t="s">
        <v>2</v>
      </c>
      <c r="B21" s="9">
        <v>34.477230064053003</v>
      </c>
      <c r="C21" s="3"/>
      <c r="F21" s="21">
        <v>8</v>
      </c>
      <c r="G21" s="21"/>
      <c r="H21" s="14">
        <f t="shared" si="0"/>
        <v>2.9093117968750004</v>
      </c>
      <c r="I21" s="14">
        <f t="shared" si="1"/>
        <v>1.9998169661458336</v>
      </c>
      <c r="J21" s="11">
        <f t="shared" si="2"/>
        <v>9.818257526041668</v>
      </c>
      <c r="K21" s="11">
        <f t="shared" si="5"/>
        <v>44.295487590094673</v>
      </c>
      <c r="M21">
        <f t="shared" si="3"/>
        <v>5.8186235937500008</v>
      </c>
      <c r="N21">
        <f t="shared" si="4"/>
        <v>3.9996339322916672</v>
      </c>
    </row>
    <row r="22" spans="1:14" x14ac:dyDescent="0.3">
      <c r="A22" s="4" t="s">
        <v>3</v>
      </c>
      <c r="B22" s="3">
        <f>SUM(B12:B21)</f>
        <v>455.69999511531506</v>
      </c>
      <c r="C22" s="3"/>
      <c r="H22" s="16">
        <f>SUM(H11:H21)</f>
        <v>41.639525092773447</v>
      </c>
      <c r="I22" s="16">
        <f t="shared" ref="I22:K22" si="6">SUM(I11:I21)</f>
        <v>28.622380327962244</v>
      </c>
      <c r="J22" s="16">
        <f t="shared" si="6"/>
        <v>140.52381084147135</v>
      </c>
      <c r="K22" s="11">
        <f>SUM(J22,B22)</f>
        <v>596.22380595678646</v>
      </c>
    </row>
    <row r="24" spans="1:14" x14ac:dyDescent="0.3">
      <c r="H24" s="23" t="s">
        <v>21</v>
      </c>
      <c r="I24" s="23"/>
      <c r="J24" s="23"/>
      <c r="K24" s="17">
        <f>K22</f>
        <v>596.22380595678646</v>
      </c>
    </row>
    <row r="25" spans="1:14" x14ac:dyDescent="0.3">
      <c r="K25" s="11"/>
    </row>
    <row r="26" spans="1:14" x14ac:dyDescent="0.3">
      <c r="K26" s="11"/>
    </row>
  </sheetData>
  <mergeCells count="14">
    <mergeCell ref="H24:J24"/>
    <mergeCell ref="F17:G17"/>
    <mergeCell ref="F18:G18"/>
    <mergeCell ref="F19:G19"/>
    <mergeCell ref="F20:G20"/>
    <mergeCell ref="F21:G21"/>
    <mergeCell ref="F16:G16"/>
    <mergeCell ref="G3:H3"/>
    <mergeCell ref="F10:G10"/>
    <mergeCell ref="F11:G11"/>
    <mergeCell ref="F12:G12"/>
    <mergeCell ref="F13:G13"/>
    <mergeCell ref="F14:G14"/>
    <mergeCell ref="F15:G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A999-871F-4469-8719-624E0FAAA706}">
  <sheetPr codeName="Sheet4"/>
  <dimension ref="B2:AD29"/>
  <sheetViews>
    <sheetView workbookViewId="0">
      <selection activeCell="U7" sqref="U7:U14"/>
    </sheetView>
  </sheetViews>
  <sheetFormatPr defaultRowHeight="14.4" x14ac:dyDescent="0.3"/>
  <sheetData>
    <row r="2" spans="2:29" x14ac:dyDescent="0.3">
      <c r="B2" t="s">
        <v>48</v>
      </c>
    </row>
    <row r="3" spans="2:29" x14ac:dyDescent="0.3">
      <c r="B3" t="s">
        <v>49</v>
      </c>
    </row>
    <row r="4" spans="2:29" x14ac:dyDescent="0.3">
      <c r="B4" t="s">
        <v>50</v>
      </c>
      <c r="K4" t="s">
        <v>51</v>
      </c>
    </row>
    <row r="5" spans="2:29" ht="15" customHeight="1" x14ac:dyDescent="0.3">
      <c r="B5" t="s">
        <v>0</v>
      </c>
      <c r="C5" t="s">
        <v>52</v>
      </c>
      <c r="D5" t="s">
        <v>53</v>
      </c>
      <c r="G5" t="s">
        <v>54</v>
      </c>
      <c r="K5" t="s">
        <v>0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3</v>
      </c>
      <c r="W5" t="s">
        <v>64</v>
      </c>
      <c r="X5" t="s">
        <v>65</v>
      </c>
      <c r="Z5" t="s">
        <v>66</v>
      </c>
      <c r="AA5" t="s">
        <v>67</v>
      </c>
      <c r="AB5" t="s">
        <v>68</v>
      </c>
      <c r="AC5" t="s">
        <v>69</v>
      </c>
    </row>
    <row r="6" spans="2:29" x14ac:dyDescent="0.3">
      <c r="D6" t="s">
        <v>70</v>
      </c>
      <c r="E6" t="s">
        <v>71</v>
      </c>
      <c r="F6" t="s">
        <v>72</v>
      </c>
      <c r="G6" t="s">
        <v>70</v>
      </c>
      <c r="H6" t="s">
        <v>71</v>
      </c>
      <c r="I6" t="s">
        <v>72</v>
      </c>
      <c r="K6" t="s">
        <v>1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</row>
    <row r="7" spans="2:29" x14ac:dyDescent="0.3">
      <c r="B7" t="s">
        <v>1</v>
      </c>
      <c r="C7" t="s">
        <v>73</v>
      </c>
      <c r="D7" t="s">
        <v>74</v>
      </c>
      <c r="E7" t="s">
        <v>74</v>
      </c>
      <c r="F7" t="s">
        <v>75</v>
      </c>
      <c r="G7" t="s">
        <v>74</v>
      </c>
      <c r="H7" t="s">
        <v>74</v>
      </c>
      <c r="I7" t="s">
        <v>75</v>
      </c>
      <c r="K7">
        <v>2</v>
      </c>
      <c r="L7">
        <v>16.7</v>
      </c>
      <c r="M7">
        <v>4.3</v>
      </c>
      <c r="N7">
        <v>7.5</v>
      </c>
      <c r="O7">
        <v>8.6999999999999993</v>
      </c>
      <c r="P7">
        <v>6</v>
      </c>
      <c r="Q7">
        <v>6.9</v>
      </c>
      <c r="R7">
        <v>6.7</v>
      </c>
      <c r="S7">
        <v>14.8</v>
      </c>
      <c r="T7">
        <v>0</v>
      </c>
      <c r="U7">
        <v>71.7</v>
      </c>
      <c r="W7">
        <f>SUM(L7:N7,Q7:T7)</f>
        <v>56.900000000000006</v>
      </c>
      <c r="X7">
        <f>SUM(O7:P7)</f>
        <v>14.7</v>
      </c>
      <c r="Z7">
        <f>G8</f>
        <v>188.6</v>
      </c>
      <c r="AA7">
        <f>H8</f>
        <v>-125.4</v>
      </c>
      <c r="AB7">
        <f>SUM(L7:N7,Q7:T7)/32.2/12</f>
        <v>0.1472567287784679</v>
      </c>
      <c r="AC7">
        <f>I8/32.2/12</f>
        <v>12.502587991718427</v>
      </c>
    </row>
    <row r="8" spans="2:29" x14ac:dyDescent="0.3">
      <c r="B8">
        <v>2</v>
      </c>
      <c r="C8">
        <v>71.7</v>
      </c>
      <c r="D8">
        <v>189.7</v>
      </c>
      <c r="E8">
        <v>-115.9</v>
      </c>
      <c r="F8">
        <v>5944</v>
      </c>
      <c r="G8">
        <v>188.6</v>
      </c>
      <c r="H8">
        <v>-125.4</v>
      </c>
      <c r="I8">
        <v>4831</v>
      </c>
      <c r="K8">
        <v>3</v>
      </c>
      <c r="L8">
        <v>16.7</v>
      </c>
      <c r="M8">
        <v>4.3</v>
      </c>
      <c r="N8">
        <v>6.9</v>
      </c>
      <c r="O8">
        <v>8</v>
      </c>
      <c r="P8">
        <v>5.5</v>
      </c>
      <c r="Q8">
        <v>6.9</v>
      </c>
      <c r="R8">
        <v>8</v>
      </c>
      <c r="S8">
        <v>11.3</v>
      </c>
      <c r="T8">
        <v>0</v>
      </c>
      <c r="U8">
        <v>67.599999999999994</v>
      </c>
      <c r="W8">
        <f>SUM(L8:N8,Q8:T8)</f>
        <v>54.099999999999994</v>
      </c>
      <c r="X8">
        <f>SUM(O8:P8)</f>
        <v>13.5</v>
      </c>
      <c r="Z8">
        <f>G9</f>
        <v>194.7</v>
      </c>
      <c r="AA8">
        <f>H9</f>
        <v>-135.9</v>
      </c>
      <c r="AB8">
        <f>SUM(L8:N8,Q8:T8)/32.2/12</f>
        <v>0.1400103519668737</v>
      </c>
      <c r="AC8">
        <f>I9/32.2/12</f>
        <v>10.986024844720497</v>
      </c>
    </row>
    <row r="9" spans="2:29" x14ac:dyDescent="0.3">
      <c r="B9">
        <v>3</v>
      </c>
      <c r="C9">
        <v>67.599999999999994</v>
      </c>
      <c r="D9">
        <v>194.3</v>
      </c>
      <c r="E9">
        <v>-123.9</v>
      </c>
      <c r="F9">
        <v>5305</v>
      </c>
      <c r="G9">
        <v>194.7</v>
      </c>
      <c r="H9">
        <v>-135.9</v>
      </c>
      <c r="I9">
        <v>4245</v>
      </c>
      <c r="K9">
        <v>4</v>
      </c>
      <c r="L9">
        <v>14.2</v>
      </c>
      <c r="M9">
        <v>4.3</v>
      </c>
      <c r="N9">
        <v>6.9</v>
      </c>
      <c r="O9">
        <v>8</v>
      </c>
      <c r="P9">
        <v>5.5</v>
      </c>
      <c r="Q9">
        <v>6.9</v>
      </c>
      <c r="R9">
        <v>8</v>
      </c>
      <c r="S9">
        <v>4.9000000000000004</v>
      </c>
      <c r="T9">
        <v>0</v>
      </c>
      <c r="U9">
        <v>58.8</v>
      </c>
      <c r="W9">
        <f>SUM(L9:N9,Q9:T9)</f>
        <v>45.199999999999996</v>
      </c>
      <c r="X9">
        <f>SUM(O9:P9)</f>
        <v>13.5</v>
      </c>
      <c r="Z9">
        <f>G10</f>
        <v>199</v>
      </c>
      <c r="AA9">
        <f>H10</f>
        <v>-144.30000000000001</v>
      </c>
      <c r="AB9">
        <f>SUM(L9:N9,Q9:T9)/32.2/12</f>
        <v>0.11697722567287783</v>
      </c>
      <c r="AC9">
        <f>I10/32.2/12</f>
        <v>7.9244306418219459</v>
      </c>
    </row>
    <row r="10" spans="2:29" x14ac:dyDescent="0.3">
      <c r="B10">
        <v>4</v>
      </c>
      <c r="C10">
        <v>58.8</v>
      </c>
      <c r="D10">
        <v>197.3</v>
      </c>
      <c r="E10">
        <v>-128.1</v>
      </c>
      <c r="F10">
        <v>4137</v>
      </c>
      <c r="G10">
        <v>199</v>
      </c>
      <c r="H10">
        <v>-144.30000000000001</v>
      </c>
      <c r="I10">
        <v>3062</v>
      </c>
      <c r="K10">
        <v>5</v>
      </c>
      <c r="L10">
        <v>14.2</v>
      </c>
      <c r="M10">
        <v>4.3</v>
      </c>
      <c r="N10">
        <v>6.9</v>
      </c>
      <c r="O10">
        <v>8</v>
      </c>
      <c r="P10">
        <v>5.5</v>
      </c>
      <c r="Q10">
        <v>6.9</v>
      </c>
      <c r="R10">
        <v>7.9</v>
      </c>
      <c r="S10">
        <v>2.2999999999999998</v>
      </c>
      <c r="T10">
        <v>0</v>
      </c>
      <c r="U10">
        <v>56.1</v>
      </c>
      <c r="W10">
        <f>SUM(L10:N10,Q10:T10)</f>
        <v>42.499999999999993</v>
      </c>
      <c r="X10">
        <f>SUM(O10:P10)</f>
        <v>13.5</v>
      </c>
      <c r="Z10">
        <f>G11</f>
        <v>191.2</v>
      </c>
      <c r="AA10">
        <f>H11</f>
        <v>-139.9</v>
      </c>
      <c r="AB10">
        <f>SUM(L10:N10,Q10:T10)/32.2/12</f>
        <v>0.10998964803312627</v>
      </c>
      <c r="AC10">
        <f>I11/32.2/12</f>
        <v>6.2862318840579698</v>
      </c>
    </row>
    <row r="11" spans="2:29" x14ac:dyDescent="0.3">
      <c r="B11">
        <v>5</v>
      </c>
      <c r="C11">
        <v>56.1</v>
      </c>
      <c r="D11">
        <v>191.7</v>
      </c>
      <c r="E11">
        <v>-124.3</v>
      </c>
      <c r="F11">
        <v>3490</v>
      </c>
      <c r="G11">
        <v>191.2</v>
      </c>
      <c r="H11">
        <v>-139.9</v>
      </c>
      <c r="I11">
        <v>2429</v>
      </c>
      <c r="K11">
        <v>6</v>
      </c>
      <c r="L11">
        <v>14</v>
      </c>
      <c r="M11">
        <v>4.3</v>
      </c>
      <c r="N11">
        <v>6.9</v>
      </c>
      <c r="O11">
        <v>8</v>
      </c>
      <c r="P11">
        <v>5.5</v>
      </c>
      <c r="Q11">
        <v>6.9</v>
      </c>
      <c r="R11">
        <v>7.8</v>
      </c>
      <c r="S11">
        <v>8.1</v>
      </c>
      <c r="T11">
        <v>0</v>
      </c>
      <c r="U11">
        <v>61.5</v>
      </c>
      <c r="W11">
        <f>SUM(L11:N11,Q11:T11)</f>
        <v>48</v>
      </c>
      <c r="X11">
        <f>SUM(O11:P11)</f>
        <v>13.5</v>
      </c>
      <c r="Z11">
        <f>G12</f>
        <v>191.4</v>
      </c>
      <c r="AA11">
        <f>H12</f>
        <v>-144.6</v>
      </c>
      <c r="AB11">
        <f>SUM(L11:N11,Q11:T11)/32.2/12</f>
        <v>0.12422360248447205</v>
      </c>
      <c r="AC11">
        <f>I12/32.2/12</f>
        <v>6.537267080745341</v>
      </c>
    </row>
    <row r="12" spans="2:29" x14ac:dyDescent="0.3">
      <c r="B12">
        <v>6</v>
      </c>
      <c r="C12">
        <v>61.5</v>
      </c>
      <c r="D12">
        <v>191.8</v>
      </c>
      <c r="E12">
        <v>-129.1</v>
      </c>
      <c r="F12">
        <v>3604</v>
      </c>
      <c r="G12">
        <v>191.4</v>
      </c>
      <c r="H12">
        <v>-144.6</v>
      </c>
      <c r="I12">
        <v>2526</v>
      </c>
      <c r="K12">
        <v>7</v>
      </c>
      <c r="L12">
        <v>13.9</v>
      </c>
      <c r="M12">
        <v>4.3</v>
      </c>
      <c r="N12">
        <v>6.9</v>
      </c>
      <c r="O12">
        <v>8</v>
      </c>
      <c r="P12">
        <v>5.5</v>
      </c>
      <c r="Q12">
        <v>6.9</v>
      </c>
      <c r="R12">
        <v>7.8</v>
      </c>
      <c r="S12">
        <v>2.2999999999999998</v>
      </c>
      <c r="T12">
        <v>0</v>
      </c>
      <c r="U12">
        <v>55.6</v>
      </c>
      <c r="W12">
        <f>SUM(L12:N12,Q12:T12)</f>
        <v>42.099999999999994</v>
      </c>
      <c r="X12">
        <f>SUM(O12:P12)</f>
        <v>13.5</v>
      </c>
      <c r="Z12">
        <f>G13</f>
        <v>191.1</v>
      </c>
      <c r="AA12">
        <f>H13</f>
        <v>-135.19999999999999</v>
      </c>
      <c r="AB12">
        <f>SUM(L12:N12,Q12:T12)/32.2/12</f>
        <v>0.10895445134575567</v>
      </c>
      <c r="AC12">
        <f>I13/32.2/12</f>
        <v>6.1387163561076603</v>
      </c>
    </row>
    <row r="13" spans="2:29" x14ac:dyDescent="0.3">
      <c r="B13">
        <v>7</v>
      </c>
      <c r="C13">
        <v>55.6</v>
      </c>
      <c r="D13">
        <v>191.6</v>
      </c>
      <c r="E13">
        <v>-120.9</v>
      </c>
      <c r="F13">
        <v>3423</v>
      </c>
      <c r="G13">
        <v>191.1</v>
      </c>
      <c r="H13">
        <v>-135.19999999999999</v>
      </c>
      <c r="I13">
        <v>2372</v>
      </c>
      <c r="K13">
        <v>8</v>
      </c>
      <c r="L13">
        <v>17.100000000000001</v>
      </c>
      <c r="M13">
        <v>5.2</v>
      </c>
      <c r="N13">
        <v>6.9</v>
      </c>
      <c r="O13">
        <v>8</v>
      </c>
      <c r="P13">
        <v>5.5</v>
      </c>
      <c r="Q13">
        <v>6.9</v>
      </c>
      <c r="R13">
        <v>7.8</v>
      </c>
      <c r="S13">
        <v>1.9</v>
      </c>
      <c r="T13">
        <v>0</v>
      </c>
      <c r="U13">
        <v>59.2</v>
      </c>
      <c r="W13">
        <f>SUM(L13:N13,Q13:T13)</f>
        <v>45.8</v>
      </c>
      <c r="X13">
        <f>SUM(O13:P13)</f>
        <v>13.5</v>
      </c>
      <c r="Z13">
        <f>G14</f>
        <v>192</v>
      </c>
      <c r="AA13">
        <f>H14</f>
        <v>-135.69999999999999</v>
      </c>
      <c r="AB13">
        <f>SUM(L13:N13,Q13:T13)/32.2/12</f>
        <v>0.11853002070393372</v>
      </c>
      <c r="AC13">
        <f>I14/32.2/12</f>
        <v>6.9073498964803308</v>
      </c>
    </row>
    <row r="14" spans="2:29" x14ac:dyDescent="0.3">
      <c r="B14">
        <v>8</v>
      </c>
      <c r="C14">
        <v>59.2</v>
      </c>
      <c r="D14">
        <v>192.3</v>
      </c>
      <c r="E14">
        <v>-122.1</v>
      </c>
      <c r="F14">
        <v>3723</v>
      </c>
      <c r="G14">
        <v>192</v>
      </c>
      <c r="H14">
        <v>-135.69999999999999</v>
      </c>
      <c r="I14">
        <v>2669</v>
      </c>
      <c r="K14">
        <v>9</v>
      </c>
      <c r="L14">
        <v>17.100000000000001</v>
      </c>
      <c r="M14">
        <v>5.2</v>
      </c>
      <c r="N14">
        <v>6.9</v>
      </c>
      <c r="O14">
        <v>8</v>
      </c>
      <c r="P14">
        <v>5.5</v>
      </c>
      <c r="Q14">
        <v>6.9</v>
      </c>
      <c r="R14">
        <v>6.3</v>
      </c>
      <c r="S14">
        <v>1.9</v>
      </c>
      <c r="T14">
        <v>0</v>
      </c>
      <c r="U14">
        <v>57.7</v>
      </c>
      <c r="W14">
        <f>SUM(L14:N14,Q14:T14)</f>
        <v>44.3</v>
      </c>
      <c r="X14">
        <f>SUM(O14:P14)</f>
        <v>13.5</v>
      </c>
      <c r="Z14">
        <f>G15</f>
        <v>192</v>
      </c>
      <c r="AA14">
        <f>H15</f>
        <v>-134.6</v>
      </c>
      <c r="AB14">
        <f>SUM(L14:N14,Q14:T14)/32.2/12</f>
        <v>0.11464803312629397</v>
      </c>
      <c r="AC14">
        <f>I15/32.2/12</f>
        <v>6.8840579710144922</v>
      </c>
    </row>
    <row r="15" spans="2:29" x14ac:dyDescent="0.3">
      <c r="B15">
        <v>9</v>
      </c>
      <c r="C15">
        <v>57.7</v>
      </c>
      <c r="D15">
        <v>192.3</v>
      </c>
      <c r="E15">
        <v>-120.9</v>
      </c>
      <c r="F15">
        <v>3711</v>
      </c>
      <c r="G15">
        <v>192</v>
      </c>
      <c r="H15">
        <v>-134.6</v>
      </c>
      <c r="I15">
        <v>2660</v>
      </c>
      <c r="K15">
        <v>10</v>
      </c>
      <c r="L15">
        <v>17.100000000000001</v>
      </c>
      <c r="M15">
        <v>5.2</v>
      </c>
      <c r="N15">
        <v>6.9</v>
      </c>
      <c r="O15">
        <v>8</v>
      </c>
      <c r="P15">
        <v>5.5</v>
      </c>
      <c r="Q15">
        <v>6.9</v>
      </c>
      <c r="R15">
        <v>6</v>
      </c>
      <c r="S15">
        <v>0</v>
      </c>
      <c r="T15">
        <v>0</v>
      </c>
      <c r="U15">
        <v>55.5</v>
      </c>
      <c r="W15">
        <f>SUM(L15:N15,Q15:T15)</f>
        <v>42.1</v>
      </c>
      <c r="X15">
        <f>SUM(O15:P15)</f>
        <v>13.5</v>
      </c>
      <c r="Z15">
        <f>G16</f>
        <v>192</v>
      </c>
      <c r="AA15">
        <f>H16</f>
        <v>-137.4</v>
      </c>
      <c r="AB15">
        <f>SUM(L15:N15,Q15:T15)/32.2/12</f>
        <v>0.1089544513457557</v>
      </c>
      <c r="AC15">
        <f>I16/32.2/12</f>
        <v>6.70807453416149</v>
      </c>
    </row>
    <row r="16" spans="2:29" x14ac:dyDescent="0.3">
      <c r="B16">
        <v>10</v>
      </c>
      <c r="C16">
        <v>55.5</v>
      </c>
      <c r="D16">
        <v>192.3</v>
      </c>
      <c r="E16">
        <v>-122.3</v>
      </c>
      <c r="F16">
        <v>3648</v>
      </c>
      <c r="G16">
        <v>192</v>
      </c>
      <c r="H16">
        <v>-137.4</v>
      </c>
      <c r="I16">
        <v>2592</v>
      </c>
      <c r="K16" t="s">
        <v>2</v>
      </c>
      <c r="L16">
        <v>17.100000000000001</v>
      </c>
      <c r="M16">
        <v>5.2</v>
      </c>
      <c r="N16">
        <v>3.5</v>
      </c>
      <c r="O16">
        <v>5.8</v>
      </c>
      <c r="P16">
        <v>4</v>
      </c>
      <c r="Q16">
        <v>5.2</v>
      </c>
      <c r="R16">
        <v>3.6</v>
      </c>
      <c r="S16">
        <v>0</v>
      </c>
      <c r="T16">
        <v>0</v>
      </c>
      <c r="U16">
        <v>44.3</v>
      </c>
      <c r="W16">
        <f>SUM(L16:N16,Q16:T16)</f>
        <v>34.6</v>
      </c>
      <c r="X16">
        <f>SUM(O16:P16)</f>
        <v>9.8000000000000007</v>
      </c>
      <c r="Z16">
        <f>G17</f>
        <v>192</v>
      </c>
      <c r="AA16">
        <f>H17</f>
        <v>-135.80000000000001</v>
      </c>
      <c r="AB16">
        <f>SUM(L16:N16,Q16:T16)/32.2/12</f>
        <v>8.9544513457556929E-2</v>
      </c>
      <c r="AC16">
        <f>I17/32.2/12</f>
        <v>5.9575569358178049</v>
      </c>
    </row>
    <row r="17" spans="2:30" x14ac:dyDescent="0.3">
      <c r="B17" t="s">
        <v>2</v>
      </c>
      <c r="C17">
        <v>44.3</v>
      </c>
      <c r="D17">
        <v>192.2</v>
      </c>
      <c r="E17">
        <v>-123.4</v>
      </c>
      <c r="F17">
        <v>3020</v>
      </c>
      <c r="G17">
        <v>192</v>
      </c>
      <c r="H17">
        <v>-135.80000000000001</v>
      </c>
      <c r="I17">
        <v>2302</v>
      </c>
      <c r="K17" t="s">
        <v>3</v>
      </c>
      <c r="L17">
        <v>158.1</v>
      </c>
      <c r="M17">
        <v>46.6</v>
      </c>
      <c r="N17">
        <v>66.3</v>
      </c>
      <c r="O17">
        <v>78.3</v>
      </c>
      <c r="P17">
        <v>53.9</v>
      </c>
      <c r="Q17">
        <v>67.3</v>
      </c>
      <c r="R17">
        <v>69.900000000000006</v>
      </c>
      <c r="S17">
        <v>47.5</v>
      </c>
      <c r="T17">
        <v>0</v>
      </c>
      <c r="U17">
        <v>587.9</v>
      </c>
      <c r="W17">
        <f>SUM(L17:N17,Q17:T17)</f>
        <v>455.70000000000005</v>
      </c>
      <c r="X17">
        <f>SUM(O17:P17)</f>
        <v>132.19999999999999</v>
      </c>
      <c r="Z17" t="str">
        <f>G18</f>
        <v>-</v>
      </c>
      <c r="AA17" t="str">
        <f>H18</f>
        <v>-</v>
      </c>
    </row>
    <row r="18" spans="2:30" x14ac:dyDescent="0.3">
      <c r="B18" t="s">
        <v>3</v>
      </c>
      <c r="C18">
        <v>587.9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W18" t="s">
        <v>76</v>
      </c>
    </row>
    <row r="19" spans="2:30" x14ac:dyDescent="0.3">
      <c r="S19" t="s">
        <v>77</v>
      </c>
      <c r="U19" t="s">
        <v>78</v>
      </c>
      <c r="W19">
        <v>1449.421875</v>
      </c>
      <c r="X19">
        <v>965.8359375</v>
      </c>
    </row>
    <row r="20" spans="2:30" x14ac:dyDescent="0.3">
      <c r="S20">
        <f>U20/12</f>
        <v>3.0208333333333334E-2</v>
      </c>
      <c r="T20">
        <v>12</v>
      </c>
      <c r="U20">
        <f>O7/$T20/2</f>
        <v>0.36249999999999999</v>
      </c>
      <c r="V20">
        <f>P7/$T20/2</f>
        <v>0.25</v>
      </c>
      <c r="W20">
        <f>U20*1000/$W$19*144</f>
        <v>36.014359173377315</v>
      </c>
      <c r="X20">
        <f>V20*1000/$X$19*144</f>
        <v>37.273411148050187</v>
      </c>
      <c r="Z20">
        <f>U20*$T20</f>
        <v>4.3499999999999996</v>
      </c>
      <c r="AA20">
        <f>V20*$T20</f>
        <v>3</v>
      </c>
      <c r="AC20">
        <f>Z20*2</f>
        <v>8.6999999999999993</v>
      </c>
      <c r="AD20">
        <f>AA20*2</f>
        <v>6</v>
      </c>
    </row>
    <row r="21" spans="2:30" x14ac:dyDescent="0.3">
      <c r="T21">
        <v>11</v>
      </c>
      <c r="U21">
        <f t="shared" ref="U21:V29" si="0">O8/$T21/2</f>
        <v>0.36363636363636365</v>
      </c>
      <c r="V21">
        <f t="shared" si="0"/>
        <v>0.25</v>
      </c>
      <c r="W21">
        <f t="shared" ref="W21:W29" si="1">U21*1000/$W$19*144</f>
        <v>36.127256851036805</v>
      </c>
      <c r="X21">
        <f t="shared" ref="X21:X29" si="2">V21*1000/$X$19*144</f>
        <v>37.273411148050187</v>
      </c>
      <c r="Z21">
        <f t="shared" ref="Z21:AA29" si="3">U21*$T21</f>
        <v>4</v>
      </c>
      <c r="AA21">
        <f t="shared" si="3"/>
        <v>2.75</v>
      </c>
      <c r="AC21">
        <f>Z21*2</f>
        <v>8</v>
      </c>
      <c r="AD21">
        <f>AA21*2</f>
        <v>5.5</v>
      </c>
    </row>
    <row r="22" spans="2:30" x14ac:dyDescent="0.3">
      <c r="P22">
        <f>11*O16/O15</f>
        <v>7.9749999999999996</v>
      </c>
      <c r="Q22">
        <f>11*P16/P15</f>
        <v>8</v>
      </c>
      <c r="T22">
        <v>11</v>
      </c>
      <c r="U22">
        <f t="shared" si="0"/>
        <v>0.36363636363636365</v>
      </c>
      <c r="V22">
        <f t="shared" si="0"/>
        <v>0.25</v>
      </c>
      <c r="W22">
        <f t="shared" si="1"/>
        <v>36.127256851036805</v>
      </c>
      <c r="X22">
        <f t="shared" si="2"/>
        <v>37.273411148050187</v>
      </c>
      <c r="Z22">
        <f t="shared" si="3"/>
        <v>4</v>
      </c>
      <c r="AA22">
        <f t="shared" si="3"/>
        <v>2.75</v>
      </c>
      <c r="AC22">
        <f t="shared" ref="AC22:AD29" si="4">Z22*2</f>
        <v>8</v>
      </c>
      <c r="AD22">
        <f t="shared" si="4"/>
        <v>5.5</v>
      </c>
    </row>
    <row r="23" spans="2:30" x14ac:dyDescent="0.3">
      <c r="T23">
        <v>11</v>
      </c>
      <c r="U23">
        <f t="shared" si="0"/>
        <v>0.36363636363636365</v>
      </c>
      <c r="V23">
        <f t="shared" si="0"/>
        <v>0.25</v>
      </c>
      <c r="W23">
        <f t="shared" si="1"/>
        <v>36.127256851036805</v>
      </c>
      <c r="X23">
        <f t="shared" si="2"/>
        <v>37.273411148050187</v>
      </c>
      <c r="Z23">
        <f t="shared" si="3"/>
        <v>4</v>
      </c>
      <c r="AA23">
        <f t="shared" si="3"/>
        <v>2.75</v>
      </c>
      <c r="AC23">
        <f t="shared" si="4"/>
        <v>8</v>
      </c>
      <c r="AD23">
        <f t="shared" si="4"/>
        <v>5.5</v>
      </c>
    </row>
    <row r="24" spans="2:30" x14ac:dyDescent="0.3">
      <c r="T24">
        <v>11</v>
      </c>
      <c r="U24">
        <f t="shared" si="0"/>
        <v>0.36363636363636365</v>
      </c>
      <c r="V24">
        <f t="shared" si="0"/>
        <v>0.25</v>
      </c>
      <c r="W24">
        <f t="shared" si="1"/>
        <v>36.127256851036805</v>
      </c>
      <c r="X24">
        <f t="shared" si="2"/>
        <v>37.273411148050187</v>
      </c>
      <c r="Z24">
        <f t="shared" si="3"/>
        <v>4</v>
      </c>
      <c r="AA24">
        <f t="shared" si="3"/>
        <v>2.75</v>
      </c>
      <c r="AC24">
        <f t="shared" si="4"/>
        <v>8</v>
      </c>
      <c r="AD24">
        <f t="shared" si="4"/>
        <v>5.5</v>
      </c>
    </row>
    <row r="25" spans="2:30" x14ac:dyDescent="0.3">
      <c r="T25">
        <v>11</v>
      </c>
      <c r="U25">
        <f t="shared" si="0"/>
        <v>0.36363636363636365</v>
      </c>
      <c r="V25">
        <f t="shared" si="0"/>
        <v>0.25</v>
      </c>
      <c r="W25">
        <f t="shared" si="1"/>
        <v>36.127256851036805</v>
      </c>
      <c r="X25">
        <f t="shared" si="2"/>
        <v>37.273411148050187</v>
      </c>
      <c r="Z25">
        <f t="shared" si="3"/>
        <v>4</v>
      </c>
      <c r="AA25">
        <f t="shared" si="3"/>
        <v>2.75</v>
      </c>
      <c r="AC25">
        <f t="shared" si="4"/>
        <v>8</v>
      </c>
      <c r="AD25">
        <f t="shared" si="4"/>
        <v>5.5</v>
      </c>
    </row>
    <row r="26" spans="2:30" x14ac:dyDescent="0.3">
      <c r="T26">
        <v>11</v>
      </c>
      <c r="U26">
        <f t="shared" si="0"/>
        <v>0.36363636363636365</v>
      </c>
      <c r="V26">
        <f t="shared" si="0"/>
        <v>0.25</v>
      </c>
      <c r="W26">
        <f t="shared" si="1"/>
        <v>36.127256851036805</v>
      </c>
      <c r="X26">
        <f t="shared" si="2"/>
        <v>37.273411148050187</v>
      </c>
      <c r="Z26">
        <f t="shared" si="3"/>
        <v>4</v>
      </c>
      <c r="AA26">
        <f t="shared" si="3"/>
        <v>2.75</v>
      </c>
      <c r="AC26">
        <f t="shared" si="4"/>
        <v>8</v>
      </c>
      <c r="AD26">
        <f t="shared" si="4"/>
        <v>5.5</v>
      </c>
    </row>
    <row r="27" spans="2:30" x14ac:dyDescent="0.3">
      <c r="T27">
        <v>11</v>
      </c>
      <c r="U27">
        <f t="shared" si="0"/>
        <v>0.36363636363636365</v>
      </c>
      <c r="V27">
        <f t="shared" si="0"/>
        <v>0.25</v>
      </c>
      <c r="W27">
        <f t="shared" si="1"/>
        <v>36.127256851036805</v>
      </c>
      <c r="X27">
        <f t="shared" si="2"/>
        <v>37.273411148050187</v>
      </c>
      <c r="Z27">
        <f t="shared" si="3"/>
        <v>4</v>
      </c>
      <c r="AA27">
        <f t="shared" si="3"/>
        <v>2.75</v>
      </c>
      <c r="AC27">
        <f t="shared" si="4"/>
        <v>8</v>
      </c>
      <c r="AD27">
        <f t="shared" si="4"/>
        <v>5.5</v>
      </c>
    </row>
    <row r="28" spans="2:30" x14ac:dyDescent="0.3">
      <c r="T28">
        <v>11</v>
      </c>
      <c r="U28">
        <f t="shared" si="0"/>
        <v>0.36363636363636365</v>
      </c>
      <c r="V28">
        <f t="shared" si="0"/>
        <v>0.25</v>
      </c>
      <c r="W28">
        <f t="shared" si="1"/>
        <v>36.127256851036805</v>
      </c>
      <c r="X28">
        <f t="shared" si="2"/>
        <v>37.273411148050187</v>
      </c>
      <c r="Z28">
        <f t="shared" si="3"/>
        <v>4</v>
      </c>
      <c r="AA28">
        <f t="shared" si="3"/>
        <v>2.75</v>
      </c>
      <c r="AC28">
        <f t="shared" si="4"/>
        <v>8</v>
      </c>
      <c r="AD28">
        <f t="shared" si="4"/>
        <v>5.5</v>
      </c>
    </row>
    <row r="29" spans="2:30" x14ac:dyDescent="0.3">
      <c r="T29">
        <v>8</v>
      </c>
      <c r="U29">
        <f t="shared" si="0"/>
        <v>0.36249999999999999</v>
      </c>
      <c r="V29">
        <f t="shared" si="0"/>
        <v>0.25</v>
      </c>
      <c r="W29">
        <f t="shared" si="1"/>
        <v>36.014359173377315</v>
      </c>
      <c r="X29">
        <f t="shared" si="2"/>
        <v>37.273411148050187</v>
      </c>
      <c r="Z29">
        <f t="shared" si="3"/>
        <v>2.9</v>
      </c>
      <c r="AA29">
        <f t="shared" si="3"/>
        <v>2</v>
      </c>
      <c r="AC29">
        <f t="shared" si="4"/>
        <v>5.8</v>
      </c>
      <c r="AD29">
        <f t="shared" si="4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E836-5F7D-4255-9C52-1AFACBA37C61}">
  <sheetPr codeName="Sheet2"/>
  <dimension ref="B1:P22"/>
  <sheetViews>
    <sheetView workbookViewId="0">
      <selection activeCell="G3" sqref="G3:G16"/>
    </sheetView>
  </sheetViews>
  <sheetFormatPr defaultRowHeight="14.4" x14ac:dyDescent="0.3"/>
  <cols>
    <col min="3" max="3" width="14" customWidth="1"/>
  </cols>
  <sheetData>
    <row r="1" spans="2:16" x14ac:dyDescent="0.3">
      <c r="F1">
        <v>3</v>
      </c>
      <c r="G1">
        <v>3</v>
      </c>
    </row>
    <row r="2" spans="2:16" x14ac:dyDescent="0.3">
      <c r="B2" t="s">
        <v>37</v>
      </c>
      <c r="C2" t="s">
        <v>41</v>
      </c>
      <c r="D2" t="s">
        <v>38</v>
      </c>
      <c r="E2" t="s">
        <v>39</v>
      </c>
      <c r="F2" t="s">
        <v>40</v>
      </c>
      <c r="G2" s="20"/>
      <c r="I2" t="s">
        <v>42</v>
      </c>
      <c r="J2" t="s">
        <v>43</v>
      </c>
      <c r="K2" t="s">
        <v>44</v>
      </c>
      <c r="L2" t="s">
        <v>45</v>
      </c>
      <c r="M2" t="s">
        <v>42</v>
      </c>
      <c r="N2" t="s">
        <v>43</v>
      </c>
    </row>
    <row r="3" spans="2:16" x14ac:dyDescent="0.3">
      <c r="B3" t="s">
        <v>22</v>
      </c>
      <c r="C3" s="10">
        <v>9050</v>
      </c>
      <c r="D3" s="19">
        <f>C3/$C$18</f>
        <v>6.1192475692049712E-2</v>
      </c>
      <c r="E3">
        <f>'Total Loads'!$B$22*D3</f>
        <v>27.885410873961089</v>
      </c>
      <c r="F3">
        <f>ROUND(E3,$F$1)</f>
        <v>27.885000000000002</v>
      </c>
      <c r="G3" s="20">
        <f>ROUND(D3,$G$1)</f>
        <v>6.0999999999999999E-2</v>
      </c>
      <c r="I3">
        <v>0</v>
      </c>
      <c r="J3">
        <v>0</v>
      </c>
      <c r="K3">
        <f>I3*$G3</f>
        <v>0</v>
      </c>
      <c r="L3">
        <f>J3*$G3</f>
        <v>0</v>
      </c>
      <c r="M3">
        <f>I3-$K$19</f>
        <v>-191.99999999999994</v>
      </c>
      <c r="N3">
        <f>J3-$L$19</f>
        <v>138.43199999999996</v>
      </c>
      <c r="O3">
        <f>M3*$G3</f>
        <v>-11.711999999999996</v>
      </c>
      <c r="P3">
        <f>N3*$G3</f>
        <v>8.4443519999999967</v>
      </c>
    </row>
    <row r="4" spans="2:16" x14ac:dyDescent="0.3">
      <c r="B4" t="s">
        <v>23</v>
      </c>
      <c r="C4" s="10">
        <v>12370</v>
      </c>
      <c r="D4" s="19">
        <f t="shared" ref="D4:D16" si="0">C4/$C$18</f>
        <v>8.3640986111674573E-2</v>
      </c>
      <c r="E4">
        <f>'Total Loads'!$B$22*D4</f>
        <v>38.115196962530234</v>
      </c>
      <c r="F4">
        <f t="shared" ref="F4:F16" si="1">ROUND(E4,$F$1)</f>
        <v>38.115000000000002</v>
      </c>
      <c r="G4" s="20">
        <f t="shared" ref="G4:G16" si="2">ROUND(D4,$G$1)</f>
        <v>8.4000000000000005E-2</v>
      </c>
      <c r="I4">
        <v>126</v>
      </c>
      <c r="J4">
        <v>0</v>
      </c>
      <c r="K4">
        <f t="shared" ref="K4:K16" si="3">I4*$G4</f>
        <v>10.584000000000001</v>
      </c>
      <c r="L4">
        <f t="shared" ref="L4:L16" si="4">J4*$G4</f>
        <v>0</v>
      </c>
      <c r="M4">
        <f t="shared" ref="M4:M16" si="5">I4-$K$19</f>
        <v>-65.999999999999943</v>
      </c>
      <c r="N4">
        <f t="shared" ref="N4:N16" si="6">J4-$L$19</f>
        <v>138.43199999999996</v>
      </c>
      <c r="O4">
        <f t="shared" ref="O4:O16" si="7">M4*$G4</f>
        <v>-5.5439999999999952</v>
      </c>
      <c r="P4">
        <f t="shared" ref="P4:P16" si="8">N4*$G4</f>
        <v>11.628287999999998</v>
      </c>
    </row>
    <row r="5" spans="2:16" x14ac:dyDescent="0.3">
      <c r="B5" t="s">
        <v>24</v>
      </c>
      <c r="C5" s="10">
        <v>12370</v>
      </c>
      <c r="D5" s="19">
        <f t="shared" si="0"/>
        <v>8.3640986111674573E-2</v>
      </c>
      <c r="E5">
        <f>'Total Loads'!$B$22*D5</f>
        <v>38.115196962530234</v>
      </c>
      <c r="F5">
        <f t="shared" si="1"/>
        <v>38.115000000000002</v>
      </c>
      <c r="G5" s="20">
        <f t="shared" si="2"/>
        <v>8.4000000000000005E-2</v>
      </c>
      <c r="I5">
        <v>258</v>
      </c>
      <c r="J5">
        <v>0</v>
      </c>
      <c r="K5">
        <f t="shared" si="3"/>
        <v>21.672000000000001</v>
      </c>
      <c r="L5">
        <f t="shared" si="4"/>
        <v>0</v>
      </c>
      <c r="M5">
        <f t="shared" si="5"/>
        <v>66.000000000000057</v>
      </c>
      <c r="N5">
        <f t="shared" si="6"/>
        <v>138.43199999999996</v>
      </c>
      <c r="O5">
        <f t="shared" si="7"/>
        <v>5.5440000000000049</v>
      </c>
      <c r="P5">
        <f t="shared" si="8"/>
        <v>11.628287999999998</v>
      </c>
    </row>
    <row r="6" spans="2:16" x14ac:dyDescent="0.3">
      <c r="B6" t="s">
        <v>25</v>
      </c>
      <c r="C6" s="10">
        <v>9050</v>
      </c>
      <c r="D6" s="19">
        <f t="shared" si="0"/>
        <v>6.1192475692049712E-2</v>
      </c>
      <c r="E6">
        <f>'Total Loads'!$B$22*D6</f>
        <v>27.885410873961089</v>
      </c>
      <c r="F6">
        <f t="shared" si="1"/>
        <v>27.885000000000002</v>
      </c>
      <c r="G6" s="20">
        <f t="shared" si="2"/>
        <v>6.0999999999999999E-2</v>
      </c>
      <c r="I6">
        <v>384</v>
      </c>
      <c r="J6">
        <v>0</v>
      </c>
      <c r="K6">
        <f t="shared" si="3"/>
        <v>23.423999999999999</v>
      </c>
      <c r="L6">
        <f t="shared" si="4"/>
        <v>0</v>
      </c>
      <c r="M6">
        <f t="shared" si="5"/>
        <v>192.00000000000006</v>
      </c>
      <c r="N6">
        <f t="shared" si="6"/>
        <v>138.43199999999996</v>
      </c>
      <c r="O6">
        <f t="shared" si="7"/>
        <v>11.712000000000003</v>
      </c>
      <c r="P6">
        <f t="shared" si="8"/>
        <v>8.4443519999999967</v>
      </c>
    </row>
    <row r="7" spans="2:16" x14ac:dyDescent="0.3">
      <c r="B7" t="s">
        <v>26</v>
      </c>
      <c r="C7" s="10">
        <v>8560</v>
      </c>
      <c r="D7" s="19">
        <f t="shared" si="0"/>
        <v>5.7879291925297852E-2</v>
      </c>
      <c r="E7">
        <f>'Total Loads'!$B$22*D7</f>
        <v>26.375593047636126</v>
      </c>
      <c r="F7">
        <f t="shared" si="1"/>
        <v>26.376000000000001</v>
      </c>
      <c r="G7" s="20">
        <f t="shared" si="2"/>
        <v>5.8000000000000003E-2</v>
      </c>
      <c r="I7">
        <v>0</v>
      </c>
      <c r="J7">
        <v>-120</v>
      </c>
      <c r="K7">
        <f t="shared" si="3"/>
        <v>0</v>
      </c>
      <c r="L7">
        <f t="shared" si="4"/>
        <v>-6.96</v>
      </c>
      <c r="M7">
        <f t="shared" si="5"/>
        <v>-191.99999999999994</v>
      </c>
      <c r="N7">
        <f t="shared" si="6"/>
        <v>18.43199999999996</v>
      </c>
      <c r="O7">
        <f t="shared" si="7"/>
        <v>-11.135999999999997</v>
      </c>
      <c r="P7">
        <f t="shared" si="8"/>
        <v>1.0690559999999978</v>
      </c>
    </row>
    <row r="8" spans="2:16" x14ac:dyDescent="0.3">
      <c r="B8" t="s">
        <v>27</v>
      </c>
      <c r="C8" s="10">
        <v>13932</v>
      </c>
      <c r="D8" s="19">
        <f t="shared" si="0"/>
        <v>9.4202604568136644E-2</v>
      </c>
      <c r="E8">
        <f>'Total Loads'!$B$22*D8</f>
        <v>42.928126441549828</v>
      </c>
      <c r="F8">
        <f t="shared" si="1"/>
        <v>42.927999999999997</v>
      </c>
      <c r="G8" s="20">
        <f t="shared" si="2"/>
        <v>9.4E-2</v>
      </c>
      <c r="I8">
        <v>126</v>
      </c>
      <c r="J8">
        <v>-120</v>
      </c>
      <c r="K8">
        <f t="shared" si="3"/>
        <v>11.843999999999999</v>
      </c>
      <c r="L8">
        <f t="shared" si="4"/>
        <v>-11.28</v>
      </c>
      <c r="M8">
        <f t="shared" si="5"/>
        <v>-65.999999999999943</v>
      </c>
      <c r="N8">
        <f t="shared" si="6"/>
        <v>18.43199999999996</v>
      </c>
      <c r="O8">
        <f t="shared" si="7"/>
        <v>-6.2039999999999944</v>
      </c>
      <c r="P8">
        <f t="shared" si="8"/>
        <v>1.7326079999999962</v>
      </c>
    </row>
    <row r="9" spans="2:16" x14ac:dyDescent="0.3">
      <c r="B9" t="s">
        <v>28</v>
      </c>
      <c r="C9" s="10">
        <v>13932</v>
      </c>
      <c r="D9" s="19">
        <f t="shared" si="0"/>
        <v>9.4202604568136644E-2</v>
      </c>
      <c r="E9">
        <f>'Total Loads'!$B$22*D9</f>
        <v>42.928126441549828</v>
      </c>
      <c r="F9">
        <f t="shared" si="1"/>
        <v>42.927999999999997</v>
      </c>
      <c r="G9" s="20">
        <f t="shared" si="2"/>
        <v>9.4E-2</v>
      </c>
      <c r="I9">
        <v>258</v>
      </c>
      <c r="J9">
        <v>-120</v>
      </c>
      <c r="K9">
        <f t="shared" si="3"/>
        <v>24.251999999999999</v>
      </c>
      <c r="L9">
        <f t="shared" si="4"/>
        <v>-11.28</v>
      </c>
      <c r="M9">
        <f t="shared" si="5"/>
        <v>66.000000000000057</v>
      </c>
      <c r="N9">
        <f t="shared" si="6"/>
        <v>18.43199999999996</v>
      </c>
      <c r="O9">
        <f t="shared" si="7"/>
        <v>6.2040000000000051</v>
      </c>
      <c r="P9">
        <f t="shared" si="8"/>
        <v>1.7326079999999962</v>
      </c>
    </row>
    <row r="10" spans="2:16" x14ac:dyDescent="0.3">
      <c r="B10" t="s">
        <v>29</v>
      </c>
      <c r="C10" s="10">
        <v>8560</v>
      </c>
      <c r="D10" s="19">
        <f t="shared" si="0"/>
        <v>5.7879291925297852E-2</v>
      </c>
      <c r="E10">
        <f>'Total Loads'!$B$22*D10</f>
        <v>26.375593047636126</v>
      </c>
      <c r="F10">
        <f t="shared" si="1"/>
        <v>26.376000000000001</v>
      </c>
      <c r="G10" s="20">
        <f t="shared" si="2"/>
        <v>5.8000000000000003E-2</v>
      </c>
      <c r="I10">
        <v>384</v>
      </c>
      <c r="J10">
        <v>-120</v>
      </c>
      <c r="K10">
        <f t="shared" si="3"/>
        <v>22.272000000000002</v>
      </c>
      <c r="L10">
        <f t="shared" si="4"/>
        <v>-6.96</v>
      </c>
      <c r="M10">
        <f t="shared" si="5"/>
        <v>192.00000000000006</v>
      </c>
      <c r="N10">
        <f t="shared" si="6"/>
        <v>18.43199999999996</v>
      </c>
      <c r="O10">
        <f t="shared" si="7"/>
        <v>11.136000000000005</v>
      </c>
      <c r="P10">
        <f t="shared" si="8"/>
        <v>1.0690559999999978</v>
      </c>
    </row>
    <row r="11" spans="2:16" x14ac:dyDescent="0.3">
      <c r="B11" t="s">
        <v>30</v>
      </c>
      <c r="C11" s="10">
        <v>10442</v>
      </c>
      <c r="D11" s="19">
        <f t="shared" si="0"/>
        <v>7.0604622229434588E-2</v>
      </c>
      <c r="E11">
        <f>'Total Loads'!$B$22*D11</f>
        <v>32.174526005072011</v>
      </c>
      <c r="F11">
        <f t="shared" si="1"/>
        <v>32.174999999999997</v>
      </c>
      <c r="G11" s="20">
        <f t="shared" si="2"/>
        <v>7.0999999999999994E-2</v>
      </c>
      <c r="I11">
        <v>126</v>
      </c>
      <c r="J11">
        <v>-216</v>
      </c>
      <c r="K11">
        <f t="shared" si="3"/>
        <v>8.9459999999999997</v>
      </c>
      <c r="L11">
        <f t="shared" si="4"/>
        <v>-15.335999999999999</v>
      </c>
      <c r="M11">
        <f t="shared" si="5"/>
        <v>-65.999999999999943</v>
      </c>
      <c r="N11">
        <f t="shared" si="6"/>
        <v>-77.56800000000004</v>
      </c>
      <c r="O11">
        <f t="shared" si="7"/>
        <v>-4.6859999999999955</v>
      </c>
      <c r="P11">
        <f t="shared" si="8"/>
        <v>-5.507328000000002</v>
      </c>
    </row>
    <row r="12" spans="2:16" x14ac:dyDescent="0.3">
      <c r="B12" t="s">
        <v>31</v>
      </c>
      <c r="C12" s="10">
        <v>10442</v>
      </c>
      <c r="D12" s="19">
        <f t="shared" si="0"/>
        <v>7.0604622229434588E-2</v>
      </c>
      <c r="E12">
        <f>'Total Loads'!$B$22*D12</f>
        <v>32.174526005072011</v>
      </c>
      <c r="F12">
        <f t="shared" si="1"/>
        <v>32.174999999999997</v>
      </c>
      <c r="G12" s="20">
        <f t="shared" si="2"/>
        <v>7.0999999999999994E-2</v>
      </c>
      <c r="I12">
        <v>258</v>
      </c>
      <c r="J12">
        <v>-216</v>
      </c>
      <c r="K12">
        <f t="shared" si="3"/>
        <v>18.317999999999998</v>
      </c>
      <c r="L12">
        <f t="shared" si="4"/>
        <v>-15.335999999999999</v>
      </c>
      <c r="M12">
        <f t="shared" si="5"/>
        <v>66.000000000000057</v>
      </c>
      <c r="N12">
        <f t="shared" si="6"/>
        <v>-77.56800000000004</v>
      </c>
      <c r="O12">
        <f t="shared" si="7"/>
        <v>4.6860000000000035</v>
      </c>
      <c r="P12">
        <f t="shared" si="8"/>
        <v>-5.507328000000002</v>
      </c>
    </row>
    <row r="13" spans="2:16" x14ac:dyDescent="0.3">
      <c r="B13" t="s">
        <v>32</v>
      </c>
      <c r="C13" s="10">
        <v>10063</v>
      </c>
      <c r="D13" s="19">
        <f t="shared" si="0"/>
        <v>6.8041976009844893E-2</v>
      </c>
      <c r="E13">
        <f>'Total Loads'!$B$22*D13</f>
        <v>31.006728135322703</v>
      </c>
      <c r="F13">
        <f t="shared" si="1"/>
        <v>31.007000000000001</v>
      </c>
      <c r="G13" s="20">
        <f t="shared" si="2"/>
        <v>6.8000000000000005E-2</v>
      </c>
      <c r="I13">
        <v>0</v>
      </c>
      <c r="J13">
        <v>-270</v>
      </c>
      <c r="K13">
        <f t="shared" si="3"/>
        <v>0</v>
      </c>
      <c r="L13">
        <f t="shared" si="4"/>
        <v>-18.360000000000003</v>
      </c>
      <c r="M13">
        <f t="shared" si="5"/>
        <v>-191.99999999999994</v>
      </c>
      <c r="N13">
        <f t="shared" si="6"/>
        <v>-131.56800000000004</v>
      </c>
      <c r="O13">
        <f t="shared" si="7"/>
        <v>-13.055999999999997</v>
      </c>
      <c r="P13">
        <f t="shared" si="8"/>
        <v>-8.9466240000000035</v>
      </c>
    </row>
    <row r="14" spans="2:16" x14ac:dyDescent="0.3">
      <c r="B14" t="s">
        <v>33</v>
      </c>
      <c r="C14" s="10">
        <v>9530</v>
      </c>
      <c r="D14" s="19">
        <f t="shared" si="0"/>
        <v>6.4438043463561745E-2</v>
      </c>
      <c r="E14">
        <f>'Total Loads'!$B$22*D14</f>
        <v>29.364416091585547</v>
      </c>
      <c r="F14">
        <f t="shared" si="1"/>
        <v>29.364000000000001</v>
      </c>
      <c r="G14" s="20">
        <f t="shared" si="2"/>
        <v>6.4000000000000001E-2</v>
      </c>
      <c r="I14">
        <v>126</v>
      </c>
      <c r="J14">
        <v>-270</v>
      </c>
      <c r="K14">
        <f t="shared" si="3"/>
        <v>8.0640000000000001</v>
      </c>
      <c r="L14">
        <f t="shared" si="4"/>
        <v>-17.28</v>
      </c>
      <c r="M14">
        <f t="shared" si="5"/>
        <v>-65.999999999999943</v>
      </c>
      <c r="N14">
        <f t="shared" si="6"/>
        <v>-131.56800000000004</v>
      </c>
      <c r="O14">
        <f t="shared" si="7"/>
        <v>-4.2239999999999966</v>
      </c>
      <c r="P14">
        <f t="shared" si="8"/>
        <v>-8.4203520000000029</v>
      </c>
    </row>
    <row r="15" spans="2:16" x14ac:dyDescent="0.3">
      <c r="B15" t="s">
        <v>35</v>
      </c>
      <c r="C15" s="10">
        <v>9530</v>
      </c>
      <c r="D15" s="19">
        <f t="shared" si="0"/>
        <v>6.4438043463561745E-2</v>
      </c>
      <c r="E15">
        <f>'Total Loads'!$B$22*D15</f>
        <v>29.364416091585547</v>
      </c>
      <c r="F15">
        <f t="shared" si="1"/>
        <v>29.364000000000001</v>
      </c>
      <c r="G15" s="20">
        <f t="shared" si="2"/>
        <v>6.4000000000000001E-2</v>
      </c>
      <c r="I15">
        <v>258</v>
      </c>
      <c r="J15">
        <v>-270</v>
      </c>
      <c r="K15">
        <f t="shared" si="3"/>
        <v>16.512</v>
      </c>
      <c r="L15">
        <f t="shared" si="4"/>
        <v>-17.28</v>
      </c>
      <c r="M15">
        <f t="shared" si="5"/>
        <v>66.000000000000057</v>
      </c>
      <c r="N15">
        <f t="shared" si="6"/>
        <v>-131.56800000000004</v>
      </c>
      <c r="O15">
        <f t="shared" si="7"/>
        <v>4.2240000000000038</v>
      </c>
      <c r="P15">
        <f t="shared" si="8"/>
        <v>-8.4203520000000029</v>
      </c>
    </row>
    <row r="16" spans="2:16" x14ac:dyDescent="0.3">
      <c r="B16" t="s">
        <v>34</v>
      </c>
      <c r="C16" s="10">
        <v>10063</v>
      </c>
      <c r="D16" s="19">
        <f t="shared" si="0"/>
        <v>6.8041976009844893E-2</v>
      </c>
      <c r="E16">
        <f>'Total Loads'!$B$22*D16</f>
        <v>31.006728135322703</v>
      </c>
      <c r="F16">
        <f t="shared" si="1"/>
        <v>31.007000000000001</v>
      </c>
      <c r="G16" s="20">
        <f t="shared" si="2"/>
        <v>6.8000000000000005E-2</v>
      </c>
      <c r="I16">
        <v>384</v>
      </c>
      <c r="J16">
        <v>-270</v>
      </c>
      <c r="K16">
        <f t="shared" si="3"/>
        <v>26.112000000000002</v>
      </c>
      <c r="L16">
        <f t="shared" si="4"/>
        <v>-18.360000000000003</v>
      </c>
      <c r="M16">
        <f t="shared" si="5"/>
        <v>192.00000000000006</v>
      </c>
      <c r="N16">
        <f t="shared" si="6"/>
        <v>-131.56800000000004</v>
      </c>
      <c r="O16">
        <f t="shared" si="7"/>
        <v>13.056000000000004</v>
      </c>
      <c r="P16">
        <f t="shared" si="8"/>
        <v>-8.9466240000000035</v>
      </c>
    </row>
    <row r="18" spans="2:16" x14ac:dyDescent="0.3">
      <c r="B18" t="s">
        <v>3</v>
      </c>
      <c r="C18">
        <f>SUM(C3:C16)</f>
        <v>147894</v>
      </c>
      <c r="D18">
        <f t="shared" ref="D18:G18" si="9">SUM(D3:D16)</f>
        <v>0.99999999999999978</v>
      </c>
      <c r="E18">
        <f t="shared" si="9"/>
        <v>455.69999511531512</v>
      </c>
      <c r="F18">
        <f t="shared" si="9"/>
        <v>455.7</v>
      </c>
      <c r="G18">
        <f t="shared" si="9"/>
        <v>1.0000000000000002</v>
      </c>
      <c r="K18" t="s">
        <v>42</v>
      </c>
      <c r="L18" t="s">
        <v>43</v>
      </c>
    </row>
    <row r="19" spans="2:16" x14ac:dyDescent="0.3">
      <c r="K19">
        <f>SUM(K3:K16)/$G18</f>
        <v>191.99999999999994</v>
      </c>
      <c r="L19">
        <f>SUM(L3:L16)/$G18</f>
        <v>-138.43199999999996</v>
      </c>
      <c r="O19">
        <f t="shared" ref="O19:P19" si="10">SUM(O3:O16)/$G18</f>
        <v>5.3290705182007501E-14</v>
      </c>
      <c r="P19">
        <f t="shared" si="10"/>
        <v>-4.0856207306205754E-14</v>
      </c>
    </row>
    <row r="22" spans="2:16" x14ac:dyDescent="0.3">
      <c r="B22" s="18" t="s">
        <v>36</v>
      </c>
    </row>
  </sheetData>
  <hyperlinks>
    <hyperlink ref="B22" r:id="rId1" xr:uid="{8FF48245-8F13-4768-BBCE-25D439E76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Data</vt:lpstr>
      <vt:lpstr>Total Loads</vt:lpstr>
      <vt:lpstr>Import Data</vt:lpstr>
      <vt:lpstr>Voronoi Gravity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Roser</dc:creator>
  <cp:lastModifiedBy>William Roser</cp:lastModifiedBy>
  <dcterms:created xsi:type="dcterms:W3CDTF">2015-06-05T18:17:20Z</dcterms:created>
  <dcterms:modified xsi:type="dcterms:W3CDTF">2022-12-14T01:14:25Z</dcterms:modified>
</cp:coreProperties>
</file>