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8_{8264860C-5106-4E50-B971-F06AB9CDFEC1}" xr6:coauthVersionLast="40" xr6:coauthVersionMax="40" xr10:uidLastSave="{00000000-0000-0000-0000-000000000000}"/>
  <bookViews>
    <workbookView xWindow="-120" yWindow="-120" windowWidth="29040" windowHeight="15840" activeTab="4" xr2:uid="{00000000-000D-0000-FFFF-FFFF00000000}"/>
  </bookViews>
  <sheets>
    <sheet name="Scenario Selection" sheetId="2" r:id="rId1"/>
    <sheet name="Year Selection" sheetId="3" r:id="rId2"/>
    <sheet name="Parameter_2016_SQ" sheetId="5" r:id="rId3"/>
    <sheet name="Parameter_2016_SINTEG" sheetId="6" r:id="rId4"/>
    <sheet name="Parameter_2016_FLEXFRIENDLY" sheetId="7" r:id="rId5"/>
  </sheets>
  <definedNames>
    <definedName name="_xlnm._FilterDatabase" localSheetId="1" hidden="1">'Year Selection'!$B$7:$H$209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7" i="7" l="1"/>
  <c r="P7" i="7"/>
  <c r="Y7" i="5"/>
  <c r="P7" i="5"/>
  <c r="AE38" i="6" l="1"/>
  <c r="AE3" i="7" l="1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E5" i="7"/>
  <c r="AJ68" i="6" l="1"/>
  <c r="AH72" i="7"/>
  <c r="AG72" i="7"/>
  <c r="AF72" i="7"/>
  <c r="AE72" i="7"/>
  <c r="AY71" i="7"/>
  <c r="AX71" i="7"/>
  <c r="AW71" i="7"/>
  <c r="AO71" i="7"/>
  <c r="AN71" i="7"/>
  <c r="AM71" i="7"/>
  <c r="AL71" i="7"/>
  <c r="AI71" i="7"/>
  <c r="AH71" i="7"/>
  <c r="AG71" i="7"/>
  <c r="AF71" i="7"/>
  <c r="AE71" i="7"/>
  <c r="AI70" i="7"/>
  <c r="AH70" i="7"/>
  <c r="AG70" i="7"/>
  <c r="AF70" i="7"/>
  <c r="AE70" i="7"/>
  <c r="AP69" i="7"/>
  <c r="AI69" i="7"/>
  <c r="AH69" i="7"/>
  <c r="AG69" i="7"/>
  <c r="AF69" i="7"/>
  <c r="AE69" i="7"/>
  <c r="AY68" i="7"/>
  <c r="AX68" i="7"/>
  <c r="AW68" i="7"/>
  <c r="AV68" i="7"/>
  <c r="AU68" i="7"/>
  <c r="AT68" i="7"/>
  <c r="AS68" i="7"/>
  <c r="AR68" i="7"/>
  <c r="AQ68" i="7"/>
  <c r="AP68" i="7"/>
  <c r="AO68" i="7"/>
  <c r="AN68" i="7"/>
  <c r="AM68" i="7"/>
  <c r="AL68" i="7"/>
  <c r="AK68" i="7"/>
  <c r="AJ68" i="7"/>
  <c r="AI68" i="7"/>
  <c r="AH68" i="7"/>
  <c r="AG68" i="7"/>
  <c r="AF68" i="7"/>
  <c r="AE68" i="7"/>
  <c r="AV67" i="7"/>
  <c r="AU67" i="7"/>
  <c r="AT67" i="7"/>
  <c r="AS67" i="7"/>
  <c r="AR67" i="7"/>
  <c r="AQ67" i="7"/>
  <c r="AP67" i="7"/>
  <c r="AN67" i="7"/>
  <c r="AM67" i="7"/>
  <c r="AL67" i="7"/>
  <c r="AK67" i="7"/>
  <c r="AJ67" i="7"/>
  <c r="AI67" i="7"/>
  <c r="AH67" i="7"/>
  <c r="AG67" i="7"/>
  <c r="AF67" i="7"/>
  <c r="AE67" i="7"/>
  <c r="AY66" i="7"/>
  <c r="AX66" i="7"/>
  <c r="AW66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Y65" i="7"/>
  <c r="AX65" i="7"/>
  <c r="AW65" i="7"/>
  <c r="AV65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Y64" i="7"/>
  <c r="AX64" i="7"/>
  <c r="AY63" i="7"/>
  <c r="AX63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Y61" i="7"/>
  <c r="AX61" i="7"/>
  <c r="AW61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Y60" i="7"/>
  <c r="AX60" i="7"/>
  <c r="AW60" i="7"/>
  <c r="AV60" i="7"/>
  <c r="AU60" i="7"/>
  <c r="AT60" i="7"/>
  <c r="AP60" i="7"/>
  <c r="AO60" i="7"/>
  <c r="AN60" i="7"/>
  <c r="AM60" i="7"/>
  <c r="AL60" i="7"/>
  <c r="AI60" i="7"/>
  <c r="AH60" i="7"/>
  <c r="AG60" i="7"/>
  <c r="AF60" i="7"/>
  <c r="AE60" i="7"/>
  <c r="AY59" i="7"/>
  <c r="AX59" i="7"/>
  <c r="AW59" i="7"/>
  <c r="AV59" i="7"/>
  <c r="AU59" i="7"/>
  <c r="AT59" i="7"/>
  <c r="AS59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Y58" i="7"/>
  <c r="AX58" i="7"/>
  <c r="AW58" i="7"/>
  <c r="AV58" i="7"/>
  <c r="AU58" i="7"/>
  <c r="AT58" i="7"/>
  <c r="AS58" i="7"/>
  <c r="AR58" i="7"/>
  <c r="AQ58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Y57" i="7"/>
  <c r="AX57" i="7"/>
  <c r="AW57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Y56" i="7"/>
  <c r="AX56" i="7"/>
  <c r="AW56" i="7"/>
  <c r="AV56" i="7"/>
  <c r="AU56" i="7"/>
  <c r="AT56" i="7"/>
  <c r="AS56" i="7"/>
  <c r="AR56" i="7"/>
  <c r="AQ56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AY55" i="7"/>
  <c r="AX55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AH55" i="7"/>
  <c r="AG55" i="7"/>
  <c r="AF55" i="7"/>
  <c r="AE55" i="7"/>
  <c r="AY54" i="7"/>
  <c r="AX54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Y53" i="7"/>
  <c r="AX53" i="7"/>
  <c r="AW53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Y52" i="7"/>
  <c r="AX52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Y51" i="7"/>
  <c r="AX51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Y50" i="7"/>
  <c r="AX50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Y49" i="7"/>
  <c r="AX49" i="7"/>
  <c r="AW49" i="7"/>
  <c r="AV49" i="7"/>
  <c r="AU49" i="7"/>
  <c r="AT49" i="7"/>
  <c r="AS49" i="7"/>
  <c r="AR49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Y48" i="7"/>
  <c r="AX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Y42" i="7"/>
  <c r="AX42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Y41" i="7"/>
  <c r="AX41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F39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Y32" i="7"/>
  <c r="AX32" i="7"/>
  <c r="AW32" i="7"/>
  <c r="AP32" i="7"/>
  <c r="AO32" i="7"/>
  <c r="AI32" i="7"/>
  <c r="AH32" i="7"/>
  <c r="AG32" i="7"/>
  <c r="AF32" i="7"/>
  <c r="AE32" i="7"/>
  <c r="AY31" i="7"/>
  <c r="AX31" i="7"/>
  <c r="AW31" i="7"/>
  <c r="AP31" i="7"/>
  <c r="AO31" i="7"/>
  <c r="AI31" i="7"/>
  <c r="AH31" i="7"/>
  <c r="AG31" i="7"/>
  <c r="AF31" i="7"/>
  <c r="AE31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Y23" i="7"/>
  <c r="AX23" i="7"/>
  <c r="AW23" i="7"/>
  <c r="AV23" i="7"/>
  <c r="AU23" i="7"/>
  <c r="AT23" i="7"/>
  <c r="AS23" i="7"/>
  <c r="AR23" i="7"/>
  <c r="AQ23" i="7"/>
  <c r="AO23" i="7"/>
  <c r="AN23" i="7"/>
  <c r="AM23" i="7"/>
  <c r="AL23" i="7"/>
  <c r="AK23" i="7"/>
  <c r="AJ23" i="7"/>
  <c r="AH23" i="7"/>
  <c r="AG23" i="7"/>
  <c r="AF23" i="7"/>
  <c r="AE23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Y21" i="7"/>
  <c r="AX21" i="7"/>
  <c r="AW21" i="7"/>
  <c r="AV21" i="7"/>
  <c r="AU21" i="7"/>
  <c r="AT21" i="7"/>
  <c r="AS21" i="7"/>
  <c r="AR21" i="7"/>
  <c r="AQ21" i="7"/>
  <c r="AO21" i="7"/>
  <c r="AN21" i="7"/>
  <c r="AM21" i="7"/>
  <c r="AL21" i="7"/>
  <c r="AK21" i="7"/>
  <c r="AJ21" i="7"/>
  <c r="AH21" i="7"/>
  <c r="AG21" i="7"/>
  <c r="AF21" i="7"/>
  <c r="AE21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H18" i="7"/>
  <c r="AG18" i="7"/>
  <c r="AF18" i="7"/>
  <c r="AE18" i="7"/>
  <c r="AH17" i="7"/>
  <c r="AG17" i="7"/>
  <c r="AF17" i="7"/>
  <c r="AE17" i="7"/>
  <c r="AH16" i="7"/>
  <c r="AG16" i="7"/>
  <c r="AF16" i="7"/>
  <c r="AE16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I8" i="7"/>
  <c r="AH8" i="7"/>
  <c r="AG8" i="7"/>
  <c r="AF8" i="7"/>
  <c r="AE8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H5" i="7"/>
  <c r="AG5" i="7"/>
  <c r="AF5" i="7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E8" i="6"/>
  <c r="AF8" i="6"/>
  <c r="AG8" i="6"/>
  <c r="AH8" i="6"/>
  <c r="AI8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E16" i="6"/>
  <c r="AF16" i="6"/>
  <c r="AG16" i="6"/>
  <c r="AH16" i="6"/>
  <c r="AJ16" i="6"/>
  <c r="AE17" i="6"/>
  <c r="AF17" i="6"/>
  <c r="AG17" i="6"/>
  <c r="AH17" i="6"/>
  <c r="AJ17" i="6"/>
  <c r="AE18" i="6"/>
  <c r="AF18" i="6"/>
  <c r="AG18" i="6"/>
  <c r="AH18" i="6"/>
  <c r="AJ18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E21" i="6"/>
  <c r="AF21" i="6"/>
  <c r="AG21" i="6"/>
  <c r="AH21" i="6"/>
  <c r="AJ21" i="6"/>
  <c r="AK21" i="6"/>
  <c r="AL21" i="6"/>
  <c r="AM21" i="6"/>
  <c r="AN21" i="6"/>
  <c r="AO21" i="6"/>
  <c r="AQ21" i="6"/>
  <c r="AR21" i="6"/>
  <c r="AS21" i="6"/>
  <c r="AT21" i="6"/>
  <c r="AU21" i="6"/>
  <c r="AV21" i="6"/>
  <c r="AW21" i="6"/>
  <c r="AX21" i="6"/>
  <c r="AY21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E23" i="6"/>
  <c r="AF23" i="6"/>
  <c r="AG23" i="6"/>
  <c r="AH23" i="6"/>
  <c r="AJ23" i="6"/>
  <c r="AK23" i="6"/>
  <c r="AL23" i="6"/>
  <c r="AM23" i="6"/>
  <c r="AN23" i="6"/>
  <c r="AO23" i="6"/>
  <c r="AQ23" i="6"/>
  <c r="AR23" i="6"/>
  <c r="AS23" i="6"/>
  <c r="AT23" i="6"/>
  <c r="AU23" i="6"/>
  <c r="AV23" i="6"/>
  <c r="AW23" i="6"/>
  <c r="AX23" i="6"/>
  <c r="AY23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E31" i="6"/>
  <c r="AF31" i="6"/>
  <c r="AG31" i="6"/>
  <c r="AH31" i="6"/>
  <c r="AI31" i="6"/>
  <c r="AO31" i="6"/>
  <c r="AP31" i="6"/>
  <c r="AW31" i="6"/>
  <c r="AX31" i="6"/>
  <c r="AY31" i="6"/>
  <c r="AE32" i="6"/>
  <c r="AF32" i="6"/>
  <c r="AG32" i="6"/>
  <c r="AH32" i="6"/>
  <c r="AI32" i="6"/>
  <c r="AJ32" i="6"/>
  <c r="AO32" i="6"/>
  <c r="AP32" i="6"/>
  <c r="AW32" i="6"/>
  <c r="AX32" i="6"/>
  <c r="AY32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E42" i="6"/>
  <c r="AG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AX58" i="6"/>
  <c r="AY58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AE63" i="6"/>
  <c r="AG63" i="6"/>
  <c r="AI63" i="6"/>
  <c r="AJ63" i="6"/>
  <c r="AO63" i="6"/>
  <c r="AP63" i="6"/>
  <c r="AW63" i="6"/>
  <c r="AX63" i="6"/>
  <c r="AY63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AU64" i="6"/>
  <c r="AV64" i="6"/>
  <c r="AW64" i="6"/>
  <c r="AX64" i="6"/>
  <c r="AY64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AW65" i="6"/>
  <c r="AX65" i="6"/>
  <c r="AY65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AQ66" i="6"/>
  <c r="AR66" i="6"/>
  <c r="AS66" i="6"/>
  <c r="AT66" i="6"/>
  <c r="AU66" i="6"/>
  <c r="AV66" i="6"/>
  <c r="AW66" i="6"/>
  <c r="AX66" i="6"/>
  <c r="AY66" i="6"/>
  <c r="AE67" i="6"/>
  <c r="AF67" i="6"/>
  <c r="AG67" i="6"/>
  <c r="AH67" i="6"/>
  <c r="AI67" i="6"/>
  <c r="AJ67" i="6"/>
  <c r="AK67" i="6"/>
  <c r="AL67" i="6"/>
  <c r="AM67" i="6"/>
  <c r="AN67" i="6"/>
  <c r="AO67" i="6"/>
  <c r="AP67" i="6"/>
  <c r="AQ67" i="6"/>
  <c r="AR67" i="6"/>
  <c r="AS67" i="6"/>
  <c r="AT67" i="6"/>
  <c r="AU67" i="6"/>
  <c r="AV67" i="6"/>
  <c r="AW67" i="6"/>
  <c r="AX67" i="6"/>
  <c r="AY67" i="6"/>
  <c r="AE68" i="6"/>
  <c r="AF68" i="6"/>
  <c r="AG68" i="6"/>
  <c r="AH68" i="6"/>
  <c r="AI68" i="6"/>
  <c r="AK68" i="6"/>
  <c r="AL68" i="6"/>
  <c r="AM68" i="6"/>
  <c r="AN68" i="6"/>
  <c r="AO68" i="6"/>
  <c r="AP68" i="6"/>
  <c r="AQ68" i="6"/>
  <c r="AR68" i="6"/>
  <c r="AS68" i="6"/>
  <c r="AT68" i="6"/>
  <c r="AU68" i="6"/>
  <c r="AV68" i="6"/>
  <c r="AW68" i="6"/>
  <c r="AX68" i="6"/>
  <c r="AY68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E71" i="6"/>
  <c r="AF71" i="6"/>
  <c r="AG71" i="6"/>
  <c r="AH71" i="6"/>
  <c r="AI71" i="6"/>
  <c r="AJ71" i="6"/>
  <c r="AK71" i="6"/>
  <c r="AL71" i="6"/>
  <c r="AM71" i="6"/>
  <c r="AN71" i="6"/>
  <c r="AO71" i="6"/>
  <c r="AP71" i="6"/>
  <c r="AQ71" i="6"/>
  <c r="AR71" i="6"/>
  <c r="AS71" i="6"/>
  <c r="AT71" i="6"/>
  <c r="AU71" i="6"/>
  <c r="AV71" i="6"/>
  <c r="AW71" i="6"/>
  <c r="AX71" i="6"/>
  <c r="AY71" i="6"/>
  <c r="AE72" i="6"/>
  <c r="AF72" i="6"/>
  <c r="AG72" i="6"/>
  <c r="AH72" i="6"/>
  <c r="AI72" i="6"/>
  <c r="AJ72" i="6"/>
  <c r="AK72" i="6"/>
  <c r="AL72" i="6"/>
  <c r="AM72" i="6"/>
  <c r="AN72" i="6"/>
  <c r="AO72" i="6"/>
  <c r="AP72" i="6"/>
  <c r="AQ72" i="6"/>
  <c r="AR72" i="6"/>
  <c r="AS72" i="6"/>
  <c r="AT72" i="6"/>
  <c r="AU72" i="6"/>
  <c r="AV72" i="6"/>
  <c r="AW72" i="6"/>
  <c r="AX72" i="6"/>
  <c r="AY72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H39" i="7" l="1"/>
  <c r="F39" i="7"/>
  <c r="K116" i="2"/>
  <c r="J72" i="7"/>
  <c r="AI72" i="7" s="1"/>
  <c r="X71" i="7"/>
  <c r="W71" i="7"/>
  <c r="AU71" i="7" s="1"/>
  <c r="V71" i="7"/>
  <c r="AT71" i="7" s="1"/>
  <c r="U71" i="7"/>
  <c r="AS71" i="7" s="1"/>
  <c r="T71" i="7"/>
  <c r="S71" i="7"/>
  <c r="AQ71" i="7" s="1"/>
  <c r="R71" i="7"/>
  <c r="AP71" i="7" s="1"/>
  <c r="L71" i="7"/>
  <c r="AK71" i="7" s="1"/>
  <c r="K71" i="7"/>
  <c r="AJ71" i="7" s="1"/>
  <c r="AB70" i="7"/>
  <c r="AY70" i="7" s="1"/>
  <c r="AA70" i="7"/>
  <c r="AX70" i="7" s="1"/>
  <c r="Z70" i="7"/>
  <c r="X70" i="7"/>
  <c r="AV70" i="7" s="1"/>
  <c r="W70" i="7"/>
  <c r="AU70" i="7" s="1"/>
  <c r="V70" i="7"/>
  <c r="AT70" i="7" s="1"/>
  <c r="U70" i="7"/>
  <c r="AS70" i="7" s="1"/>
  <c r="T70" i="7"/>
  <c r="AR70" i="7" s="1"/>
  <c r="S70" i="7"/>
  <c r="AQ70" i="7" s="1"/>
  <c r="R70" i="7"/>
  <c r="AP70" i="7" s="1"/>
  <c r="Q70" i="7"/>
  <c r="AO70" i="7" s="1"/>
  <c r="O70" i="7"/>
  <c r="AN70" i="7" s="1"/>
  <c r="N70" i="7"/>
  <c r="AM70" i="7" s="1"/>
  <c r="M70" i="7"/>
  <c r="AL70" i="7" s="1"/>
  <c r="L70" i="7"/>
  <c r="AK70" i="7" s="1"/>
  <c r="K70" i="7"/>
  <c r="AJ70" i="7" s="1"/>
  <c r="X69" i="7"/>
  <c r="AV69" i="7" s="1"/>
  <c r="W69" i="7"/>
  <c r="AU69" i="7" s="1"/>
  <c r="V69" i="7"/>
  <c r="AT69" i="7" s="1"/>
  <c r="U69" i="7"/>
  <c r="AS69" i="7" s="1"/>
  <c r="T69" i="7"/>
  <c r="AR69" i="7" s="1"/>
  <c r="S69" i="7"/>
  <c r="AQ69" i="7" s="1"/>
  <c r="O69" i="7"/>
  <c r="AN69" i="7" s="1"/>
  <c r="N69" i="7"/>
  <c r="AM69" i="7" s="1"/>
  <c r="M69" i="7"/>
  <c r="AL69" i="7" s="1"/>
  <c r="L69" i="7"/>
  <c r="AK69" i="7" s="1"/>
  <c r="K69" i="7"/>
  <c r="AJ69" i="7" s="1"/>
  <c r="AB67" i="7"/>
  <c r="AA67" i="7"/>
  <c r="Z67" i="7"/>
  <c r="Q67" i="7"/>
  <c r="Z64" i="7"/>
  <c r="X64" i="7"/>
  <c r="W64" i="7"/>
  <c r="V64" i="7"/>
  <c r="R64" i="7"/>
  <c r="AP64" i="7" s="1"/>
  <c r="Q64" i="7"/>
  <c r="O64" i="7"/>
  <c r="N64" i="7"/>
  <c r="M64" i="7"/>
  <c r="J64" i="7"/>
  <c r="AI64" i="7" s="1"/>
  <c r="I64" i="7"/>
  <c r="H64" i="7"/>
  <c r="G64" i="7"/>
  <c r="F64" i="7"/>
  <c r="Z63" i="7"/>
  <c r="R63" i="7"/>
  <c r="AP63" i="7" s="1"/>
  <c r="Q63" i="7"/>
  <c r="J63" i="7"/>
  <c r="AI63" i="7" s="1"/>
  <c r="H63" i="7"/>
  <c r="G63" i="7"/>
  <c r="F63" i="7"/>
  <c r="U60" i="7"/>
  <c r="AS60" i="7" s="1"/>
  <c r="T60" i="7"/>
  <c r="S60" i="7"/>
  <c r="L60" i="7"/>
  <c r="AK60" i="7" s="1"/>
  <c r="K60" i="7"/>
  <c r="C50" i="7"/>
  <c r="C49" i="7"/>
  <c r="C48" i="7"/>
  <c r="C47" i="7"/>
  <c r="C46" i="7"/>
  <c r="C45" i="7"/>
  <c r="C44" i="7"/>
  <c r="C43" i="7"/>
  <c r="C42" i="7"/>
  <c r="C41" i="7"/>
  <c r="C40" i="7"/>
  <c r="AB18" i="7"/>
  <c r="AY18" i="7" s="1"/>
  <c r="AA18" i="7"/>
  <c r="AX18" i="7" s="1"/>
  <c r="Z18" i="7"/>
  <c r="X18" i="7"/>
  <c r="W18" i="7"/>
  <c r="W17" i="7" s="1"/>
  <c r="V18" i="7"/>
  <c r="V17" i="7" s="1"/>
  <c r="U18" i="7"/>
  <c r="U17" i="7" s="1"/>
  <c r="T18" i="7"/>
  <c r="S18" i="7"/>
  <c r="R18" i="7"/>
  <c r="R16" i="7" s="1"/>
  <c r="Q18" i="7"/>
  <c r="O18" i="7"/>
  <c r="N18" i="7"/>
  <c r="M18" i="7"/>
  <c r="L18" i="7"/>
  <c r="K18" i="7"/>
  <c r="J18" i="7"/>
  <c r="AI18" i="7" s="1"/>
  <c r="AB17" i="7"/>
  <c r="AY17" i="7" s="1"/>
  <c r="AA17" i="7"/>
  <c r="N17" i="7"/>
  <c r="K16" i="7"/>
  <c r="AJ16" i="7" s="1"/>
  <c r="C12" i="7"/>
  <c r="AB8" i="7"/>
  <c r="AY8" i="7" s="1"/>
  <c r="AA8" i="7"/>
  <c r="AX8" i="7" s="1"/>
  <c r="Z8" i="7"/>
  <c r="AW8" i="7" s="1"/>
  <c r="X8" i="7"/>
  <c r="W8" i="7"/>
  <c r="V8" i="7"/>
  <c r="U8" i="7"/>
  <c r="T8" i="7"/>
  <c r="S8" i="7"/>
  <c r="R8" i="7"/>
  <c r="Q8" i="7"/>
  <c r="O8" i="7"/>
  <c r="N8" i="7"/>
  <c r="M8" i="7"/>
  <c r="L8" i="7"/>
  <c r="K8" i="7"/>
  <c r="AB5" i="7"/>
  <c r="AA5" i="7"/>
  <c r="Z5" i="7"/>
  <c r="X5" i="7"/>
  <c r="W5" i="7"/>
  <c r="V5" i="7"/>
  <c r="U5" i="7"/>
  <c r="T5" i="7"/>
  <c r="S5" i="7"/>
  <c r="R5" i="7"/>
  <c r="Q5" i="7"/>
  <c r="O5" i="7"/>
  <c r="N5" i="7"/>
  <c r="M5" i="7"/>
  <c r="L5" i="7"/>
  <c r="K5" i="7"/>
  <c r="J5" i="7"/>
  <c r="AB16" i="7" l="1"/>
  <c r="AY16" i="7" s="1"/>
  <c r="J17" i="7"/>
  <c r="AJ5" i="7"/>
  <c r="AN5" i="7"/>
  <c r="AR5" i="7"/>
  <c r="K31" i="7"/>
  <c r="O31" i="7"/>
  <c r="T31" i="7"/>
  <c r="X31" i="7"/>
  <c r="V16" i="7"/>
  <c r="N32" i="7"/>
  <c r="S32" i="7"/>
  <c r="W32" i="7"/>
  <c r="K64" i="7"/>
  <c r="AJ64" i="7" s="1"/>
  <c r="AJ60" i="7"/>
  <c r="AE64" i="7"/>
  <c r="AO64" i="7"/>
  <c r="AV64" i="7"/>
  <c r="AA69" i="7"/>
  <c r="AX69" i="7" s="1"/>
  <c r="AX67" i="7"/>
  <c r="AE39" i="7"/>
  <c r="AK5" i="7"/>
  <c r="AO5" i="7"/>
  <c r="AS5" i="7"/>
  <c r="W16" i="7"/>
  <c r="K17" i="7"/>
  <c r="AJ17" i="7" s="1"/>
  <c r="AJ18" i="7"/>
  <c r="O17" i="7"/>
  <c r="O16" i="7" s="1"/>
  <c r="T32" i="7"/>
  <c r="X32" i="7"/>
  <c r="AE63" i="7"/>
  <c r="AO63" i="7"/>
  <c r="AF64" i="7"/>
  <c r="AL64" i="7"/>
  <c r="AW64" i="7"/>
  <c r="AB69" i="7"/>
  <c r="AY69" i="7" s="1"/>
  <c r="AY67" i="7"/>
  <c r="T72" i="7"/>
  <c r="AR72" i="7" s="1"/>
  <c r="AR71" i="7"/>
  <c r="X72" i="7"/>
  <c r="AV72" i="7" s="1"/>
  <c r="AV71" i="7"/>
  <c r="AG39" i="7"/>
  <c r="AL5" i="7"/>
  <c r="AP5" i="7"/>
  <c r="M31" i="7"/>
  <c r="V31" i="7"/>
  <c r="N16" i="7"/>
  <c r="AA16" i="7"/>
  <c r="AX16" i="7" s="1"/>
  <c r="AX17" i="7"/>
  <c r="L32" i="7"/>
  <c r="Q17" i="7"/>
  <c r="AO18" i="7"/>
  <c r="U32" i="7"/>
  <c r="Z17" i="7"/>
  <c r="S64" i="7"/>
  <c r="AQ64" i="7" s="1"/>
  <c r="AQ60" i="7"/>
  <c r="AF63" i="7"/>
  <c r="AG64" i="7"/>
  <c r="AM64" i="7"/>
  <c r="AT64" i="7"/>
  <c r="Q69" i="7"/>
  <c r="AO69" i="7" s="1"/>
  <c r="AO67" i="7"/>
  <c r="AW70" i="7"/>
  <c r="AI5" i="7"/>
  <c r="AM5" i="7"/>
  <c r="AQ5" i="7"/>
  <c r="N31" i="7"/>
  <c r="U16" i="7"/>
  <c r="M32" i="7"/>
  <c r="R17" i="7"/>
  <c r="T64" i="7"/>
  <c r="AR64" i="7" s="1"/>
  <c r="AR60" i="7"/>
  <c r="AG63" i="7"/>
  <c r="AW63" i="7"/>
  <c r="AH64" i="7"/>
  <c r="AN64" i="7"/>
  <c r="AU64" i="7"/>
  <c r="Z69" i="7"/>
  <c r="AW69" i="7" s="1"/>
  <c r="AW67" i="7"/>
  <c r="L17" i="7"/>
  <c r="R72" i="7"/>
  <c r="AP72" i="7" s="1"/>
  <c r="V72" i="7"/>
  <c r="AT72" i="7" s="1"/>
  <c r="Q72" i="7"/>
  <c r="AO72" i="7" s="1"/>
  <c r="K72" i="7"/>
  <c r="AJ72" i="7" s="1"/>
  <c r="M17" i="7"/>
  <c r="S17" i="7"/>
  <c r="O72" i="7"/>
  <c r="AN72" i="7" s="1"/>
  <c r="S72" i="7"/>
  <c r="AQ72" i="7" s="1"/>
  <c r="W72" i="7"/>
  <c r="AU72" i="7" s="1"/>
  <c r="X63" i="7"/>
  <c r="T63" i="7"/>
  <c r="U31" i="7"/>
  <c r="L31" i="7"/>
  <c r="W63" i="7"/>
  <c r="L72" i="7"/>
  <c r="AK72" i="7" s="1"/>
  <c r="U72" i="7"/>
  <c r="AS72" i="7" s="1"/>
  <c r="K32" i="7"/>
  <c r="O32" i="7"/>
  <c r="V32" i="7"/>
  <c r="U63" i="7"/>
  <c r="L64" i="7"/>
  <c r="AK64" i="7" s="1"/>
  <c r="U64" i="7"/>
  <c r="AS64" i="7" s="1"/>
  <c r="M72" i="7"/>
  <c r="AL72" i="7" s="1"/>
  <c r="AA72" i="7"/>
  <c r="AX72" i="7" s="1"/>
  <c r="T17" i="7"/>
  <c r="X17" i="7"/>
  <c r="S31" i="7"/>
  <c r="W31" i="7"/>
  <c r="I63" i="7"/>
  <c r="N72" i="7"/>
  <c r="AM72" i="7" s="1"/>
  <c r="AB72" i="7"/>
  <c r="AY72" i="7" s="1"/>
  <c r="S63" i="7" l="1"/>
  <c r="J21" i="7"/>
  <c r="L63" i="7"/>
  <c r="M63" i="7"/>
  <c r="AI17" i="7"/>
  <c r="J16" i="7"/>
  <c r="AI16" i="7" s="1"/>
  <c r="S16" i="7"/>
  <c r="Z16" i="7"/>
  <c r="Q16" i="7"/>
  <c r="AO17" i="7"/>
  <c r="L16" i="7"/>
  <c r="Z72" i="7"/>
  <c r="AH63" i="7"/>
  <c r="AJ32" i="7"/>
  <c r="M16" i="7"/>
  <c r="N63" i="7"/>
  <c r="T16" i="7"/>
  <c r="O63" i="7"/>
  <c r="K63" i="7"/>
  <c r="J23" i="7"/>
  <c r="R21" i="7"/>
  <c r="X16" i="7"/>
  <c r="V63" i="7"/>
  <c r="AJ63" i="7" l="1"/>
  <c r="AW72" i="7"/>
  <c r="R23" i="7"/>
  <c r="J5" i="5" l="1"/>
  <c r="C12" i="5"/>
  <c r="C12" i="6" l="1"/>
  <c r="AF3" i="6" l="1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E3" i="6"/>
  <c r="AB5" i="5" l="1"/>
  <c r="AA5" i="5"/>
  <c r="Z5" i="5"/>
  <c r="X5" i="5"/>
  <c r="W5" i="5"/>
  <c r="V5" i="5"/>
  <c r="U5" i="5"/>
  <c r="T5" i="5"/>
  <c r="S5" i="5"/>
  <c r="R5" i="5"/>
  <c r="Q5" i="5"/>
  <c r="O5" i="5"/>
  <c r="N5" i="5"/>
  <c r="M5" i="5"/>
  <c r="L5" i="5"/>
  <c r="K5" i="5"/>
  <c r="R5" i="6"/>
  <c r="G63" i="5"/>
  <c r="H63" i="5"/>
  <c r="I63" i="5"/>
  <c r="G64" i="5"/>
  <c r="H64" i="5"/>
  <c r="I64" i="5"/>
  <c r="AE5" i="6"/>
  <c r="AV5" i="7" l="1"/>
  <c r="AU5" i="7"/>
  <c r="AY5" i="7"/>
  <c r="AW5" i="7"/>
  <c r="AT5" i="7"/>
  <c r="AX5" i="7"/>
  <c r="I64" i="6"/>
  <c r="H64" i="6"/>
  <c r="H63" i="6"/>
  <c r="I42" i="6"/>
  <c r="G42" i="6"/>
  <c r="G64" i="6"/>
  <c r="F64" i="5"/>
  <c r="F63" i="5"/>
  <c r="AF42" i="6" l="1"/>
  <c r="AH42" i="6"/>
  <c r="I63" i="6"/>
  <c r="AH63" i="6" s="1"/>
  <c r="G63" i="6"/>
  <c r="AF63" i="6" s="1"/>
  <c r="F64" i="6"/>
  <c r="F63" i="6"/>
  <c r="AB5" i="6"/>
  <c r="AY5" i="6" s="1"/>
  <c r="AA5" i="6"/>
  <c r="AX5" i="6" s="1"/>
  <c r="Z5" i="6"/>
  <c r="AW5" i="6" s="1"/>
  <c r="X5" i="6"/>
  <c r="AV5" i="6" s="1"/>
  <c r="W5" i="6"/>
  <c r="AU5" i="6" s="1"/>
  <c r="V5" i="6"/>
  <c r="AT5" i="6" s="1"/>
  <c r="U5" i="6"/>
  <c r="T5" i="6"/>
  <c r="S5" i="6"/>
  <c r="Q5" i="6"/>
  <c r="N5" i="6"/>
  <c r="O5" i="6"/>
  <c r="M5" i="6"/>
  <c r="K5" i="6"/>
  <c r="L5" i="6"/>
  <c r="J5" i="6"/>
  <c r="X72" i="6" l="1"/>
  <c r="J72" i="6"/>
  <c r="X71" i="6"/>
  <c r="W71" i="6"/>
  <c r="V71" i="6"/>
  <c r="U71" i="6"/>
  <c r="T71" i="6"/>
  <c r="S71" i="6"/>
  <c r="R71" i="6"/>
  <c r="L71" i="6"/>
  <c r="K71" i="6"/>
  <c r="AB70" i="6"/>
  <c r="AA70" i="6"/>
  <c r="Z70" i="6"/>
  <c r="X70" i="6"/>
  <c r="W70" i="6"/>
  <c r="V70" i="6"/>
  <c r="U70" i="6"/>
  <c r="T70" i="6"/>
  <c r="S70" i="6"/>
  <c r="R70" i="6"/>
  <c r="Q70" i="6"/>
  <c r="O70" i="6"/>
  <c r="N70" i="6"/>
  <c r="M70" i="6"/>
  <c r="L70" i="6"/>
  <c r="K70" i="6"/>
  <c r="AA69" i="6"/>
  <c r="X69" i="6"/>
  <c r="W69" i="6"/>
  <c r="V69" i="6"/>
  <c r="U69" i="6"/>
  <c r="T69" i="6"/>
  <c r="S69" i="6"/>
  <c r="O69" i="6"/>
  <c r="N69" i="6"/>
  <c r="M69" i="6"/>
  <c r="L69" i="6"/>
  <c r="K69" i="6"/>
  <c r="AB67" i="6"/>
  <c r="AA67" i="6"/>
  <c r="Z67" i="6"/>
  <c r="Q67" i="6"/>
  <c r="Z64" i="6"/>
  <c r="X64" i="6"/>
  <c r="W64" i="6"/>
  <c r="V64" i="6"/>
  <c r="R64" i="6"/>
  <c r="Q64" i="6"/>
  <c r="O64" i="6"/>
  <c r="N64" i="6"/>
  <c r="M64" i="6"/>
  <c r="J64" i="6"/>
  <c r="Z63" i="6"/>
  <c r="R63" i="6"/>
  <c r="Q63" i="6"/>
  <c r="J63" i="6"/>
  <c r="U60" i="6"/>
  <c r="T60" i="6"/>
  <c r="S60" i="6"/>
  <c r="L60" i="6"/>
  <c r="K60" i="6"/>
  <c r="C50" i="6"/>
  <c r="C49" i="6"/>
  <c r="C48" i="6"/>
  <c r="C47" i="6"/>
  <c r="C46" i="6"/>
  <c r="C45" i="6"/>
  <c r="C44" i="6"/>
  <c r="C43" i="6"/>
  <c r="C42" i="6"/>
  <c r="C41" i="6"/>
  <c r="C40" i="6"/>
  <c r="AB18" i="6"/>
  <c r="AY18" i="6" s="1"/>
  <c r="AA18" i="6"/>
  <c r="AX18" i="6" s="1"/>
  <c r="Z18" i="6"/>
  <c r="X18" i="6"/>
  <c r="X32" i="6" s="1"/>
  <c r="W18" i="6"/>
  <c r="V18" i="6"/>
  <c r="V17" i="6" s="1"/>
  <c r="U18" i="6"/>
  <c r="T18" i="6"/>
  <c r="T17" i="6" s="1"/>
  <c r="S18" i="6"/>
  <c r="R18" i="6"/>
  <c r="R17" i="6" s="1"/>
  <c r="Q18" i="6"/>
  <c r="AO18" i="6" s="1"/>
  <c r="O18" i="6"/>
  <c r="N18" i="6"/>
  <c r="M18" i="6"/>
  <c r="M32" i="6" s="1"/>
  <c r="L18" i="6"/>
  <c r="K18" i="6"/>
  <c r="J18" i="6"/>
  <c r="AI18" i="6" s="1"/>
  <c r="AA17" i="6"/>
  <c r="AX17" i="6" s="1"/>
  <c r="X17" i="6"/>
  <c r="X16" i="6" s="1"/>
  <c r="W17" i="6"/>
  <c r="W16" i="6" s="1"/>
  <c r="O17" i="6"/>
  <c r="O16" i="6" s="1"/>
  <c r="N17" i="6"/>
  <c r="M17" i="6"/>
  <c r="K17" i="6"/>
  <c r="R16" i="6"/>
  <c r="K16" i="6"/>
  <c r="AB8" i="6"/>
  <c r="AY8" i="6" s="1"/>
  <c r="AA8" i="6"/>
  <c r="AX8" i="6" s="1"/>
  <c r="Z8" i="6"/>
  <c r="AW8" i="6" s="1"/>
  <c r="X8" i="6"/>
  <c r="W8" i="6"/>
  <c r="V8" i="6"/>
  <c r="U8" i="6"/>
  <c r="T8" i="6"/>
  <c r="S8" i="6"/>
  <c r="R8" i="6"/>
  <c r="Q8" i="6"/>
  <c r="O8" i="6"/>
  <c r="N8" i="6"/>
  <c r="M8" i="6"/>
  <c r="L8" i="6"/>
  <c r="K8" i="6"/>
  <c r="J72" i="5"/>
  <c r="AA67" i="5"/>
  <c r="AB67" i="5"/>
  <c r="AA70" i="5"/>
  <c r="AB70" i="5"/>
  <c r="AA8" i="5"/>
  <c r="AB8" i="5"/>
  <c r="AA18" i="5"/>
  <c r="AB18" i="5"/>
  <c r="Z70" i="5"/>
  <c r="X71" i="5"/>
  <c r="W71" i="5"/>
  <c r="V71" i="5"/>
  <c r="X70" i="5"/>
  <c r="W70" i="5"/>
  <c r="V70" i="5"/>
  <c r="U71" i="5"/>
  <c r="T71" i="5"/>
  <c r="S71" i="5"/>
  <c r="R71" i="5"/>
  <c r="U70" i="5"/>
  <c r="T70" i="5"/>
  <c r="S70" i="5"/>
  <c r="R70" i="5"/>
  <c r="Q70" i="5"/>
  <c r="M70" i="5"/>
  <c r="N70" i="5"/>
  <c r="O70" i="5"/>
  <c r="L71" i="5"/>
  <c r="K71" i="5"/>
  <c r="L70" i="5"/>
  <c r="K70" i="5"/>
  <c r="AB17" i="5" l="1"/>
  <c r="AA17" i="5"/>
  <c r="N32" i="6"/>
  <c r="S32" i="6"/>
  <c r="W32" i="6"/>
  <c r="K31" i="6"/>
  <c r="O31" i="6"/>
  <c r="T31" i="6"/>
  <c r="X31" i="6"/>
  <c r="S17" i="6"/>
  <c r="K32" i="6"/>
  <c r="O32" i="6"/>
  <c r="L31" i="6"/>
  <c r="T32" i="6"/>
  <c r="T64" i="6"/>
  <c r="S64" i="6"/>
  <c r="AB69" i="6"/>
  <c r="M72" i="6"/>
  <c r="AA72" i="6"/>
  <c r="R72" i="6"/>
  <c r="V72" i="6"/>
  <c r="K72" i="6"/>
  <c r="L32" i="6"/>
  <c r="Z17" i="6"/>
  <c r="S31" i="6"/>
  <c r="K64" i="6"/>
  <c r="U31" i="6"/>
  <c r="Q17" i="6"/>
  <c r="AO17" i="6" s="1"/>
  <c r="U17" i="6"/>
  <c r="X63" i="6"/>
  <c r="U64" i="6"/>
  <c r="N72" i="6"/>
  <c r="S72" i="6"/>
  <c r="W72" i="6"/>
  <c r="O72" i="6"/>
  <c r="M31" i="6"/>
  <c r="V31" i="6"/>
  <c r="J17" i="6"/>
  <c r="AI17" i="6" s="1"/>
  <c r="AB17" i="6"/>
  <c r="AY17" i="6" s="1"/>
  <c r="V32" i="6"/>
  <c r="W31" i="6"/>
  <c r="L64" i="6"/>
  <c r="Z69" i="6"/>
  <c r="Q69" i="6"/>
  <c r="T72" i="6"/>
  <c r="N31" i="6"/>
  <c r="M63" i="6"/>
  <c r="Q72" i="6"/>
  <c r="L72" i="6"/>
  <c r="U72" i="6"/>
  <c r="J16" i="6"/>
  <c r="AI16" i="6" s="1"/>
  <c r="U16" i="6"/>
  <c r="M16" i="6"/>
  <c r="S16" i="6"/>
  <c r="AA16" i="6"/>
  <c r="AX16" i="6" s="1"/>
  <c r="Z16" i="6"/>
  <c r="N16" i="6"/>
  <c r="T16" i="6"/>
  <c r="V16" i="6"/>
  <c r="Q16" i="6"/>
  <c r="R21" i="6"/>
  <c r="AA69" i="5"/>
  <c r="AB69" i="5"/>
  <c r="R72" i="5"/>
  <c r="AB72" i="6"/>
  <c r="U32" i="6"/>
  <c r="L17" i="6"/>
  <c r="Q63" i="5"/>
  <c r="AB16" i="5" l="1"/>
  <c r="AA72" i="5"/>
  <c r="AA16" i="5"/>
  <c r="U63" i="6"/>
  <c r="L63" i="6"/>
  <c r="K63" i="6"/>
  <c r="S63" i="6"/>
  <c r="Z72" i="6"/>
  <c r="V63" i="6"/>
  <c r="O63" i="6"/>
  <c r="AB16" i="6"/>
  <c r="AY16" i="6" s="1"/>
  <c r="T63" i="6"/>
  <c r="W63" i="6"/>
  <c r="N63" i="6"/>
  <c r="R23" i="6"/>
  <c r="L16" i="6"/>
  <c r="AB72" i="5"/>
  <c r="J21" i="6"/>
  <c r="J23" i="6" l="1"/>
  <c r="K69" i="5"/>
  <c r="K72" i="5" l="1"/>
  <c r="Z67" i="5"/>
  <c r="Z69" i="5" l="1"/>
  <c r="C41" i="5"/>
  <c r="C42" i="5"/>
  <c r="C43" i="5"/>
  <c r="C44" i="5"/>
  <c r="C45" i="5"/>
  <c r="C46" i="5"/>
  <c r="C47" i="5"/>
  <c r="C48" i="5"/>
  <c r="C49" i="5"/>
  <c r="C50" i="5"/>
  <c r="C40" i="5"/>
  <c r="Q67" i="5"/>
  <c r="Q69" i="5" l="1"/>
  <c r="Z72" i="5"/>
  <c r="Z18" i="5"/>
  <c r="Z8" i="5"/>
  <c r="Z64" i="5"/>
  <c r="Z63" i="5"/>
  <c r="Q64" i="5"/>
  <c r="AW18" i="6" l="1"/>
  <c r="AW18" i="7"/>
  <c r="Q72" i="5"/>
  <c r="Z17" i="5"/>
  <c r="Q18" i="5"/>
  <c r="Q8" i="5"/>
  <c r="AW17" i="6" l="1"/>
  <c r="AW17" i="7"/>
  <c r="AO8" i="6"/>
  <c r="AO8" i="7"/>
  <c r="Q17" i="5"/>
  <c r="Z16" i="5"/>
  <c r="U60" i="5"/>
  <c r="T60" i="5"/>
  <c r="S60" i="5"/>
  <c r="L60" i="5"/>
  <c r="K60" i="5"/>
  <c r="AW16" i="6" l="1"/>
  <c r="AW16" i="7"/>
  <c r="Q16" i="5"/>
  <c r="X69" i="5"/>
  <c r="W69" i="5"/>
  <c r="V69" i="5"/>
  <c r="N69" i="5"/>
  <c r="O69" i="5"/>
  <c r="M69" i="5"/>
  <c r="U69" i="5"/>
  <c r="T69" i="5"/>
  <c r="S69" i="5"/>
  <c r="L69" i="5"/>
  <c r="AO16" i="6" l="1"/>
  <c r="AO16" i="7"/>
  <c r="W72" i="5"/>
  <c r="T72" i="5"/>
  <c r="M72" i="5"/>
  <c r="S72" i="5"/>
  <c r="N72" i="5"/>
  <c r="U72" i="5"/>
  <c r="V72" i="5"/>
  <c r="L72" i="5"/>
  <c r="O72" i="5"/>
  <c r="X72" i="5"/>
  <c r="K18" i="5"/>
  <c r="K32" i="5" l="1"/>
  <c r="K17" i="5"/>
  <c r="K16" i="5"/>
  <c r="J64" i="5" l="1"/>
  <c r="J63" i="5"/>
  <c r="W64" i="5"/>
  <c r="W18" i="5"/>
  <c r="W8" i="5"/>
  <c r="V64" i="5"/>
  <c r="V18" i="5"/>
  <c r="V8" i="5"/>
  <c r="R63" i="5"/>
  <c r="R64" i="5"/>
  <c r="R18" i="5"/>
  <c r="R8" i="5"/>
  <c r="S64" i="5"/>
  <c r="S18" i="5"/>
  <c r="S8" i="5"/>
  <c r="K8" i="5"/>
  <c r="L8" i="5"/>
  <c r="T8" i="5"/>
  <c r="U8" i="5"/>
  <c r="M8" i="5"/>
  <c r="N8" i="5"/>
  <c r="O8" i="5"/>
  <c r="X8" i="5"/>
  <c r="J18" i="5"/>
  <c r="L18" i="5"/>
  <c r="T18" i="5"/>
  <c r="U18" i="5"/>
  <c r="M18" i="5"/>
  <c r="N18" i="5"/>
  <c r="O18" i="5"/>
  <c r="X18" i="5"/>
  <c r="T64" i="5"/>
  <c r="U64" i="5"/>
  <c r="M64" i="5"/>
  <c r="N64" i="5"/>
  <c r="O64" i="5"/>
  <c r="X64" i="5"/>
  <c r="AL18" i="6" l="1"/>
  <c r="AL18" i="7"/>
  <c r="AL8" i="6"/>
  <c r="AL8" i="7"/>
  <c r="AJ8" i="6"/>
  <c r="AJ8" i="7"/>
  <c r="AP8" i="6"/>
  <c r="AP8" i="7"/>
  <c r="AT8" i="6"/>
  <c r="AT8" i="7"/>
  <c r="AU18" i="6"/>
  <c r="AU18" i="7"/>
  <c r="AV18" i="6"/>
  <c r="AV18" i="7"/>
  <c r="AS8" i="6"/>
  <c r="AS8" i="7"/>
  <c r="AP18" i="6"/>
  <c r="AP18" i="7"/>
  <c r="AT18" i="6"/>
  <c r="AT18" i="7"/>
  <c r="AV8" i="6"/>
  <c r="AV8" i="7"/>
  <c r="AR18" i="6"/>
  <c r="AR18" i="7"/>
  <c r="AQ18" i="6"/>
  <c r="AQ18" i="7"/>
  <c r="AS18" i="6"/>
  <c r="AS18" i="7"/>
  <c r="AQ8" i="6"/>
  <c r="AQ8" i="7"/>
  <c r="AN18" i="6"/>
  <c r="AN18" i="7"/>
  <c r="AN8" i="6"/>
  <c r="AN8" i="7"/>
  <c r="AR8" i="6"/>
  <c r="AR8" i="7"/>
  <c r="AM18" i="6"/>
  <c r="AM18" i="7"/>
  <c r="AK18" i="6"/>
  <c r="AK18" i="7"/>
  <c r="AM8" i="6"/>
  <c r="AM8" i="7"/>
  <c r="AK8" i="6"/>
  <c r="AK8" i="7"/>
  <c r="AU8" i="6"/>
  <c r="AU8" i="7"/>
  <c r="O31" i="5"/>
  <c r="M31" i="5"/>
  <c r="K31" i="5"/>
  <c r="V31" i="5"/>
  <c r="S31" i="5"/>
  <c r="X31" i="5"/>
  <c r="U31" i="5"/>
  <c r="T31" i="5"/>
  <c r="N31" i="5"/>
  <c r="L31" i="5"/>
  <c r="W31" i="5"/>
  <c r="J17" i="5"/>
  <c r="J16" i="5" s="1"/>
  <c r="W17" i="5"/>
  <c r="X17" i="5"/>
  <c r="U17" i="5"/>
  <c r="R17" i="5"/>
  <c r="O17" i="5"/>
  <c r="T17" i="5"/>
  <c r="S32" i="5"/>
  <c r="N17" i="5"/>
  <c r="L32" i="5"/>
  <c r="V17" i="5"/>
  <c r="V32" i="5"/>
  <c r="M17" i="5"/>
  <c r="M32" i="5"/>
  <c r="X32" i="5"/>
  <c r="W32" i="5"/>
  <c r="S17" i="5"/>
  <c r="R16" i="5"/>
  <c r="N32" i="5"/>
  <c r="L64" i="5"/>
  <c r="K64" i="5"/>
  <c r="L17" i="5"/>
  <c r="U32" i="5"/>
  <c r="K63" i="5"/>
  <c r="O32" i="5"/>
  <c r="T32" i="5"/>
  <c r="AL32" i="6" l="1"/>
  <c r="AL32" i="7"/>
  <c r="AN32" i="6"/>
  <c r="AN32" i="7"/>
  <c r="AM17" i="6"/>
  <c r="AM17" i="7"/>
  <c r="AS32" i="6"/>
  <c r="AS32" i="7"/>
  <c r="AM32" i="6"/>
  <c r="AM32" i="7"/>
  <c r="AV32" i="6"/>
  <c r="AV32" i="7"/>
  <c r="AT17" i="6"/>
  <c r="AT17" i="7"/>
  <c r="AR17" i="6"/>
  <c r="AR17" i="7"/>
  <c r="AV17" i="6"/>
  <c r="AV17" i="7"/>
  <c r="AK31" i="6"/>
  <c r="AK31" i="7"/>
  <c r="AV31" i="6"/>
  <c r="AV31" i="7"/>
  <c r="AL31" i="6"/>
  <c r="AL31" i="7"/>
  <c r="AR32" i="6"/>
  <c r="AR32" i="7"/>
  <c r="AK17" i="6"/>
  <c r="AK17" i="7"/>
  <c r="AN17" i="6"/>
  <c r="AN17" i="7"/>
  <c r="AM31" i="6"/>
  <c r="AM31" i="7"/>
  <c r="AQ31" i="6"/>
  <c r="AQ31" i="7"/>
  <c r="AN31" i="6"/>
  <c r="AN31" i="7"/>
  <c r="AP16" i="6"/>
  <c r="AP16" i="7"/>
  <c r="AL17" i="6"/>
  <c r="AL17" i="7"/>
  <c r="AR31" i="6"/>
  <c r="AR31" i="7"/>
  <c r="AT31" i="6"/>
  <c r="AT31" i="7"/>
  <c r="AK32" i="6"/>
  <c r="AK32" i="7"/>
  <c r="AU17" i="6"/>
  <c r="AU17" i="7"/>
  <c r="AQ17" i="6"/>
  <c r="AQ17" i="7"/>
  <c r="AP17" i="6"/>
  <c r="AP17" i="7"/>
  <c r="AU32" i="6"/>
  <c r="AU32" i="7"/>
  <c r="AT32" i="6"/>
  <c r="AT32" i="7"/>
  <c r="AQ32" i="6"/>
  <c r="AQ32" i="7"/>
  <c r="AS17" i="6"/>
  <c r="AS17" i="7"/>
  <c r="AU31" i="6"/>
  <c r="AU31" i="7"/>
  <c r="AS31" i="6"/>
  <c r="AS31" i="7"/>
  <c r="AJ31" i="6"/>
  <c r="AJ31" i="7"/>
  <c r="O63" i="5"/>
  <c r="M16" i="5"/>
  <c r="W63" i="5"/>
  <c r="V63" i="5"/>
  <c r="L63" i="5"/>
  <c r="S63" i="5"/>
  <c r="O16" i="5"/>
  <c r="U16" i="5"/>
  <c r="W16" i="5"/>
  <c r="V16" i="5"/>
  <c r="S16" i="5"/>
  <c r="U63" i="5"/>
  <c r="N63" i="5"/>
  <c r="X63" i="5"/>
  <c r="T63" i="5"/>
  <c r="L16" i="5"/>
  <c r="M63" i="5"/>
  <c r="N16" i="5"/>
  <c r="T16" i="5"/>
  <c r="X16" i="5"/>
  <c r="R21" i="5"/>
  <c r="F84" i="2"/>
  <c r="F85" i="2"/>
  <c r="F86" i="2"/>
  <c r="F87" i="2"/>
  <c r="F83" i="2"/>
  <c r="F79" i="2"/>
  <c r="F78" i="2"/>
  <c r="F56" i="3"/>
  <c r="F57" i="3"/>
  <c r="F58" i="3"/>
  <c r="F59" i="3"/>
  <c r="F60" i="3"/>
  <c r="F61" i="3"/>
  <c r="F62" i="3"/>
  <c r="F63" i="3"/>
  <c r="F64" i="3"/>
  <c r="F65" i="3"/>
  <c r="F66" i="3"/>
  <c r="F67" i="3"/>
  <c r="AV63" i="6" l="1"/>
  <c r="AV63" i="7"/>
  <c r="AT16" i="6"/>
  <c r="AT16" i="7"/>
  <c r="AQ63" i="6"/>
  <c r="AQ63" i="7"/>
  <c r="AL16" i="6"/>
  <c r="AL16" i="7"/>
  <c r="AM16" i="6"/>
  <c r="AM16" i="7"/>
  <c r="AP21" i="6"/>
  <c r="AP21" i="7"/>
  <c r="AL63" i="6"/>
  <c r="AL63" i="7"/>
  <c r="AM63" i="6"/>
  <c r="AM63" i="7"/>
  <c r="AU16" i="6"/>
  <c r="AU16" i="7"/>
  <c r="AK63" i="6"/>
  <c r="AK63" i="7"/>
  <c r="AN63" i="6"/>
  <c r="AN63" i="7"/>
  <c r="AK16" i="6"/>
  <c r="AK16" i="7"/>
  <c r="AS16" i="6"/>
  <c r="AS16" i="7"/>
  <c r="AT63" i="6"/>
  <c r="AT63" i="7"/>
  <c r="AV16" i="6"/>
  <c r="AV16" i="7"/>
  <c r="AS63" i="6"/>
  <c r="AS63" i="7"/>
  <c r="AR16" i="6"/>
  <c r="AR16" i="7"/>
  <c r="AR63" i="6"/>
  <c r="AR63" i="7"/>
  <c r="AQ16" i="6"/>
  <c r="AQ16" i="7"/>
  <c r="AN16" i="6"/>
  <c r="AN16" i="7"/>
  <c r="AU63" i="6"/>
  <c r="AU63" i="7"/>
  <c r="J21" i="5"/>
  <c r="R23" i="5"/>
  <c r="G67" i="3"/>
  <c r="E67" i="3"/>
  <c r="E74" i="2"/>
  <c r="E87" i="2"/>
  <c r="F113" i="3"/>
  <c r="E113" i="3"/>
  <c r="F97" i="3"/>
  <c r="E97" i="3"/>
  <c r="F82" i="3"/>
  <c r="E82" i="3"/>
  <c r="AP23" i="6" l="1"/>
  <c r="AP23" i="7"/>
  <c r="J23" i="5"/>
  <c r="AI21" i="6"/>
  <c r="AI21" i="7"/>
  <c r="F169" i="3"/>
  <c r="F171" i="3"/>
  <c r="AI23" i="6" l="1"/>
  <c r="AI23" i="7"/>
  <c r="F182" i="2"/>
  <c r="F103" i="3" l="1"/>
  <c r="F104" i="3"/>
  <c r="F105" i="3"/>
  <c r="F106" i="3"/>
  <c r="F107" i="3"/>
  <c r="F108" i="3"/>
  <c r="F109" i="3"/>
  <c r="F110" i="3"/>
  <c r="F111" i="3"/>
  <c r="F112" i="3"/>
  <c r="F102" i="3"/>
  <c r="F181" i="2" l="1"/>
  <c r="F183" i="2"/>
  <c r="F184" i="2"/>
  <c r="F180" i="2"/>
  <c r="E184" i="2"/>
  <c r="E183" i="2"/>
  <c r="E182" i="2"/>
  <c r="E181" i="2"/>
  <c r="E180" i="2"/>
  <c r="E54" i="2" l="1"/>
  <c r="E53" i="2"/>
  <c r="E52" i="2"/>
  <c r="E51" i="2"/>
  <c r="E50" i="2"/>
  <c r="E49" i="2"/>
  <c r="E34" i="3"/>
  <c r="E33" i="3"/>
  <c r="E32" i="3"/>
  <c r="E31" i="3"/>
  <c r="E30" i="3"/>
  <c r="E29" i="3"/>
  <c r="E41" i="3"/>
  <c r="E40" i="3"/>
  <c r="E39" i="3"/>
  <c r="E38" i="3"/>
  <c r="E37" i="3"/>
  <c r="E36" i="3"/>
  <c r="E44" i="3"/>
  <c r="E45" i="3"/>
  <c r="E46" i="3"/>
  <c r="E47" i="3"/>
  <c r="E49" i="3"/>
  <c r="E48" i="3"/>
  <c r="F106" i="2" l="1"/>
  <c r="H133" i="2" l="1"/>
  <c r="E133" i="2"/>
  <c r="F70" i="3"/>
  <c r="F69" i="3"/>
  <c r="E76" i="2"/>
  <c r="E75" i="2"/>
  <c r="E54" i="3" l="1"/>
  <c r="E55" i="3"/>
  <c r="E69" i="3"/>
  <c r="E70" i="3"/>
  <c r="E99" i="3"/>
  <c r="E100" i="3"/>
  <c r="E84" i="3"/>
  <c r="E85" i="3"/>
  <c r="E86" i="2" l="1"/>
  <c r="E85" i="2"/>
  <c r="E84" i="2"/>
  <c r="E83" i="2"/>
  <c r="E79" i="2"/>
  <c r="E78" i="2"/>
  <c r="F92" i="2"/>
  <c r="F91" i="2"/>
  <c r="E19" i="2" l="1"/>
  <c r="E18" i="2"/>
  <c r="E17" i="2"/>
  <c r="E15" i="2"/>
  <c r="E14" i="2"/>
  <c r="E13" i="2"/>
  <c r="F197" i="3"/>
  <c r="F190" i="3"/>
  <c r="F183" i="3"/>
  <c r="E200" i="3"/>
  <c r="E199" i="3"/>
  <c r="E198" i="3"/>
  <c r="E197" i="3"/>
  <c r="E196" i="3"/>
  <c r="E195" i="3"/>
  <c r="E193" i="3"/>
  <c r="E192" i="3"/>
  <c r="E191" i="3"/>
  <c r="E190" i="3"/>
  <c r="E189" i="3"/>
  <c r="E188" i="3"/>
  <c r="E186" i="3"/>
  <c r="E185" i="3"/>
  <c r="E184" i="3"/>
  <c r="E183" i="3"/>
  <c r="E182" i="3"/>
  <c r="E181" i="3"/>
  <c r="E71" i="2"/>
  <c r="E110" i="3"/>
  <c r="F94" i="3"/>
  <c r="E94" i="3"/>
  <c r="E79" i="3"/>
  <c r="E64" i="3"/>
  <c r="E113" i="2" l="1"/>
  <c r="E112" i="2"/>
  <c r="E46" i="2"/>
  <c r="H14" i="3" l="1"/>
  <c r="G14" i="3"/>
  <c r="F14" i="3"/>
  <c r="E14" i="3"/>
  <c r="E13" i="3"/>
  <c r="E12" i="3"/>
  <c r="E11" i="3"/>
  <c r="F17" i="3"/>
  <c r="F26" i="3"/>
  <c r="G365" i="3" l="1"/>
  <c r="H365" i="3" s="1"/>
  <c r="G364" i="3"/>
  <c r="H364" i="3" s="1"/>
  <c r="E365" i="3"/>
  <c r="E154" i="2"/>
  <c r="F140" i="2" l="1"/>
  <c r="E232" i="3"/>
  <c r="E231" i="3"/>
  <c r="E229" i="3"/>
  <c r="E228" i="3"/>
  <c r="E43" i="2"/>
  <c r="E42" i="2"/>
  <c r="E40" i="2"/>
  <c r="E39" i="2"/>
  <c r="F46" i="2" l="1"/>
  <c r="G46" i="2" s="1"/>
  <c r="F54" i="2"/>
  <c r="F50" i="2"/>
  <c r="F53" i="2"/>
  <c r="F49" i="2"/>
  <c r="F52" i="2"/>
  <c r="F51" i="2"/>
  <c r="F45" i="2"/>
  <c r="E33" i="2"/>
  <c r="G34" i="2"/>
  <c r="F95" i="3" l="1"/>
  <c r="F93" i="3"/>
  <c r="F90" i="3"/>
  <c r="F89" i="3"/>
  <c r="J83" i="3" s="1"/>
  <c r="F88" i="3"/>
  <c r="F87" i="3"/>
  <c r="E96" i="3"/>
  <c r="E95" i="3"/>
  <c r="E93" i="3"/>
  <c r="E92" i="3"/>
  <c r="E91" i="3"/>
  <c r="E90" i="3"/>
  <c r="E89" i="3"/>
  <c r="E88" i="3"/>
  <c r="E87" i="3"/>
  <c r="E86" i="3"/>
  <c r="E112" i="3"/>
  <c r="E111" i="3"/>
  <c r="E109" i="3"/>
  <c r="E108" i="3"/>
  <c r="E107" i="3"/>
  <c r="E106" i="3"/>
  <c r="E105" i="3"/>
  <c r="E104" i="3"/>
  <c r="E103" i="3"/>
  <c r="E102" i="3"/>
  <c r="E63" i="2"/>
  <c r="E64" i="2"/>
  <c r="E65" i="2"/>
  <c r="E66" i="2"/>
  <c r="E67" i="2"/>
  <c r="E68" i="2"/>
  <c r="E69" i="2"/>
  <c r="E70" i="2"/>
  <c r="E72" i="2"/>
  <c r="E73" i="2"/>
  <c r="E77" i="3"/>
  <c r="E73" i="3"/>
  <c r="E81" i="3"/>
  <c r="E80" i="3"/>
  <c r="E78" i="3"/>
  <c r="E76" i="3"/>
  <c r="E75" i="3"/>
  <c r="E74" i="3"/>
  <c r="E72" i="3"/>
  <c r="E71" i="3"/>
  <c r="E66" i="3"/>
  <c r="E65" i="3"/>
  <c r="E63" i="3"/>
  <c r="E62" i="3"/>
  <c r="E61" i="3"/>
  <c r="E60" i="3"/>
  <c r="E59" i="3"/>
  <c r="E58" i="3"/>
  <c r="E57" i="3"/>
  <c r="E56" i="3"/>
  <c r="E371" i="3"/>
  <c r="E372" i="3"/>
  <c r="E373" i="3"/>
  <c r="E374" i="3"/>
  <c r="E375" i="3"/>
  <c r="E376" i="3"/>
  <c r="E377" i="3"/>
  <c r="E378" i="3"/>
  <c r="E379" i="3"/>
  <c r="E380" i="3"/>
  <c r="E171" i="3" l="1"/>
  <c r="H169" i="3"/>
  <c r="H171" i="3" s="1"/>
  <c r="G169" i="3"/>
  <c r="G171" i="3" s="1"/>
  <c r="E170" i="3"/>
  <c r="E169" i="3"/>
  <c r="E168" i="3"/>
  <c r="E121" i="2" l="1"/>
  <c r="E24" i="2"/>
  <c r="E25" i="2"/>
  <c r="E26" i="2"/>
  <c r="E11" i="2"/>
  <c r="E9" i="2"/>
  <c r="J6" i="3" l="1"/>
  <c r="G6" i="3"/>
  <c r="H6" i="3" s="1"/>
  <c r="L6" i="3" s="1"/>
  <c r="K6" i="3" l="1"/>
  <c r="G357" i="3" l="1"/>
  <c r="G358" i="3"/>
  <c r="F358" i="3"/>
  <c r="F357" i="3"/>
  <c r="E358" i="3"/>
  <c r="G23" i="3"/>
  <c r="H23" i="3"/>
  <c r="E21" i="3"/>
  <c r="G224" i="3"/>
  <c r="H224" i="3"/>
  <c r="G225" i="3"/>
  <c r="H225" i="3"/>
  <c r="H263" i="3"/>
  <c r="G263" i="3"/>
  <c r="H262" i="3"/>
  <c r="G262" i="3"/>
  <c r="F225" i="3"/>
  <c r="E226" i="3"/>
  <c r="E225" i="3"/>
  <c r="F263" i="3"/>
  <c r="F262" i="3"/>
  <c r="E266" i="3"/>
  <c r="E265" i="3"/>
  <c r="E264" i="3"/>
  <c r="E263" i="3"/>
  <c r="E262" i="3"/>
  <c r="E220" i="3"/>
  <c r="F224" i="3"/>
  <c r="E219" i="3"/>
  <c r="G27" i="2"/>
  <c r="G28" i="2"/>
  <c r="G29" i="2"/>
  <c r="G30" i="2"/>
  <c r="G31" i="2"/>
  <c r="G35" i="2"/>
  <c r="G36" i="2"/>
  <c r="G37" i="2"/>
  <c r="G60" i="2"/>
  <c r="G88" i="2"/>
  <c r="G89" i="2"/>
  <c r="G90" i="2"/>
  <c r="G93" i="2"/>
  <c r="G94" i="2"/>
  <c r="G95" i="2"/>
  <c r="G97" i="2"/>
  <c r="G98" i="2"/>
  <c r="G99" i="2"/>
  <c r="G100" i="2"/>
  <c r="G101" i="2"/>
  <c r="G102" i="2"/>
  <c r="G105" i="2"/>
  <c r="G108" i="2"/>
  <c r="G6" i="2"/>
  <c r="H6" i="2" s="1"/>
  <c r="I6" i="2" s="1"/>
  <c r="J6" i="2" s="1"/>
  <c r="K6" i="2" s="1"/>
  <c r="L6" i="2" s="1"/>
  <c r="M6" i="2" s="1"/>
  <c r="E292" i="3"/>
  <c r="E293" i="3"/>
  <c r="H287" i="3"/>
  <c r="G287" i="3"/>
  <c r="E291" i="3"/>
  <c r="E290" i="3"/>
  <c r="E289" i="3"/>
  <c r="E288" i="3"/>
  <c r="E287" i="3"/>
  <c r="H284" i="3"/>
  <c r="G284" i="3"/>
  <c r="F284" i="3"/>
  <c r="H283" i="3"/>
  <c r="G283" i="3"/>
  <c r="F283" i="3"/>
  <c r="H282" i="3"/>
  <c r="G282" i="3"/>
  <c r="F282" i="3"/>
  <c r="E286" i="3"/>
  <c r="E285" i="3"/>
  <c r="E284" i="3"/>
  <c r="E283" i="3"/>
  <c r="E282" i="3"/>
  <c r="E281" i="3"/>
  <c r="E280" i="3"/>
  <c r="E279" i="3"/>
  <c r="E278" i="3"/>
  <c r="E277" i="3"/>
  <c r="E110" i="2"/>
  <c r="E109" i="2"/>
  <c r="G213" i="3"/>
  <c r="H213" i="3"/>
  <c r="F213" i="3"/>
  <c r="G206" i="3"/>
  <c r="H206" i="3"/>
  <c r="F249" i="3"/>
  <c r="F23" i="3"/>
  <c r="H249" i="3"/>
  <c r="H248" i="3"/>
  <c r="G249" i="3"/>
  <c r="G248" i="3"/>
  <c r="F248" i="3"/>
  <c r="E249" i="3"/>
  <c r="E250" i="3"/>
  <c r="H241" i="3"/>
  <c r="H240" i="3"/>
  <c r="G241" i="3"/>
  <c r="G240" i="3"/>
  <c r="F240" i="3"/>
  <c r="F241" i="3"/>
  <c r="E241" i="3"/>
  <c r="E242" i="3"/>
  <c r="E45" i="2"/>
  <c r="E258" i="3"/>
  <c r="G257" i="3"/>
  <c r="H257" i="3"/>
  <c r="F257" i="3"/>
  <c r="E257" i="3"/>
  <c r="G256" i="3"/>
  <c r="F256" i="3"/>
  <c r="H256" i="3"/>
  <c r="E23" i="3"/>
  <c r="E22" i="3"/>
  <c r="E20" i="3"/>
  <c r="E107" i="2"/>
  <c r="E211" i="3"/>
  <c r="E212" i="3"/>
  <c r="E213" i="3"/>
  <c r="E214" i="3"/>
  <c r="E205" i="3"/>
  <c r="F206" i="3"/>
  <c r="F121" i="3"/>
  <c r="F120" i="3"/>
  <c r="F162" i="3" s="1"/>
  <c r="E106" i="2"/>
  <c r="E207" i="3"/>
  <c r="E206" i="3"/>
  <c r="E204" i="3"/>
  <c r="H144" i="2"/>
  <c r="H136" i="2"/>
  <c r="H134" i="2"/>
  <c r="E116" i="2"/>
  <c r="E117" i="2"/>
  <c r="E118" i="2"/>
  <c r="E119" i="2"/>
  <c r="E120" i="2"/>
  <c r="E122" i="2"/>
  <c r="E123" i="2"/>
  <c r="E124" i="2"/>
  <c r="E125" i="2"/>
  <c r="E126" i="2"/>
  <c r="E127" i="2"/>
  <c r="E128" i="2"/>
  <c r="E129" i="2"/>
  <c r="E130" i="2"/>
  <c r="E131" i="2"/>
  <c r="E132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87" i="2"/>
  <c r="E188" i="2"/>
  <c r="E189" i="2"/>
  <c r="E190" i="2"/>
  <c r="E191" i="2"/>
  <c r="E192" i="2"/>
  <c r="E193" i="2"/>
  <c r="E194" i="2"/>
  <c r="E178" i="3"/>
  <c r="E364" i="3"/>
  <c r="E360" i="3"/>
  <c r="E359" i="3"/>
  <c r="E357" i="3"/>
  <c r="I144" i="2"/>
  <c r="J144" i="2"/>
  <c r="K144" i="2"/>
  <c r="L144" i="2"/>
  <c r="M144" i="2"/>
  <c r="E248" i="3"/>
  <c r="E256" i="3"/>
  <c r="E270" i="3"/>
  <c r="E271" i="3"/>
  <c r="E272" i="3"/>
  <c r="E273" i="3"/>
  <c r="E274" i="3"/>
  <c r="E275" i="3"/>
  <c r="E243" i="3"/>
  <c r="E251" i="3"/>
  <c r="E259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244" i="3"/>
  <c r="E252" i="3"/>
  <c r="E260" i="3"/>
  <c r="E338" i="3"/>
  <c r="E339" i="3"/>
  <c r="E340" i="3"/>
  <c r="E341" i="3"/>
  <c r="E342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240" i="3"/>
  <c r="E238" i="3"/>
  <c r="E239" i="3"/>
  <c r="F144" i="2"/>
  <c r="E62" i="2"/>
  <c r="E61" i="2"/>
  <c r="E93" i="2"/>
  <c r="E118" i="3"/>
  <c r="A7" i="3"/>
  <c r="A8" i="3"/>
  <c r="E8" i="3"/>
  <c r="E9" i="3"/>
  <c r="E15" i="3"/>
  <c r="E16" i="3"/>
  <c r="E17" i="3"/>
  <c r="E18" i="3"/>
  <c r="E24" i="3"/>
  <c r="E25" i="3"/>
  <c r="E26" i="3"/>
  <c r="E27" i="3"/>
  <c r="E115" i="3"/>
  <c r="E116" i="3"/>
  <c r="E117" i="3"/>
  <c r="E119" i="3"/>
  <c r="E120" i="3"/>
  <c r="G120" i="3"/>
  <c r="H120" i="3"/>
  <c r="E121" i="3"/>
  <c r="G121" i="3"/>
  <c r="H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221" i="3"/>
  <c r="E222" i="3"/>
  <c r="E223" i="3"/>
  <c r="E224" i="3"/>
  <c r="E153" i="3"/>
  <c r="E154" i="3"/>
  <c r="E215" i="3"/>
  <c r="E216" i="3"/>
  <c r="E208" i="3"/>
  <c r="E209" i="3"/>
  <c r="E157" i="3"/>
  <c r="E158" i="3"/>
  <c r="E159" i="3"/>
  <c r="E160" i="3"/>
  <c r="E161" i="3"/>
  <c r="E162" i="3"/>
  <c r="E163" i="3"/>
  <c r="E164" i="3"/>
  <c r="E165" i="3"/>
  <c r="E166" i="3"/>
  <c r="E167" i="3"/>
  <c r="E173" i="3"/>
  <c r="E174" i="3"/>
  <c r="E175" i="3"/>
  <c r="E176" i="3"/>
  <c r="E177" i="3"/>
  <c r="A239" i="3"/>
  <c r="A240" i="3" s="1"/>
  <c r="A248" i="3" s="1"/>
  <c r="A256" i="3" s="1"/>
  <c r="A270" i="3" s="1"/>
  <c r="A271" i="3" s="1"/>
  <c r="A272" i="3" s="1"/>
  <c r="A273" i="3" s="1"/>
  <c r="A274" i="3" s="1"/>
  <c r="A275" i="3" s="1"/>
  <c r="A243" i="3" s="1"/>
  <c r="A251" i="3" s="1"/>
  <c r="A259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244" i="3" s="1"/>
  <c r="A252" i="3" s="1"/>
  <c r="A260" i="3" s="1"/>
  <c r="A338" i="3" s="1"/>
  <c r="A339" i="3" s="1"/>
  <c r="A340" i="3" s="1"/>
  <c r="A341" i="3" s="1"/>
  <c r="A342" i="3" s="1"/>
  <c r="G272" i="3"/>
  <c r="H272" i="3"/>
  <c r="D343" i="3"/>
  <c r="E343" i="3"/>
  <c r="F344" i="3"/>
  <c r="G344" i="3"/>
  <c r="F345" i="3"/>
  <c r="H345" i="3"/>
  <c r="G346" i="3"/>
  <c r="H346" i="3"/>
  <c r="D436" i="3"/>
  <c r="A7" i="2"/>
  <c r="E8" i="2"/>
  <c r="E10" i="2"/>
  <c r="E23" i="2"/>
  <c r="E27" i="2"/>
  <c r="E28" i="2"/>
  <c r="E29" i="2"/>
  <c r="E30" i="2"/>
  <c r="E31" i="2"/>
  <c r="E32" i="2"/>
  <c r="E35" i="2"/>
  <c r="E36" i="2"/>
  <c r="E37" i="2"/>
  <c r="E89" i="2"/>
  <c r="E90" i="2"/>
  <c r="E91" i="2"/>
  <c r="E92" i="2"/>
  <c r="E94" i="2"/>
  <c r="E95" i="2"/>
  <c r="E96" i="2"/>
  <c r="E97" i="2"/>
  <c r="E98" i="2"/>
  <c r="E99" i="2"/>
  <c r="E100" i="2"/>
  <c r="E101" i="2"/>
  <c r="E102" i="2"/>
  <c r="E103" i="2"/>
  <c r="E104" i="2"/>
  <c r="F104" i="2"/>
  <c r="G104" i="2" s="1"/>
  <c r="A116" i="2"/>
  <c r="A117" i="2" s="1"/>
  <c r="A118" i="2" s="1"/>
  <c r="A119" i="2" s="1"/>
  <c r="A120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J122" i="2"/>
  <c r="K122" i="2"/>
  <c r="K127" i="2"/>
  <c r="K129" i="2"/>
  <c r="F136" i="2"/>
  <c r="A139" i="2"/>
  <c r="A140" i="2" s="1"/>
  <c r="A141" i="2" s="1"/>
  <c r="A142" i="2" s="1"/>
  <c r="F142" i="2"/>
  <c r="A143" i="2"/>
  <c r="A153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87" i="2" s="1"/>
  <c r="A188" i="2" s="1"/>
  <c r="A189" i="2" s="1"/>
  <c r="A190" i="2" s="1"/>
  <c r="A191" i="2" s="1"/>
  <c r="A192" i="2" s="1"/>
  <c r="A193" i="2" s="1"/>
  <c r="A194" i="2" s="1"/>
  <c r="A195" i="2" s="1"/>
  <c r="E240" i="2"/>
  <c r="E241" i="2"/>
  <c r="E242" i="2"/>
  <c r="E243" i="2"/>
  <c r="E244" i="2"/>
  <c r="E245" i="2"/>
  <c r="E246" i="2"/>
  <c r="E247" i="2"/>
  <c r="E248" i="2"/>
  <c r="E249" i="2"/>
  <c r="E250" i="2"/>
  <c r="F146" i="2" l="1"/>
  <c r="F63" i="2"/>
  <c r="F67" i="2"/>
  <c r="F74" i="2"/>
  <c r="F66" i="2"/>
  <c r="F64" i="2"/>
  <c r="F68" i="2"/>
  <c r="F70" i="2"/>
  <c r="F65" i="2"/>
  <c r="F45" i="3"/>
  <c r="F37" i="3" s="1"/>
  <c r="F33" i="3"/>
  <c r="F30" i="3"/>
  <c r="F34" i="3"/>
  <c r="F31" i="3"/>
  <c r="F29" i="3"/>
  <c r="F32" i="3"/>
  <c r="F41" i="3"/>
  <c r="F40" i="3"/>
  <c r="F36" i="3"/>
  <c r="F38" i="3"/>
  <c r="F39" i="3"/>
  <c r="F44" i="3"/>
  <c r="F46" i="3"/>
  <c r="F47" i="3"/>
  <c r="F49" i="3"/>
  <c r="F48" i="3"/>
  <c r="F85" i="3"/>
  <c r="F55" i="3" s="1"/>
  <c r="F84" i="3"/>
  <c r="F54" i="3" s="1"/>
  <c r="F110" i="2"/>
  <c r="G110" i="2" s="1"/>
  <c r="F113" i="2"/>
  <c r="G113" i="2" s="1"/>
  <c r="F112" i="2"/>
  <c r="G112" i="2" s="1"/>
  <c r="F69" i="2"/>
  <c r="F72" i="2"/>
  <c r="F73" i="2"/>
  <c r="F71" i="2"/>
  <c r="F182" i="3"/>
  <c r="F188" i="3"/>
  <c r="F191" i="3"/>
  <c r="F198" i="3"/>
  <c r="F196" i="3"/>
  <c r="F184" i="3"/>
  <c r="F195" i="3"/>
  <c r="F181" i="3"/>
  <c r="F189" i="3"/>
  <c r="F13" i="3"/>
  <c r="G64" i="3"/>
  <c r="H13" i="3"/>
  <c r="H11" i="3"/>
  <c r="H12" i="3"/>
  <c r="G13" i="3"/>
  <c r="G11" i="3"/>
  <c r="F11" i="3"/>
  <c r="G12" i="3"/>
  <c r="F12" i="3"/>
  <c r="G58" i="3"/>
  <c r="G62" i="3"/>
  <c r="G59" i="3"/>
  <c r="G63" i="3"/>
  <c r="G57" i="3"/>
  <c r="G66" i="3"/>
  <c r="G60" i="3"/>
  <c r="G65" i="3"/>
  <c r="G61" i="3"/>
  <c r="G56" i="3"/>
  <c r="F154" i="2"/>
  <c r="F20" i="3"/>
  <c r="F153" i="2"/>
  <c r="G207" i="3"/>
  <c r="H21" i="3"/>
  <c r="F21" i="3"/>
  <c r="G21" i="3"/>
  <c r="G20" i="3"/>
  <c r="G22" i="3"/>
  <c r="H20" i="3"/>
  <c r="H22" i="3"/>
  <c r="F22" i="3"/>
  <c r="G33" i="2"/>
  <c r="F33" i="2"/>
  <c r="F158" i="3"/>
  <c r="F160" i="3"/>
  <c r="I159" i="2"/>
  <c r="F163" i="2"/>
  <c r="F109" i="2"/>
  <c r="G109" i="2" s="1"/>
  <c r="J169" i="2"/>
  <c r="G212" i="3"/>
  <c r="J157" i="2"/>
  <c r="L172" i="2"/>
  <c r="K170" i="2"/>
  <c r="L158" i="2"/>
  <c r="H226" i="3"/>
  <c r="F165" i="2"/>
  <c r="F24" i="2" s="1"/>
  <c r="I189" i="2"/>
  <c r="K161" i="2"/>
  <c r="M189" i="2"/>
  <c r="G211" i="3"/>
  <c r="J158" i="2"/>
  <c r="J165" i="2"/>
  <c r="L169" i="2"/>
  <c r="L190" i="2"/>
  <c r="M191" i="2"/>
  <c r="J146" i="2"/>
  <c r="J137" i="2" s="1"/>
  <c r="F170" i="2"/>
  <c r="F11" i="2" s="1"/>
  <c r="F211" i="3"/>
  <c r="F226" i="3"/>
  <c r="F187" i="2"/>
  <c r="I167" i="2"/>
  <c r="I162" i="2"/>
  <c r="M194" i="2"/>
  <c r="I171" i="2"/>
  <c r="F167" i="2"/>
  <c r="L193" i="2"/>
  <c r="J189" i="2"/>
  <c r="M169" i="2"/>
  <c r="H212" i="3"/>
  <c r="H204" i="3"/>
  <c r="G205" i="3"/>
  <c r="F205" i="3"/>
  <c r="K166" i="2"/>
  <c r="K158" i="2"/>
  <c r="F212" i="3"/>
  <c r="G204" i="3"/>
  <c r="L191" i="2"/>
  <c r="M193" i="2"/>
  <c r="M158" i="2"/>
  <c r="L187" i="2"/>
  <c r="F190" i="2"/>
  <c r="M170" i="2"/>
  <c r="L162" i="2"/>
  <c r="J170" i="2"/>
  <c r="M165" i="2"/>
  <c r="F176" i="3"/>
  <c r="H214" i="3"/>
  <c r="H211" i="3"/>
  <c r="H205" i="3"/>
  <c r="H207" i="3"/>
  <c r="J187" i="2"/>
  <c r="J163" i="2"/>
  <c r="F150" i="2"/>
  <c r="M187" i="2"/>
  <c r="K150" i="2"/>
  <c r="L150" i="2"/>
  <c r="K149" i="2"/>
  <c r="G214" i="3"/>
  <c r="K160" i="2"/>
  <c r="F189" i="2"/>
  <c r="M166" i="2"/>
  <c r="F137" i="2"/>
  <c r="F26" i="2" s="1"/>
  <c r="J167" i="2"/>
  <c r="J162" i="2"/>
  <c r="K169" i="2"/>
  <c r="K191" i="2"/>
  <c r="M162" i="2"/>
  <c r="L159" i="2"/>
  <c r="L146" i="2"/>
  <c r="L137" i="2" s="1"/>
  <c r="I190" i="2"/>
  <c r="M159" i="2"/>
  <c r="J166" i="2"/>
  <c r="F159" i="2"/>
  <c r="L171" i="2"/>
  <c r="L167" i="2"/>
  <c r="F193" i="2"/>
  <c r="J191" i="2"/>
  <c r="F162" i="2"/>
  <c r="M161" i="2"/>
  <c r="M157" i="2"/>
  <c r="F191" i="2"/>
  <c r="I163" i="2"/>
  <c r="M167" i="2"/>
  <c r="L163" i="2"/>
  <c r="F166" i="2"/>
  <c r="F25" i="2" s="1"/>
  <c r="I169" i="2"/>
  <c r="I165" i="2"/>
  <c r="I191" i="2"/>
  <c r="I187" i="2"/>
  <c r="K162" i="2"/>
  <c r="L157" i="2"/>
  <c r="J153" i="2"/>
  <c r="I149" i="2"/>
  <c r="L149" i="2"/>
  <c r="J149" i="2"/>
  <c r="L153" i="2"/>
  <c r="F174" i="3"/>
  <c r="F207" i="3"/>
  <c r="F219" i="3"/>
  <c r="H219" i="3"/>
  <c r="J192" i="2"/>
  <c r="J188" i="2"/>
  <c r="J172" i="2"/>
  <c r="M168" i="2"/>
  <c r="I160" i="2"/>
  <c r="M156" i="2"/>
  <c r="J131" i="2"/>
  <c r="J193" i="2"/>
  <c r="M146" i="2"/>
  <c r="M137" i="2" s="1"/>
  <c r="F161" i="2"/>
  <c r="H146" i="2"/>
  <c r="H137" i="2" s="1"/>
  <c r="F204" i="3"/>
  <c r="G226" i="3"/>
  <c r="H220" i="3"/>
  <c r="G220" i="3"/>
  <c r="K190" i="2"/>
  <c r="F158" i="2"/>
  <c r="I161" i="2"/>
  <c r="I157" i="2"/>
  <c r="K157" i="2"/>
  <c r="K165" i="2"/>
  <c r="K171" i="2"/>
  <c r="K167" i="2"/>
  <c r="J194" i="2"/>
  <c r="J190" i="2"/>
  <c r="L161" i="2"/>
  <c r="F149" i="2"/>
  <c r="M150" i="2"/>
  <c r="M153" i="2"/>
  <c r="J171" i="2"/>
  <c r="I194" i="2"/>
  <c r="K146" i="2"/>
  <c r="K137" i="2" s="1"/>
  <c r="F194" i="2"/>
  <c r="K187" i="2"/>
  <c r="J161" i="2"/>
  <c r="I158" i="2"/>
  <c r="L165" i="2"/>
  <c r="M163" i="2"/>
  <c r="F168" i="2"/>
  <c r="I193" i="2"/>
  <c r="F171" i="2"/>
  <c r="I170" i="2"/>
  <c r="I166" i="2"/>
  <c r="K194" i="2"/>
  <c r="L189" i="2"/>
  <c r="K163" i="2"/>
  <c r="K159" i="2"/>
  <c r="F169" i="2"/>
  <c r="M190" i="2"/>
  <c r="M171" i="2"/>
  <c r="L194" i="2"/>
  <c r="I146" i="2"/>
  <c r="I137" i="2" s="1"/>
  <c r="L170" i="2"/>
  <c r="L166" i="2"/>
  <c r="K193" i="2"/>
  <c r="K189" i="2"/>
  <c r="F157" i="2"/>
  <c r="J159" i="2"/>
  <c r="I150" i="2"/>
  <c r="K153" i="2"/>
  <c r="I153" i="2"/>
  <c r="M149" i="2"/>
  <c r="J150" i="2"/>
  <c r="F178" i="3"/>
  <c r="F214" i="3"/>
  <c r="F220" i="3"/>
  <c r="G219" i="3"/>
  <c r="G45" i="2"/>
  <c r="K131" i="2"/>
  <c r="K192" i="2"/>
  <c r="J168" i="2"/>
  <c r="M192" i="2"/>
  <c r="I156" i="2"/>
  <c r="A136" i="2"/>
  <c r="A138" i="2" s="1"/>
  <c r="A132" i="2"/>
  <c r="I192" i="2"/>
  <c r="M188" i="2"/>
  <c r="H131" i="2"/>
  <c r="F107" i="2"/>
  <c r="G106" i="2"/>
  <c r="F192" i="2"/>
  <c r="L192" i="2"/>
  <c r="K188" i="2"/>
  <c r="L156" i="2"/>
  <c r="L168" i="2"/>
  <c r="I131" i="2"/>
  <c r="K172" i="2"/>
  <c r="I188" i="2"/>
  <c r="J160" i="2"/>
  <c r="I172" i="2"/>
  <c r="L131" i="2"/>
  <c r="F188" i="2"/>
  <c r="L188" i="2"/>
  <c r="M160" i="2"/>
  <c r="F131" i="2"/>
  <c r="F96" i="2" s="1"/>
  <c r="K156" i="2"/>
  <c r="I168" i="2"/>
  <c r="M131" i="2"/>
  <c r="F156" i="2"/>
  <c r="F172" i="2"/>
  <c r="F160" i="2"/>
  <c r="M172" i="2"/>
  <c r="K168" i="2"/>
  <c r="J156" i="2"/>
  <c r="L160" i="2"/>
  <c r="F122" i="2" l="1"/>
  <c r="F103" i="2" s="1"/>
  <c r="F121" i="2"/>
  <c r="F76" i="2"/>
  <c r="F75" i="2"/>
  <c r="F61" i="2"/>
  <c r="F19" i="2"/>
  <c r="F18" i="2"/>
  <c r="F17" i="2"/>
  <c r="F14" i="2"/>
  <c r="F13" i="2"/>
  <c r="F15" i="2"/>
  <c r="G107" i="2"/>
  <c r="F9" i="2"/>
  <c r="G103" i="2"/>
  <c r="G92" i="2"/>
  <c r="G25" i="2"/>
  <c r="F23" i="2"/>
  <c r="H96" i="2"/>
  <c r="F32" i="2" l="1"/>
  <c r="G61" i="2"/>
  <c r="G91" i="2"/>
  <c r="G96" i="2"/>
  <c r="F10" i="2"/>
  <c r="F8" i="2"/>
  <c r="G23" i="2"/>
  <c r="G10" i="2" l="1"/>
  <c r="F62" i="2" l="1"/>
  <c r="G6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F91" authorId="0" shapeId="0" xr:uid="{4C9074FE-30FE-49F8-A9BE-FDE79BEF5362}">
      <text>
        <r>
          <rPr>
            <sz val="10"/>
            <rFont val="Arial"/>
            <family val="2"/>
            <charset val="1"/>
          </rPr>
          <t>78.51 EUR/MWh
MIXED PRICE
Source:
Slide 13
Ökologische und bezahlbare Fernwärme für eine
mittelgroße Stadt
https://mil.brandenburg.de/media_fast/4055/Harald%20Jahnke%202017-10-19%20Br%C3%BCssel.pdf</t>
        </r>
      </text>
    </comment>
    <comment ref="G91" authorId="0" shapeId="0" xr:uid="{960CB661-3910-4FD2-AAD6-705830D124D4}">
      <text>
        <r>
          <rPr>
            <sz val="10"/>
            <rFont val="Arial"/>
            <family val="2"/>
            <charset val="1"/>
          </rPr>
          <t>78.51 EUR/MWh
MIXED PRICE
Source:
Slide 13
Ökologische und bezahlbare Fernwärme für eine
mittelgroße Stadt
https://mil.brandenburg.de/media_fast/4055/Harald%20Jahnke%202017-10-19%20Br%C3%BCssel.pdf</t>
        </r>
      </text>
    </comment>
    <comment ref="F92" authorId="0" shapeId="0" xr:uid="{7D4E58DD-8F95-4FB7-A789-5229B0F574C3}">
      <text>
        <r>
          <rPr>
            <sz val="10"/>
            <rFont val="Arial"/>
            <family val="2"/>
            <charset val="1"/>
          </rPr>
          <t>80.67 EUR/MWh
MIXED PRICE
Source:
Slide 13
Ökologische und bezahlbare Fernwärme für eine
mittelgroße Stadt
https://mil.brandenburg.de/media_fast/4055/Harald%20Jahnke%202017-10-19%20Br%C3%BCssel.pdf</t>
        </r>
      </text>
    </comment>
    <comment ref="G92" authorId="0" shapeId="0" xr:uid="{969D866A-FBF0-4C74-BD2E-EF625023EC9C}">
      <text>
        <r>
          <rPr>
            <sz val="10"/>
            <rFont val="Arial"/>
            <family val="2"/>
            <charset val="1"/>
          </rPr>
          <t>80.67 EUR/MWh
MIXED PRICE
Source:
Slide 13
Ökologische und bezahlbare Fernwärme für eine
mittelgroße Stadt
https://mil.brandenburg.de/media_fast/4055/Harald%20Jahnke%202017-10-19%20Br%C3%BCssel.pdf</t>
        </r>
      </text>
    </comment>
    <comment ref="F96" authorId="0" shapeId="0" xr:uid="{FD95929F-71BC-47CD-9A6F-93E252DA1C77}">
      <text>
        <r>
          <rPr>
            <sz val="10"/>
            <rFont val="Arial"/>
            <family val="2"/>
            <charset val="1"/>
          </rPr>
          <t>37.13 EUR/MWh
Variable cost for gas=gas cost
Gas cost=gas price + gas taxes.
Average GAS PRICE for industrial customers 2016
2.77 cent/KWh
Gas taxes:
0.943 cent/kWh
Varible cost for gas=
 2.77 + 0.943=3.713 cent/kWh
 = 37.13 EUR/MWh
Gas taxes are included here because either CHP als gas boiler uses this gas commodity.
Source gas taxes:
(Network charges + CO2 emissions taxes)
2017 monitor bericht
Page 278.
https://www.bundesnetzagentur.de/SharedDocs/Downloads/EN/BNetzA/PressSection/ReportsPublications/2016/MonitoringReport_2016.pdf?__blob=publicationFile&amp;v=3
Source average gas price:
Gaspreise* für Gewerbe- und Industriekunden in Deutschland in den Jahren 2008 bis 2017 (in Euro-Cent pro Kilowattstunde)
https://de.statista.com/statistik/daten/studie/168528/umfrage/gaspreise-fuer-gewerbe--und-industriekunden-seit-2006/</t>
        </r>
      </text>
    </comment>
    <comment ref="G96" authorId="0" shapeId="0" xr:uid="{785F3861-DF0C-44DE-A330-F0423DA76711}">
      <text>
        <r>
          <rPr>
            <sz val="10"/>
            <rFont val="Arial"/>
            <family val="2"/>
            <charset val="1"/>
          </rPr>
          <t>37.13 EUR/MWh
Variable cost for gas=gas cost
Gas cost=gas price + gas taxes.
Average GAS PRICE for industrial customers 2016
2.77 cent/KWh
Gas taxes:
0.943 cent/kWh
Varible cost for gas=
 2.77 + 0.943=3.713 cent/kWh
 = 37.13 EUR/MWh
Gas taxes are included here because either CHP als gas boiler uses this gas commodity.
Source gas taxes:
(Network charges + CO2 emissions taxes)
2017 monitor bericht
Page 278.
https://www.bundesnetzagentur.de/SharedDocs/Downloads/EN/BNetzA/PressSection/ReportsPublications/2016/MonitoringReport_2016.pdf?__blob=publicationFile&amp;v=3
Source average gas price:
Gaspreise* für Gewerbe- und Industriekunden in Deutschland in den Jahren 2008 bis 2017 (in Euro-Cent pro Kilowattstunde)
https://de.statista.com/statistik/daten/studie/168528/umfrage/gaspreise-fuer-gewerbe--und-industriekunden-seit-2006/</t>
        </r>
      </text>
    </comment>
    <comment ref="H96" authorId="0" shapeId="0" xr:uid="{64D0EC42-849E-4BCF-9CE2-D38F76A7F80F}">
      <text>
        <r>
          <rPr>
            <sz val="10"/>
            <rFont val="Arial"/>
            <family val="2"/>
            <charset val="1"/>
          </rPr>
          <t>37.13 EUR/MWh
Variable cost for gas=gas cost
Gas cost=gas price + gas taxes.
Average GAS PRICE for industrial customers 2016
2.77 cent/KWh
Gas taxes:
0.943 cent/kWh
Varible cost for gas=
 2.77 + 0.943=3.713 cent/kWh
 = 37.13 EUR/MWh
Gas taxes are included here because either CHP als gas boiler uses this gas commodity.
Source gas taxes:
(Network charges + CO2 emissions taxes)
2017 monitor bericht
Page 278.
https://www.bundesnetzagentur.de/SharedDocs/Downloads/EN/BNetzA/PressSection/ReportsPublications/2016/MonitoringReport_2016.pdf?__blob=publicationFile&amp;v=3
Source average gas price:
Gaspreise* für Gewerbe- und Industriekunden in Deutschland in den Jahren 2008 bis 2017 (in Euro-Cent pro Kilowattstunde)
https://de.statista.com/statistik/daten/studie/168528/umfrage/gaspreise-fuer-gewerbe--und-industriekunden-seit-2006/</t>
        </r>
      </text>
    </comment>
    <comment ref="C99" authorId="0" shapeId="0" xr:uid="{A925D261-D842-41A2-8B84-E3F5EA6B7418}">
      <text>
        <r>
          <rPr>
            <sz val="10"/>
            <rFont val="Arial"/>
            <family val="2"/>
            <charset val="1"/>
          </rPr>
          <t>PRENZLAU AQUIFER WÄRMESPEICHER
source:
Page 11
https://www.prenzlau.eu/sixcms/media.php/569/Fernw%C3%A4rmekonzept_Innenstadt.pdf</t>
        </r>
      </text>
    </comment>
    <comment ref="D99" authorId="0" shapeId="0" xr:uid="{27AEDA44-DF80-4561-A817-043C9BAD7CE3}">
      <text>
        <r>
          <rPr>
            <b/>
            <sz val="10"/>
            <rFont val="Arial"/>
            <family val="2"/>
            <charset val="1"/>
          </rPr>
          <t>Autor:</t>
        </r>
        <r>
          <rPr>
            <sz val="10"/>
            <rFont val="Arial"/>
            <family val="2"/>
            <charset val="1"/>
          </rPr>
          <t xml:space="preserve">
variable costs</t>
        </r>
      </text>
    </comment>
    <comment ref="D100" authorId="0" shapeId="0" xr:uid="{CCB60691-B0BA-4911-922B-85C006E60E36}">
      <text>
        <r>
          <rPr>
            <b/>
            <sz val="10"/>
            <rFont val="Arial"/>
            <family val="2"/>
            <charset val="1"/>
          </rPr>
          <t>Autor:</t>
        </r>
        <r>
          <rPr>
            <sz val="10"/>
            <rFont val="Arial"/>
            <family val="2"/>
            <charset val="1"/>
          </rPr>
          <t xml:space="preserve">
variable costs</t>
        </r>
      </text>
    </comment>
    <comment ref="D101" authorId="0" shapeId="0" xr:uid="{8776061D-51D5-4C94-A278-15CFF19DE93A}">
      <text>
        <r>
          <rPr>
            <b/>
            <sz val="10"/>
            <rFont val="Arial"/>
            <family val="2"/>
            <charset val="1"/>
          </rPr>
          <t>Autor:</t>
        </r>
        <r>
          <rPr>
            <sz val="10"/>
            <rFont val="Arial"/>
            <family val="2"/>
            <charset val="1"/>
          </rPr>
          <t xml:space="preserve">
variable costs</t>
        </r>
      </text>
    </comment>
    <comment ref="D102" authorId="0" shapeId="0" xr:uid="{31BCC10C-A58D-48BD-B7A4-2818A871BA06}">
      <text>
        <r>
          <rPr>
            <b/>
            <sz val="10"/>
            <rFont val="Arial"/>
            <family val="2"/>
            <charset val="1"/>
          </rPr>
          <t>Autor:</t>
        </r>
        <r>
          <rPr>
            <sz val="10"/>
            <rFont val="Arial"/>
            <family val="2"/>
            <charset val="1"/>
          </rPr>
          <t xml:space="preserve">
variable costs</t>
        </r>
      </text>
    </comment>
    <comment ref="D103" authorId="0" shapeId="0" xr:uid="{5244982E-6DD5-4412-8D02-3C518A91C111}">
      <text>
        <r>
          <rPr>
            <b/>
            <sz val="10"/>
            <rFont val="Arial"/>
            <family val="2"/>
            <charset val="1"/>
          </rPr>
          <t>Autor:</t>
        </r>
        <r>
          <rPr>
            <sz val="10"/>
            <rFont val="Arial"/>
            <family val="2"/>
            <charset val="1"/>
          </rPr>
          <t xml:space="preserve">
variable costs</t>
        </r>
      </text>
    </comment>
    <comment ref="D104" authorId="0" shapeId="0" xr:uid="{C31EBCB8-60CC-4B9B-9D3E-1C43EE1C6E3B}">
      <text>
        <r>
          <rPr>
            <b/>
            <sz val="10"/>
            <rFont val="Arial"/>
            <family val="2"/>
            <charset val="1"/>
          </rPr>
          <t>Autor:</t>
        </r>
        <r>
          <rPr>
            <sz val="10"/>
            <rFont val="Arial"/>
            <family val="2"/>
            <charset val="1"/>
          </rPr>
          <t xml:space="preserve">
variable costs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1" authorId="0" shapeId="0" xr:uid="{D6D72F1A-7F60-4C59-85CE-8DC4E524BEE3}">
      <text>
        <r>
          <rPr>
            <sz val="10"/>
            <rFont val="Arial"/>
            <family val="2"/>
            <charset val="1"/>
          </rPr>
          <t>PCK refinery in Schwedt.
It is not well defined how much heat do they supply to the district heating system; however an estimation has been done.
Source:
https://www.pck.de/en/company/divisions/</t>
        </r>
      </text>
    </comment>
    <comment ref="C13" authorId="0" shapeId="0" xr:uid="{3B58CED6-9A80-439E-A1CA-75A6DC4673CC}">
      <text>
        <r>
          <rPr>
            <sz val="10"/>
            <rFont val="Arial"/>
            <family val="2"/>
            <charset val="1"/>
          </rPr>
          <t>PCK refinery in Schwedt.
It is not well defined how much heat do they supply to the district heating system; however an estimation has been done.
Source:
https://www.pck.de/en/company/divisions/</t>
        </r>
      </text>
    </comment>
    <comment ref="C14" authorId="0" shapeId="0" xr:uid="{1008F4AC-93F2-44FC-A343-25A761058748}">
      <text>
        <r>
          <rPr>
            <sz val="10"/>
            <rFont val="Arial"/>
            <family val="2"/>
            <charset val="1"/>
          </rPr>
          <t>PCK refinery in Schwedt.
It is not well defined how much heat do they supply to the district heating system; however an estimation has been done.
Source:
https://www.pck.de/en/company/divisions/</t>
        </r>
      </text>
    </comment>
    <comment ref="D17" authorId="0" shapeId="0" xr:uid="{46975584-F19A-4EA2-89F1-94870DE254FF}">
      <text>
        <r>
          <rPr>
            <sz val="10"/>
            <rFont val="Arial"/>
            <family val="2"/>
            <charset val="1"/>
          </rPr>
          <t>MW
At a 25% electric efficiency, the input power rated is 50% of the maximum capacity.
Source:
Page 5
Sizing Combined Heat and Power Units and
Domestic Building Energy Cost Optimisation
https://doi.org/10.3390/en10060771</t>
        </r>
      </text>
    </comment>
    <comment ref="D18" authorId="0" shapeId="0" xr:uid="{A069813D-46C5-4C42-BBCA-749AF5008F00}">
      <text>
        <r>
          <rPr>
            <sz val="10"/>
            <rFont val="Arial"/>
            <family val="2"/>
            <charset val="1"/>
          </rPr>
          <t>Electric maximum power
MW</t>
        </r>
      </text>
    </comment>
    <comment ref="C20" authorId="0" shapeId="0" xr:uid="{DF183C35-816F-4FCE-B4A7-FE20C5DF8E5B}">
      <text>
        <r>
          <rPr>
            <sz val="10"/>
            <rFont val="Arial"/>
            <family val="2"/>
            <charset val="1"/>
          </rPr>
          <t>PCK refinery in Schwedt.
It is not well defined how much heat do they supply to the district heating system; however an estimation has been done.
Source:
https://www.pck.de/en/company/divisions/</t>
        </r>
      </text>
    </comment>
    <comment ref="C22" authorId="0" shapeId="0" xr:uid="{6A6EB1A2-2C72-4204-A449-6E7C38EDC960}">
      <text>
        <r>
          <rPr>
            <sz val="10"/>
            <rFont val="Arial"/>
            <family val="2"/>
            <charset val="1"/>
          </rPr>
          <t>PCK refinery in Schwedt.
It is not well defined how much heat do they supply to the district heating system; however an estimation has been done.
Source:
https://www.pck.de/en/company/divisions/</t>
        </r>
      </text>
    </comment>
    <comment ref="C23" authorId="0" shapeId="0" xr:uid="{2E0A49CC-28A6-4E20-B1E7-6F51F1350BCF}">
      <text>
        <r>
          <rPr>
            <sz val="10"/>
            <rFont val="Arial"/>
            <family val="2"/>
            <charset val="1"/>
          </rPr>
          <t>PCK refinery in Schwedt.
It is not well defined how much heat do they supply to the district heating system; however an estimation has been done.
Source:
https://www.pck.de/en/company/divisions/</t>
        </r>
      </text>
    </comment>
    <comment ref="C24" authorId="0" shapeId="0" xr:uid="{699E8520-9D52-4B13-94A1-D76C429835F0}">
      <text>
        <r>
          <rPr>
            <sz val="10"/>
            <rFont val="Arial"/>
            <family val="2"/>
            <charset val="1"/>
          </rPr>
          <t>PCK refinery in Schwedt.
It is not well defined how much heat do they supply to the district heating system; however an estimation has been done.
Source:
https://www.pck.de/en/company/divisions/</t>
        </r>
      </text>
    </comment>
    <comment ref="C25" authorId="0" shapeId="0" xr:uid="{2F65F343-18FB-4AE0-AE7D-A84C5E06FE39}">
      <text>
        <r>
          <rPr>
            <sz val="10"/>
            <rFont val="Arial"/>
            <family val="2"/>
            <charset val="1"/>
          </rPr>
          <t>PCK refinery in Schwedt.
It is not well defined how much heat do they supply to the district heating system; however an estimation has been done.
Source:
https://www.pck.de/en/company/divisions/</t>
        </r>
      </text>
    </comment>
    <comment ref="C26" authorId="0" shapeId="0" xr:uid="{A7976974-528E-4B37-AC3B-519D1190A71C}">
      <text>
        <r>
          <rPr>
            <sz val="10"/>
            <rFont val="Arial"/>
            <family val="2"/>
            <charset val="1"/>
          </rPr>
          <t>PCK refinery in Schwedt.
It is not well defined how much heat do they supply to the district heating system; however an estimation has been done.
Source:
https://www.pck.de/en/company/divisions/</t>
        </r>
      </text>
    </comment>
    <comment ref="D26" authorId="0" shapeId="0" xr:uid="{C6234CE2-EA5D-4B55-BBB8-B114632EAA8C}">
      <text>
        <r>
          <rPr>
            <sz val="10"/>
            <rFont val="Arial"/>
            <family val="2"/>
            <charset val="1"/>
          </rPr>
          <t>MW
At a 25% electric efficiency, the input power rated is 50% of the maximum capacity.
Source:
Page 5
Sizing Combined Heat and Power Units and
Domestic Building Energy Cost Optimisation
https://doi.org/10.3390/en10060771</t>
        </r>
      </text>
    </comment>
    <comment ref="C27" authorId="0" shapeId="0" xr:uid="{D3D76406-E10C-4EB0-9592-343AAE340902}">
      <text>
        <r>
          <rPr>
            <sz val="10"/>
            <rFont val="Arial"/>
            <family val="2"/>
            <charset val="1"/>
          </rPr>
          <t>PCK refinery in Schwedt.
It is not well defined how much heat do they supply to the district heating system; however an estimation has been done.
Source:
https://www.pck.de/en/company/divisions/</t>
        </r>
      </text>
    </comment>
    <comment ref="D27" authorId="0" shapeId="0" xr:uid="{AE2A15AE-6467-4D92-8F09-CD723CAB1AFD}">
      <text>
        <r>
          <rPr>
            <sz val="10"/>
            <rFont val="Arial"/>
            <family val="2"/>
            <charset val="1"/>
          </rPr>
          <t>Electric maximum power
MW</t>
        </r>
      </text>
    </comment>
    <comment ref="D71" authorId="0" shapeId="0" xr:uid="{DCD944DF-2F0D-45C1-BFFB-C9B31C54352F}">
      <text>
        <r>
          <rPr>
            <sz val="10"/>
            <rFont val="Arial"/>
            <family val="2"/>
            <charset val="1"/>
          </rPr>
          <t>Electric maximum power
MW</t>
        </r>
      </text>
    </comment>
    <comment ref="D72" authorId="0" shapeId="0" xr:uid="{31E5C141-FA2F-4583-828A-13128E0921F3}">
      <text>
        <r>
          <rPr>
            <sz val="10"/>
            <rFont val="Arial"/>
            <family val="2"/>
            <charset val="1"/>
          </rPr>
          <t>Electric maximum power
MW</t>
        </r>
      </text>
    </comment>
    <comment ref="D73" authorId="0" shapeId="0" xr:uid="{92B5062C-9CA0-4198-BDD0-495242404E35}">
      <text>
        <r>
          <rPr>
            <sz val="10"/>
            <rFont val="Arial"/>
            <family val="2"/>
            <charset val="1"/>
          </rPr>
          <t>Electric maximum power
MW</t>
        </r>
      </text>
    </comment>
    <comment ref="D74" authorId="0" shapeId="0" xr:uid="{08706CC2-68E1-4C7D-B0C5-31F574BCF035}">
      <text>
        <r>
          <rPr>
            <sz val="10"/>
            <rFont val="Arial"/>
            <family val="2"/>
            <charset val="1"/>
          </rPr>
          <t>Electric maximum power
MW</t>
        </r>
      </text>
    </comment>
    <comment ref="D75" authorId="0" shapeId="0" xr:uid="{55802F42-FB27-49F2-A419-59A14FFE83A7}">
      <text>
        <r>
          <rPr>
            <sz val="10"/>
            <rFont val="Arial"/>
            <family val="2"/>
            <charset val="1"/>
          </rPr>
          <t>Electric maximum power
MW</t>
        </r>
      </text>
    </comment>
    <comment ref="D76" authorId="0" shapeId="0" xr:uid="{30E67C2C-C7D8-4C9F-ABB6-1BF99A871B32}">
      <text>
        <r>
          <rPr>
            <sz val="10"/>
            <rFont val="Arial"/>
            <family val="2"/>
            <charset val="1"/>
          </rPr>
          <t>Electric maximum power
MW</t>
        </r>
      </text>
    </comment>
    <comment ref="D77" authorId="0" shapeId="0" xr:uid="{4FBBFF09-60E0-4659-A654-65EEB0CD7426}">
      <text>
        <r>
          <rPr>
            <sz val="10"/>
            <rFont val="Arial"/>
            <family val="2"/>
            <charset val="1"/>
          </rPr>
          <t>Electric maximum power
MW</t>
        </r>
      </text>
    </comment>
    <comment ref="D78" authorId="0" shapeId="0" xr:uid="{48B5693F-D92E-41EF-8F86-2370076E055E}">
      <text>
        <r>
          <rPr>
            <sz val="10"/>
            <rFont val="Arial"/>
            <family val="2"/>
            <charset val="1"/>
          </rPr>
          <t>Electric maximum power
MW</t>
        </r>
      </text>
    </comment>
    <comment ref="D79" authorId="0" shapeId="0" xr:uid="{ACBD5BCF-BEDE-477C-84D3-8144ADB5FD56}">
      <text>
        <r>
          <rPr>
            <sz val="10"/>
            <rFont val="Arial"/>
            <family val="2"/>
            <charset val="1"/>
          </rPr>
          <t>Electric maximum power
MW</t>
        </r>
      </text>
    </comment>
    <comment ref="D80" authorId="0" shapeId="0" xr:uid="{5749774F-86E6-4ECC-992F-195D511B573B}">
      <text>
        <r>
          <rPr>
            <sz val="10"/>
            <rFont val="Arial"/>
            <family val="2"/>
            <charset val="1"/>
          </rPr>
          <t>Electric maximum power
MW</t>
        </r>
      </text>
    </comment>
    <comment ref="D81" authorId="0" shapeId="0" xr:uid="{6458E3E0-86C6-4591-BF6F-1C66A7851EA0}">
      <text>
        <r>
          <rPr>
            <sz val="10"/>
            <rFont val="Arial"/>
            <family val="2"/>
            <charset val="1"/>
          </rPr>
          <t>Electric maximum power
MW</t>
        </r>
      </text>
    </comment>
    <comment ref="D82" authorId="0" shapeId="0" xr:uid="{5DC3E3DC-4600-4490-97D0-D29DDC49A463}">
      <text>
        <r>
          <rPr>
            <sz val="10"/>
            <rFont val="Arial"/>
            <family val="2"/>
            <charset val="1"/>
          </rPr>
          <t>Electric maximum power
MW</t>
        </r>
      </text>
    </comment>
    <comment ref="D102" authorId="0" shapeId="0" xr:uid="{174B3E0C-F50D-49F5-914B-25195071640E}">
      <text>
        <r>
          <rPr>
            <sz val="10"/>
            <rFont val="Arial"/>
            <family val="2"/>
            <charset val="1"/>
          </rPr>
          <t>Electric maximum power
MW</t>
        </r>
      </text>
    </comment>
    <comment ref="D103" authorId="0" shapeId="0" xr:uid="{590F09D8-418C-4032-9886-C012E4BB4944}">
      <text>
        <r>
          <rPr>
            <sz val="10"/>
            <rFont val="Arial"/>
            <family val="2"/>
            <charset val="1"/>
          </rPr>
          <t>Electric maximum power
MW</t>
        </r>
      </text>
    </comment>
    <comment ref="D104" authorId="0" shapeId="0" xr:uid="{AAEF49CC-A436-46A2-B843-323EE9E787B1}">
      <text>
        <r>
          <rPr>
            <sz val="10"/>
            <rFont val="Arial"/>
            <family val="2"/>
            <charset val="1"/>
          </rPr>
          <t>Electric maximum power
MW</t>
        </r>
      </text>
    </comment>
    <comment ref="D105" authorId="0" shapeId="0" xr:uid="{7D78BE40-A4D0-4409-82B5-8618C4902F1F}">
      <text>
        <r>
          <rPr>
            <sz val="10"/>
            <rFont val="Arial"/>
            <family val="2"/>
            <charset val="1"/>
          </rPr>
          <t>Electric maximum power
MW</t>
        </r>
      </text>
    </comment>
    <comment ref="D106" authorId="0" shapeId="0" xr:uid="{9639DAE9-E62B-42B6-9A7F-97288A578E20}">
      <text>
        <r>
          <rPr>
            <sz val="10"/>
            <rFont val="Arial"/>
            <family val="2"/>
            <charset val="1"/>
          </rPr>
          <t>Electric maximum power
MW</t>
        </r>
      </text>
    </comment>
    <comment ref="D107" authorId="0" shapeId="0" xr:uid="{BAB1BD8D-A8AE-4366-A38F-755168E2D877}">
      <text>
        <r>
          <rPr>
            <sz val="10"/>
            <rFont val="Arial"/>
            <family val="2"/>
            <charset val="1"/>
          </rPr>
          <t>Electric maximum power
MW</t>
        </r>
      </text>
    </comment>
    <comment ref="D108" authorId="0" shapeId="0" xr:uid="{0198B526-7A96-47D5-873A-BFD2270652ED}">
      <text>
        <r>
          <rPr>
            <sz val="10"/>
            <rFont val="Arial"/>
            <family val="2"/>
            <charset val="1"/>
          </rPr>
          <t>Electric maximum power
MW</t>
        </r>
      </text>
    </comment>
    <comment ref="D109" authorId="0" shapeId="0" xr:uid="{C2519F47-0BBC-4783-A74A-1ACDE246ECA0}">
      <text>
        <r>
          <rPr>
            <sz val="10"/>
            <rFont val="Arial"/>
            <family val="2"/>
            <charset val="1"/>
          </rPr>
          <t>Electric maximum power
MW</t>
        </r>
      </text>
    </comment>
    <comment ref="D110" authorId="0" shapeId="0" xr:uid="{40F0ED10-83C0-4F9A-BF02-F6F867E95919}">
      <text>
        <r>
          <rPr>
            <sz val="10"/>
            <rFont val="Arial"/>
            <family val="2"/>
            <charset val="1"/>
          </rPr>
          <t>Electric maximum power
MW</t>
        </r>
      </text>
    </comment>
    <comment ref="D111" authorId="0" shapeId="0" xr:uid="{E070F583-08D8-44C4-99DB-EAEA553D7196}">
      <text>
        <r>
          <rPr>
            <sz val="10"/>
            <rFont val="Arial"/>
            <family val="2"/>
            <charset val="1"/>
          </rPr>
          <t>Electric maximum power
MW</t>
        </r>
      </text>
    </comment>
    <comment ref="D112" authorId="0" shapeId="0" xr:uid="{0A7AF283-DA40-42E1-ADFA-6989AF811CC7}">
      <text>
        <r>
          <rPr>
            <sz val="10"/>
            <rFont val="Arial"/>
            <family val="2"/>
            <charset val="1"/>
          </rPr>
          <t>Electric maximum power
MW</t>
        </r>
      </text>
    </comment>
    <comment ref="D113" authorId="0" shapeId="0" xr:uid="{F231B55C-F916-42AE-908C-7DF7EC5FCAC8}">
      <text>
        <r>
          <rPr>
            <sz val="10"/>
            <rFont val="Arial"/>
            <family val="2"/>
            <charset val="1"/>
          </rPr>
          <t>Electric maximum power
MW</t>
        </r>
      </text>
    </comment>
    <comment ref="C122" authorId="0" shapeId="0" xr:uid="{D7089A06-4104-4DBC-895F-DDF200363B92}">
      <text>
        <r>
          <rPr>
            <sz val="10"/>
            <rFont val="Arial"/>
            <family val="2"/>
            <charset val="1"/>
          </rPr>
          <t>PRENZLAU AQUIFER WÄRMESPEICHER
source:
Page 11
https://www.prenzlau.eu/sixcms/media.php/569/Fernw%C3%A4rmekonzept_Innenstadt.pdf</t>
        </r>
      </text>
    </comment>
    <comment ref="C123" authorId="0" shapeId="0" xr:uid="{CFAC39D5-7A5C-435E-830D-88B8C8BD30CB}">
      <text>
        <r>
          <rPr>
            <sz val="10"/>
            <rFont val="Arial"/>
            <family val="2"/>
            <charset val="1"/>
          </rPr>
          <t>PRENZLAU AQUIFER WÄRMESPEICHER
source:
Page 11
https://www.prenzlau.eu/sixcms/media.php/569/Fernw%C3%A4rmekonzept_Innenstadt.pdf</t>
        </r>
      </text>
    </comment>
    <comment ref="C124" authorId="0" shapeId="0" xr:uid="{C4922241-29DF-49EF-BDE6-84371C6137A7}">
      <text>
        <r>
          <rPr>
            <sz val="10"/>
            <rFont val="Arial"/>
            <family val="2"/>
            <charset val="1"/>
          </rPr>
          <t>PRENZLAU AQUIFER WÄRMESPEICHER
source:
Page 11
https://www.prenzlau.eu/sixcms/media.php/569/Fernw%C3%A4rmekonzept_Innenstadt.pdf</t>
        </r>
      </text>
    </comment>
    <comment ref="C125" authorId="0" shapeId="0" xr:uid="{39C2A389-7975-44F8-9128-B6B05873F466}">
      <text>
        <r>
          <rPr>
            <sz val="10"/>
            <rFont val="Arial"/>
            <family val="2"/>
            <charset val="1"/>
          </rPr>
          <t>PRENZLAU AQUIFER WÄRMESPEICHER
source:
Page 11
https://www.prenzlau.eu/sixcms/media.php/569/Fernw%C3%A4rmekonzept_Innenstadt.pdf</t>
        </r>
      </text>
    </comment>
    <comment ref="C126" authorId="0" shapeId="0" xr:uid="{7D7706E8-9CC5-4AA4-9B52-A848A956F079}">
      <text>
        <r>
          <rPr>
            <sz val="10"/>
            <rFont val="Arial"/>
            <family val="2"/>
            <charset val="1"/>
          </rPr>
          <t>PRENZLAU AQUIFER WÄRMESPEICHER
source:
Page 11
https://www.prenzlau.eu/sixcms/media.php/569/Fernw%C3%A4rmekonzept_Innenstadt.pdf</t>
        </r>
      </text>
    </comment>
    <comment ref="C127" authorId="0" shapeId="0" xr:uid="{096799CB-2546-4DA3-B896-B47EF943F6C6}">
      <text>
        <r>
          <rPr>
            <sz val="10"/>
            <rFont val="Arial"/>
            <family val="2"/>
            <charset val="1"/>
          </rPr>
          <t>PRENZLAU AQUIFER WÄRMESPEICHER
source:
Page 11
https://www.prenzlau.eu/sixcms/media.php/569/Fernw%C3%A4rmekonzept_Innenstadt.pdf</t>
        </r>
      </text>
    </comment>
    <comment ref="C128" authorId="0" shapeId="0" xr:uid="{A616D22C-448D-4029-9AAB-C11D86DC6201}">
      <text>
        <r>
          <rPr>
            <sz val="10"/>
            <rFont val="Arial"/>
            <family val="2"/>
            <charset val="1"/>
          </rPr>
          <t>PRENZLAU AQUIFER WÄRMESPEICHER
source:
Page 11
https://www.prenzlau.eu/sixcms/media.php/569/Fernw%C3%A4rmekonzept_Innenstadt.pdf</t>
        </r>
      </text>
    </comment>
    <comment ref="C129" authorId="0" shapeId="0" xr:uid="{3B87F0BD-8234-4905-9ACD-5A552C425A2C}">
      <text>
        <r>
          <rPr>
            <sz val="10"/>
            <rFont val="Arial"/>
            <family val="2"/>
            <charset val="1"/>
          </rPr>
          <t>PRENZLAU AQUIFER WÄRMESPEICHER
source:
Page 11
https://www.prenzlau.eu/sixcms/media.php/569/Fernw%C3%A4rmekonzept_Innenstadt.pdf</t>
        </r>
      </text>
    </comment>
    <comment ref="C130" authorId="0" shapeId="0" xr:uid="{C56227EB-8E51-43F2-981D-DC4CB634BDAF}">
      <text>
        <r>
          <rPr>
            <sz val="10"/>
            <rFont val="Arial"/>
            <family val="2"/>
            <charset val="1"/>
          </rPr>
          <t>PRENZLAU AQUIFER WÄRMESPEICHER
source:
Page 11
https://www.prenzlau.eu/sixcms/media.php/569/Fernw%C3%A4rmekonzept_Innenstadt.pdf</t>
        </r>
      </text>
    </comment>
    <comment ref="D154" authorId="0" shapeId="0" xr:uid="{73782015-5ECD-498F-A456-A2A0F15F7D0C}">
      <text>
        <r>
          <rPr>
            <sz val="10"/>
            <rFont val="Arial"/>
            <family val="2"/>
            <charset val="1"/>
          </rPr>
          <t>MW</t>
        </r>
      </text>
    </comment>
    <comment ref="D158" authorId="0" shapeId="0" xr:uid="{1F38F174-0BB5-4106-94AF-753EAF757CC0}">
      <text>
        <r>
          <rPr>
            <sz val="10"/>
            <rFont val="Arial"/>
            <family val="2"/>
            <charset val="1"/>
          </rPr>
          <t>MW</t>
        </r>
      </text>
    </comment>
    <comment ref="D160" authorId="0" shapeId="0" xr:uid="{0C1605A8-5EAF-4CCA-B232-91DD6A58331B}">
      <text>
        <r>
          <rPr>
            <sz val="10"/>
            <rFont val="Arial"/>
            <family val="2"/>
            <charset val="1"/>
          </rPr>
          <t>MW</t>
        </r>
      </text>
    </comment>
    <comment ref="D162" authorId="0" shapeId="0" xr:uid="{6BA7D7C0-C9A8-4C5B-B2B5-87C21BE2FBA7}">
      <text>
        <r>
          <rPr>
            <sz val="10"/>
            <rFont val="Arial"/>
            <family val="2"/>
            <charset val="1"/>
          </rPr>
          <t>MW</t>
        </r>
      </text>
    </comment>
    <comment ref="D164" authorId="0" shapeId="0" xr:uid="{4D93889B-060B-4CC1-9152-1198D6B39806}">
      <text>
        <r>
          <rPr>
            <sz val="10"/>
            <rFont val="Arial"/>
            <family val="2"/>
            <charset val="1"/>
          </rPr>
          <t>MW</t>
        </r>
      </text>
    </comment>
    <comment ref="D166" authorId="0" shapeId="0" xr:uid="{C0DF02B9-9BE7-446C-9A43-2E9CA0331A36}">
      <text>
        <r>
          <rPr>
            <sz val="10"/>
            <rFont val="Arial"/>
            <family val="2"/>
            <charset val="1"/>
          </rPr>
          <t>MW</t>
        </r>
      </text>
    </comment>
    <comment ref="D174" authorId="0" shapeId="0" xr:uid="{7D1ECC68-0816-4719-98DE-64B2D6A07E86}">
      <text>
        <r>
          <rPr>
            <sz val="10"/>
            <rFont val="Arial"/>
            <family val="2"/>
            <charset val="1"/>
          </rPr>
          <t>MW</t>
        </r>
      </text>
    </comment>
    <comment ref="D176" authorId="0" shapeId="0" xr:uid="{9AC2A229-66D3-44A8-9AD6-5B3B9E8FC638}">
      <text>
        <r>
          <rPr>
            <sz val="10"/>
            <rFont val="Arial"/>
            <family val="2"/>
            <charset val="1"/>
          </rPr>
          <t>MW</t>
        </r>
      </text>
    </comment>
    <comment ref="D178" authorId="0" shapeId="0" xr:uid="{EEDBDF3B-482D-40C5-9471-1CBCB580F38D}">
      <text>
        <r>
          <rPr>
            <sz val="10"/>
            <rFont val="Arial"/>
            <family val="2"/>
            <charset val="1"/>
          </rPr>
          <t>MW</t>
        </r>
      </text>
    </comment>
    <comment ref="D186" authorId="0" shapeId="0" xr:uid="{9D428E53-BC05-48B0-82AE-EA0E9B93198A}">
      <text>
        <r>
          <rPr>
            <sz val="10"/>
            <rFont val="Arial"/>
            <family val="2"/>
            <charset val="1"/>
          </rPr>
          <t>MW</t>
        </r>
      </text>
    </comment>
    <comment ref="D193" authorId="0" shapeId="0" xr:uid="{6D33F08D-F813-4B2B-8758-3998CFDFB6BF}">
      <text>
        <r>
          <rPr>
            <sz val="10"/>
            <rFont val="Arial"/>
            <family val="2"/>
            <charset val="1"/>
          </rPr>
          <t>MW</t>
        </r>
      </text>
    </comment>
    <comment ref="D200" authorId="0" shapeId="0" xr:uid="{D9BE5498-246E-4267-8E0E-D77C642647B6}">
      <text>
        <r>
          <rPr>
            <sz val="10"/>
            <rFont val="Arial"/>
            <family val="2"/>
            <charset val="1"/>
          </rPr>
          <t>MW</t>
        </r>
      </text>
    </comment>
    <comment ref="D209" authorId="0" shapeId="0" xr:uid="{E3E8E68C-E78B-4C96-B0BD-03B0F3C5F0A9}">
      <text>
        <r>
          <rPr>
            <sz val="10"/>
            <rFont val="Arial"/>
            <family val="2"/>
            <charset val="1"/>
          </rPr>
          <t>MW</t>
        </r>
      </text>
    </comment>
    <comment ref="D216" authorId="0" shapeId="0" xr:uid="{3EBC9CA7-F997-450F-8C23-D6F0894E8729}">
      <text>
        <r>
          <rPr>
            <sz val="10"/>
            <rFont val="Arial"/>
            <family val="2"/>
            <charset val="1"/>
          </rPr>
          <t>MW</t>
        </r>
      </text>
    </comment>
    <comment ref="D222" authorId="0" shapeId="0" xr:uid="{27C018FF-A020-476C-8869-D7FB8F8A7406}">
      <text>
        <r>
          <rPr>
            <sz val="10"/>
            <rFont val="Arial"/>
            <family val="2"/>
            <charset val="1"/>
          </rPr>
          <t>MW</t>
        </r>
      </text>
    </comment>
    <comment ref="D224" authorId="0" shapeId="0" xr:uid="{3E341A3E-7287-4040-BED3-6FD51941A4E4}">
      <text>
        <r>
          <rPr>
            <sz val="10"/>
            <rFont val="Arial"/>
            <family val="2"/>
            <charset val="1"/>
          </rPr>
          <t>MW</t>
        </r>
      </text>
    </comment>
    <comment ref="D327" authorId="0" shapeId="0" xr:uid="{FE4D0E6D-4B4B-4F39-80E8-F80DABE71A4B}">
      <text>
        <r>
          <rPr>
            <sz val="10"/>
            <rFont val="Arial"/>
            <family val="2"/>
            <charset val="1"/>
          </rPr>
          <t>MW
At a 25% electric efficiency, the input power rated is 50% of the maximum capacity.
Source:
Page 5
Sizing Combined Heat and Power Units and
Domestic Building Energy Cost Optimisation
https://doi.org/10.3390/en10060771</t>
        </r>
      </text>
    </comment>
    <comment ref="D328" authorId="0" shapeId="0" xr:uid="{56CA2CAF-AD18-448C-B20B-D1188DADF742}">
      <text>
        <r>
          <rPr>
            <sz val="10"/>
            <rFont val="Arial"/>
            <family val="2"/>
            <charset val="1"/>
          </rPr>
          <t>Electric maximum power
MW</t>
        </r>
      </text>
    </comment>
    <comment ref="D332" authorId="0" shapeId="0" xr:uid="{DA7F6EC3-2597-4CA1-81EC-01CA2738F9E8}">
      <text>
        <r>
          <rPr>
            <sz val="10"/>
            <rFont val="Arial"/>
            <family val="2"/>
            <charset val="1"/>
          </rPr>
          <t>MW
At a 25% electric efficiency, the input power rated is 50% of the maximum capacity.
Source:
Page 5
Sizing Combined Heat and Power Units and
Domestic Building Energy Cost Optimisation
https://doi.org/10.3390/en10060771</t>
        </r>
      </text>
    </comment>
    <comment ref="D333" authorId="0" shapeId="0" xr:uid="{DF4FD5BA-F35E-4374-A9CC-7F96BDAD27EE}">
      <text>
        <r>
          <rPr>
            <sz val="10"/>
            <rFont val="Arial"/>
            <family val="2"/>
            <charset val="1"/>
          </rPr>
          <t>Electric maximum power
MW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5" authorId="0" shapeId="0" xr:uid="{E5FCB9C6-0140-49B4-B44F-7783710E3178}">
      <text>
        <r>
          <rPr>
            <sz val="10"/>
            <rFont val="Arial"/>
            <family val="2"/>
            <charset val="1"/>
          </rPr>
          <t>MW
At a 25% electric efficiency, the input power rated is 50% of the maximum capacity.
Source:
Page 5
Sizing Combined Heat and Power Units and
Domestic Building Energy Cost Optimisation
https://doi.org/10.3390/en10060771</t>
        </r>
      </text>
    </comment>
    <comment ref="C6" authorId="0" shapeId="0" xr:uid="{77601869-1BA9-4DE2-8079-439CB451B202}">
      <text>
        <r>
          <rPr>
            <sz val="10"/>
            <rFont val="Arial"/>
            <family val="2"/>
            <charset val="1"/>
          </rPr>
          <t>MW
At a 25% electric efficiency, the input power rated is 50% of the maximum capacity.
Source:
Page 5
Sizing Combined Heat and Power Units and
Domestic Building Energy Cost Optimisation
https://doi.org/10.3390/en10060771</t>
        </r>
      </text>
    </comment>
    <comment ref="C7" authorId="0" shapeId="0" xr:uid="{8340947D-07E3-4F1E-B102-DFCDF78EC622}">
      <text>
        <r>
          <rPr>
            <sz val="10"/>
            <rFont val="Arial"/>
            <family val="2"/>
            <charset val="1"/>
          </rPr>
          <t>MW
At a 25% electric efficiency, the input power rated is 50% of the maximum capacity.
Source:
Page 5
Sizing Combined Heat and Power Units and
Domestic Building Energy Cost Optimisation
https://doi.org/10.3390/en10060771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5" authorId="0" shapeId="0" xr:uid="{234E7CE2-79D0-4FD0-891D-590AB5E2444A}">
      <text>
        <r>
          <rPr>
            <sz val="10"/>
            <rFont val="Arial"/>
            <family val="2"/>
            <charset val="1"/>
          </rPr>
          <t>MW
At a 25% electric efficiency, the input power rated is 50% of the maximum capacity.
Source:
Page 5
Sizing Combined Heat and Power Units and
Domestic Building Energy Cost Optimisation
https://doi.org/10.3390/en10060771</t>
        </r>
      </text>
    </comment>
    <comment ref="C6" authorId="0" shapeId="0" xr:uid="{0096DE6D-861C-4584-9E38-ACB277D13B5D}">
      <text>
        <r>
          <rPr>
            <sz val="10"/>
            <rFont val="Arial"/>
            <family val="2"/>
            <charset val="1"/>
          </rPr>
          <t>MW
At a 25% electric efficiency, the input power rated is 50% of the maximum capacity.
Source:
Page 5
Sizing Combined Heat and Power Units and
Domestic Building Energy Cost Optimisation
https://doi.org/10.3390/en10060771</t>
        </r>
      </text>
    </comment>
    <comment ref="C7" authorId="0" shapeId="0" xr:uid="{DFEDF308-FCBF-44B5-B1AD-8CBA10C8BB60}">
      <text>
        <r>
          <rPr>
            <sz val="10"/>
            <rFont val="Arial"/>
            <family val="2"/>
            <charset val="1"/>
          </rPr>
          <t>MW
At a 25% electric efficiency, the input power rated is 50% of the maximum capacity.
Source:
Page 5
Sizing Combined Heat and Power Units and
Domestic Building Energy Cost Optimisation
https://doi.org/10.3390/en10060771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5" authorId="0" shapeId="0" xr:uid="{FB4E13ED-00B9-485B-80D2-A0E5D932B592}">
      <text>
        <r>
          <rPr>
            <sz val="10"/>
            <rFont val="Arial"/>
            <family val="2"/>
            <charset val="1"/>
          </rPr>
          <t>MW
At a 25% electric efficiency, the input power rated is 50% of the maximum capacity.
Source:
Page 5
Sizing Combined Heat and Power Units and
Domestic Building Energy Cost Optimisation
https://doi.org/10.3390/en10060771</t>
        </r>
      </text>
    </comment>
    <comment ref="C6" authorId="0" shapeId="0" xr:uid="{617A6890-3546-4400-956B-B76E480A35C6}">
      <text>
        <r>
          <rPr>
            <sz val="10"/>
            <rFont val="Arial"/>
            <family val="2"/>
            <charset val="1"/>
          </rPr>
          <t>MW
At a 25% electric efficiency, the input power rated is 50% of the maximum capacity.
Source:
Page 5
Sizing Combined Heat and Power Units and
Domestic Building Energy Cost Optimisation
https://doi.org/10.3390/en10060771</t>
        </r>
      </text>
    </comment>
    <comment ref="C7" authorId="0" shapeId="0" xr:uid="{A648F962-F02D-4125-9FDC-E19679A4A4C0}">
      <text>
        <r>
          <rPr>
            <sz val="10"/>
            <rFont val="Arial"/>
            <family val="2"/>
            <charset val="1"/>
          </rPr>
          <t>MW
At a 25% electric efficiency, the input power rated is 50% of the maximum capacity.
Source:
Page 5
Sizing Combined Heat and Power Units and
Domestic Building Energy Cost Optimisation
https://doi.org/10.3390/en10060771</t>
        </r>
      </text>
    </comment>
  </commentList>
</comments>
</file>

<file path=xl/sharedStrings.xml><?xml version="1.0" encoding="utf-8"?>
<sst xmlns="http://schemas.openxmlformats.org/spreadsheetml/2006/main" count="1976" uniqueCount="327">
  <si>
    <t>ptg</t>
  </si>
  <si>
    <t>batt</t>
  </si>
  <si>
    <t>\cite{Große2017} S. 32</t>
  </si>
  <si>
    <t>pth</t>
  </si>
  <si>
    <t>\cite{Große2017} S. 102</t>
  </si>
  <si>
    <t>kwk groß (&gt;250 MW_el)</t>
  </si>
  <si>
    <t>\cite{Große2017} S. 99</t>
  </si>
  <si>
    <t>kwk mittel (30-250 MW_el)</t>
  </si>
  <si>
    <t>\cite{Große2017} S. 96</t>
  </si>
  <si>
    <t>kwk klein (0.5-30 MW_el)</t>
  </si>
  <si>
    <t>\cite{Große2017} S. 21</t>
  </si>
  <si>
    <t>hot water tube boiler (20-250 MW_th)</t>
  </si>
  <si>
    <t>\cite{Große2017} S. 19</t>
  </si>
  <si>
    <t>hot water boiler (1-30 MW_th)</t>
  </si>
  <si>
    <t xml:space="preserve"> €/MW/a</t>
  </si>
  <si>
    <t>fixed O&amp;M</t>
  </si>
  <si>
    <t xml:space="preserve"> €/MWh</t>
  </si>
  <si>
    <t>variable O&amp;M</t>
  </si>
  <si>
    <t>Invest</t>
  </si>
  <si>
    <t>€/MWh</t>
  </si>
  <si>
    <t>Heat</t>
  </si>
  <si>
    <t>EE-Anteil</t>
  </si>
  <si>
    <t>%</t>
  </si>
  <si>
    <t>\cite{Graichen2018} S. 32, 34</t>
  </si>
  <si>
    <t>CO2-Steuer</t>
  </si>
  <si>
    <t>\cite{Graichen2018} S. 32</t>
  </si>
  <si>
    <t>ETC-Handelspreis</t>
  </si>
  <si>
    <t>€/tCO2</t>
  </si>
  <si>
    <t>Strommix</t>
  </si>
  <si>
    <t>\cite{Buchner2018} S.148</t>
  </si>
  <si>
    <t>Gas</t>
  </si>
  <si>
    <t>tCO2/MWh</t>
  </si>
  <si>
    <t xml:space="preserve">Messung/Betrieb/
Abrechnung </t>
  </si>
  <si>
    <t>\cite{E.DISAG2016a} S.7</t>
  </si>
  <si>
    <t>GP_a</t>
  </si>
  <si>
    <t>€/a</t>
  </si>
  <si>
    <t>LP für Netznutzung</t>
  </si>
  <si>
    <t>Zone 2</t>
  </si>
  <si>
    <t>\cite{E.DISAG2016a} S.4</t>
  </si>
  <si>
    <t>KP</t>
  </si>
  <si>
    <t>für den Abnahmefall 116 MWh/Jahr</t>
  </si>
  <si>
    <t>\cite{Bundesnetzagentur2016a} S 340</t>
  </si>
  <si>
    <t>Konzessionsabgaben</t>
  </si>
  <si>
    <t>gas CO2-Kosten</t>
  </si>
  <si>
    <t>gas Steuer</t>
  </si>
  <si>
    <t>§ 18 Absatz 1+2 absch. L.</t>
  </si>
  <si>
    <t xml:space="preserve">Offshore-Haftungsumlage </t>
  </si>
  <si>
    <t xml:space="preserve">KWK Umlage </t>
  </si>
  <si>
    <t>§ 3 StromStG</t>
  </si>
  <si>
    <t xml:space="preserve">Stromsteuer </t>
  </si>
  <si>
    <t xml:space="preserve">§ 19-StromNEV-Umlage </t>
  </si>
  <si>
    <t xml:space="preserve">EEG-Umlage </t>
  </si>
  <si>
    <t xml:space="preserve">AP für Netznutzung </t>
  </si>
  <si>
    <t>Electricity</t>
  </si>
  <si>
    <t>output_costs</t>
  </si>
  <si>
    <t>input_costs</t>
  </si>
  <si>
    <t>storage_th_sch</t>
  </si>
  <si>
    <t>storage_th_pr</t>
  </si>
  <si>
    <t>storages</t>
  </si>
  <si>
    <t>cs_electric</t>
  </si>
  <si>
    <t>cs_gas</t>
  </si>
  <si>
    <t>cs</t>
  </si>
  <si>
    <t>el_demand_uck</t>
  </si>
  <si>
    <t>spot_market_sink</t>
  </si>
  <si>
    <t>demand</t>
  </si>
  <si>
    <t>pv_neg_spot</t>
  </si>
  <si>
    <t>pv_curtailment</t>
  </si>
  <si>
    <t>pv_using</t>
  </si>
  <si>
    <t>spot_to_flex</t>
  </si>
  <si>
    <t>negative_spot</t>
  </si>
  <si>
    <t>wind_neg_spot</t>
  </si>
  <si>
    <t>wind_using</t>
  </si>
  <si>
    <t>wind_curtailment</t>
  </si>
  <si>
    <t>boiler_sch</t>
  </si>
  <si>
    <t>boiler_pr</t>
  </si>
  <si>
    <t>pth_pr</t>
  </si>
  <si>
    <t>pth_sch_out</t>
  </si>
  <si>
    <t>pth_sch</t>
  </si>
  <si>
    <t>Transformer</t>
  </si>
  <si>
    <t>FlexFriendly</t>
  </si>
  <si>
    <t>Agora Groß</t>
  </si>
  <si>
    <t>Agora Mittel</t>
  </si>
  <si>
    <t>SITENG-V</t>
  </si>
  <si>
    <t>Status quo</t>
  </si>
  <si>
    <t>SCENARIO SELECTION Reg Rahmen</t>
  </si>
  <si>
    <t>On the orange cell, insert the number of the scenenario: 1,2 or 3</t>
  </si>
  <si>
    <t>Select the desired scenario</t>
  </si>
  <si>
    <t>Notes</t>
  </si>
  <si>
    <t>SCENARIO DESCRIPTION</t>
  </si>
  <si>
    <t>\cite{Bundesnetzagentur2016} S. II Sz B 2035</t>
  </si>
  <si>
    <t>\cite{Faktor-iGmbH2018}</t>
  </si>
  <si>
    <t>solar</t>
  </si>
  <si>
    <t>Wind</t>
  </si>
  <si>
    <t>MW</t>
  </si>
  <si>
    <t>EE-Erzeugung</t>
  </si>
  <si>
    <t>Wasserstoff</t>
  </si>
  <si>
    <t>Strom</t>
  </si>
  <si>
    <t>Kosten Energie</t>
  </si>
  <si>
    <t>\cite{Graichen2018} S. 34</t>
  </si>
  <si>
    <t>CO2-Steuer (Agora Groß)</t>
  </si>
  <si>
    <t>CO2-Steuer (Agora Mittel)</t>
  </si>
  <si>
    <t>\cite{UmweltbundesamtUBA2014} S. 7</t>
  </si>
  <si>
    <t>Schadenskosten (Weu / 1%)</t>
  </si>
  <si>
    <t>\cite{UmweltbundesamtUBA2014} S. 6</t>
  </si>
  <si>
    <t>Vermeidungskosten mittel</t>
  </si>
  <si>
    <t>CO2-Kosten</t>
  </si>
  <si>
    <t>a</t>
  </si>
  <si>
    <t>power max</t>
  </si>
  <si>
    <t>power min</t>
  </si>
  <si>
    <t>el efficiency max</t>
  </si>
  <si>
    <t>el efficiency min</t>
  </si>
  <si>
    <t>Effizienz chp_sch</t>
  </si>
  <si>
    <t>Effizienz chp_pr</t>
  </si>
  <si>
    <t>\cite{Ausfelder2015}</t>
  </si>
  <si>
    <t>Effizienz</t>
  </si>
  <si>
    <t>capacity</t>
  </si>
  <si>
    <t>efficiency</t>
  </si>
  <si>
    <t>capacity max</t>
  </si>
  <si>
    <t>capacity min</t>
  </si>
  <si>
    <t>initial capacity</t>
  </si>
  <si>
    <t>efficiency outflow</t>
  </si>
  <si>
    <t>efficiency inflow</t>
  </si>
  <si>
    <t>capacity loss</t>
  </si>
  <si>
    <t>nominal output value</t>
  </si>
  <si>
    <t>nominal input value</t>
  </si>
  <si>
    <t>nominal capacity</t>
  </si>
  <si>
    <t>Storages</t>
  </si>
  <si>
    <t>pv_synth</t>
  </si>
  <si>
    <t>wind_synth</t>
  </si>
  <si>
    <t>renwables</t>
  </si>
  <si>
    <t>nominal value</t>
  </si>
  <si>
    <t>chp_sch</t>
  </si>
  <si>
    <t>chp_pr</t>
  </si>
  <si>
    <t>chp</t>
  </si>
  <si>
    <t>1</t>
  </si>
  <si>
    <t>SCENARIO SELECTION Year</t>
  </si>
  <si>
    <t xml:space="preserve">Select the desired scenario </t>
  </si>
  <si>
    <t>Annahme: feste Einspeisevergütung / anzulgende Wert = 40€/MWh</t>
  </si>
  <si>
    <t>curtailment</t>
  </si>
  <si>
    <t>CO2-Intensität</t>
  </si>
  <si>
    <t>transformer</t>
  </si>
  <si>
    <t>Kosten-Zeitreihe</t>
  </si>
  <si>
    <t>KWK bis 0.05 MW</t>
  </si>
  <si>
    <t>KWK bis 0.1 MW</t>
  </si>
  <si>
    <t>KWK bis 0.25 MW</t>
  </si>
  <si>
    <t>KWK  bis 2 MW</t>
  </si>
  <si>
    <t>KWK &gt; 2 MW</t>
  </si>
  <si>
    <t>https://www.gesetze-im-internet.de/kwkg_2016/__7.html</t>
  </si>
  <si>
    <t>Test ohne Var.Costs</t>
  </si>
  <si>
    <t>lifetime</t>
  </si>
  <si>
    <t>planning+installation</t>
  </si>
  <si>
    <t>% von Invest</t>
  </si>
  <si>
    <t>LP (+KP) für Netznutzung</t>
  </si>
  <si>
    <t>Component</t>
  </si>
  <si>
    <t>Parameter</t>
  </si>
  <si>
    <t>Component.Prameter</t>
  </si>
  <si>
    <t xml:space="preserve"> €/MW</t>
  </si>
  <si>
    <t>Invest. Eq.</t>
  </si>
  <si>
    <t>Invest. Installation</t>
  </si>
  <si>
    <t>Mess./Abrechn./(GP)</t>
  </si>
  <si>
    <t>Li-Ion Batt</t>
  </si>
  <si>
    <t>\cite{Elsner2015a} S. 31</t>
  </si>
  <si>
    <t>cycle lifetime</t>
  </si>
  <si>
    <t>#</t>
  </si>
  <si>
    <t>% per month</t>
  </si>
  <si>
    <t>Li-Ion_Großspeicher</t>
  </si>
  <si>
    <t>Li-Ion_HH-Speicher</t>
  </si>
  <si>
    <t>Umrichter_bidirektional</t>
  </si>
  <si>
    <t>€/MW</t>
  </si>
  <si>
    <t>% von Invest/a</t>
  </si>
  <si>
    <t>\cite{Elsner2015a} S. 32</t>
  </si>
  <si>
    <t>KWK_1MW_el</t>
  </si>
  <si>
    <t>Kaltstartkosten</t>
  </si>
  <si>
    <t>KWK_20kW_el</t>
  </si>
  <si>
    <t>Warmstartkosten</t>
  </si>
  <si>
    <t>€/MW_el*Vorgang</t>
  </si>
  <si>
    <t>\cite{Henning2015a} S. 21</t>
  </si>
  <si>
    <t>Status quo_kostenloser Abregelungsstrom</t>
  </si>
  <si>
    <t>\cite{UTEC2014} s. 11</t>
  </si>
  <si>
    <t>Wärmepreis für Einspeisung</t>
  </si>
  <si>
    <t>\cite{Jahnke2017} s. 13</t>
  </si>
  <si>
    <t>Fernwärmepreis für Endkunden in Prenzlau</t>
  </si>
  <si>
    <t>Annahme</t>
  </si>
  <si>
    <t>t/MWh</t>
  </si>
  <si>
    <t>\cite{Pfluger2017a} S. 246</t>
  </si>
  <si>
    <t>Strom-Mix-CO2_Emiss BMWi Basis</t>
  </si>
  <si>
    <t>Strom-Mix-CO2_Emiss BMWi Ref</t>
  </si>
  <si>
    <t>\cite{Pfluger2017a} S. 181</t>
  </si>
  <si>
    <t>€/kWh</t>
  </si>
  <si>
    <t>Quellen / Bemerkungen</t>
  </si>
  <si>
    <t>variable_costs_in</t>
  </si>
  <si>
    <t>variable_costs_out</t>
  </si>
  <si>
    <t>CO2-Handel</t>
  </si>
  <si>
    <t>Annahme: KWK-Zulage von 40/MWh_el</t>
  </si>
  <si>
    <t>H2-Anteil Gasnetz</t>
  </si>
  <si>
    <t>Sorte</t>
  </si>
  <si>
    <t>\cite{Smolinka2018} S3-Szenario</t>
  </si>
  <si>
    <t>\cite{Smolinka2018} (HTEL-Szenario)</t>
  </si>
  <si>
    <t>power el min</t>
  </si>
  <si>
    <t>power el max</t>
  </si>
  <si>
    <t>chp_pr_biogas</t>
  </si>
  <si>
    <t>chp_pr_klgas</t>
  </si>
  <si>
    <t>chp_pr_biogas_h2</t>
  </si>
  <si>
    <t>chp_pr_gas_1</t>
  </si>
  <si>
    <t>chp_pr_gas_2</t>
  </si>
  <si>
    <t>chp_sch_raff</t>
  </si>
  <si>
    <t>chp_sch_waste</t>
  </si>
  <si>
    <t>chp_sch_kuhheide</t>
  </si>
  <si>
    <t>chp_sch_m_turbine</t>
  </si>
  <si>
    <t>chp_sch_contract</t>
  </si>
  <si>
    <t>\cite{ASUE2015} S. 15 ff</t>
  </si>
  <si>
    <t>kwk_zulage</t>
  </si>
  <si>
    <t>variable_O&amp;M</t>
  </si>
  <si>
    <t>gas_price</t>
  </si>
  <si>
    <t>aus demandlib abzüglich der nicht betrachteten Anlagen (10.97%)</t>
  </si>
  <si>
    <t>aus demandlib abzüglich der nicht betrachteten Anlagen (44.9%)</t>
  </si>
  <si>
    <t>heat_demand_sch</t>
  </si>
  <si>
    <t>heat_demand_pr</t>
  </si>
  <si>
    <t>dist_heat_eff_pr</t>
  </si>
  <si>
    <t>dist_heat_eff_sch</t>
  </si>
  <si>
    <t>Fernwärmepreis_pr</t>
  </si>
  <si>
    <t>Fernwärmepreis_sch</t>
  </si>
  <si>
    <t>Stadtwerke Prenzlau</t>
  </si>
  <si>
    <t>Stadtwerke Schwedt</t>
  </si>
  <si>
    <t>Annahme: + 1% p.a.</t>
  </si>
  <si>
    <t>chp_sch_m_turbine1</t>
  </si>
  <si>
    <t>chp_sch_m_turbine2</t>
  </si>
  <si>
    <t>boiler_pr_1</t>
  </si>
  <si>
    <t>boiler_pr_2</t>
  </si>
  <si>
    <t>boiler_pr_3</t>
  </si>
  <si>
    <t>AP Preisblatt Pr</t>
  </si>
  <si>
    <t>AP Preisblatt Sch</t>
  </si>
  <si>
    <t>€/MWh_el</t>
  </si>
  <si>
    <t>halbe kwk erlöse angenommen</t>
  </si>
  <si>
    <t>AP für Netznutzung Schwedt</t>
  </si>
  <si>
    <t>AP für Netznutzung Prenzlau</t>
  </si>
  <si>
    <t>Preisblatt Schwedt</t>
  </si>
  <si>
    <t>Preisblatt Prenzlau</t>
  </si>
  <si>
    <t xml:space="preserve"> €/kW/a</t>
  </si>
  <si>
    <t>KWK-Zulagen (30000h)</t>
  </si>
  <si>
    <t>KWK-Zulagen (durchschnitt bei 4500h/a für 20a)</t>
  </si>
  <si>
    <t>CHP</t>
  </si>
  <si>
    <t>chp_pck_waste</t>
  </si>
  <si>
    <t>Stromerlöse</t>
  </si>
  <si>
    <t>Lebensdauer</t>
  </si>
  <si>
    <t>P_el</t>
  </si>
  <si>
    <t>P_th</t>
  </si>
  <si>
    <t>Brennstoffkosten</t>
  </si>
  <si>
    <t>LP_Gas</t>
  </si>
  <si>
    <t>Betriebskosten</t>
  </si>
  <si>
    <t>Erlöse</t>
  </si>
  <si>
    <t xml:space="preserve">€/MW </t>
  </si>
  <si>
    <t>MW_el</t>
  </si>
  <si>
    <t>MW_th</t>
  </si>
  <si>
    <t>Energiesteuer</t>
  </si>
  <si>
    <t>Boiler</t>
  </si>
  <si>
    <t>Brennstoffverbrauch</t>
  </si>
  <si>
    <t>Effizienz_el</t>
  </si>
  <si>
    <t>Effizienz_th</t>
  </si>
  <si>
    <t>P_Br_in</t>
  </si>
  <si>
    <t>Stromerzeugung</t>
  </si>
  <si>
    <t>Wärmeerzeugung</t>
  </si>
  <si>
    <t>Energiebilanz</t>
  </si>
  <si>
    <t>h/a</t>
  </si>
  <si>
    <t>MW_Br</t>
  </si>
  <si>
    <t>MWh/a</t>
  </si>
  <si>
    <t>Sonstiges</t>
  </si>
  <si>
    <t xml:space="preserve">AP_Gas </t>
  </si>
  <si>
    <t>Parametrierung</t>
  </si>
  <si>
    <t>KWK-Zulagen für 30000 Betriebsstunden</t>
  </si>
  <si>
    <t>Große 2017</t>
  </si>
  <si>
    <t>Quelle</t>
  </si>
  <si>
    <t>boiler_sch_2</t>
  </si>
  <si>
    <t>boiler_sch_1</t>
  </si>
  <si>
    <t>boiler_sch_contract</t>
  </si>
  <si>
    <t>chp_pr_ee</t>
  </si>
  <si>
    <t>Schwedt</t>
  </si>
  <si>
    <t>Prenzlau</t>
  </si>
  <si>
    <t>technische Daten</t>
  </si>
  <si>
    <t>angenommene Volllaststundenzahl</t>
  </si>
  <si>
    <t>Base</t>
  </si>
  <si>
    <t>el_capacity_max</t>
  </si>
  <si>
    <t>heat_capacity_max</t>
  </si>
  <si>
    <t>el_conv</t>
  </si>
  <si>
    <t>heat_conv</t>
  </si>
  <si>
    <t>chp_trans_parameter</t>
  </si>
  <si>
    <t>trans_parameter</t>
  </si>
  <si>
    <t>Wärmesumme der Anlagen</t>
  </si>
  <si>
    <t>Referenzsumme des Wärmenetzes</t>
  </si>
  <si>
    <t>Differenz</t>
  </si>
  <si>
    <t>Vergleich mit FW-Daten</t>
  </si>
  <si>
    <t>€</t>
  </si>
  <si>
    <t>Invest_all</t>
  </si>
  <si>
    <t>Modulkosten</t>
  </si>
  <si>
    <t>Modulkotsten spezfisch</t>
  </si>
  <si>
    <t>Modulkosten absolut</t>
  </si>
  <si>
    <t>Investitionskosten gesamt</t>
  </si>
  <si>
    <t>[1]</t>
  </si>
  <si>
    <t>H.-M. Henning, A. Palzer, und Fraunhofer, „Energiesystem Deutschland 2050“, S. 42, 2013.</t>
  </si>
  <si>
    <t>ASUE, „BHKW-Kenndaten 2014/2015“, S. 1–68, 2015.</t>
  </si>
  <si>
    <t>[2]</t>
  </si>
  <si>
    <t>KWK-Zulagen verteilt auf 10 Jahre bei angenommener VLSZ</t>
  </si>
  <si>
    <t>Pth</t>
  </si>
  <si>
    <t>LP_Strom</t>
  </si>
  <si>
    <t>AP_Strom</t>
  </si>
  <si>
    <t>Konzessionsabgaben_Gas</t>
  </si>
  <si>
    <t>Netzkosten Gas</t>
  </si>
  <si>
    <t>Netzkosten und Umlagen Strom</t>
  </si>
  <si>
    <t>Kostenanteil für Transport und Abnahme</t>
  </si>
  <si>
    <t>Einbindungskostenanteil</t>
  </si>
  <si>
    <t xml:space="preserve">Investitionskosten  </t>
  </si>
  <si>
    <t>Spot</t>
  </si>
  <si>
    <t>Batterie</t>
  </si>
  <si>
    <t>PtH</t>
  </si>
  <si>
    <t>übergreifend</t>
  </si>
  <si>
    <t>P_allgemein</t>
  </si>
  <si>
    <t>Ptg</t>
  </si>
  <si>
    <t>cs_to_pth_pr</t>
  </si>
  <si>
    <t>flex_to_pth_pr</t>
  </si>
  <si>
    <t>cs_to_pth_sch</t>
  </si>
  <si>
    <t>flex_to_pth_sch</t>
  </si>
  <si>
    <t>GP_Strom</t>
  </si>
  <si>
    <t>KP_Strom</t>
  </si>
  <si>
    <t>Gaspreis</t>
  </si>
  <si>
    <t>Wärme-speicher</t>
  </si>
  <si>
    <t>Kapazität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</si>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</sst>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"/>
    <numFmt numFmtId="167" formatCode="#,##0.000"/>
  </numFmts>
  <fonts count="17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0"/>
      <name val="Arial"/>
      <family val="2"/>
      <charset val="1"/>
    </font>
    <font>
      <sz val="11"/>
      <color theme="1"/>
      <name val="Open Sans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9"/>
      <color theme="0" tint="-0.34998626667073579"/>
      <name val="Calibri"/>
      <family val="2"/>
      <scheme val="minor"/>
    </font>
    <font>
      <i/>
      <sz val="9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theme="0" tint="-0.34998626667073579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2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237">
    <xf numFmtId="0" fontId="0" fillId="0" borderId="0" xfId="0"/>
    <xf numFmtId="0" fontId="2" fillId="0" borderId="0" xfId="1" applyFont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0" xfId="1" applyFont="1" applyAlignment="1">
      <alignment horizontal="center" vertical="center" wrapText="1"/>
    </xf>
    <xf numFmtId="0" fontId="2" fillId="0" borderId="0" xfId="1" applyFont="1" applyFill="1" applyBorder="1" applyAlignment="1">
      <alignment vertical="center"/>
    </xf>
    <xf numFmtId="0" fontId="1" fillId="0" borderId="0" xfId="1" applyAlignment="1"/>
    <xf numFmtId="0" fontId="2" fillId="0" borderId="0" xfId="1" applyFont="1" applyBorder="1" applyAlignment="1">
      <alignment vertical="center" textRotation="90"/>
    </xf>
    <xf numFmtId="0" fontId="2" fillId="2" borderId="1" xfId="1" applyFont="1" applyFill="1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" xfId="1" applyFont="1" applyBorder="1" applyAlignment="1">
      <alignment horizontal="center" vertical="center" textRotation="90" wrapText="1"/>
    </xf>
    <xf numFmtId="0" fontId="2" fillId="4" borderId="1" xfId="1" applyFont="1" applyFill="1" applyBorder="1" applyAlignment="1">
      <alignment vertical="center"/>
    </xf>
    <xf numFmtId="0" fontId="2" fillId="4" borderId="1" xfId="1" applyFont="1" applyFill="1" applyBorder="1" applyAlignment="1">
      <alignment horizontal="center" vertical="center"/>
    </xf>
    <xf numFmtId="0" fontId="2" fillId="5" borderId="1" xfId="1" applyFont="1" applyFill="1" applyBorder="1" applyAlignment="1">
      <alignment vertical="center"/>
    </xf>
    <xf numFmtId="0" fontId="2" fillId="5" borderId="1" xfId="1" applyFont="1" applyFill="1" applyBorder="1" applyAlignment="1">
      <alignment horizontal="center" vertical="center" wrapText="1"/>
    </xf>
    <xf numFmtId="0" fontId="2" fillId="6" borderId="1" xfId="1" applyFont="1" applyFill="1" applyBorder="1" applyAlignment="1">
      <alignment vertical="center"/>
    </xf>
    <xf numFmtId="0" fontId="4" fillId="6" borderId="1" xfId="1" applyFont="1" applyFill="1" applyBorder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2" fillId="0" borderId="1" xfId="1" applyFont="1" applyBorder="1" applyAlignment="1">
      <alignment horizontal="center" vertical="center" wrapText="1"/>
    </xf>
    <xf numFmtId="0" fontId="4" fillId="4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horizontal="right" vertical="center"/>
    </xf>
    <xf numFmtId="49" fontId="4" fillId="0" borderId="1" xfId="1" applyNumberFormat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vertical="center"/>
    </xf>
    <xf numFmtId="0" fontId="2" fillId="0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vertical="center"/>
    </xf>
    <xf numFmtId="0" fontId="2" fillId="0" borderId="1" xfId="1" applyFont="1" applyFill="1" applyBorder="1"/>
    <xf numFmtId="0" fontId="2" fillId="0" borderId="1" xfId="1" applyFont="1" applyFill="1" applyBorder="1" applyAlignment="1"/>
    <xf numFmtId="0" fontId="1" fillId="0" borderId="1" xfId="1" applyFill="1" applyBorder="1"/>
    <xf numFmtId="0" fontId="4" fillId="7" borderId="0" xfId="1" applyFont="1" applyFill="1" applyBorder="1" applyAlignment="1">
      <alignment horizontal="right" vertical="center"/>
    </xf>
    <xf numFmtId="0" fontId="4" fillId="0" borderId="0" xfId="1" applyFont="1" applyBorder="1" applyAlignment="1">
      <alignment vertical="center"/>
    </xf>
    <xf numFmtId="0" fontId="2" fillId="8" borderId="0" xfId="1" applyFont="1" applyFill="1" applyAlignment="1">
      <alignment horizontal="center" vertical="center"/>
    </xf>
    <xf numFmtId="49" fontId="4" fillId="5" borderId="0" xfId="1" applyNumberFormat="1" applyFont="1" applyFill="1" applyBorder="1" applyAlignment="1">
      <alignment horizontal="center" vertical="center"/>
    </xf>
    <xf numFmtId="0" fontId="2" fillId="9" borderId="0" xfId="1" applyFont="1" applyFill="1" applyBorder="1" applyAlignment="1">
      <alignment vertical="center"/>
    </xf>
    <xf numFmtId="49" fontId="4" fillId="9" borderId="0" xfId="1" applyNumberFormat="1" applyFont="1" applyFill="1" applyBorder="1" applyAlignment="1">
      <alignment horizontal="left" vertical="center"/>
    </xf>
    <xf numFmtId="49" fontId="4" fillId="5" borderId="0" xfId="1" applyNumberFormat="1" applyFont="1" applyFill="1" applyBorder="1" applyAlignment="1">
      <alignment vertical="center"/>
    </xf>
    <xf numFmtId="49" fontId="4" fillId="9" borderId="0" xfId="1" applyNumberFormat="1" applyFont="1" applyFill="1" applyBorder="1" applyAlignment="1">
      <alignment vertical="center"/>
    </xf>
    <xf numFmtId="0" fontId="2" fillId="0" borderId="0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 textRotation="90" wrapText="1"/>
    </xf>
    <xf numFmtId="0" fontId="5" fillId="0" borderId="0" xfId="1" applyFont="1"/>
    <xf numFmtId="0" fontId="2" fillId="0" borderId="0" xfId="1" applyFont="1" applyAlignment="1">
      <alignment horizontal="center" vertical="center"/>
    </xf>
    <xf numFmtId="164" fontId="2" fillId="0" borderId="1" xfId="1" applyNumberFormat="1" applyFont="1" applyBorder="1" applyAlignment="1">
      <alignment vertical="center"/>
    </xf>
    <xf numFmtId="0" fontId="2" fillId="0" borderId="0" xfId="1" applyFont="1" applyAlignment="1">
      <alignment vertical="center" wrapText="1"/>
    </xf>
    <xf numFmtId="0" fontId="5" fillId="0" borderId="1" xfId="1" applyFont="1" applyBorder="1"/>
    <xf numFmtId="0" fontId="2" fillId="0" borderId="1" xfId="1" applyFont="1" applyBorder="1" applyAlignment="1">
      <alignment horizontal="center" vertical="center"/>
    </xf>
    <xf numFmtId="0" fontId="2" fillId="10" borderId="1" xfId="1" applyFont="1" applyFill="1" applyBorder="1" applyAlignment="1">
      <alignment vertical="center"/>
    </xf>
    <xf numFmtId="0" fontId="2" fillId="10" borderId="1" xfId="1" applyFont="1" applyFill="1" applyBorder="1"/>
    <xf numFmtId="0" fontId="1" fillId="10" borderId="1" xfId="1" applyFill="1" applyBorder="1"/>
    <xf numFmtId="0" fontId="2" fillId="0" borderId="0" xfId="1" applyFont="1" applyFill="1" applyAlignment="1">
      <alignment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1" xfId="1" applyFont="1" applyBorder="1" applyAlignment="1">
      <alignment vertical="center" textRotation="90"/>
    </xf>
    <xf numFmtId="0" fontId="1" fillId="0" borderId="1" xfId="1" applyBorder="1"/>
    <xf numFmtId="0" fontId="1" fillId="0" borderId="1" xfId="1" applyBorder="1" applyAlignment="1">
      <alignment horizontal="left"/>
    </xf>
    <xf numFmtId="0" fontId="4" fillId="0" borderId="0" xfId="1" applyFont="1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2" fillId="8" borderId="0" xfId="1" applyNumberFormat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 textRotation="90" wrapText="1"/>
    </xf>
    <xf numFmtId="0" fontId="2" fillId="5" borderId="1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textRotation="90"/>
    </xf>
    <xf numFmtId="0" fontId="2" fillId="4" borderId="1" xfId="1" applyFont="1" applyFill="1" applyBorder="1" applyAlignment="1">
      <alignment horizontal="center" vertical="center"/>
    </xf>
    <xf numFmtId="2" fontId="6" fillId="0" borderId="0" xfId="0" applyNumberFormat="1" applyFont="1" applyBorder="1" applyAlignment="1">
      <alignment horizontal="right" vertical="top" wrapText="1"/>
    </xf>
    <xf numFmtId="0" fontId="2" fillId="11" borderId="1" xfId="1" applyFont="1" applyFill="1" applyBorder="1" applyAlignment="1">
      <alignment vertical="center"/>
    </xf>
    <xf numFmtId="0" fontId="3" fillId="3" borderId="1" xfId="1" applyFont="1" applyFill="1" applyBorder="1" applyAlignment="1">
      <alignment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vertical="center" wrapText="1"/>
    </xf>
    <xf numFmtId="0" fontId="3" fillId="0" borderId="1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vertical="center" wrapText="1"/>
    </xf>
    <xf numFmtId="164" fontId="1" fillId="0" borderId="1" xfId="1" applyNumberFormat="1" applyBorder="1"/>
    <xf numFmtId="164" fontId="1" fillId="0" borderId="1" xfId="1" applyNumberFormat="1" applyFill="1" applyBorder="1"/>
    <xf numFmtId="0" fontId="2" fillId="0" borderId="1" xfId="1" applyFont="1" applyBorder="1" applyAlignment="1">
      <alignment horizontal="center" vertical="center" textRotation="90" wrapText="1"/>
    </xf>
    <xf numFmtId="0" fontId="2" fillId="12" borderId="0" xfId="1" applyFont="1" applyFill="1" applyAlignment="1">
      <alignment vertical="center"/>
    </xf>
    <xf numFmtId="2" fontId="2" fillId="4" borderId="1" xfId="1" applyNumberFormat="1" applyFont="1" applyFill="1" applyBorder="1" applyAlignment="1">
      <alignment vertical="center"/>
    </xf>
    <xf numFmtId="2" fontId="2" fillId="0" borderId="1" xfId="1" applyNumberFormat="1" applyFont="1" applyBorder="1" applyAlignment="1">
      <alignment vertical="center"/>
    </xf>
    <xf numFmtId="2" fontId="2" fillId="0" borderId="1" xfId="1" applyNumberFormat="1" applyFont="1" applyFill="1" applyBorder="1" applyAlignment="1">
      <alignment vertical="center"/>
    </xf>
    <xf numFmtId="2" fontId="2" fillId="12" borderId="1" xfId="1" applyNumberFormat="1" applyFont="1" applyFill="1" applyBorder="1" applyAlignment="1">
      <alignment vertical="center"/>
    </xf>
    <xf numFmtId="165" fontId="2" fillId="0" borderId="1" xfId="1" applyNumberFormat="1" applyFont="1" applyFill="1" applyBorder="1" applyAlignment="1">
      <alignment vertical="center"/>
    </xf>
    <xf numFmtId="165" fontId="2" fillId="12" borderId="1" xfId="1" applyNumberFormat="1" applyFont="1" applyFill="1" applyBorder="1" applyAlignment="1">
      <alignment vertical="center"/>
    </xf>
    <xf numFmtId="166" fontId="2" fillId="0" borderId="1" xfId="1" applyNumberFormat="1" applyFont="1" applyFill="1" applyBorder="1" applyAlignment="1">
      <alignment vertical="center"/>
    </xf>
    <xf numFmtId="166" fontId="2" fillId="12" borderId="1" xfId="1" applyNumberFormat="1" applyFont="1" applyFill="1" applyBorder="1" applyAlignment="1">
      <alignment vertical="center"/>
    </xf>
    <xf numFmtId="0" fontId="4" fillId="7" borderId="0" xfId="1" applyNumberFormat="1" applyFont="1" applyFill="1" applyAlignment="1">
      <alignment horizontal="right" vertical="center"/>
    </xf>
    <xf numFmtId="0" fontId="1" fillId="0" borderId="1" xfId="1" applyBorder="1" applyAlignment="1"/>
    <xf numFmtId="0" fontId="2" fillId="0" borderId="2" xfId="1" applyFont="1" applyBorder="1" applyAlignment="1">
      <alignment vertical="center"/>
    </xf>
    <xf numFmtId="0" fontId="2" fillId="0" borderId="0" xfId="1" applyFont="1" applyBorder="1" applyAlignment="1">
      <alignment horizontal="center" vertical="center" wrapText="1"/>
    </xf>
    <xf numFmtId="0" fontId="1" fillId="0" borderId="0" xfId="1" applyBorder="1" applyAlignment="1"/>
    <xf numFmtId="0" fontId="5" fillId="0" borderId="0" xfId="0" applyFont="1" applyAlignment="1">
      <alignment wrapText="1"/>
    </xf>
    <xf numFmtId="0" fontId="2" fillId="5" borderId="1" xfId="1" applyFont="1" applyFill="1" applyBorder="1" applyAlignment="1">
      <alignment horizontal="center" vertical="center" wrapText="1"/>
    </xf>
    <xf numFmtId="0" fontId="1" fillId="5" borderId="1" xfId="1" applyFill="1" applyBorder="1"/>
    <xf numFmtId="0" fontId="1" fillId="8" borderId="1" xfId="1" applyFill="1" applyBorder="1" applyAlignment="1">
      <alignment horizontal="left"/>
    </xf>
    <xf numFmtId="0" fontId="2" fillId="8" borderId="1" xfId="1" applyFont="1" applyFill="1" applyBorder="1" applyAlignment="1"/>
    <xf numFmtId="0" fontId="2" fillId="5" borderId="1" xfId="1" applyFont="1" applyFill="1" applyBorder="1" applyAlignment="1">
      <alignment horizontal="center" vertical="center" wrapText="1"/>
    </xf>
    <xf numFmtId="0" fontId="4" fillId="7" borderId="0" xfId="1" applyFont="1" applyFill="1" applyBorder="1" applyAlignment="1">
      <alignment horizontal="center" vertical="center"/>
    </xf>
    <xf numFmtId="0" fontId="4" fillId="7" borderId="0" xfId="1" applyNumberFormat="1" applyFont="1" applyFill="1" applyAlignment="1">
      <alignment horizontal="center" vertical="center"/>
    </xf>
    <xf numFmtId="0" fontId="2" fillId="7" borderId="0" xfId="1" applyFont="1" applyFill="1" applyAlignment="1">
      <alignment vertical="center"/>
    </xf>
    <xf numFmtId="0" fontId="1" fillId="7" borderId="0" xfId="1" applyFill="1" applyBorder="1"/>
    <xf numFmtId="0" fontId="2" fillId="7" borderId="0" xfId="1" applyFont="1" applyFill="1" applyBorder="1" applyAlignment="1">
      <alignment vertical="center"/>
    </xf>
    <xf numFmtId="164" fontId="1" fillId="7" borderId="0" xfId="1" applyNumberFormat="1" applyFill="1" applyBorder="1"/>
    <xf numFmtId="164" fontId="2" fillId="7" borderId="0" xfId="1" applyNumberFormat="1" applyFont="1" applyFill="1" applyBorder="1" applyAlignment="1">
      <alignment vertical="center"/>
    </xf>
    <xf numFmtId="2" fontId="6" fillId="7" borderId="0" xfId="0" applyNumberFormat="1" applyFont="1" applyFill="1" applyBorder="1" applyAlignment="1">
      <alignment horizontal="right" vertical="top" wrapText="1"/>
    </xf>
    <xf numFmtId="49" fontId="4" fillId="0" borderId="0" xfId="1" applyNumberFormat="1" applyFont="1" applyFill="1" applyAlignment="1">
      <alignment vertical="center"/>
    </xf>
    <xf numFmtId="9" fontId="2" fillId="0" borderId="0" xfId="1" applyNumberFormat="1" applyFont="1" applyAlignment="1">
      <alignment vertical="center"/>
    </xf>
    <xf numFmtId="0" fontId="2" fillId="4" borderId="1" xfId="1" applyFont="1" applyFill="1" applyBorder="1" applyAlignment="1">
      <alignment horizontal="center" vertical="center"/>
    </xf>
    <xf numFmtId="0" fontId="0" fillId="0" borderId="7" xfId="0" applyBorder="1"/>
    <xf numFmtId="0" fontId="2" fillId="4" borderId="1" xfId="1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center" textRotation="90" wrapText="1"/>
    </xf>
    <xf numFmtId="0" fontId="9" fillId="4" borderId="8" xfId="0" applyFont="1" applyFill="1" applyBorder="1" applyAlignment="1">
      <alignment horizontal="center" vertical="center" wrapText="1"/>
    </xf>
    <xf numFmtId="0" fontId="9" fillId="15" borderId="8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9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4" fontId="0" fillId="10" borderId="9" xfId="0" applyNumberFormat="1" applyFont="1" applyFill="1" applyBorder="1" applyAlignment="1">
      <alignment vertical="center"/>
    </xf>
    <xf numFmtId="4" fontId="0" fillId="10" borderId="0" xfId="0" applyNumberFormat="1" applyFont="1" applyFill="1" applyBorder="1" applyAlignment="1">
      <alignment vertical="center"/>
    </xf>
    <xf numFmtId="4" fontId="0" fillId="10" borderId="10" xfId="0" applyNumberFormat="1" applyFont="1" applyFill="1" applyBorder="1" applyAlignment="1">
      <alignment vertical="center"/>
    </xf>
    <xf numFmtId="4" fontId="0" fillId="10" borderId="11" xfId="0" applyNumberFormat="1" applyFont="1" applyFill="1" applyBorder="1" applyAlignment="1">
      <alignment vertical="center"/>
    </xf>
    <xf numFmtId="4" fontId="0" fillId="10" borderId="12" xfId="0" applyNumberFormat="1" applyFont="1" applyFill="1" applyBorder="1" applyAlignment="1">
      <alignment vertical="center"/>
    </xf>
    <xf numFmtId="4" fontId="0" fillId="10" borderId="13" xfId="0" applyNumberFormat="1" applyFont="1" applyFill="1" applyBorder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164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11" fillId="11" borderId="8" xfId="0" applyFont="1" applyFill="1" applyBorder="1" applyAlignment="1">
      <alignment horizontal="center" vertical="center"/>
    </xf>
    <xf numFmtId="0" fontId="9" fillId="11" borderId="8" xfId="0" applyFont="1" applyFill="1" applyBorder="1" applyAlignment="1">
      <alignment horizontal="center" vertical="center" wrapText="1"/>
    </xf>
    <xf numFmtId="4" fontId="0" fillId="10" borderId="18" xfId="0" applyNumberFormat="1" applyFont="1" applyFill="1" applyBorder="1" applyAlignment="1">
      <alignment vertical="center"/>
    </xf>
    <xf numFmtId="4" fontId="0" fillId="10" borderId="19" xfId="0" applyNumberFormat="1" applyFont="1" applyFill="1" applyBorder="1" applyAlignment="1">
      <alignment vertical="center"/>
    </xf>
    <xf numFmtId="4" fontId="0" fillId="0" borderId="9" xfId="0" applyNumberFormat="1" applyFont="1" applyBorder="1" applyAlignment="1">
      <alignment vertical="center"/>
    </xf>
    <xf numFmtId="4" fontId="0" fillId="0" borderId="0" xfId="0" applyNumberFormat="1" applyFont="1" applyBorder="1" applyAlignment="1">
      <alignment vertical="center"/>
    </xf>
    <xf numFmtId="4" fontId="0" fillId="0" borderId="10" xfId="0" applyNumberFormat="1" applyFont="1" applyBorder="1" applyAlignment="1">
      <alignment vertical="center"/>
    </xf>
    <xf numFmtId="4" fontId="0" fillId="0" borderId="17" xfId="0" applyNumberFormat="1" applyFont="1" applyBorder="1" applyAlignment="1">
      <alignment vertical="center"/>
    </xf>
    <xf numFmtId="4" fontId="0" fillId="0" borderId="18" xfId="0" applyNumberFormat="1" applyFont="1" applyBorder="1" applyAlignment="1">
      <alignment vertical="center"/>
    </xf>
    <xf numFmtId="4" fontId="14" fillId="0" borderId="9" xfId="0" applyNumberFormat="1" applyFont="1" applyBorder="1" applyAlignment="1">
      <alignment vertical="center" wrapText="1"/>
    </xf>
    <xf numFmtId="4" fontId="14" fillId="0" borderId="9" xfId="0" applyNumberFormat="1" applyFont="1" applyBorder="1" applyAlignment="1">
      <alignment horizontal="right" vertical="center" wrapText="1"/>
    </xf>
    <xf numFmtId="4" fontId="14" fillId="0" borderId="0" xfId="0" applyNumberFormat="1" applyFont="1" applyBorder="1" applyAlignment="1">
      <alignment horizontal="right" vertical="center" wrapText="1"/>
    </xf>
    <xf numFmtId="4" fontId="14" fillId="0" borderId="10" xfId="0" applyNumberFormat="1" applyFont="1" applyBorder="1" applyAlignment="1">
      <alignment horizontal="right" vertical="center" wrapText="1"/>
    </xf>
    <xf numFmtId="4" fontId="14" fillId="0" borderId="18" xfId="0" applyNumberFormat="1" applyFont="1" applyBorder="1" applyAlignment="1">
      <alignment horizontal="right" vertical="center" wrapText="1"/>
    </xf>
    <xf numFmtId="4" fontId="0" fillId="0" borderId="0" xfId="0" applyNumberFormat="1" applyFont="1" applyBorder="1" applyAlignment="1">
      <alignment horizontal="right" vertical="center"/>
    </xf>
    <xf numFmtId="4" fontId="0" fillId="0" borderId="10" xfId="0" applyNumberFormat="1" applyFont="1" applyBorder="1" applyAlignment="1">
      <alignment horizontal="right" vertical="center"/>
    </xf>
    <xf numFmtId="4" fontId="0" fillId="0" borderId="9" xfId="0" applyNumberFormat="1" applyFont="1" applyBorder="1" applyAlignment="1">
      <alignment horizontal="right" vertical="center"/>
    </xf>
    <xf numFmtId="4" fontId="0" fillId="0" borderId="18" xfId="0" applyNumberFormat="1" applyFont="1" applyBorder="1" applyAlignment="1">
      <alignment horizontal="right" vertical="center"/>
    </xf>
    <xf numFmtId="3" fontId="0" fillId="10" borderId="9" xfId="0" applyNumberFormat="1" applyFont="1" applyFill="1" applyBorder="1" applyAlignment="1">
      <alignment vertical="center"/>
    </xf>
    <xf numFmtId="3" fontId="0" fillId="10" borderId="0" xfId="0" applyNumberFormat="1" applyFont="1" applyFill="1" applyBorder="1" applyAlignment="1">
      <alignment vertical="center"/>
    </xf>
    <xf numFmtId="3" fontId="0" fillId="10" borderId="10" xfId="0" applyNumberFormat="1" applyFont="1" applyFill="1" applyBorder="1" applyAlignment="1">
      <alignment vertical="center"/>
    </xf>
    <xf numFmtId="167" fontId="0" fillId="10" borderId="9" xfId="0" applyNumberFormat="1" applyFont="1" applyFill="1" applyBorder="1" applyAlignment="1">
      <alignment vertical="center"/>
    </xf>
    <xf numFmtId="167" fontId="0" fillId="10" borderId="0" xfId="0" applyNumberFormat="1" applyFont="1" applyFill="1" applyBorder="1" applyAlignment="1">
      <alignment vertical="center"/>
    </xf>
    <xf numFmtId="167" fontId="0" fillId="10" borderId="10" xfId="0" applyNumberFormat="1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4" fontId="15" fillId="0" borderId="0" xfId="0" applyNumberFormat="1" applyFont="1" applyAlignment="1">
      <alignment horizontal="right" vertical="center"/>
    </xf>
    <xf numFmtId="4" fontId="16" fillId="0" borderId="9" xfId="0" applyNumberFormat="1" applyFont="1" applyBorder="1" applyAlignment="1">
      <alignment horizontal="right" vertical="center" wrapText="1"/>
    </xf>
    <xf numFmtId="4" fontId="16" fillId="0" borderId="0" xfId="0" applyNumberFormat="1" applyFont="1" applyBorder="1" applyAlignment="1">
      <alignment horizontal="right" vertical="center" wrapText="1"/>
    </xf>
    <xf numFmtId="4" fontId="16" fillId="0" borderId="10" xfId="0" applyNumberFormat="1" applyFont="1" applyBorder="1" applyAlignment="1">
      <alignment horizontal="right" vertical="center" wrapText="1"/>
    </xf>
    <xf numFmtId="4" fontId="16" fillId="0" borderId="18" xfId="0" applyNumberFormat="1" applyFont="1" applyBorder="1" applyAlignment="1">
      <alignment horizontal="right" vertical="center" wrapText="1"/>
    </xf>
    <xf numFmtId="0" fontId="11" fillId="8" borderId="14" xfId="0" applyFont="1" applyFill="1" applyBorder="1" applyAlignment="1">
      <alignment vertical="center"/>
    </xf>
    <xf numFmtId="0" fontId="11" fillId="8" borderId="15" xfId="0" applyFont="1" applyFill="1" applyBorder="1" applyAlignment="1">
      <alignment vertical="center"/>
    </xf>
    <xf numFmtId="0" fontId="11" fillId="8" borderId="16" xfId="0" applyFont="1" applyFill="1" applyBorder="1" applyAlignment="1">
      <alignment vertical="center"/>
    </xf>
    <xf numFmtId="0" fontId="0" fillId="10" borderId="0" xfId="0" applyFill="1" applyAlignment="1">
      <alignment vertical="center"/>
    </xf>
    <xf numFmtId="0" fontId="12" fillId="13" borderId="20" xfId="1" applyFont="1" applyFill="1" applyBorder="1" applyAlignment="1">
      <alignment vertical="center"/>
    </xf>
    <xf numFmtId="0" fontId="0" fillId="0" borderId="22" xfId="0" applyFont="1" applyBorder="1" applyAlignment="1">
      <alignment vertical="center"/>
    </xf>
    <xf numFmtId="0" fontId="12" fillId="13" borderId="22" xfId="1" applyFont="1" applyFill="1" applyBorder="1" applyAlignment="1">
      <alignment vertical="center"/>
    </xf>
    <xf numFmtId="4" fontId="0" fillId="10" borderId="20" xfId="0" applyNumberFormat="1" applyFont="1" applyFill="1" applyBorder="1" applyAlignment="1">
      <alignment vertical="center"/>
    </xf>
    <xf numFmtId="4" fontId="0" fillId="10" borderId="22" xfId="0" applyNumberFormat="1" applyFont="1" applyFill="1" applyBorder="1" applyAlignment="1">
      <alignment vertical="center"/>
    </xf>
    <xf numFmtId="4" fontId="0" fillId="10" borderId="21" xfId="0" applyNumberFormat="1" applyFont="1" applyFill="1" applyBorder="1" applyAlignment="1">
      <alignment vertical="center"/>
    </xf>
    <xf numFmtId="4" fontId="0" fillId="10" borderId="17" xfId="0" applyNumberFormat="1" applyFont="1" applyFill="1" applyBorder="1" applyAlignment="1">
      <alignment vertical="center"/>
    </xf>
    <xf numFmtId="0" fontId="12" fillId="14" borderId="11" xfId="1" applyFont="1" applyFill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8" fillId="14" borderId="12" xfId="1" applyFont="1" applyFill="1" applyBorder="1" applyAlignment="1">
      <alignment vertical="center"/>
    </xf>
    <xf numFmtId="0" fontId="12" fillId="14" borderId="14" xfId="1" applyFont="1" applyFill="1" applyBorder="1" applyAlignment="1">
      <alignment vertical="center" wrapText="1"/>
    </xf>
    <xf numFmtId="0" fontId="12" fillId="14" borderId="15" xfId="1" applyFont="1" applyFill="1" applyBorder="1" applyAlignment="1">
      <alignment vertical="center"/>
    </xf>
    <xf numFmtId="4" fontId="0" fillId="10" borderId="14" xfId="0" applyNumberFormat="1" applyFont="1" applyFill="1" applyBorder="1" applyAlignment="1">
      <alignment vertical="center"/>
    </xf>
    <xf numFmtId="4" fontId="0" fillId="10" borderId="15" xfId="0" applyNumberFormat="1" applyFont="1" applyFill="1" applyBorder="1" applyAlignment="1">
      <alignment vertical="center"/>
    </xf>
    <xf numFmtId="4" fontId="0" fillId="10" borderId="16" xfId="0" applyNumberFormat="1" applyFont="1" applyFill="1" applyBorder="1" applyAlignment="1">
      <alignment vertical="center"/>
    </xf>
    <xf numFmtId="4" fontId="0" fillId="10" borderId="8" xfId="0" applyNumberFormat="1" applyFont="1" applyFill="1" applyBorder="1" applyAlignment="1">
      <alignment vertical="center"/>
    </xf>
    <xf numFmtId="4" fontId="0" fillId="0" borderId="9" xfId="0" applyNumberFormat="1" applyFont="1" applyFill="1" applyBorder="1" applyAlignment="1">
      <alignment vertical="center"/>
    </xf>
    <xf numFmtId="4" fontId="0" fillId="0" borderId="0" xfId="0" applyNumberFormat="1" applyFont="1" applyFill="1" applyBorder="1" applyAlignment="1">
      <alignment vertical="center"/>
    </xf>
    <xf numFmtId="4" fontId="0" fillId="0" borderId="10" xfId="0" applyNumberFormat="1" applyFont="1" applyFill="1" applyBorder="1" applyAlignment="1">
      <alignment vertical="center"/>
    </xf>
    <xf numFmtId="4" fontId="0" fillId="0" borderId="18" xfId="0" applyNumberFormat="1" applyFont="1" applyFill="1" applyBorder="1" applyAlignment="1">
      <alignment vertical="center"/>
    </xf>
    <xf numFmtId="0" fontId="0" fillId="10" borderId="0" xfId="0" applyFont="1" applyFill="1" applyAlignment="1">
      <alignment vertical="center" wrapText="1"/>
    </xf>
    <xf numFmtId="0" fontId="5" fillId="10" borderId="0" xfId="0" applyFont="1" applyFill="1" applyAlignment="1"/>
    <xf numFmtId="0" fontId="0" fillId="10" borderId="0" xfId="0" applyFont="1" applyFill="1" applyAlignment="1">
      <alignment vertical="center"/>
    </xf>
    <xf numFmtId="167" fontId="0" fillId="10" borderId="18" xfId="0" applyNumberFormat="1" applyFont="1" applyFill="1" applyBorder="1" applyAlignment="1">
      <alignment vertical="center"/>
    </xf>
    <xf numFmtId="167" fontId="0" fillId="10" borderId="0" xfId="0" applyNumberFormat="1" applyFont="1" applyFill="1" applyBorder="1" applyAlignment="1">
      <alignment vertical="center" wrapText="1"/>
    </xf>
    <xf numFmtId="0" fontId="5" fillId="10" borderId="7" xfId="0" applyFont="1" applyFill="1" applyBorder="1" applyAlignment="1"/>
    <xf numFmtId="3" fontId="0" fillId="10" borderId="18" xfId="0" applyNumberFormat="1" applyFont="1" applyFill="1" applyBorder="1" applyAlignment="1">
      <alignment vertical="center"/>
    </xf>
    <xf numFmtId="0" fontId="12" fillId="10" borderId="0" xfId="1" applyFont="1" applyFill="1" applyAlignment="1">
      <alignment vertical="center" wrapText="1"/>
    </xf>
    <xf numFmtId="0" fontId="12" fillId="10" borderId="0" xfId="1" applyFont="1" applyFill="1" applyAlignment="1">
      <alignment vertical="center"/>
    </xf>
    <xf numFmtId="0" fontId="13" fillId="0" borderId="0" xfId="0" applyFont="1" applyAlignment="1">
      <alignment horizontal="right" vertical="center" wrapText="1"/>
    </xf>
    <xf numFmtId="0" fontId="15" fillId="10" borderId="0" xfId="1" applyFont="1" applyFill="1" applyAlignment="1">
      <alignment horizontal="right" vertical="center"/>
    </xf>
    <xf numFmtId="3" fontId="15" fillId="10" borderId="9" xfId="0" applyNumberFormat="1" applyFont="1" applyFill="1" applyBorder="1" applyAlignment="1">
      <alignment horizontal="right" vertical="center"/>
    </xf>
    <xf numFmtId="3" fontId="15" fillId="10" borderId="0" xfId="0" applyNumberFormat="1" applyFont="1" applyFill="1" applyBorder="1" applyAlignment="1">
      <alignment horizontal="right" vertical="center"/>
    </xf>
    <xf numFmtId="3" fontId="15" fillId="10" borderId="10" xfId="0" applyNumberFormat="1" applyFont="1" applyFill="1" applyBorder="1" applyAlignment="1">
      <alignment horizontal="right" vertical="center"/>
    </xf>
    <xf numFmtId="3" fontId="15" fillId="10" borderId="18" xfId="0" applyNumberFormat="1" applyFont="1" applyFill="1" applyBorder="1" applyAlignment="1">
      <alignment horizontal="right" vertical="center"/>
    </xf>
    <xf numFmtId="0" fontId="14" fillId="0" borderId="0" xfId="0" applyFont="1" applyAlignment="1">
      <alignment horizontal="right" vertical="center" wrapText="1"/>
    </xf>
    <xf numFmtId="0" fontId="15" fillId="10" borderId="0" xfId="1" applyFont="1" applyFill="1" applyAlignment="1">
      <alignment horizontal="left" vertical="center" wrapText="1"/>
    </xf>
    <xf numFmtId="0" fontId="11" fillId="4" borderId="8" xfId="0" applyFont="1" applyFill="1" applyBorder="1" applyAlignment="1">
      <alignment vertical="center"/>
    </xf>
    <xf numFmtId="0" fontId="11" fillId="15" borderId="8" xfId="0" applyFont="1" applyFill="1" applyBorder="1" applyAlignment="1">
      <alignment vertical="center"/>
    </xf>
    <xf numFmtId="4" fontId="0" fillId="0" borderId="17" xfId="0" applyNumberFormat="1" applyBorder="1" applyAlignment="1">
      <alignment vertical="center"/>
    </xf>
    <xf numFmtId="0" fontId="11" fillId="17" borderId="11" xfId="0" applyFont="1" applyFill="1" applyBorder="1" applyAlignment="1">
      <alignment vertical="center"/>
    </xf>
    <xf numFmtId="0" fontId="11" fillId="17" borderId="12" xfId="0" applyFont="1" applyFill="1" applyBorder="1" applyAlignment="1">
      <alignment vertical="center"/>
    </xf>
    <xf numFmtId="0" fontId="11" fillId="17" borderId="13" xfId="0" applyFont="1" applyFill="1" applyBorder="1" applyAlignment="1">
      <alignment vertical="center"/>
    </xf>
    <xf numFmtId="0" fontId="11" fillId="15" borderId="8" xfId="0" applyFont="1" applyFill="1" applyBorder="1" applyAlignment="1">
      <alignment horizontal="center" vertical="center"/>
    </xf>
    <xf numFmtId="0" fontId="11" fillId="15" borderId="16" xfId="0" applyFont="1" applyFill="1" applyBorder="1" applyAlignment="1">
      <alignment horizontal="center" vertical="center"/>
    </xf>
    <xf numFmtId="0" fontId="11" fillId="15" borderId="8" xfId="0" applyFont="1" applyFill="1" applyBorder="1" applyAlignment="1">
      <alignment horizontal="left" vertical="center" wrapText="1"/>
    </xf>
    <xf numFmtId="49" fontId="4" fillId="7" borderId="0" xfId="1" applyNumberFormat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6" borderId="1" xfId="1" applyFont="1" applyFill="1" applyBorder="1" applyAlignment="1">
      <alignment horizontal="center" vertical="center" wrapText="1"/>
    </xf>
    <xf numFmtId="0" fontId="2" fillId="4" borderId="2" xfId="1" applyFont="1" applyFill="1" applyBorder="1" applyAlignment="1">
      <alignment horizontal="center" vertical="center" wrapText="1"/>
    </xf>
    <xf numFmtId="0" fontId="2" fillId="4" borderId="3" xfId="1" applyFont="1" applyFill="1" applyBorder="1" applyAlignment="1">
      <alignment horizontal="center" vertical="center" wrapText="1"/>
    </xf>
    <xf numFmtId="0" fontId="2" fillId="4" borderId="4" xfId="1" applyFont="1" applyFill="1" applyBorder="1" applyAlignment="1">
      <alignment horizontal="center" vertical="center" wrapText="1"/>
    </xf>
    <xf numFmtId="0" fontId="2" fillId="5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2" fillId="10" borderId="1" xfId="1" applyFont="1" applyFill="1" applyBorder="1" applyAlignment="1">
      <alignment horizontal="center" vertical="center"/>
    </xf>
    <xf numFmtId="0" fontId="11" fillId="17" borderId="14" xfId="0" applyFont="1" applyFill="1" applyBorder="1" applyAlignment="1">
      <alignment horizontal="center" vertical="center"/>
    </xf>
    <xf numFmtId="0" fontId="11" fillId="17" borderId="16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11" fillId="15" borderId="8" xfId="0" applyFont="1" applyFill="1" applyBorder="1" applyAlignment="1">
      <alignment horizontal="center" vertical="center"/>
    </xf>
    <xf numFmtId="0" fontId="11" fillId="16" borderId="14" xfId="0" applyFont="1" applyFill="1" applyBorder="1" applyAlignment="1">
      <alignment horizontal="center" vertical="center"/>
    </xf>
    <xf numFmtId="0" fontId="11" fillId="16" borderId="15" xfId="0" applyFont="1" applyFill="1" applyBorder="1" applyAlignment="1">
      <alignment horizontal="center" vertical="center"/>
    </xf>
    <xf numFmtId="0" fontId="11" fillId="16" borderId="16" xfId="0" applyFont="1" applyFill="1" applyBorder="1" applyAlignment="1">
      <alignment horizontal="center" vertical="center"/>
    </xf>
    <xf numFmtId="0" fontId="11" fillId="17" borderId="11" xfId="0" applyFont="1" applyFill="1" applyBorder="1" applyAlignment="1">
      <alignment horizontal="center" vertical="center"/>
    </xf>
    <xf numFmtId="0" fontId="11" fillId="17" borderId="12" xfId="0" applyFont="1" applyFill="1" applyBorder="1" applyAlignment="1">
      <alignment horizontal="center" vertical="center"/>
    </xf>
    <xf numFmtId="0" fontId="11" fillId="17" borderId="13" xfId="0" applyFont="1" applyFill="1" applyBorder="1" applyAlignment="1">
      <alignment horizontal="center" vertical="center"/>
    </xf>
    <xf numFmtId="0" fontId="11" fillId="8" borderId="14" xfId="0" applyFont="1" applyFill="1" applyBorder="1" applyAlignment="1">
      <alignment horizontal="center" vertical="center"/>
    </xf>
    <xf numFmtId="0" fontId="11" fillId="8" borderId="15" xfId="0" applyFont="1" applyFill="1" applyBorder="1" applyAlignment="1">
      <alignment horizontal="center" vertical="center"/>
    </xf>
    <xf numFmtId="0" fontId="11" fillId="8" borderId="16" xfId="0" applyFont="1" applyFill="1" applyBorder="1" applyAlignment="1">
      <alignment horizontal="center" vertical="center"/>
    </xf>
    <xf numFmtId="0" fontId="11" fillId="15" borderId="14" xfId="0" applyFont="1" applyFill="1" applyBorder="1" applyAlignment="1">
      <alignment horizontal="center" vertical="center"/>
    </xf>
    <xf numFmtId="0" fontId="11" fillId="15" borderId="15" xfId="0" applyFont="1" applyFill="1" applyBorder="1" applyAlignment="1">
      <alignment horizontal="center" vertical="center"/>
    </xf>
    <xf numFmtId="0" fontId="11" fillId="15" borderId="16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</cellXfs>
  <cellStyles count="3">
    <cellStyle name="Standard" xfId="0" builtinId="0"/>
    <cellStyle name="Standard 2" xfId="1" xr:uid="{21C60FED-BAA5-401E-8864-F97FE8E18598}"/>
    <cellStyle name="Standard 2 2" xfId="2" xr:uid="{869D5A3C-2ADE-4A7E-8264-B2667BC030C9}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CB7C8-F504-4514-81DF-7878BC986B64}">
  <sheetPr>
    <tabColor theme="8"/>
  </sheetPr>
  <dimension ref="A1:R250"/>
  <sheetViews>
    <sheetView showGridLines="0" zoomScale="85" zoomScaleNormal="85" workbookViewId="0">
      <pane xSplit="5" ySplit="7" topLeftCell="F129" activePane="bottomRight" state="frozen"/>
      <selection pane="topRight" activeCell="C1" sqref="C1"/>
      <selection pane="bottomLeft" activeCell="A8" sqref="A8"/>
      <selection pane="bottomRight" activeCell="K137" sqref="K137"/>
    </sheetView>
  </sheetViews>
  <sheetFormatPr baseColWidth="10" defaultRowHeight="12.75"/>
  <cols>
    <col min="1" max="1" width="4" style="1" hidden="1" customWidth="1"/>
    <col min="2" max="2" width="21.140625" style="1" customWidth="1"/>
    <col min="3" max="3" width="24.5703125" style="3" customWidth="1"/>
    <col min="4" max="4" width="26.85546875" style="2" customWidth="1"/>
    <col min="5" max="5" width="34.42578125" style="2" customWidth="1"/>
    <col min="6" max="6" width="26.85546875" style="1" customWidth="1"/>
    <col min="7" max="8" width="24.140625" style="1" customWidth="1"/>
    <col min="9" max="13" width="19.5703125" style="1" customWidth="1"/>
    <col min="14" max="14" width="14.28515625" style="1" customWidth="1"/>
    <col min="15" max="24" width="19.5703125" style="1" customWidth="1"/>
    <col min="25" max="30" width="16.7109375" style="1" customWidth="1"/>
    <col min="31" max="16384" width="11.42578125" style="1"/>
  </cols>
  <sheetData>
    <row r="1" spans="1:18">
      <c r="C1" s="34" t="s">
        <v>88</v>
      </c>
      <c r="D1" s="31"/>
      <c r="E1" s="33"/>
      <c r="L1" s="69" t="s">
        <v>141</v>
      </c>
    </row>
    <row r="2" spans="1:18">
      <c r="C2" s="28" t="s">
        <v>87</v>
      </c>
      <c r="F2" s="2" t="s">
        <v>86</v>
      </c>
      <c r="G2" s="2"/>
      <c r="H2" s="2"/>
    </row>
    <row r="3" spans="1:18">
      <c r="C3" s="2"/>
      <c r="F3" s="2" t="s">
        <v>85</v>
      </c>
      <c r="G3" s="2"/>
      <c r="H3" s="2"/>
    </row>
    <row r="4" spans="1:18">
      <c r="C4" s="32" t="s">
        <v>84</v>
      </c>
      <c r="D4" s="31"/>
      <c r="E4" s="30"/>
      <c r="F4" s="29">
        <v>1</v>
      </c>
      <c r="G4" s="29"/>
      <c r="H4" s="29"/>
    </row>
    <row r="6" spans="1:18">
      <c r="A6" s="1">
        <v>6</v>
      </c>
      <c r="D6" s="28"/>
      <c r="E6" s="204"/>
      <c r="F6" s="78">
        <v>1</v>
      </c>
      <c r="G6" s="78">
        <f t="shared" ref="G6:M6" si="0">F6+1</f>
        <v>2</v>
      </c>
      <c r="H6" s="78">
        <f t="shared" si="0"/>
        <v>3</v>
      </c>
      <c r="I6" s="78">
        <f t="shared" si="0"/>
        <v>4</v>
      </c>
      <c r="J6" s="78">
        <f t="shared" si="0"/>
        <v>5</v>
      </c>
      <c r="K6" s="78">
        <f t="shared" si="0"/>
        <v>6</v>
      </c>
      <c r="L6" s="78">
        <f t="shared" si="0"/>
        <v>7</v>
      </c>
      <c r="M6" s="78">
        <f t="shared" si="0"/>
        <v>8</v>
      </c>
      <c r="N6" s="2"/>
      <c r="O6" s="2"/>
      <c r="P6" s="2"/>
      <c r="Q6" s="2"/>
      <c r="R6" s="2"/>
    </row>
    <row r="7" spans="1:18">
      <c r="A7" s="1">
        <f>A6+1</f>
        <v>7</v>
      </c>
      <c r="D7" s="28"/>
      <c r="E7" s="204"/>
      <c r="F7" s="27" t="s">
        <v>83</v>
      </c>
      <c r="G7" s="27" t="s">
        <v>177</v>
      </c>
      <c r="H7" s="27" t="s">
        <v>148</v>
      </c>
      <c r="I7" s="27" t="s">
        <v>82</v>
      </c>
      <c r="J7" s="27" t="s">
        <v>81</v>
      </c>
      <c r="K7" s="27" t="s">
        <v>80</v>
      </c>
      <c r="L7" s="27" t="s">
        <v>79</v>
      </c>
      <c r="M7" s="27" t="s">
        <v>79</v>
      </c>
      <c r="N7" s="2"/>
      <c r="O7" s="2"/>
      <c r="P7" s="2"/>
      <c r="Q7" s="2"/>
      <c r="R7" s="2"/>
    </row>
    <row r="8" spans="1:18" ht="12.75" customHeight="1">
      <c r="A8" s="48" t="s">
        <v>78</v>
      </c>
      <c r="B8" s="80" t="s">
        <v>140</v>
      </c>
      <c r="C8" s="25" t="s">
        <v>77</v>
      </c>
      <c r="D8" s="24" t="s">
        <v>190</v>
      </c>
      <c r="E8" s="23" t="str">
        <f>C8&amp;"."&amp;D8</f>
        <v>pth_sch.variable_costs_in</v>
      </c>
      <c r="F8" s="72">
        <f>SUM(F116:F125)*1000</f>
        <v>139.95100000000002</v>
      </c>
      <c r="G8" s="72">
        <v>0</v>
      </c>
      <c r="H8" s="74"/>
      <c r="I8" s="23"/>
      <c r="J8" s="23"/>
      <c r="K8" s="23"/>
      <c r="L8" s="23"/>
      <c r="M8" s="23"/>
    </row>
    <row r="9" spans="1:18" ht="12.75" customHeight="1">
      <c r="A9" s="48"/>
      <c r="B9" s="80" t="s">
        <v>140</v>
      </c>
      <c r="C9" s="25" t="s">
        <v>77</v>
      </c>
      <c r="D9" s="24" t="s">
        <v>191</v>
      </c>
      <c r="E9" s="23" t="str">
        <f>C9&amp;"."&amp;D9</f>
        <v>pth_sch.variable_costs_out</v>
      </c>
      <c r="F9" s="72">
        <f>F170</f>
        <v>0.2</v>
      </c>
      <c r="G9" s="72">
        <v>0</v>
      </c>
      <c r="H9" s="74"/>
      <c r="I9" s="23"/>
      <c r="J9" s="23"/>
      <c r="K9" s="23"/>
      <c r="L9" s="23"/>
      <c r="M9" s="23"/>
    </row>
    <row r="10" spans="1:18">
      <c r="A10" s="48"/>
      <c r="B10" s="80" t="s">
        <v>140</v>
      </c>
      <c r="C10" s="25" t="s">
        <v>75</v>
      </c>
      <c r="D10" s="24" t="s">
        <v>190</v>
      </c>
      <c r="E10" s="23" t="str">
        <f>C10&amp;"."&amp;D10</f>
        <v>pth_pr.variable_costs_in</v>
      </c>
      <c r="F10" s="72">
        <f>SUM(F116:F125)*1000</f>
        <v>139.95100000000002</v>
      </c>
      <c r="G10" s="72">
        <f>F10</f>
        <v>139.95100000000002</v>
      </c>
      <c r="H10" s="74"/>
      <c r="I10" s="23"/>
      <c r="J10" s="23"/>
      <c r="K10" s="23"/>
      <c r="L10" s="23"/>
      <c r="M10" s="23"/>
    </row>
    <row r="11" spans="1:18">
      <c r="A11" s="48"/>
      <c r="B11" s="80" t="s">
        <v>140</v>
      </c>
      <c r="C11" s="25" t="s">
        <v>75</v>
      </c>
      <c r="D11" s="24" t="s">
        <v>191</v>
      </c>
      <c r="E11" s="23" t="str">
        <f>C11&amp;"."&amp;D11</f>
        <v>pth_pr.variable_costs_out</v>
      </c>
      <c r="F11" s="72">
        <f>F170</f>
        <v>0.2</v>
      </c>
      <c r="G11" s="72"/>
      <c r="H11" s="74"/>
      <c r="I11" s="23"/>
      <c r="J11" s="23"/>
      <c r="K11" s="23"/>
      <c r="L11" s="23"/>
      <c r="M11" s="23"/>
    </row>
    <row r="12" spans="1:18">
      <c r="A12" s="48"/>
      <c r="B12" s="80"/>
      <c r="C12" s="25"/>
      <c r="D12" s="24"/>
      <c r="E12" s="23"/>
      <c r="F12" s="72"/>
      <c r="G12" s="72"/>
      <c r="H12" s="74"/>
      <c r="I12" s="23"/>
      <c r="J12" s="23"/>
      <c r="K12" s="23"/>
      <c r="L12" s="23"/>
      <c r="M12" s="23"/>
    </row>
    <row r="13" spans="1:18">
      <c r="A13" s="48"/>
      <c r="B13" s="80" t="s">
        <v>140</v>
      </c>
      <c r="C13" s="8" t="s">
        <v>227</v>
      </c>
      <c r="D13" s="24" t="s">
        <v>190</v>
      </c>
      <c r="E13" s="23" t="str">
        <f>C13&amp;"."&amp;D13</f>
        <v>boiler_pr_1.variable_costs_in</v>
      </c>
      <c r="F13" s="72">
        <f>SUM($F$134:$F$138)</f>
        <v>8.89</v>
      </c>
      <c r="G13" s="72"/>
      <c r="H13" s="74"/>
      <c r="I13" s="23"/>
      <c r="J13" s="23"/>
      <c r="K13" s="23"/>
      <c r="L13" s="23"/>
      <c r="M13" s="23"/>
    </row>
    <row r="14" spans="1:18">
      <c r="A14" s="48"/>
      <c r="B14" s="80" t="s">
        <v>140</v>
      </c>
      <c r="C14" s="8" t="s">
        <v>228</v>
      </c>
      <c r="D14" s="24" t="s">
        <v>190</v>
      </c>
      <c r="E14" s="23" t="str">
        <f>C14&amp;"."&amp;D14</f>
        <v>boiler_pr_2.variable_costs_in</v>
      </c>
      <c r="F14" s="72">
        <f>SUM($F$134:$F$138)</f>
        <v>8.89</v>
      </c>
      <c r="G14" s="72"/>
      <c r="H14" s="74"/>
      <c r="I14" s="23"/>
      <c r="J14" s="23"/>
      <c r="K14" s="23"/>
      <c r="L14" s="23"/>
      <c r="M14" s="23"/>
    </row>
    <row r="15" spans="1:18">
      <c r="A15" s="48"/>
      <c r="B15" s="80" t="s">
        <v>140</v>
      </c>
      <c r="C15" s="8" t="s">
        <v>229</v>
      </c>
      <c r="D15" s="24" t="s">
        <v>190</v>
      </c>
      <c r="E15" s="23" t="str">
        <f>C15&amp;"."&amp;D15</f>
        <v>boiler_pr_3.variable_costs_in</v>
      </c>
      <c r="F15" s="72">
        <f>SUM($F$134:$F$138)</f>
        <v>8.89</v>
      </c>
      <c r="G15" s="72"/>
      <c r="H15" s="74"/>
      <c r="I15" s="23"/>
      <c r="J15" s="23"/>
      <c r="K15" s="23"/>
      <c r="L15" s="23"/>
      <c r="M15" s="23"/>
    </row>
    <row r="16" spans="1:18">
      <c r="A16" s="48"/>
      <c r="B16" s="80"/>
      <c r="C16" s="25"/>
      <c r="D16" s="24"/>
      <c r="E16" s="23"/>
      <c r="F16" s="72"/>
      <c r="G16" s="72"/>
      <c r="H16" s="74"/>
      <c r="I16" s="23"/>
      <c r="J16" s="23"/>
      <c r="K16" s="23"/>
      <c r="L16" s="23"/>
      <c r="M16" s="23"/>
    </row>
    <row r="17" spans="1:14">
      <c r="A17" s="48"/>
      <c r="B17" s="80" t="s">
        <v>140</v>
      </c>
      <c r="C17" s="8" t="s">
        <v>227</v>
      </c>
      <c r="D17" s="24" t="s">
        <v>191</v>
      </c>
      <c r="E17" s="23" t="str">
        <f>C17&amp;"."&amp;D17</f>
        <v>boiler_pr_1.variable_costs_out</v>
      </c>
      <c r="F17" s="72">
        <f>$F$165</f>
        <v>0.5</v>
      </c>
      <c r="G17" s="72"/>
      <c r="H17" s="74"/>
      <c r="I17" s="23"/>
      <c r="J17" s="23"/>
      <c r="K17" s="23"/>
      <c r="L17" s="23"/>
      <c r="M17" s="23"/>
    </row>
    <row r="18" spans="1:14">
      <c r="A18" s="48"/>
      <c r="B18" s="80" t="s">
        <v>140</v>
      </c>
      <c r="C18" s="8" t="s">
        <v>228</v>
      </c>
      <c r="D18" s="24" t="s">
        <v>191</v>
      </c>
      <c r="E18" s="23" t="str">
        <f>C18&amp;"."&amp;D18</f>
        <v>boiler_pr_2.variable_costs_out</v>
      </c>
      <c r="F18" s="72">
        <f>$F$165</f>
        <v>0.5</v>
      </c>
      <c r="G18" s="72"/>
      <c r="H18" s="74"/>
      <c r="I18" s="23"/>
      <c r="J18" s="23"/>
      <c r="K18" s="23"/>
      <c r="L18" s="23"/>
      <c r="M18" s="23"/>
    </row>
    <row r="19" spans="1:14">
      <c r="A19" s="48"/>
      <c r="B19" s="80" t="s">
        <v>140</v>
      </c>
      <c r="C19" s="8" t="s">
        <v>229</v>
      </c>
      <c r="D19" s="24" t="s">
        <v>191</v>
      </c>
      <c r="E19" s="23" t="str">
        <f>C19&amp;"."&amp;D19</f>
        <v>boiler_pr_3.variable_costs_out</v>
      </c>
      <c r="F19" s="72">
        <f>$F$165</f>
        <v>0.5</v>
      </c>
      <c r="G19" s="72"/>
      <c r="H19" s="74"/>
      <c r="I19" s="23"/>
      <c r="J19" s="23"/>
      <c r="K19" s="23"/>
      <c r="L19" s="23"/>
      <c r="M19" s="23"/>
    </row>
    <row r="20" spans="1:14">
      <c r="A20" s="48"/>
      <c r="B20" s="80"/>
      <c r="C20" s="25"/>
      <c r="D20" s="24"/>
      <c r="E20" s="23"/>
      <c r="F20" s="72"/>
      <c r="G20" s="72"/>
      <c r="H20" s="74"/>
      <c r="I20" s="23"/>
      <c r="J20" s="23"/>
      <c r="K20" s="23"/>
      <c r="L20" s="23"/>
      <c r="M20" s="23"/>
    </row>
    <row r="21" spans="1:14">
      <c r="A21" s="48"/>
      <c r="B21" s="80"/>
      <c r="C21" s="25"/>
      <c r="D21" s="24"/>
      <c r="E21" s="23"/>
      <c r="F21" s="72"/>
      <c r="G21" s="72"/>
      <c r="H21" s="74"/>
      <c r="I21" s="23"/>
      <c r="J21" s="23"/>
      <c r="K21" s="23"/>
      <c r="L21" s="23"/>
      <c r="M21" s="23"/>
    </row>
    <row r="22" spans="1:14">
      <c r="A22" s="48"/>
      <c r="B22" s="80"/>
      <c r="C22" s="25"/>
      <c r="D22" s="24"/>
      <c r="E22" s="23"/>
      <c r="F22" s="72"/>
      <c r="G22" s="72"/>
      <c r="H22" s="74"/>
      <c r="I22" s="23"/>
      <c r="J22" s="23"/>
      <c r="K22" s="23"/>
      <c r="L22" s="23"/>
      <c r="M22" s="23"/>
    </row>
    <row r="23" spans="1:14">
      <c r="A23" s="48"/>
      <c r="B23" s="80" t="s">
        <v>140</v>
      </c>
      <c r="C23" s="25" t="s">
        <v>74</v>
      </c>
      <c r="D23" s="24" t="s">
        <v>190</v>
      </c>
      <c r="E23" s="23" t="str">
        <f t="shared" ref="E23:E33" si="1">C23&amp;"."&amp;D23</f>
        <v>boiler_pr.variable_costs_in</v>
      </c>
      <c r="F23" s="72">
        <f>SUM(F134:F138)</f>
        <v>8.89</v>
      </c>
      <c r="G23" s="72">
        <f>F23</f>
        <v>8.89</v>
      </c>
      <c r="H23" s="74"/>
      <c r="I23" s="23"/>
      <c r="J23" s="23"/>
      <c r="K23" s="23"/>
      <c r="L23" s="23"/>
      <c r="M23" s="23"/>
    </row>
    <row r="24" spans="1:14">
      <c r="A24" s="48"/>
      <c r="B24" s="80" t="s">
        <v>140</v>
      </c>
      <c r="C24" s="25" t="s">
        <v>74</v>
      </c>
      <c r="D24" s="24" t="s">
        <v>191</v>
      </c>
      <c r="E24" s="23" t="str">
        <f t="shared" si="1"/>
        <v>boiler_pr.variable_costs_out</v>
      </c>
      <c r="F24" s="72">
        <f>F165</f>
        <v>0.5</v>
      </c>
      <c r="G24" s="72"/>
      <c r="H24" s="74"/>
      <c r="I24" s="23"/>
      <c r="J24" s="23"/>
      <c r="K24" s="23"/>
      <c r="L24" s="23"/>
      <c r="M24" s="23"/>
    </row>
    <row r="25" spans="1:14">
      <c r="A25" s="48"/>
      <c r="B25" s="80" t="s">
        <v>140</v>
      </c>
      <c r="C25" s="25" t="s">
        <v>73</v>
      </c>
      <c r="D25" s="24" t="s">
        <v>191</v>
      </c>
      <c r="E25" s="23" t="str">
        <f t="shared" si="1"/>
        <v>boiler_sch.variable_costs_out</v>
      </c>
      <c r="F25" s="72">
        <f>F166</f>
        <v>0.2</v>
      </c>
      <c r="G25" s="72">
        <f>F25</f>
        <v>0.2</v>
      </c>
      <c r="H25" s="74"/>
      <c r="I25" s="23"/>
      <c r="J25" s="23"/>
      <c r="K25" s="23"/>
      <c r="L25" s="23"/>
      <c r="M25" s="23"/>
    </row>
    <row r="26" spans="1:14">
      <c r="A26" s="48"/>
      <c r="B26" s="80" t="s">
        <v>140</v>
      </c>
      <c r="C26" s="25" t="s">
        <v>73</v>
      </c>
      <c r="D26" s="24" t="s">
        <v>190</v>
      </c>
      <c r="E26" s="23" t="str">
        <f t="shared" si="1"/>
        <v>boiler_sch.variable_costs_in</v>
      </c>
      <c r="F26" s="72">
        <f>SUM(F134:F138)</f>
        <v>8.89</v>
      </c>
      <c r="G26" s="72"/>
      <c r="H26" s="74"/>
      <c r="I26" s="23"/>
      <c r="J26" s="23"/>
      <c r="K26" s="23"/>
      <c r="L26" s="23"/>
      <c r="M26" s="23"/>
    </row>
    <row r="27" spans="1:14">
      <c r="A27" s="48"/>
      <c r="B27" s="80" t="s">
        <v>140</v>
      </c>
      <c r="C27" s="25" t="s">
        <v>72</v>
      </c>
      <c r="D27" s="24" t="s">
        <v>190</v>
      </c>
      <c r="E27" s="23" t="str">
        <f t="shared" si="1"/>
        <v>wind_curtailment.variable_costs_in</v>
      </c>
      <c r="F27" s="72">
        <v>0</v>
      </c>
      <c r="G27" s="72">
        <f>F27</f>
        <v>0</v>
      </c>
      <c r="H27" s="74"/>
      <c r="I27" s="23"/>
      <c r="J27" s="23"/>
      <c r="K27" s="23"/>
      <c r="L27" s="23"/>
      <c r="M27" s="23"/>
      <c r="N27" s="1" t="s">
        <v>137</v>
      </c>
    </row>
    <row r="28" spans="1:14">
      <c r="A28" s="48"/>
      <c r="B28" s="80" t="s">
        <v>140</v>
      </c>
      <c r="C28" s="25" t="s">
        <v>71</v>
      </c>
      <c r="D28" s="24" t="s">
        <v>190</v>
      </c>
      <c r="E28" s="23" t="str">
        <f t="shared" si="1"/>
        <v>wind_using.variable_costs_in</v>
      </c>
      <c r="F28" s="72">
        <v>0</v>
      </c>
      <c r="G28" s="72">
        <f>F28</f>
        <v>0</v>
      </c>
      <c r="H28" s="74"/>
      <c r="I28" s="23"/>
      <c r="J28" s="23"/>
      <c r="K28" s="23"/>
      <c r="L28" s="23"/>
      <c r="M28" s="23"/>
      <c r="N28" s="1" t="s">
        <v>137</v>
      </c>
    </row>
    <row r="29" spans="1:14">
      <c r="A29" s="48"/>
      <c r="B29" s="80" t="s">
        <v>140</v>
      </c>
      <c r="C29" s="25" t="s">
        <v>70</v>
      </c>
      <c r="D29" s="24" t="s">
        <v>190</v>
      </c>
      <c r="E29" s="23" t="str">
        <f t="shared" si="1"/>
        <v>wind_neg_spot.variable_costs_in</v>
      </c>
      <c r="F29" s="72">
        <v>0</v>
      </c>
      <c r="G29" s="72">
        <f>F29</f>
        <v>0</v>
      </c>
      <c r="H29" s="74"/>
      <c r="I29" s="23"/>
      <c r="J29" s="23"/>
      <c r="K29" s="23"/>
      <c r="L29" s="23"/>
      <c r="M29" s="23"/>
      <c r="N29" s="1" t="s">
        <v>137</v>
      </c>
    </row>
    <row r="30" spans="1:14">
      <c r="A30" s="48"/>
      <c r="B30" s="80" t="s">
        <v>140</v>
      </c>
      <c r="C30" s="25" t="s">
        <v>69</v>
      </c>
      <c r="D30" s="24" t="s">
        <v>190</v>
      </c>
      <c r="E30" s="23" t="str">
        <f t="shared" si="1"/>
        <v>negative_spot.variable_costs_in</v>
      </c>
      <c r="F30" s="73">
        <v>0</v>
      </c>
      <c r="G30" s="73">
        <f>F30</f>
        <v>0</v>
      </c>
      <c r="H30" s="75"/>
      <c r="I30" s="23"/>
      <c r="J30" s="23"/>
      <c r="K30" s="23"/>
      <c r="L30" s="23"/>
      <c r="M30" s="23"/>
    </row>
    <row r="31" spans="1:14">
      <c r="A31" s="48"/>
      <c r="B31" s="80" t="s">
        <v>140</v>
      </c>
      <c r="C31" s="25" t="s">
        <v>68</v>
      </c>
      <c r="D31" s="24" t="s">
        <v>190</v>
      </c>
      <c r="E31" s="23" t="str">
        <f t="shared" si="1"/>
        <v>spot_to_flex.variable_costs_in</v>
      </c>
      <c r="F31" s="73">
        <v>0</v>
      </c>
      <c r="G31" s="73">
        <f>F31</f>
        <v>0</v>
      </c>
      <c r="H31" s="75"/>
      <c r="I31" s="23">
        <v>10</v>
      </c>
      <c r="J31" s="23"/>
      <c r="K31" s="23"/>
      <c r="L31" s="23"/>
      <c r="M31" s="23"/>
    </row>
    <row r="32" spans="1:14">
      <c r="A32" s="48"/>
      <c r="B32" s="80" t="s">
        <v>140</v>
      </c>
      <c r="C32" s="25" t="s">
        <v>0</v>
      </c>
      <c r="D32" s="24" t="s">
        <v>190</v>
      </c>
      <c r="E32" s="23" t="str">
        <f t="shared" si="1"/>
        <v>ptg.variable_costs_in</v>
      </c>
      <c r="F32" s="72">
        <f>SUM(F117:F124)*1000</f>
        <v>109.351</v>
      </c>
      <c r="G32" s="72">
        <v>0</v>
      </c>
      <c r="H32" s="74"/>
      <c r="I32" s="23">
        <v>40</v>
      </c>
      <c r="J32" s="23"/>
      <c r="K32" s="23"/>
      <c r="L32" s="23"/>
      <c r="M32" s="23"/>
    </row>
    <row r="33" spans="1:14">
      <c r="A33" s="48"/>
      <c r="B33" s="80" t="s">
        <v>140</v>
      </c>
      <c r="C33" s="25" t="s">
        <v>0</v>
      </c>
      <c r="D33" s="24" t="s">
        <v>191</v>
      </c>
      <c r="E33" s="23" t="str">
        <f t="shared" si="1"/>
        <v>ptg.variable_costs_out</v>
      </c>
      <c r="F33" s="72">
        <f>VLOOKUP($E131,'Year Selection'!$E:$N,'Year Selection'!$F$4+1,0)</f>
        <v>29.11</v>
      </c>
      <c r="G33" s="72">
        <f>VLOOKUP($E131,'Year Selection'!$E:$N,'Year Selection'!$F$4+1,0)</f>
        <v>29.11</v>
      </c>
      <c r="H33" s="74"/>
      <c r="I33" s="23"/>
      <c r="J33" s="23"/>
      <c r="K33" s="23"/>
      <c r="L33" s="23"/>
      <c r="M33" s="23"/>
    </row>
    <row r="34" spans="1:14">
      <c r="A34" s="48"/>
      <c r="B34" s="80"/>
      <c r="C34" s="25"/>
      <c r="D34" s="24"/>
      <c r="E34" s="23"/>
      <c r="F34" s="72"/>
      <c r="G34" s="72">
        <f>F34</f>
        <v>0</v>
      </c>
      <c r="H34" s="74"/>
      <c r="I34" s="23"/>
      <c r="J34" s="23"/>
      <c r="K34" s="23"/>
      <c r="L34" s="23"/>
      <c r="M34" s="23"/>
    </row>
    <row r="35" spans="1:14">
      <c r="A35" s="48"/>
      <c r="B35" s="80" t="s">
        <v>140</v>
      </c>
      <c r="C35" s="25" t="s">
        <v>67</v>
      </c>
      <c r="D35" s="24" t="s">
        <v>190</v>
      </c>
      <c r="E35" s="23" t="str">
        <f>C35&amp;"."&amp;D35</f>
        <v>pv_using.variable_costs_in</v>
      </c>
      <c r="F35" s="72">
        <v>-40</v>
      </c>
      <c r="G35" s="72">
        <f>F35</f>
        <v>-40</v>
      </c>
      <c r="H35" s="74"/>
      <c r="I35" s="23"/>
      <c r="J35" s="23"/>
      <c r="K35" s="23"/>
      <c r="L35" s="23"/>
      <c r="M35" s="23"/>
      <c r="N35" s="1" t="s">
        <v>137</v>
      </c>
    </row>
    <row r="36" spans="1:14">
      <c r="A36" s="48"/>
      <c r="B36" s="80" t="s">
        <v>140</v>
      </c>
      <c r="C36" s="25" t="s">
        <v>66</v>
      </c>
      <c r="D36" s="24" t="s">
        <v>190</v>
      </c>
      <c r="E36" s="23" t="str">
        <f>C36&amp;"."&amp;D36</f>
        <v>pv_curtailment.variable_costs_in</v>
      </c>
      <c r="F36" s="72">
        <v>-40</v>
      </c>
      <c r="G36" s="72">
        <f>F36</f>
        <v>-40</v>
      </c>
      <c r="H36" s="74"/>
      <c r="I36" s="23"/>
      <c r="J36" s="23"/>
      <c r="K36" s="23"/>
      <c r="L36" s="23"/>
      <c r="M36" s="23"/>
      <c r="N36" s="1" t="s">
        <v>137</v>
      </c>
    </row>
    <row r="37" spans="1:14">
      <c r="A37" s="48"/>
      <c r="B37" s="80" t="s">
        <v>140</v>
      </c>
      <c r="C37" s="25" t="s">
        <v>65</v>
      </c>
      <c r="D37" s="24" t="s">
        <v>190</v>
      </c>
      <c r="E37" s="23" t="str">
        <f>C37&amp;"."&amp;D37</f>
        <v>pv_neg_spot.variable_costs_in</v>
      </c>
      <c r="F37" s="74">
        <v>-40</v>
      </c>
      <c r="G37" s="72">
        <f>F37</f>
        <v>-40</v>
      </c>
      <c r="H37" s="74"/>
      <c r="I37" s="23"/>
      <c r="J37" s="23"/>
      <c r="K37" s="23"/>
      <c r="L37" s="23"/>
      <c r="M37" s="23"/>
      <c r="N37" s="1" t="s">
        <v>137</v>
      </c>
    </row>
    <row r="38" spans="1:14">
      <c r="A38" s="48"/>
      <c r="B38" s="80"/>
      <c r="C38" s="25"/>
      <c r="D38" s="24"/>
      <c r="E38" s="23"/>
      <c r="F38" s="74"/>
      <c r="G38" s="72"/>
      <c r="H38" s="74"/>
      <c r="I38" s="23"/>
      <c r="J38" s="23"/>
      <c r="K38" s="23"/>
      <c r="L38" s="23"/>
      <c r="M38" s="23"/>
    </row>
    <row r="39" spans="1:14">
      <c r="A39" s="48"/>
      <c r="B39" s="80" t="s">
        <v>140</v>
      </c>
      <c r="C39" s="25" t="s">
        <v>218</v>
      </c>
      <c r="D39" s="25" t="s">
        <v>190</v>
      </c>
      <c r="E39" s="23" t="str">
        <f>C39&amp;"."&amp;D39</f>
        <v>dist_heat_eff_pr.variable_costs_in</v>
      </c>
      <c r="F39" s="74">
        <v>0</v>
      </c>
      <c r="G39" s="72"/>
      <c r="H39" s="74"/>
      <c r="I39" s="23"/>
      <c r="J39" s="23"/>
      <c r="K39" s="23"/>
      <c r="L39" s="23"/>
      <c r="M39" s="23"/>
    </row>
    <row r="40" spans="1:14">
      <c r="A40" s="48"/>
      <c r="B40" s="80" t="s">
        <v>140</v>
      </c>
      <c r="C40" s="25" t="s">
        <v>218</v>
      </c>
      <c r="D40" s="25" t="s">
        <v>191</v>
      </c>
      <c r="E40" s="23" t="str">
        <f>C40&amp;"."&amp;D40</f>
        <v>dist_heat_eff_pr.variable_costs_out</v>
      </c>
      <c r="F40" s="74">
        <v>0</v>
      </c>
      <c r="G40" s="72"/>
      <c r="H40" s="74"/>
      <c r="I40" s="23"/>
      <c r="J40" s="23"/>
      <c r="K40" s="23"/>
      <c r="L40" s="23"/>
      <c r="M40" s="23"/>
    </row>
    <row r="41" spans="1:14">
      <c r="A41" s="48"/>
      <c r="B41" s="80"/>
      <c r="C41" s="25"/>
      <c r="D41" s="25"/>
      <c r="E41" s="23"/>
      <c r="F41" s="74"/>
      <c r="G41" s="72"/>
      <c r="H41" s="74"/>
      <c r="I41" s="23"/>
      <c r="J41" s="23"/>
      <c r="K41" s="23"/>
      <c r="L41" s="23"/>
      <c r="M41" s="23"/>
    </row>
    <row r="42" spans="1:14">
      <c r="A42" s="48"/>
      <c r="B42" s="80" t="s">
        <v>140</v>
      </c>
      <c r="C42" s="25" t="s">
        <v>219</v>
      </c>
      <c r="D42" s="25" t="s">
        <v>190</v>
      </c>
      <c r="E42" s="23" t="str">
        <f>C42&amp;"."&amp;D42</f>
        <v>dist_heat_eff_sch.variable_costs_in</v>
      </c>
      <c r="F42" s="74">
        <v>0</v>
      </c>
      <c r="G42" s="72"/>
      <c r="H42" s="74"/>
      <c r="I42" s="23"/>
      <c r="J42" s="23"/>
      <c r="K42" s="23"/>
      <c r="L42" s="23"/>
      <c r="M42" s="23"/>
    </row>
    <row r="43" spans="1:14">
      <c r="A43" s="48"/>
      <c r="B43" s="80" t="s">
        <v>140</v>
      </c>
      <c r="C43" s="25" t="s">
        <v>219</v>
      </c>
      <c r="D43" s="25" t="s">
        <v>191</v>
      </c>
      <c r="E43" s="23" t="str">
        <f>C43&amp;"."&amp;D43</f>
        <v>dist_heat_eff_sch.variable_costs_out</v>
      </c>
      <c r="F43" s="74">
        <v>0</v>
      </c>
      <c r="G43" s="72"/>
      <c r="H43" s="74"/>
      <c r="I43" s="23"/>
      <c r="J43" s="23"/>
      <c r="K43" s="23"/>
      <c r="L43" s="23"/>
      <c r="M43" s="23"/>
    </row>
    <row r="44" spans="1:14">
      <c r="A44" s="48"/>
      <c r="B44" s="80"/>
      <c r="C44" s="25"/>
      <c r="D44" s="25"/>
      <c r="E44" s="23"/>
      <c r="F44" s="74"/>
      <c r="G44" s="72"/>
      <c r="H44" s="74"/>
      <c r="I44" s="23"/>
      <c r="J44" s="23"/>
      <c r="K44" s="23"/>
      <c r="L44" s="23"/>
      <c r="M44" s="23"/>
    </row>
    <row r="45" spans="1:14" ht="12.75" customHeight="1">
      <c r="A45" s="57"/>
      <c r="B45" s="80" t="s">
        <v>133</v>
      </c>
      <c r="C45" s="25" t="s">
        <v>131</v>
      </c>
      <c r="D45" s="24" t="s">
        <v>152</v>
      </c>
      <c r="E45" s="23" t="str">
        <f>C45&amp;"."&amp;D45</f>
        <v>chp_sch.LP (+KP) für Netznutzung</v>
      </c>
      <c r="F45" s="72">
        <f>SUM(F$139:F$140)</f>
        <v>19440</v>
      </c>
      <c r="G45" s="72">
        <f>F45</f>
        <v>19440</v>
      </c>
      <c r="H45" s="76"/>
      <c r="I45" s="23"/>
      <c r="J45" s="23"/>
      <c r="K45" s="23"/>
      <c r="L45" s="23"/>
      <c r="M45" s="23"/>
    </row>
    <row r="46" spans="1:14" ht="12.75" customHeight="1">
      <c r="A46" s="57"/>
      <c r="B46" s="80" t="s">
        <v>133</v>
      </c>
      <c r="C46" s="25" t="s">
        <v>132</v>
      </c>
      <c r="D46" s="24" t="s">
        <v>152</v>
      </c>
      <c r="E46" s="23" t="str">
        <f>C46&amp;"."&amp;D46</f>
        <v>chp_pr.LP (+KP) für Netznutzung</v>
      </c>
      <c r="F46" s="72">
        <f>SUM(F$139:F$140)</f>
        <v>19440</v>
      </c>
      <c r="G46" s="72">
        <f>F46</f>
        <v>19440</v>
      </c>
      <c r="H46" s="76"/>
      <c r="I46" s="23"/>
      <c r="J46" s="23"/>
      <c r="K46" s="23"/>
      <c r="L46" s="23"/>
      <c r="M46" s="23"/>
    </row>
    <row r="47" spans="1:14" ht="12.75" customHeight="1">
      <c r="A47" s="57"/>
      <c r="B47" s="80"/>
      <c r="C47" s="25"/>
      <c r="D47" s="24"/>
      <c r="E47" s="23"/>
      <c r="F47" s="72"/>
      <c r="G47" s="72"/>
      <c r="H47" s="76"/>
      <c r="I47" s="23"/>
      <c r="J47" s="23"/>
      <c r="K47" s="23"/>
      <c r="L47" s="23"/>
      <c r="M47" s="23"/>
    </row>
    <row r="48" spans="1:14" ht="12.75" customHeight="1">
      <c r="A48" s="57"/>
      <c r="B48" s="80"/>
      <c r="C48" s="25"/>
      <c r="D48" s="24"/>
      <c r="E48" s="23"/>
      <c r="F48" s="72"/>
      <c r="G48" s="72"/>
      <c r="H48" s="76"/>
      <c r="I48" s="23"/>
      <c r="J48" s="23"/>
      <c r="K48" s="23"/>
      <c r="L48" s="23"/>
      <c r="M48" s="23"/>
    </row>
    <row r="49" spans="1:14" ht="12.75" customHeight="1">
      <c r="A49" s="57"/>
      <c r="B49" s="80" t="s">
        <v>133</v>
      </c>
      <c r="C49" s="50" t="s">
        <v>203</v>
      </c>
      <c r="D49" s="24" t="s">
        <v>152</v>
      </c>
      <c r="E49" s="23" t="str">
        <f t="shared" ref="E49:E54" si="2">C49&amp;"."&amp;D49</f>
        <v>chp_pr_gas_1.LP (+KP) für Netznutzung</v>
      </c>
      <c r="F49" s="72">
        <f t="shared" ref="F49:F54" si="3">SUM(F$139:F$140)</f>
        <v>19440</v>
      </c>
      <c r="G49" s="72"/>
      <c r="H49" s="76"/>
      <c r="I49" s="23"/>
      <c r="J49" s="23"/>
      <c r="K49" s="23"/>
      <c r="L49" s="23"/>
      <c r="M49" s="23"/>
    </row>
    <row r="50" spans="1:14" ht="12.75" customHeight="1">
      <c r="A50" s="57"/>
      <c r="B50" s="80" t="s">
        <v>133</v>
      </c>
      <c r="C50" s="50" t="s">
        <v>204</v>
      </c>
      <c r="D50" s="24" t="s">
        <v>152</v>
      </c>
      <c r="E50" s="23" t="str">
        <f t="shared" si="2"/>
        <v>chp_pr_gas_2.LP (+KP) für Netznutzung</v>
      </c>
      <c r="F50" s="72">
        <f t="shared" si="3"/>
        <v>19440</v>
      </c>
      <c r="G50" s="72"/>
      <c r="H50" s="76"/>
      <c r="I50" s="23"/>
      <c r="J50" s="23"/>
      <c r="K50" s="23"/>
      <c r="L50" s="23"/>
      <c r="M50" s="23"/>
    </row>
    <row r="51" spans="1:14" ht="12.75" customHeight="1">
      <c r="A51" s="57"/>
      <c r="B51" s="80" t="s">
        <v>133</v>
      </c>
      <c r="C51" s="50" t="s">
        <v>207</v>
      </c>
      <c r="D51" s="24" t="s">
        <v>152</v>
      </c>
      <c r="E51" s="23" t="str">
        <f t="shared" si="2"/>
        <v>chp_sch_kuhheide.LP (+KP) für Netznutzung</v>
      </c>
      <c r="F51" s="72">
        <f t="shared" si="3"/>
        <v>19440</v>
      </c>
      <c r="G51" s="72"/>
      <c r="H51" s="76"/>
      <c r="I51" s="23"/>
      <c r="J51" s="23"/>
      <c r="K51" s="23"/>
      <c r="L51" s="23"/>
      <c r="M51" s="23"/>
    </row>
    <row r="52" spans="1:14" ht="12.75" customHeight="1">
      <c r="A52" s="57"/>
      <c r="B52" s="80" t="s">
        <v>133</v>
      </c>
      <c r="C52" s="50" t="s">
        <v>225</v>
      </c>
      <c r="D52" s="24" t="s">
        <v>152</v>
      </c>
      <c r="E52" s="23" t="str">
        <f t="shared" si="2"/>
        <v>chp_sch_m_turbine1.LP (+KP) für Netznutzung</v>
      </c>
      <c r="F52" s="72">
        <f t="shared" si="3"/>
        <v>19440</v>
      </c>
      <c r="G52" s="72"/>
      <c r="H52" s="76"/>
      <c r="I52" s="23"/>
      <c r="J52" s="23"/>
      <c r="K52" s="23"/>
      <c r="L52" s="23"/>
      <c r="M52" s="23"/>
    </row>
    <row r="53" spans="1:14" ht="12.75" customHeight="1">
      <c r="A53" s="57"/>
      <c r="B53" s="80" t="s">
        <v>133</v>
      </c>
      <c r="C53" s="50" t="s">
        <v>226</v>
      </c>
      <c r="D53" s="24" t="s">
        <v>152</v>
      </c>
      <c r="E53" s="23" t="str">
        <f t="shared" si="2"/>
        <v>chp_sch_m_turbine2.LP (+KP) für Netznutzung</v>
      </c>
      <c r="F53" s="72">
        <f t="shared" si="3"/>
        <v>19440</v>
      </c>
      <c r="G53" s="72"/>
      <c r="H53" s="76"/>
      <c r="I53" s="23"/>
      <c r="J53" s="23"/>
      <c r="K53" s="23"/>
      <c r="L53" s="23"/>
      <c r="M53" s="23"/>
    </row>
    <row r="54" spans="1:14" ht="12.75" customHeight="1">
      <c r="A54" s="57"/>
      <c r="B54" s="80" t="s">
        <v>133</v>
      </c>
      <c r="C54" s="50" t="s">
        <v>209</v>
      </c>
      <c r="D54" s="24" t="s">
        <v>152</v>
      </c>
      <c r="E54" s="23" t="str">
        <f t="shared" si="2"/>
        <v>chp_sch_contract.LP (+KP) für Netznutzung</v>
      </c>
      <c r="F54" s="72">
        <f t="shared" si="3"/>
        <v>19440</v>
      </c>
      <c r="G54" s="72"/>
      <c r="H54" s="76"/>
      <c r="I54" s="23"/>
      <c r="J54" s="23"/>
      <c r="K54" s="23"/>
      <c r="L54" s="23"/>
      <c r="M54" s="23"/>
    </row>
    <row r="55" spans="1:14" ht="12.75" customHeight="1">
      <c r="A55" s="57"/>
      <c r="B55" s="80"/>
      <c r="C55" s="50"/>
      <c r="D55" s="24"/>
      <c r="E55" s="23"/>
      <c r="F55" s="72"/>
      <c r="G55" s="72"/>
      <c r="H55" s="76"/>
      <c r="I55" s="23"/>
      <c r="J55" s="23"/>
      <c r="K55" s="23"/>
      <c r="L55" s="23"/>
      <c r="M55" s="23"/>
    </row>
    <row r="56" spans="1:14" ht="12.75" customHeight="1">
      <c r="A56" s="57"/>
      <c r="B56" s="80"/>
      <c r="C56" s="25"/>
      <c r="D56" s="24"/>
      <c r="E56" s="23"/>
      <c r="F56" s="72"/>
      <c r="G56" s="72"/>
      <c r="H56" s="76"/>
      <c r="I56" s="23"/>
      <c r="J56" s="23"/>
      <c r="K56" s="23"/>
      <c r="L56" s="23"/>
      <c r="M56" s="23"/>
    </row>
    <row r="57" spans="1:14" ht="12.75" customHeight="1">
      <c r="A57" s="57"/>
      <c r="B57" s="80"/>
      <c r="C57" s="25"/>
      <c r="D57" s="24"/>
      <c r="E57" s="23"/>
      <c r="F57" s="72"/>
      <c r="G57" s="72"/>
      <c r="H57" s="76"/>
      <c r="I57" s="23"/>
      <c r="J57" s="23"/>
      <c r="K57" s="23"/>
      <c r="L57" s="23"/>
      <c r="M57" s="23"/>
    </row>
    <row r="58" spans="1:14" ht="12.75" customHeight="1">
      <c r="A58" s="57"/>
      <c r="B58" s="80"/>
      <c r="C58" s="25"/>
      <c r="D58" s="24"/>
      <c r="E58" s="23"/>
      <c r="F58" s="72"/>
      <c r="G58" s="72"/>
      <c r="H58" s="76"/>
      <c r="I58" s="23"/>
      <c r="J58" s="23"/>
      <c r="K58" s="23"/>
      <c r="L58" s="23"/>
      <c r="M58" s="23"/>
    </row>
    <row r="59" spans="1:14" ht="12.75" customHeight="1">
      <c r="A59" s="57"/>
      <c r="B59" s="80"/>
      <c r="C59" s="25"/>
      <c r="D59" s="24"/>
      <c r="E59" s="23"/>
      <c r="F59" s="72"/>
      <c r="G59" s="72"/>
      <c r="H59" s="76"/>
      <c r="I59" s="23"/>
      <c r="J59" s="23"/>
      <c r="K59" s="23"/>
      <c r="L59" s="23"/>
      <c r="M59" s="23"/>
    </row>
    <row r="60" spans="1:14">
      <c r="A60" s="57"/>
      <c r="B60" s="42"/>
      <c r="C60" s="25"/>
      <c r="D60" s="24"/>
      <c r="E60" s="23"/>
      <c r="F60" s="74"/>
      <c r="G60" s="72">
        <f>F60</f>
        <v>0</v>
      </c>
      <c r="H60" s="23"/>
      <c r="I60" s="23"/>
      <c r="J60" s="23"/>
      <c r="K60" s="23"/>
      <c r="L60" s="23"/>
      <c r="M60" s="23"/>
    </row>
    <row r="61" spans="1:14" ht="12.75" customHeight="1">
      <c r="A61" s="57"/>
      <c r="B61" s="80" t="s">
        <v>133</v>
      </c>
      <c r="C61" s="25" t="s">
        <v>131</v>
      </c>
      <c r="D61" s="24" t="s">
        <v>191</v>
      </c>
      <c r="E61" s="23" t="str">
        <f>C61&amp;"."&amp;D61</f>
        <v>chp_sch.variable_costs_out</v>
      </c>
      <c r="F61" s="72">
        <f>VLOOKUP($E61,'Year Selection'!$E:$M,'Year Selection'!$F$4+1,0)</f>
        <v>-7</v>
      </c>
      <c r="G61" s="72">
        <f>F61</f>
        <v>-7</v>
      </c>
      <c r="H61" s="76"/>
      <c r="I61" s="23"/>
      <c r="J61" s="23"/>
      <c r="K61" s="23"/>
      <c r="L61" s="23"/>
      <c r="M61" s="23"/>
      <c r="N61" s="1" t="s">
        <v>193</v>
      </c>
    </row>
    <row r="62" spans="1:14">
      <c r="A62" s="57"/>
      <c r="B62" s="80" t="s">
        <v>133</v>
      </c>
      <c r="C62" s="25" t="s">
        <v>132</v>
      </c>
      <c r="D62" s="24" t="s">
        <v>191</v>
      </c>
      <c r="E62" s="23" t="str">
        <f>C62&amp;"."&amp;D62</f>
        <v>chp_pr.variable_costs_out</v>
      </c>
      <c r="F62" s="72">
        <f>VLOOKUP($E62,'Year Selection'!$E:$M,'Year Selection'!$F$4+1,0)</f>
        <v>-2.7619047619047965</v>
      </c>
      <c r="G62" s="72">
        <f>F62</f>
        <v>-2.7619047619047965</v>
      </c>
      <c r="H62" s="76"/>
      <c r="I62" s="23"/>
      <c r="J62" s="23"/>
      <c r="K62" s="23"/>
      <c r="L62" s="23"/>
      <c r="M62" s="23"/>
      <c r="N62" s="1" t="s">
        <v>193</v>
      </c>
    </row>
    <row r="63" spans="1:14">
      <c r="A63" s="57"/>
      <c r="B63" s="80" t="s">
        <v>133</v>
      </c>
      <c r="C63" s="25" t="s">
        <v>200</v>
      </c>
      <c r="D63" s="24" t="s">
        <v>191</v>
      </c>
      <c r="E63" s="23" t="str">
        <f t="shared" ref="E63:E74" si="4">C63&amp;"."&amp;D63</f>
        <v>chp_pr_biogas.variable_costs_out</v>
      </c>
      <c r="F63" s="72">
        <f>VLOOKUP($E63,'Year Selection'!$E:$M,'Year Selection'!$F$4+1,0)</f>
        <v>-10.333333333333334</v>
      </c>
      <c r="G63" s="72"/>
      <c r="H63" s="76"/>
      <c r="I63" s="23"/>
      <c r="J63" s="23"/>
      <c r="K63" s="23"/>
      <c r="L63" s="23"/>
      <c r="M63" s="23"/>
    </row>
    <row r="64" spans="1:14">
      <c r="A64" s="57"/>
      <c r="B64" s="80" t="s">
        <v>133</v>
      </c>
      <c r="C64" s="25" t="s">
        <v>201</v>
      </c>
      <c r="D64" s="24" t="s">
        <v>191</v>
      </c>
      <c r="E64" s="23" t="str">
        <f t="shared" si="4"/>
        <v>chp_pr_klgas.variable_costs_out</v>
      </c>
      <c r="F64" s="72">
        <f>VLOOKUP($E64,'Year Selection'!$E:$M,'Year Selection'!$F$4+1,0)</f>
        <v>-3.6666666666666679</v>
      </c>
      <c r="G64" s="72"/>
      <c r="H64" s="76"/>
      <c r="I64" s="23"/>
      <c r="J64" s="23"/>
      <c r="K64" s="23"/>
      <c r="L64" s="23"/>
      <c r="M64" s="23"/>
    </row>
    <row r="65" spans="1:13">
      <c r="A65" s="57"/>
      <c r="B65" s="80" t="s">
        <v>133</v>
      </c>
      <c r="C65" s="25" t="s">
        <v>202</v>
      </c>
      <c r="D65" s="24" t="s">
        <v>191</v>
      </c>
      <c r="E65" s="23" t="str">
        <f t="shared" si="4"/>
        <v>chp_pr_biogas_h2.variable_costs_out</v>
      </c>
      <c r="F65" s="72">
        <f>VLOOKUP($E65,'Year Selection'!$E:$M,'Year Selection'!$F$4+1,0)</f>
        <v>-4.6666666666666661</v>
      </c>
      <c r="G65" s="72"/>
      <c r="H65" s="76"/>
      <c r="I65" s="23"/>
      <c r="J65" s="23"/>
      <c r="K65" s="23"/>
      <c r="L65" s="23"/>
      <c r="M65" s="23"/>
    </row>
    <row r="66" spans="1:13">
      <c r="A66" s="57"/>
      <c r="B66" s="80" t="s">
        <v>133</v>
      </c>
      <c r="C66" s="25" t="s">
        <v>203</v>
      </c>
      <c r="D66" s="24" t="s">
        <v>191</v>
      </c>
      <c r="E66" s="23" t="str">
        <f t="shared" si="4"/>
        <v>chp_pr_gas_1.variable_costs_out</v>
      </c>
      <c r="F66" s="72">
        <f>VLOOKUP($E66,'Year Selection'!$E:$M,'Year Selection'!$F$4+1,0)</f>
        <v>3.3333333333333321</v>
      </c>
      <c r="G66" s="72"/>
      <c r="H66" s="76"/>
      <c r="I66" s="23"/>
      <c r="J66" s="23"/>
      <c r="K66" s="23"/>
      <c r="L66" s="23"/>
      <c r="M66" s="23"/>
    </row>
    <row r="67" spans="1:13">
      <c r="A67" s="57"/>
      <c r="B67" s="80" t="s">
        <v>133</v>
      </c>
      <c r="C67" s="25" t="s">
        <v>204</v>
      </c>
      <c r="D67" s="24" t="s">
        <v>191</v>
      </c>
      <c r="E67" s="23" t="str">
        <f t="shared" si="4"/>
        <v>chp_pr_gas_2.variable_costs_out</v>
      </c>
      <c r="F67" s="72">
        <f>VLOOKUP($E67,'Year Selection'!$E:$M,'Year Selection'!$F$4+1,0)</f>
        <v>-3.6666666666666661</v>
      </c>
      <c r="G67" s="72"/>
      <c r="H67" s="76"/>
      <c r="I67" s="23"/>
      <c r="J67" s="23"/>
      <c r="K67" s="23"/>
      <c r="L67" s="23"/>
      <c r="M67" s="23"/>
    </row>
    <row r="68" spans="1:13">
      <c r="A68" s="57"/>
      <c r="B68" s="80" t="s">
        <v>133</v>
      </c>
      <c r="C68" s="25" t="s">
        <v>205</v>
      </c>
      <c r="D68" s="24" t="s">
        <v>191</v>
      </c>
      <c r="E68" s="23" t="str">
        <f t="shared" si="4"/>
        <v>chp_sch_raff.variable_costs_out</v>
      </c>
      <c r="F68" s="72">
        <f>VLOOKUP($E68,'Year Selection'!$E:$M,'Year Selection'!$F$4+1,0)</f>
        <v>-10.333333333333334</v>
      </c>
      <c r="G68" s="72"/>
      <c r="H68" s="76"/>
      <c r="I68" s="23"/>
      <c r="J68" s="23"/>
      <c r="K68" s="23"/>
      <c r="L68" s="23"/>
      <c r="M68" s="23"/>
    </row>
    <row r="69" spans="1:13">
      <c r="A69" s="57"/>
      <c r="B69" s="80" t="s">
        <v>133</v>
      </c>
      <c r="C69" s="25" t="s">
        <v>206</v>
      </c>
      <c r="D69" s="24" t="s">
        <v>191</v>
      </c>
      <c r="E69" s="23" t="str">
        <f t="shared" si="4"/>
        <v>chp_sch_waste.variable_costs_out</v>
      </c>
      <c r="F69" s="72">
        <f>VLOOKUP($E69,'Year Selection'!$E:$M,'Year Selection'!$F$4+1,0)</f>
        <v>-10.333333333333334</v>
      </c>
      <c r="G69" s="72"/>
      <c r="H69" s="76"/>
      <c r="I69" s="23"/>
      <c r="J69" s="23"/>
      <c r="K69" s="23"/>
      <c r="L69" s="23"/>
      <c r="M69" s="23"/>
    </row>
    <row r="70" spans="1:13">
      <c r="A70" s="57"/>
      <c r="B70" s="80" t="s">
        <v>133</v>
      </c>
      <c r="C70" s="25" t="s">
        <v>207</v>
      </c>
      <c r="D70" s="24" t="s">
        <v>191</v>
      </c>
      <c r="E70" s="23" t="str">
        <f t="shared" si="4"/>
        <v>chp_sch_kuhheide.variable_costs_out</v>
      </c>
      <c r="F70" s="72">
        <f>VLOOKUP($E70,'Year Selection'!$E:$M,'Year Selection'!$F$4+1,0)</f>
        <v>-2</v>
      </c>
      <c r="G70" s="72"/>
      <c r="H70" s="76"/>
      <c r="I70" s="23"/>
      <c r="J70" s="23"/>
      <c r="K70" s="23"/>
      <c r="L70" s="23"/>
      <c r="M70" s="23"/>
    </row>
    <row r="71" spans="1:13">
      <c r="A71" s="57"/>
      <c r="B71" s="80" t="s">
        <v>133</v>
      </c>
      <c r="C71" s="25" t="s">
        <v>225</v>
      </c>
      <c r="D71" s="24" t="s">
        <v>191</v>
      </c>
      <c r="E71" s="23" t="str">
        <f>C71&amp;"."&amp;D71</f>
        <v>chp_sch_m_turbine1.variable_costs_out</v>
      </c>
      <c r="F71" s="72">
        <f>VLOOKUP($E71,'Year Selection'!$E:$M,'Year Selection'!$F$4+1,0)</f>
        <v>-3.6666666666666679</v>
      </c>
      <c r="G71" s="72"/>
      <c r="H71" s="76"/>
      <c r="I71" s="23"/>
      <c r="J71" s="23"/>
      <c r="K71" s="23"/>
      <c r="L71" s="23"/>
      <c r="M71" s="23"/>
    </row>
    <row r="72" spans="1:13">
      <c r="A72" s="57"/>
      <c r="B72" s="80" t="s">
        <v>133</v>
      </c>
      <c r="C72" s="25" t="s">
        <v>226</v>
      </c>
      <c r="D72" s="24" t="s">
        <v>191</v>
      </c>
      <c r="E72" s="23" t="str">
        <f t="shared" si="4"/>
        <v>chp_sch_m_turbine2.variable_costs_out</v>
      </c>
      <c r="F72" s="72">
        <f>VLOOKUP($E72,'Year Selection'!$E:$M,'Year Selection'!$F$4+1,0)</f>
        <v>-3.6666666666666679</v>
      </c>
      <c r="G72" s="72"/>
      <c r="H72" s="76"/>
      <c r="I72" s="23"/>
      <c r="J72" s="23"/>
      <c r="K72" s="23"/>
      <c r="L72" s="23"/>
      <c r="M72" s="23"/>
    </row>
    <row r="73" spans="1:13">
      <c r="A73" s="57"/>
      <c r="B73" s="80" t="s">
        <v>133</v>
      </c>
      <c r="C73" s="25" t="s">
        <v>209</v>
      </c>
      <c r="D73" s="24" t="s">
        <v>191</v>
      </c>
      <c r="E73" s="23" t="str">
        <f t="shared" si="4"/>
        <v>chp_sch_contract.variable_costs_out</v>
      </c>
      <c r="F73" s="72">
        <f>VLOOKUP($E73,'Year Selection'!$E:$M,'Year Selection'!$F$4+1,0)</f>
        <v>2.6666666666666661</v>
      </c>
      <c r="G73" s="72"/>
      <c r="H73" s="76"/>
      <c r="I73" s="23"/>
      <c r="J73" s="23"/>
      <c r="K73" s="23"/>
      <c r="L73" s="23"/>
      <c r="M73" s="23"/>
    </row>
    <row r="74" spans="1:13">
      <c r="A74" s="57"/>
      <c r="B74" s="80"/>
      <c r="C74" s="25" t="s">
        <v>208</v>
      </c>
      <c r="D74" s="24" t="s">
        <v>191</v>
      </c>
      <c r="E74" s="23" t="str">
        <f t="shared" si="4"/>
        <v>chp_sch_m_turbine.variable_costs_out</v>
      </c>
      <c r="F74" s="72">
        <f>VLOOKUP($E74,'Year Selection'!$E:$M,'Year Selection'!$F$4+1,0)</f>
        <v>-3.6666666666666679</v>
      </c>
      <c r="G74" s="72"/>
      <c r="H74" s="76"/>
      <c r="I74" s="23"/>
      <c r="J74" s="23"/>
      <c r="K74" s="23"/>
      <c r="L74" s="23"/>
      <c r="M74" s="23"/>
    </row>
    <row r="75" spans="1:13">
      <c r="A75" s="57"/>
      <c r="B75" s="80"/>
      <c r="C75" s="25" t="s">
        <v>132</v>
      </c>
      <c r="D75" s="24" t="s">
        <v>190</v>
      </c>
      <c r="E75" s="23" t="str">
        <f>C75&amp;"."&amp;D75</f>
        <v>chp_pr.variable_costs_in</v>
      </c>
      <c r="F75" s="72">
        <f>$F$133+$F$137+$F$138</f>
        <v>2.64</v>
      </c>
      <c r="G75" s="72"/>
      <c r="H75" s="76"/>
      <c r="I75" s="23"/>
      <c r="J75" s="23"/>
      <c r="K75" s="23"/>
      <c r="L75" s="23"/>
      <c r="M75" s="23"/>
    </row>
    <row r="76" spans="1:13">
      <c r="A76" s="57"/>
      <c r="B76" s="80"/>
      <c r="C76" s="25" t="s">
        <v>131</v>
      </c>
      <c r="D76" s="24" t="s">
        <v>190</v>
      </c>
      <c r="E76" s="23" t="str">
        <f>C76&amp;"."&amp;D76</f>
        <v>chp_sch.variable_costs_in</v>
      </c>
      <c r="F76" s="72">
        <f>$F$134+$F$137+$F$138</f>
        <v>3.39</v>
      </c>
      <c r="G76" s="72"/>
      <c r="H76" s="76"/>
      <c r="I76" s="23"/>
      <c r="J76" s="23"/>
      <c r="K76" s="23"/>
      <c r="L76" s="23"/>
      <c r="M76" s="23"/>
    </row>
    <row r="77" spans="1:13">
      <c r="A77" s="57"/>
      <c r="B77" s="80"/>
      <c r="C77" s="25"/>
      <c r="D77" s="24"/>
      <c r="E77" s="23"/>
      <c r="F77" s="72"/>
      <c r="G77" s="72"/>
      <c r="H77" s="76"/>
      <c r="I77" s="23"/>
      <c r="J77" s="23"/>
      <c r="K77" s="23"/>
      <c r="L77" s="23"/>
      <c r="M77" s="23"/>
    </row>
    <row r="78" spans="1:13">
      <c r="A78" s="57"/>
      <c r="B78" s="80"/>
      <c r="C78" s="25" t="s">
        <v>203</v>
      </c>
      <c r="D78" s="24" t="s">
        <v>190</v>
      </c>
      <c r="E78" s="23" t="str">
        <f>C78&amp;"."&amp;D78</f>
        <v>chp_pr_gas_1.variable_costs_in</v>
      </c>
      <c r="F78" s="72">
        <f>$F$133+$F$138</f>
        <v>1.24</v>
      </c>
      <c r="G78" s="72"/>
      <c r="H78" s="76"/>
      <c r="I78" s="23"/>
      <c r="J78" s="23"/>
      <c r="K78" s="23"/>
      <c r="L78" s="23"/>
      <c r="M78" s="23"/>
    </row>
    <row r="79" spans="1:13">
      <c r="A79" s="57"/>
      <c r="B79" s="80"/>
      <c r="C79" s="25" t="s">
        <v>204</v>
      </c>
      <c r="D79" s="24" t="s">
        <v>190</v>
      </c>
      <c r="E79" s="23" t="str">
        <f>C79&amp;"."&amp;D79</f>
        <v>chp_pr_gas_2.variable_costs_in</v>
      </c>
      <c r="F79" s="72">
        <f>$F$133+$F$138</f>
        <v>1.24</v>
      </c>
      <c r="G79" s="72"/>
      <c r="H79" s="76"/>
      <c r="I79" s="23"/>
      <c r="J79" s="23"/>
      <c r="K79" s="23"/>
      <c r="L79" s="23"/>
      <c r="M79" s="23"/>
    </row>
    <row r="80" spans="1:13">
      <c r="A80" s="57"/>
      <c r="B80" s="80"/>
      <c r="C80" s="25"/>
      <c r="D80" s="24"/>
      <c r="E80" s="23"/>
      <c r="F80" s="72"/>
      <c r="G80" s="72"/>
      <c r="H80" s="76"/>
      <c r="I80" s="23"/>
      <c r="J80" s="23"/>
      <c r="K80" s="23"/>
      <c r="L80" s="23"/>
      <c r="M80" s="23"/>
    </row>
    <row r="81" spans="1:14">
      <c r="A81" s="57"/>
      <c r="B81" s="80"/>
      <c r="C81" s="25"/>
      <c r="D81" s="24"/>
      <c r="E81" s="23"/>
      <c r="F81" s="72"/>
      <c r="G81" s="72"/>
      <c r="H81" s="76"/>
      <c r="I81" s="23"/>
      <c r="J81" s="23"/>
      <c r="K81" s="23"/>
      <c r="L81" s="23"/>
      <c r="M81" s="23"/>
    </row>
    <row r="82" spans="1:14">
      <c r="A82" s="57"/>
      <c r="B82" s="80"/>
      <c r="C82" s="25"/>
      <c r="D82" s="24"/>
      <c r="E82" s="23"/>
      <c r="F82" s="72"/>
      <c r="G82" s="72"/>
      <c r="H82" s="76"/>
      <c r="I82" s="23"/>
      <c r="J82" s="23"/>
      <c r="K82" s="23"/>
      <c r="L82" s="23"/>
      <c r="M82" s="23"/>
    </row>
    <row r="83" spans="1:14">
      <c r="A83" s="57"/>
      <c r="B83" s="80"/>
      <c r="C83" s="25" t="s">
        <v>207</v>
      </c>
      <c r="D83" s="24" t="s">
        <v>190</v>
      </c>
      <c r="E83" s="23" t="str">
        <f>C83&amp;"."&amp;D83</f>
        <v>chp_sch_kuhheide.variable_costs_in</v>
      </c>
      <c r="F83" s="72">
        <f>$F$134+$F$138</f>
        <v>1.99</v>
      </c>
      <c r="G83" s="72"/>
      <c r="H83" s="76"/>
      <c r="I83" s="23"/>
      <c r="J83" s="23"/>
      <c r="K83" s="23"/>
      <c r="L83" s="23"/>
      <c r="M83" s="23"/>
    </row>
    <row r="84" spans="1:14">
      <c r="A84" s="57"/>
      <c r="B84" s="80"/>
      <c r="C84" s="25" t="s">
        <v>225</v>
      </c>
      <c r="D84" s="24" t="s">
        <v>190</v>
      </c>
      <c r="E84" s="23" t="str">
        <f>C84&amp;"."&amp;D84</f>
        <v>chp_sch_m_turbine1.variable_costs_in</v>
      </c>
      <c r="F84" s="72">
        <f>$F$134+$F$138</f>
        <v>1.99</v>
      </c>
      <c r="G84" s="72"/>
      <c r="H84" s="76"/>
      <c r="I84" s="23"/>
      <c r="J84" s="23"/>
      <c r="K84" s="23"/>
      <c r="L84" s="23"/>
      <c r="M84" s="23"/>
    </row>
    <row r="85" spans="1:14">
      <c r="A85" s="57"/>
      <c r="B85" s="80"/>
      <c r="C85" s="25" t="s">
        <v>226</v>
      </c>
      <c r="D85" s="24" t="s">
        <v>190</v>
      </c>
      <c r="E85" s="23" t="str">
        <f>C85&amp;"."&amp;D85</f>
        <v>chp_sch_m_turbine2.variable_costs_in</v>
      </c>
      <c r="F85" s="72">
        <f>$F$134+$F$138</f>
        <v>1.99</v>
      </c>
      <c r="G85" s="72"/>
      <c r="H85" s="76"/>
      <c r="I85" s="23"/>
      <c r="J85" s="23"/>
      <c r="K85" s="23"/>
      <c r="L85" s="23"/>
      <c r="M85" s="23"/>
    </row>
    <row r="86" spans="1:14">
      <c r="A86" s="57"/>
      <c r="B86" s="80"/>
      <c r="C86" s="25" t="s">
        <v>209</v>
      </c>
      <c r="D86" s="24" t="s">
        <v>190</v>
      </c>
      <c r="E86" s="23" t="str">
        <f>C86&amp;"."&amp;D86</f>
        <v>chp_sch_contract.variable_costs_in</v>
      </c>
      <c r="F86" s="72">
        <f>$F$134+$F$138</f>
        <v>1.99</v>
      </c>
      <c r="G86" s="72"/>
      <c r="H86" s="76"/>
      <c r="I86" s="23"/>
      <c r="J86" s="23"/>
      <c r="K86" s="23"/>
      <c r="L86" s="23"/>
      <c r="M86" s="23"/>
    </row>
    <row r="87" spans="1:14">
      <c r="A87" s="57"/>
      <c r="B87" s="80"/>
      <c r="C87" s="25" t="s">
        <v>208</v>
      </c>
      <c r="D87" s="24" t="s">
        <v>190</v>
      </c>
      <c r="E87" s="23" t="str">
        <f>C87&amp;"."&amp;D87</f>
        <v>chp_sch_m_turbine.variable_costs_in</v>
      </c>
      <c r="F87" s="72">
        <f>$F$134+$F$138</f>
        <v>1.99</v>
      </c>
      <c r="G87" s="72"/>
      <c r="H87" s="76"/>
      <c r="I87" s="23"/>
      <c r="J87" s="23"/>
      <c r="K87" s="23"/>
      <c r="L87" s="23"/>
      <c r="M87" s="23"/>
    </row>
    <row r="88" spans="1:14">
      <c r="A88" s="57"/>
      <c r="B88" s="42"/>
      <c r="C88" s="25"/>
      <c r="D88" s="24"/>
      <c r="E88" s="23"/>
      <c r="F88" s="72"/>
      <c r="G88" s="72">
        <f t="shared" ref="G88:G110" si="5">F88</f>
        <v>0</v>
      </c>
      <c r="H88" s="76"/>
      <c r="I88" s="23"/>
      <c r="J88" s="23"/>
      <c r="K88" s="23"/>
      <c r="L88" s="23"/>
      <c r="M88" s="23"/>
    </row>
    <row r="89" spans="1:14">
      <c r="A89" s="8"/>
      <c r="B89" s="8"/>
      <c r="C89" s="22"/>
      <c r="D89" s="23"/>
      <c r="E89" s="23" t="str">
        <f t="shared" ref="E89:E104" si="6">C89&amp;"."&amp;D89</f>
        <v>.</v>
      </c>
      <c r="F89" s="72"/>
      <c r="G89" s="72">
        <f t="shared" si="5"/>
        <v>0</v>
      </c>
      <c r="H89" s="76"/>
      <c r="I89" s="23"/>
      <c r="J89" s="23"/>
      <c r="K89" s="23"/>
      <c r="L89" s="23"/>
      <c r="M89" s="23"/>
    </row>
    <row r="90" spans="1:14" ht="12.75" customHeight="1">
      <c r="A90" s="8"/>
      <c r="B90" s="80" t="s">
        <v>64</v>
      </c>
      <c r="C90" s="25" t="s">
        <v>63</v>
      </c>
      <c r="D90" s="24" t="s">
        <v>190</v>
      </c>
      <c r="E90" s="23" t="str">
        <f t="shared" si="6"/>
        <v>spot_market_sink.variable_costs_in</v>
      </c>
      <c r="F90" s="73"/>
      <c r="G90" s="73">
        <f t="shared" si="5"/>
        <v>0</v>
      </c>
      <c r="H90" s="77"/>
      <c r="I90" s="23"/>
      <c r="J90" s="23"/>
      <c r="K90" s="23"/>
      <c r="L90" s="23"/>
      <c r="M90" s="23"/>
    </row>
    <row r="91" spans="1:14" ht="15">
      <c r="A91" s="8"/>
      <c r="B91" s="80" t="s">
        <v>64</v>
      </c>
      <c r="C91" s="100" t="s">
        <v>216</v>
      </c>
      <c r="D91" s="24" t="s">
        <v>190</v>
      </c>
      <c r="E91" s="23" t="str">
        <f t="shared" si="6"/>
        <v>heat_demand_sch.variable_costs_in</v>
      </c>
      <c r="F91" s="72">
        <f>-78.51</f>
        <v>-78.510000000000005</v>
      </c>
      <c r="G91" s="72">
        <f t="shared" si="5"/>
        <v>-78.510000000000005</v>
      </c>
      <c r="H91" s="76"/>
      <c r="I91" s="23"/>
      <c r="J91" s="23"/>
      <c r="K91" s="23"/>
      <c r="L91" s="23"/>
      <c r="M91" s="23"/>
    </row>
    <row r="92" spans="1:14" ht="15">
      <c r="A92" s="8"/>
      <c r="B92" s="80" t="s">
        <v>64</v>
      </c>
      <c r="C92" s="100" t="s">
        <v>217</v>
      </c>
      <c r="D92" s="24" t="s">
        <v>190</v>
      </c>
      <c r="E92" s="23" t="str">
        <f t="shared" si="6"/>
        <v>heat_demand_pr.variable_costs_in</v>
      </c>
      <c r="F92" s="72">
        <f>-80.67</f>
        <v>-80.67</v>
      </c>
      <c r="G92" s="72">
        <f t="shared" si="5"/>
        <v>-80.67</v>
      </c>
      <c r="H92" s="76"/>
      <c r="I92" s="23"/>
      <c r="J92" s="23"/>
      <c r="K92" s="23"/>
      <c r="L92" s="23"/>
      <c r="M92" s="23"/>
    </row>
    <row r="93" spans="1:14">
      <c r="A93" s="8"/>
      <c r="B93" s="80" t="s">
        <v>64</v>
      </c>
      <c r="C93" s="50" t="s">
        <v>138</v>
      </c>
      <c r="D93" s="24" t="s">
        <v>190</v>
      </c>
      <c r="E93" s="23" t="str">
        <f t="shared" si="6"/>
        <v>curtailment.variable_costs_in</v>
      </c>
      <c r="F93" s="72">
        <v>0</v>
      </c>
      <c r="G93" s="72">
        <f t="shared" si="5"/>
        <v>0</v>
      </c>
      <c r="H93" s="76"/>
      <c r="I93" s="23"/>
      <c r="J93" s="23"/>
      <c r="K93" s="23"/>
      <c r="L93" s="23"/>
      <c r="M93" s="23"/>
      <c r="N93" s="1" t="s">
        <v>137</v>
      </c>
    </row>
    <row r="94" spans="1:14">
      <c r="A94" s="8"/>
      <c r="B94" s="80" t="s">
        <v>64</v>
      </c>
      <c r="C94" s="25" t="s">
        <v>62</v>
      </c>
      <c r="D94" s="24" t="s">
        <v>190</v>
      </c>
      <c r="E94" s="23" t="str">
        <f t="shared" si="6"/>
        <v>el_demand_uck.variable_costs_in</v>
      </c>
      <c r="F94" s="72">
        <v>0</v>
      </c>
      <c r="G94" s="72">
        <f t="shared" si="5"/>
        <v>0</v>
      </c>
      <c r="H94" s="76"/>
      <c r="I94" s="23"/>
      <c r="J94" s="23"/>
      <c r="K94" s="23"/>
      <c r="L94" s="23"/>
      <c r="M94" s="23"/>
    </row>
    <row r="95" spans="1:14">
      <c r="A95" s="8"/>
      <c r="B95" s="8"/>
      <c r="C95" s="22"/>
      <c r="D95" s="23"/>
      <c r="E95" s="23" t="str">
        <f t="shared" si="6"/>
        <v>.</v>
      </c>
      <c r="F95" s="72"/>
      <c r="G95" s="72">
        <f t="shared" si="5"/>
        <v>0</v>
      </c>
      <c r="H95" s="76"/>
      <c r="I95" s="23"/>
      <c r="J95" s="23"/>
      <c r="K95" s="23"/>
      <c r="L95" s="23"/>
      <c r="M95" s="23"/>
    </row>
    <row r="96" spans="1:14" ht="12.75" customHeight="1">
      <c r="A96" s="8"/>
      <c r="B96" s="80" t="s">
        <v>61</v>
      </c>
      <c r="C96" s="25" t="s">
        <v>60</v>
      </c>
      <c r="D96" s="24" t="s">
        <v>191</v>
      </c>
      <c r="E96" s="23" t="str">
        <f t="shared" si="6"/>
        <v>cs_gas.variable_costs_out</v>
      </c>
      <c r="F96" s="72">
        <f>SUM(F131:F132)</f>
        <v>29.11</v>
      </c>
      <c r="G96" s="72">
        <f t="shared" si="5"/>
        <v>29.11</v>
      </c>
      <c r="H96" s="76">
        <f>SUM(H131:H138)</f>
        <v>44.36999999999999</v>
      </c>
      <c r="I96" s="23"/>
      <c r="J96" s="23"/>
      <c r="K96" s="23"/>
      <c r="L96" s="23"/>
      <c r="M96" s="23"/>
    </row>
    <row r="97" spans="1:13">
      <c r="A97" s="8"/>
      <c r="B97" s="80" t="s">
        <v>61</v>
      </c>
      <c r="C97" s="25" t="s">
        <v>59</v>
      </c>
      <c r="D97" s="24" t="s">
        <v>191</v>
      </c>
      <c r="E97" s="23" t="str">
        <f t="shared" si="6"/>
        <v>cs_electric.variable_costs_out</v>
      </c>
      <c r="F97" s="73"/>
      <c r="G97" s="73">
        <f t="shared" si="5"/>
        <v>0</v>
      </c>
      <c r="H97" s="77"/>
      <c r="I97" s="23"/>
      <c r="J97" s="23"/>
      <c r="K97" s="23"/>
      <c r="L97" s="23"/>
      <c r="M97" s="23"/>
    </row>
    <row r="98" spans="1:13">
      <c r="A98" s="8"/>
      <c r="B98" s="8"/>
      <c r="C98" s="22"/>
      <c r="D98" s="23"/>
      <c r="E98" s="23" t="str">
        <f t="shared" si="6"/>
        <v>.</v>
      </c>
      <c r="F98" s="72"/>
      <c r="G98" s="72">
        <f t="shared" si="5"/>
        <v>0</v>
      </c>
      <c r="H98" s="76"/>
      <c r="I98" s="23"/>
      <c r="J98" s="23"/>
      <c r="K98" s="23"/>
      <c r="L98" s="23"/>
      <c r="M98" s="23"/>
    </row>
    <row r="99" spans="1:13" ht="12.75" customHeight="1">
      <c r="A99" s="8"/>
      <c r="B99" s="80" t="s">
        <v>58</v>
      </c>
      <c r="C99" s="25" t="s">
        <v>57</v>
      </c>
      <c r="D99" s="24" t="s">
        <v>55</v>
      </c>
      <c r="E99" s="23" t="str">
        <f t="shared" si="6"/>
        <v>storage_th_pr.input_costs</v>
      </c>
      <c r="F99" s="72">
        <v>5.0000000000000001E-3</v>
      </c>
      <c r="G99" s="72">
        <f t="shared" si="5"/>
        <v>5.0000000000000001E-3</v>
      </c>
      <c r="H99" s="76"/>
      <c r="I99" s="23"/>
      <c r="J99" s="23"/>
      <c r="K99" s="23"/>
      <c r="L99" s="23"/>
      <c r="M99" s="23"/>
    </row>
    <row r="100" spans="1:13">
      <c r="A100" s="8"/>
      <c r="B100" s="80" t="s">
        <v>58</v>
      </c>
      <c r="C100" s="25" t="s">
        <v>57</v>
      </c>
      <c r="D100" s="24" t="s">
        <v>54</v>
      </c>
      <c r="E100" s="23" t="str">
        <f t="shared" si="6"/>
        <v>storage_th_pr.output_costs</v>
      </c>
      <c r="F100" s="72">
        <v>0</v>
      </c>
      <c r="G100" s="72">
        <f t="shared" si="5"/>
        <v>0</v>
      </c>
      <c r="H100" s="76"/>
      <c r="I100" s="23"/>
      <c r="J100" s="23"/>
      <c r="K100" s="23"/>
      <c r="L100" s="23"/>
      <c r="M100" s="23"/>
    </row>
    <row r="101" spans="1:13">
      <c r="A101" s="8"/>
      <c r="B101" s="80" t="s">
        <v>58</v>
      </c>
      <c r="C101" s="25" t="s">
        <v>56</v>
      </c>
      <c r="D101" s="24" t="s">
        <v>55</v>
      </c>
      <c r="E101" s="23" t="str">
        <f t="shared" si="6"/>
        <v>storage_th_sch.input_costs</v>
      </c>
      <c r="F101" s="72">
        <v>5.0000000000000001E-3</v>
      </c>
      <c r="G101" s="72">
        <f t="shared" si="5"/>
        <v>5.0000000000000001E-3</v>
      </c>
      <c r="H101" s="76"/>
      <c r="I101" s="23"/>
      <c r="J101" s="23"/>
      <c r="K101" s="23"/>
      <c r="L101" s="23"/>
      <c r="M101" s="23"/>
    </row>
    <row r="102" spans="1:13">
      <c r="A102" s="8"/>
      <c r="B102" s="80" t="s">
        <v>58</v>
      </c>
      <c r="C102" s="25" t="s">
        <v>56</v>
      </c>
      <c r="D102" s="24" t="s">
        <v>54</v>
      </c>
      <c r="E102" s="23" t="str">
        <f t="shared" si="6"/>
        <v>storage_th_sch.output_costs</v>
      </c>
      <c r="F102" s="72">
        <v>0</v>
      </c>
      <c r="G102" s="72">
        <f t="shared" si="5"/>
        <v>0</v>
      </c>
      <c r="H102" s="76"/>
      <c r="I102" s="23"/>
      <c r="J102" s="23"/>
      <c r="K102" s="23"/>
      <c r="L102" s="23"/>
      <c r="M102" s="23"/>
    </row>
    <row r="103" spans="1:13">
      <c r="A103" s="8"/>
      <c r="B103" s="80" t="s">
        <v>58</v>
      </c>
      <c r="C103" s="25" t="s">
        <v>1</v>
      </c>
      <c r="D103" s="24" t="s">
        <v>55</v>
      </c>
      <c r="E103" s="23" t="str">
        <f t="shared" si="6"/>
        <v>batt.input_costs</v>
      </c>
      <c r="F103" s="73">
        <f>(F117+F118+F119+F120+F122+F123+F124)*1000</f>
        <v>105.83000000000001</v>
      </c>
      <c r="G103" s="73">
        <f t="shared" si="5"/>
        <v>105.83000000000001</v>
      </c>
      <c r="H103" s="77"/>
      <c r="I103" s="23"/>
      <c r="J103" s="23"/>
      <c r="K103" s="23"/>
      <c r="L103" s="23"/>
      <c r="M103" s="23"/>
    </row>
    <row r="104" spans="1:13">
      <c r="A104" s="8"/>
      <c r="B104" s="80" t="s">
        <v>58</v>
      </c>
      <c r="C104" s="25" t="s">
        <v>1</v>
      </c>
      <c r="D104" s="24" t="s">
        <v>54</v>
      </c>
      <c r="E104" s="23" t="str">
        <f t="shared" si="6"/>
        <v>batt.output_costs</v>
      </c>
      <c r="F104" s="73">
        <f>-F117*1000</f>
        <v>-63.5</v>
      </c>
      <c r="G104" s="73">
        <f t="shared" si="5"/>
        <v>-63.5</v>
      </c>
      <c r="H104" s="77"/>
      <c r="I104" s="23"/>
      <c r="J104" s="23"/>
      <c r="K104" s="23"/>
      <c r="L104" s="23"/>
      <c r="M104" s="23"/>
    </row>
    <row r="105" spans="1:13" s="4" customFormat="1">
      <c r="A105" s="23"/>
      <c r="B105" s="23"/>
      <c r="C105" s="22"/>
      <c r="D105" s="21"/>
      <c r="E105" s="20"/>
      <c r="F105" s="72"/>
      <c r="G105" s="72">
        <f t="shared" si="5"/>
        <v>0</v>
      </c>
      <c r="H105" s="23"/>
      <c r="I105" s="19"/>
      <c r="J105" s="19"/>
      <c r="K105" s="19"/>
      <c r="L105" s="19"/>
      <c r="M105" s="19"/>
    </row>
    <row r="106" spans="1:13" s="4" customFormat="1">
      <c r="A106" s="23"/>
      <c r="B106" s="80" t="s">
        <v>140</v>
      </c>
      <c r="C106" s="25" t="s">
        <v>73</v>
      </c>
      <c r="D106" s="24" t="s">
        <v>152</v>
      </c>
      <c r="E106" s="23" t="str">
        <f>C106&amp;"."&amp;D106</f>
        <v>boiler_sch.LP (+KP) für Netznutzung</v>
      </c>
      <c r="F106" s="72">
        <f>11*1000</f>
        <v>11000</v>
      </c>
      <c r="G106" s="72">
        <f t="shared" si="5"/>
        <v>11000</v>
      </c>
      <c r="H106" s="23"/>
      <c r="I106" s="19"/>
      <c r="J106" s="19"/>
      <c r="K106" s="19"/>
      <c r="L106" s="19"/>
      <c r="M106" s="19"/>
    </row>
    <row r="107" spans="1:13" s="4" customFormat="1">
      <c r="A107" s="23"/>
      <c r="B107" s="80" t="s">
        <v>140</v>
      </c>
      <c r="C107" s="25" t="s">
        <v>74</v>
      </c>
      <c r="D107" s="24" t="s">
        <v>152</v>
      </c>
      <c r="E107" s="23" t="str">
        <f>C107&amp;"."&amp;D107</f>
        <v>boiler_pr.LP (+KP) für Netznutzung</v>
      </c>
      <c r="F107" s="72">
        <f>SUM(F$139:F$140)*VLOOKUP(C107&amp;"."&amp;"capacity",'Year Selection'!E:K,'Year Selection'!$F$4+1,0)</f>
        <v>451396.8</v>
      </c>
      <c r="G107" s="72">
        <f t="shared" si="5"/>
        <v>451396.8</v>
      </c>
      <c r="H107" s="23"/>
      <c r="I107" s="19"/>
      <c r="J107" s="19"/>
      <c r="K107" s="19"/>
      <c r="L107" s="19"/>
      <c r="M107" s="19"/>
    </row>
    <row r="108" spans="1:13" s="4" customFormat="1">
      <c r="A108" s="23"/>
      <c r="B108" s="23"/>
      <c r="C108" s="22"/>
      <c r="D108" s="21"/>
      <c r="E108" s="20"/>
      <c r="F108" s="23"/>
      <c r="G108" s="72">
        <f t="shared" si="5"/>
        <v>0</v>
      </c>
      <c r="H108" s="23"/>
      <c r="I108" s="19"/>
      <c r="J108" s="19"/>
      <c r="K108" s="19"/>
      <c r="L108" s="19"/>
      <c r="M108" s="19"/>
    </row>
    <row r="109" spans="1:13" s="4" customFormat="1">
      <c r="A109" s="23"/>
      <c r="B109" s="80" t="s">
        <v>140</v>
      </c>
      <c r="C109" s="25" t="s">
        <v>73</v>
      </c>
      <c r="D109" s="21" t="s">
        <v>159</v>
      </c>
      <c r="E109" s="23" t="str">
        <f>C109&amp;"."&amp;D109</f>
        <v>boiler_sch.Mess./Abrechn./(GP)</v>
      </c>
      <c r="F109" s="23">
        <f>SUM(F141:F142)</f>
        <v>1344.48</v>
      </c>
      <c r="G109" s="72">
        <f t="shared" si="5"/>
        <v>1344.48</v>
      </c>
      <c r="H109" s="23"/>
      <c r="I109" s="19"/>
      <c r="J109" s="19"/>
      <c r="K109" s="19"/>
      <c r="L109" s="19"/>
      <c r="M109" s="19"/>
    </row>
    <row r="110" spans="1:13" s="4" customFormat="1">
      <c r="A110" s="23"/>
      <c r="B110" s="80" t="s">
        <v>140</v>
      </c>
      <c r="C110" s="25" t="s">
        <v>74</v>
      </c>
      <c r="D110" s="21" t="s">
        <v>159</v>
      </c>
      <c r="E110" s="23" t="str">
        <f>C110&amp;"."&amp;D110</f>
        <v>boiler_pr.Mess./Abrechn./(GP)</v>
      </c>
      <c r="F110" s="23">
        <f>SUM(F141:F142)</f>
        <v>1344.48</v>
      </c>
      <c r="G110" s="72">
        <f t="shared" si="5"/>
        <v>1344.48</v>
      </c>
      <c r="H110" s="23"/>
      <c r="I110" s="19"/>
      <c r="J110" s="19"/>
      <c r="K110" s="19"/>
      <c r="L110" s="19"/>
      <c r="M110" s="19"/>
    </row>
    <row r="111" spans="1:13" s="4" customFormat="1">
      <c r="A111" s="23"/>
      <c r="B111" s="80"/>
      <c r="C111" s="25"/>
      <c r="D111" s="21"/>
      <c r="E111" s="23"/>
      <c r="F111" s="23"/>
      <c r="G111" s="72"/>
      <c r="H111" s="23"/>
      <c r="I111" s="19"/>
      <c r="J111" s="19"/>
      <c r="K111" s="19"/>
      <c r="L111" s="19"/>
      <c r="M111" s="19"/>
    </row>
    <row r="112" spans="1:13" s="4" customFormat="1">
      <c r="A112" s="23"/>
      <c r="B112" s="80" t="s">
        <v>133</v>
      </c>
      <c r="C112" s="25" t="s">
        <v>132</v>
      </c>
      <c r="D112" s="21" t="s">
        <v>159</v>
      </c>
      <c r="E112" s="23" t="str">
        <f>C112&amp;"."&amp;D112</f>
        <v>chp_pr.Mess./Abrechn./(GP)</v>
      </c>
      <c r="F112" s="23">
        <f>SUM(F141:F142)</f>
        <v>1344.48</v>
      </c>
      <c r="G112" s="72">
        <f>F112</f>
        <v>1344.48</v>
      </c>
      <c r="H112" s="23"/>
      <c r="I112" s="19"/>
      <c r="J112" s="19"/>
      <c r="K112" s="19"/>
      <c r="L112" s="19"/>
      <c r="M112" s="19"/>
    </row>
    <row r="113" spans="1:14" s="4" customFormat="1">
      <c r="A113" s="23"/>
      <c r="B113" s="80" t="s">
        <v>133</v>
      </c>
      <c r="C113" s="25" t="s">
        <v>131</v>
      </c>
      <c r="D113" s="21" t="s">
        <v>159</v>
      </c>
      <c r="E113" s="23" t="str">
        <f>C113&amp;"."&amp;D113</f>
        <v>chp_sch.Mess./Abrechn./(GP)</v>
      </c>
      <c r="F113" s="23">
        <f>SUM(F141:F142)</f>
        <v>1344.48</v>
      </c>
      <c r="G113" s="72">
        <f>F113</f>
        <v>1344.48</v>
      </c>
      <c r="H113" s="23"/>
      <c r="I113" s="19"/>
      <c r="J113" s="19"/>
      <c r="K113" s="19"/>
      <c r="L113" s="19"/>
      <c r="M113" s="19"/>
    </row>
    <row r="114" spans="1:14" s="4" customFormat="1">
      <c r="A114" s="23"/>
      <c r="B114" s="23"/>
      <c r="C114" s="22"/>
      <c r="D114" s="21"/>
      <c r="E114" s="20"/>
      <c r="F114" s="19"/>
      <c r="G114" s="19"/>
      <c r="H114" s="19"/>
      <c r="I114" s="19"/>
      <c r="J114" s="19"/>
      <c r="K114" s="19"/>
      <c r="L114" s="19"/>
      <c r="M114" s="19"/>
    </row>
    <row r="115" spans="1:14" s="4" customFormat="1">
      <c r="A115" s="23"/>
      <c r="B115" s="23"/>
      <c r="C115" s="22"/>
      <c r="D115" s="21"/>
      <c r="E115" s="20"/>
      <c r="F115" s="19"/>
      <c r="G115" s="19"/>
      <c r="H115" s="19"/>
      <c r="I115" s="19"/>
      <c r="J115" s="19"/>
      <c r="K115" s="19"/>
      <c r="L115" s="19"/>
      <c r="M115" s="19"/>
    </row>
    <row r="116" spans="1:14" ht="12.75" customHeight="1">
      <c r="A116" s="8" t="e">
        <f>#REF!+1</f>
        <v>#REF!</v>
      </c>
      <c r="B116" s="61" t="s">
        <v>53</v>
      </c>
      <c r="C116" s="207" t="s">
        <v>188</v>
      </c>
      <c r="D116" s="18" t="s">
        <v>52</v>
      </c>
      <c r="E116" s="23" t="str">
        <f>B116&amp;"."&amp;D116</f>
        <v xml:space="preserve">Electricity.AP für Netznutzung </v>
      </c>
      <c r="F116" s="10">
        <v>3.0599999999999999E-2</v>
      </c>
      <c r="G116" s="10"/>
      <c r="H116" s="10"/>
      <c r="I116" s="10">
        <v>0</v>
      </c>
      <c r="J116" s="10"/>
      <c r="K116" s="10">
        <f>F116</f>
        <v>3.0599999999999999E-2</v>
      </c>
      <c r="L116" s="10">
        <v>2.35E-2</v>
      </c>
      <c r="M116" s="10">
        <v>7.0000000000000001E-3</v>
      </c>
    </row>
    <row r="117" spans="1:14">
      <c r="A117" s="8" t="e">
        <f t="shared" ref="A117:A132" si="7">A116+1</f>
        <v>#REF!</v>
      </c>
      <c r="B117" s="61" t="s">
        <v>53</v>
      </c>
      <c r="C117" s="207"/>
      <c r="D117" s="18" t="s">
        <v>51</v>
      </c>
      <c r="E117" s="23" t="str">
        <f t="shared" ref="E117:E194" si="8">B117&amp;"."&amp;D117</f>
        <v xml:space="preserve">Electricity.EEG-Umlage </v>
      </c>
      <c r="F117" s="10">
        <v>6.3500000000000001E-2</v>
      </c>
      <c r="G117" s="10"/>
      <c r="H117" s="10"/>
      <c r="I117" s="10">
        <v>2.5400000000000002E-2</v>
      </c>
      <c r="J117" s="10"/>
      <c r="K117" s="10">
        <v>0</v>
      </c>
      <c r="L117" s="10">
        <v>6.3500000000000001E-2</v>
      </c>
      <c r="M117" s="10">
        <v>6.3500000000000001E-2</v>
      </c>
    </row>
    <row r="118" spans="1:14">
      <c r="A118" s="8" t="e">
        <f t="shared" si="7"/>
        <v>#REF!</v>
      </c>
      <c r="B118" s="61" t="s">
        <v>53</v>
      </c>
      <c r="C118" s="207"/>
      <c r="D118" s="18" t="s">
        <v>42</v>
      </c>
      <c r="E118" s="23" t="str">
        <f t="shared" si="8"/>
        <v>Electricity.Konzessionsabgaben</v>
      </c>
      <c r="F118" s="10">
        <v>1.32E-2</v>
      </c>
      <c r="G118" s="10"/>
      <c r="H118" s="10"/>
      <c r="I118" s="10">
        <v>1.32E-2</v>
      </c>
      <c r="J118" s="10"/>
      <c r="K118" s="10">
        <v>1.32E-2</v>
      </c>
      <c r="L118" s="10">
        <v>1.32E-2</v>
      </c>
      <c r="M118" s="10">
        <v>1.32E-2</v>
      </c>
    </row>
    <row r="119" spans="1:14">
      <c r="A119" s="8" t="e">
        <f t="shared" si="7"/>
        <v>#REF!</v>
      </c>
      <c r="B119" s="61" t="s">
        <v>53</v>
      </c>
      <c r="C119" s="207"/>
      <c r="D119" s="18" t="s">
        <v>50</v>
      </c>
      <c r="E119" s="23" t="str">
        <f t="shared" si="8"/>
        <v xml:space="preserve">Electricity.§ 19-StromNEV-Umlage </v>
      </c>
      <c r="F119" s="10">
        <v>3.7799999999999999E-3</v>
      </c>
      <c r="G119" s="10"/>
      <c r="H119" s="10"/>
      <c r="I119" s="10">
        <v>0</v>
      </c>
      <c r="J119" s="10"/>
      <c r="K119" s="10">
        <v>0</v>
      </c>
      <c r="L119" s="10">
        <v>3.7799999999999999E-3</v>
      </c>
      <c r="M119" s="10">
        <v>3.7799999999999999E-3</v>
      </c>
    </row>
    <row r="120" spans="1:14">
      <c r="A120" s="8" t="e">
        <f t="shared" si="7"/>
        <v>#REF!</v>
      </c>
      <c r="B120" s="61" t="s">
        <v>53</v>
      </c>
      <c r="C120" s="207"/>
      <c r="D120" s="18" t="s">
        <v>49</v>
      </c>
      <c r="E120" s="23" t="str">
        <f t="shared" si="8"/>
        <v xml:space="preserve">Electricity.Stromsteuer </v>
      </c>
      <c r="F120" s="10">
        <v>2.0499999999999997E-2</v>
      </c>
      <c r="G120" s="10"/>
      <c r="H120" s="10"/>
      <c r="I120" s="10">
        <v>2.0499999999999997E-2</v>
      </c>
      <c r="J120" s="10"/>
      <c r="K120" s="10">
        <v>0</v>
      </c>
      <c r="L120" s="10">
        <v>2.0499999999999997E-2</v>
      </c>
      <c r="M120" s="10">
        <v>2.0499999999999997E-2</v>
      </c>
      <c r="N120" s="1" t="s">
        <v>48</v>
      </c>
    </row>
    <row r="121" spans="1:14">
      <c r="A121" s="8"/>
      <c r="B121" s="61" t="s">
        <v>53</v>
      </c>
      <c r="C121" s="207"/>
      <c r="D121" s="18" t="s">
        <v>192</v>
      </c>
      <c r="E121" s="23" t="str">
        <f t="shared" si="8"/>
        <v>Electricity.CO2-Handel</v>
      </c>
      <c r="F121" s="10">
        <f>F150*F146/1000</f>
        <v>3.5209999999999998E-3</v>
      </c>
      <c r="G121" s="10"/>
      <c r="H121" s="10"/>
      <c r="I121" s="10"/>
      <c r="J121" s="10"/>
      <c r="K121" s="10"/>
      <c r="L121" s="10"/>
      <c r="M121" s="10"/>
    </row>
    <row r="122" spans="1:14">
      <c r="A122" s="8" t="e">
        <f>A120+1</f>
        <v>#REF!</v>
      </c>
      <c r="B122" s="61" t="s">
        <v>53</v>
      </c>
      <c r="C122" s="207"/>
      <c r="D122" s="18" t="s">
        <v>24</v>
      </c>
      <c r="E122" s="23" t="str">
        <f t="shared" si="8"/>
        <v>Electricity.CO2-Steuer</v>
      </c>
      <c r="F122" s="10">
        <f>F150*F147/1000</f>
        <v>0</v>
      </c>
      <c r="G122" s="10"/>
      <c r="H122" s="10"/>
      <c r="I122" s="10">
        <v>0</v>
      </c>
      <c r="J122" s="10">
        <f>J147*J145</f>
        <v>21.15</v>
      </c>
      <c r="K122" s="10">
        <f>K147*K145</f>
        <v>58.75</v>
      </c>
      <c r="L122" s="10">
        <v>0</v>
      </c>
      <c r="M122" s="10">
        <v>0</v>
      </c>
    </row>
    <row r="123" spans="1:14">
      <c r="A123" s="8" t="e">
        <f t="shared" si="7"/>
        <v>#REF!</v>
      </c>
      <c r="B123" s="61" t="s">
        <v>53</v>
      </c>
      <c r="C123" s="207"/>
      <c r="D123" s="18" t="s">
        <v>47</v>
      </c>
      <c r="E123" s="23" t="str">
        <f t="shared" si="8"/>
        <v xml:space="preserve">Electricity.KWK Umlage </v>
      </c>
      <c r="F123" s="10">
        <v>4.45E-3</v>
      </c>
      <c r="G123" s="10"/>
      <c r="H123" s="10"/>
      <c r="I123" s="10">
        <v>0</v>
      </c>
      <c r="J123" s="10"/>
      <c r="K123" s="10"/>
      <c r="L123" s="10">
        <v>4.45E-3</v>
      </c>
      <c r="M123" s="10">
        <v>4.45E-3</v>
      </c>
    </row>
    <row r="124" spans="1:14">
      <c r="A124" s="8" t="e">
        <f t="shared" si="7"/>
        <v>#REF!</v>
      </c>
      <c r="B124" s="61" t="s">
        <v>53</v>
      </c>
      <c r="C124" s="207"/>
      <c r="D124" s="18" t="s">
        <v>46</v>
      </c>
      <c r="E124" s="23" t="str">
        <f t="shared" si="8"/>
        <v xml:space="preserve">Electricity.Offshore-Haftungsumlage </v>
      </c>
      <c r="F124" s="10">
        <v>4.0000000000000002E-4</v>
      </c>
      <c r="G124" s="10"/>
      <c r="H124" s="10"/>
      <c r="I124" s="10">
        <v>0</v>
      </c>
      <c r="J124" s="10"/>
      <c r="K124" s="10">
        <v>0</v>
      </c>
      <c r="L124" s="10">
        <v>4.0000000000000002E-4</v>
      </c>
      <c r="M124" s="10">
        <v>4.0000000000000002E-4</v>
      </c>
    </row>
    <row r="125" spans="1:14">
      <c r="A125" s="8" t="e">
        <f t="shared" si="7"/>
        <v>#REF!</v>
      </c>
      <c r="B125" s="61" t="s">
        <v>53</v>
      </c>
      <c r="C125" s="207"/>
      <c r="D125" s="18" t="s">
        <v>45</v>
      </c>
      <c r="E125" s="23" t="str">
        <f t="shared" si="8"/>
        <v>Electricity.§ 18 Absatz 1+2 absch. L.</v>
      </c>
      <c r="F125" s="10">
        <v>0</v>
      </c>
      <c r="G125" s="10"/>
      <c r="H125" s="10"/>
      <c r="I125" s="10">
        <v>0</v>
      </c>
      <c r="J125" s="10"/>
      <c r="K125" s="10">
        <v>0</v>
      </c>
      <c r="L125" s="10">
        <v>0</v>
      </c>
      <c r="M125" s="10">
        <v>0</v>
      </c>
    </row>
    <row r="126" spans="1:14">
      <c r="A126" s="8" t="e">
        <f t="shared" si="7"/>
        <v>#REF!</v>
      </c>
      <c r="B126" s="61" t="s">
        <v>53</v>
      </c>
      <c r="C126" s="208" t="s">
        <v>238</v>
      </c>
      <c r="D126" s="16" t="s">
        <v>39</v>
      </c>
      <c r="E126" s="23" t="str">
        <f t="shared" si="8"/>
        <v>Electricity.KP</v>
      </c>
      <c r="F126" s="7">
        <v>0</v>
      </c>
      <c r="G126" s="7"/>
      <c r="H126" s="7"/>
      <c r="I126" s="7">
        <v>0</v>
      </c>
      <c r="J126" s="7"/>
      <c r="K126" s="7"/>
      <c r="L126" s="7">
        <v>5.72</v>
      </c>
      <c r="M126" s="7">
        <v>11.91</v>
      </c>
    </row>
    <row r="127" spans="1:14">
      <c r="A127" s="8" t="e">
        <f t="shared" si="7"/>
        <v>#REF!</v>
      </c>
      <c r="B127" s="61" t="s">
        <v>53</v>
      </c>
      <c r="C127" s="208"/>
      <c r="D127" s="16" t="s">
        <v>36</v>
      </c>
      <c r="E127" s="23" t="str">
        <f t="shared" si="8"/>
        <v>Electricity.LP für Netznutzung</v>
      </c>
      <c r="F127" s="7">
        <v>36.6</v>
      </c>
      <c r="G127" s="7"/>
      <c r="H127" s="7"/>
      <c r="I127" s="7">
        <v>0</v>
      </c>
      <c r="J127" s="7"/>
      <c r="K127" s="7">
        <f>F127</f>
        <v>36.6</v>
      </c>
      <c r="L127" s="7">
        <v>10.08</v>
      </c>
      <c r="M127" s="7">
        <v>0</v>
      </c>
    </row>
    <row r="128" spans="1:14">
      <c r="A128" s="8" t="e">
        <f t="shared" si="7"/>
        <v>#REF!</v>
      </c>
      <c r="B128" s="61" t="s">
        <v>53</v>
      </c>
      <c r="C128" s="209" t="s">
        <v>35</v>
      </c>
      <c r="D128" s="15" t="s">
        <v>34</v>
      </c>
      <c r="E128" s="23" t="str">
        <f t="shared" si="8"/>
        <v>Electricity.GP_a</v>
      </c>
      <c r="F128" s="14">
        <v>0</v>
      </c>
      <c r="G128" s="14"/>
      <c r="H128" s="14"/>
      <c r="I128" s="14">
        <v>0</v>
      </c>
      <c r="J128" s="14"/>
      <c r="K128" s="14">
        <v>0</v>
      </c>
      <c r="L128" s="14">
        <v>3920</v>
      </c>
      <c r="M128" s="14">
        <v>8160</v>
      </c>
    </row>
    <row r="129" spans="1:15" ht="25.5">
      <c r="A129" s="8" t="e">
        <f t="shared" si="7"/>
        <v>#REF!</v>
      </c>
      <c r="B129" s="61" t="s">
        <v>53</v>
      </c>
      <c r="C129" s="209"/>
      <c r="D129" s="15" t="s">
        <v>32</v>
      </c>
      <c r="E129" s="23" t="str">
        <f t="shared" si="8"/>
        <v xml:space="preserve">Electricity.Messung/Betrieb/
Abrechnung </v>
      </c>
      <c r="F129" s="14">
        <v>1939.56</v>
      </c>
      <c r="G129" s="14"/>
      <c r="H129" s="14"/>
      <c r="I129" s="14">
        <v>1939.56</v>
      </c>
      <c r="J129" s="14"/>
      <c r="K129" s="14">
        <f>F129</f>
        <v>1939.56</v>
      </c>
      <c r="L129" s="14">
        <v>1939.56</v>
      </c>
      <c r="M129" s="14">
        <v>1939.56</v>
      </c>
    </row>
    <row r="130" spans="1:15" s="2" customFormat="1">
      <c r="A130" s="8" t="e">
        <f t="shared" si="7"/>
        <v>#REF!</v>
      </c>
      <c r="B130" s="8"/>
      <c r="C130" s="17"/>
      <c r="D130" s="9"/>
      <c r="E130" s="23" t="str">
        <f t="shared" si="8"/>
        <v>.</v>
      </c>
      <c r="F130" s="8"/>
      <c r="G130" s="8"/>
      <c r="H130" s="8"/>
      <c r="I130" s="8"/>
      <c r="J130" s="8"/>
      <c r="K130" s="8"/>
      <c r="L130" s="8"/>
      <c r="M130" s="8"/>
    </row>
    <row r="131" spans="1:15" ht="12.75" customHeight="1">
      <c r="A131" s="8" t="e">
        <f t="shared" si="7"/>
        <v>#REF!</v>
      </c>
      <c r="B131" s="61" t="s">
        <v>97</v>
      </c>
      <c r="C131" s="65" t="s">
        <v>19</v>
      </c>
      <c r="D131" s="60" t="s">
        <v>213</v>
      </c>
      <c r="E131" s="23" t="str">
        <f t="shared" si="8"/>
        <v>Kosten Energie.gas_price</v>
      </c>
      <c r="F131" s="70">
        <f>VLOOKUP($E131,'Year Selection'!$E:$N,'Year Selection'!$F$4+1,0)</f>
        <v>29.11</v>
      </c>
      <c r="G131" s="70"/>
      <c r="H131" s="70">
        <f>VLOOKUP($E131,'Year Selection'!$E:$N,'Year Selection'!$F$4+1,0)</f>
        <v>29.11</v>
      </c>
      <c r="I131" s="10">
        <f>VLOOKUP($E131,'Year Selection'!$E:$N,'Year Selection'!$F$4+1,0)</f>
        <v>29.11</v>
      </c>
      <c r="J131" s="10">
        <f>VLOOKUP($E131,'Year Selection'!$E:$N,'Year Selection'!$F$4+1,0)</f>
        <v>29.11</v>
      </c>
      <c r="K131" s="10">
        <f>VLOOKUP($E131,'Year Selection'!$E:$N,'Year Selection'!$F$4+1,0)</f>
        <v>29.11</v>
      </c>
      <c r="L131" s="10">
        <f>VLOOKUP($E131,'Year Selection'!$E:$N,'Year Selection'!$F$4+1,0)</f>
        <v>29.11</v>
      </c>
      <c r="M131" s="10">
        <f>VLOOKUP($E131,'Year Selection'!$E:$N,'Year Selection'!$F$4+1,0)</f>
        <v>29.11</v>
      </c>
      <c r="O131" s="1" t="s">
        <v>37</v>
      </c>
    </row>
    <row r="132" spans="1:15" s="2" customFormat="1">
      <c r="A132" s="8" t="e">
        <f t="shared" si="7"/>
        <v>#REF!</v>
      </c>
      <c r="B132" s="8"/>
      <c r="C132" s="55"/>
      <c r="D132" s="55"/>
      <c r="E132" s="23" t="str">
        <f>B132&amp;"."&amp;D132</f>
        <v>.</v>
      </c>
      <c r="F132" s="71"/>
      <c r="G132" s="71"/>
      <c r="H132" s="71"/>
      <c r="I132" s="8"/>
      <c r="J132" s="8"/>
      <c r="K132" s="8"/>
      <c r="L132" s="8"/>
      <c r="M132" s="8"/>
    </row>
    <row r="133" spans="1:15" ht="12.75" customHeight="1">
      <c r="A133" s="8"/>
      <c r="B133" s="61" t="s">
        <v>30</v>
      </c>
      <c r="C133" s="102"/>
      <c r="D133" s="18" t="s">
        <v>235</v>
      </c>
      <c r="E133" s="23" t="str">
        <f>B133&amp;"."&amp;D133</f>
        <v>Gas.AP für Netznutzung Prenzlau</v>
      </c>
      <c r="F133" s="70">
        <v>1.2</v>
      </c>
      <c r="G133" s="70"/>
      <c r="H133" s="70">
        <f>0.416*10</f>
        <v>4.16</v>
      </c>
      <c r="I133" s="10"/>
      <c r="J133" s="10"/>
      <c r="K133" s="10"/>
      <c r="L133" s="10"/>
      <c r="M133" s="10"/>
      <c r="N133" s="1" t="s">
        <v>237</v>
      </c>
    </row>
    <row r="134" spans="1:15" ht="12.75" customHeight="1">
      <c r="A134" s="8"/>
      <c r="B134" s="61" t="s">
        <v>30</v>
      </c>
      <c r="C134" s="210" t="s">
        <v>19</v>
      </c>
      <c r="D134" s="18" t="s">
        <v>234</v>
      </c>
      <c r="E134" s="23" t="str">
        <f t="shared" si="8"/>
        <v>Gas.AP für Netznutzung Schwedt</v>
      </c>
      <c r="F134" s="70">
        <v>1.95</v>
      </c>
      <c r="G134" s="70"/>
      <c r="H134" s="70">
        <f>0.416*10</f>
        <v>4.16</v>
      </c>
      <c r="I134" s="10"/>
      <c r="J134" s="10"/>
      <c r="K134" s="10"/>
      <c r="L134" s="10"/>
      <c r="M134" s="10"/>
      <c r="N134" s="1" t="s">
        <v>236</v>
      </c>
    </row>
    <row r="135" spans="1:15" ht="12.75" customHeight="1">
      <c r="A135" s="8"/>
      <c r="B135" s="61" t="s">
        <v>30</v>
      </c>
      <c r="C135" s="211"/>
      <c r="D135" s="10"/>
      <c r="E135" s="23" t="str">
        <f t="shared" si="8"/>
        <v>Gas.</v>
      </c>
      <c r="F135" s="70"/>
      <c r="G135" s="70"/>
      <c r="H135" s="70"/>
      <c r="I135" s="10"/>
      <c r="J135" s="10"/>
      <c r="K135" s="10"/>
      <c r="L135" s="10"/>
      <c r="M135" s="10"/>
    </row>
    <row r="136" spans="1:15">
      <c r="A136" s="8" t="e">
        <f>A131+1</f>
        <v>#REF!</v>
      </c>
      <c r="B136" s="61" t="s">
        <v>30</v>
      </c>
      <c r="C136" s="211"/>
      <c r="D136" s="10" t="s">
        <v>44</v>
      </c>
      <c r="E136" s="23" t="str">
        <f t="shared" si="8"/>
        <v>Gas.gas Steuer</v>
      </c>
      <c r="F136" s="70">
        <f>0.55/100*1000</f>
        <v>5.5000000000000009</v>
      </c>
      <c r="G136" s="70"/>
      <c r="H136" s="70">
        <f>0.55/100*1000</f>
        <v>5.5000000000000009</v>
      </c>
      <c r="I136" s="10"/>
      <c r="J136" s="10"/>
      <c r="K136" s="10"/>
      <c r="L136" s="10"/>
      <c r="M136" s="10"/>
      <c r="N136" s="1" t="s">
        <v>41</v>
      </c>
      <c r="O136" s="1" t="s">
        <v>40</v>
      </c>
    </row>
    <row r="137" spans="1:15">
      <c r="A137" s="8"/>
      <c r="B137" s="61" t="s">
        <v>30</v>
      </c>
      <c r="C137" s="211"/>
      <c r="D137" s="10" t="s">
        <v>43</v>
      </c>
      <c r="E137" s="23" t="str">
        <f t="shared" si="8"/>
        <v>Gas.gas CO2-Kosten</v>
      </c>
      <c r="F137" s="70">
        <f>(F147+F146)*F144</f>
        <v>1.4000000000000001</v>
      </c>
      <c r="G137" s="70"/>
      <c r="H137" s="70">
        <f t="shared" ref="H137:M137" si="9">(H147+H146)*H144</f>
        <v>1.4000000000000001</v>
      </c>
      <c r="I137" s="70">
        <f t="shared" si="9"/>
        <v>1.4000000000000001</v>
      </c>
      <c r="J137" s="70">
        <f t="shared" si="9"/>
        <v>10.4</v>
      </c>
      <c r="K137" s="70">
        <f t="shared" si="9"/>
        <v>26.400000000000002</v>
      </c>
      <c r="L137" s="10">
        <f t="shared" si="9"/>
        <v>1.4000000000000001</v>
      </c>
      <c r="M137" s="10">
        <f t="shared" si="9"/>
        <v>1.4000000000000001</v>
      </c>
    </row>
    <row r="138" spans="1:15">
      <c r="A138" s="8" t="e">
        <f>A136+1</f>
        <v>#REF!</v>
      </c>
      <c r="B138" s="61" t="s">
        <v>30</v>
      </c>
      <c r="C138" s="212"/>
      <c r="D138" s="10" t="s">
        <v>42</v>
      </c>
      <c r="E138" s="23" t="str">
        <f t="shared" si="8"/>
        <v>Gas.Konzessionsabgaben</v>
      </c>
      <c r="F138" s="70">
        <v>0.04</v>
      </c>
      <c r="G138" s="70"/>
      <c r="H138" s="70">
        <v>0.04</v>
      </c>
      <c r="I138" s="10"/>
      <c r="J138" s="10"/>
      <c r="K138" s="10"/>
      <c r="L138" s="10"/>
      <c r="M138" s="10"/>
      <c r="N138" s="1" t="s">
        <v>41</v>
      </c>
      <c r="O138" s="1" t="s">
        <v>40</v>
      </c>
    </row>
    <row r="139" spans="1:15" ht="23.25" customHeight="1">
      <c r="A139" s="8" t="e">
        <f>#REF!+1</f>
        <v>#REF!</v>
      </c>
      <c r="B139" s="61" t="s">
        <v>30</v>
      </c>
      <c r="C139" s="208" t="s">
        <v>14</v>
      </c>
      <c r="D139" s="16" t="s">
        <v>39</v>
      </c>
      <c r="E139" s="23" t="str">
        <f t="shared" si="8"/>
        <v>Gas.KP</v>
      </c>
      <c r="F139" s="7"/>
      <c r="G139" s="7"/>
      <c r="H139" s="7"/>
      <c r="I139" s="7"/>
      <c r="J139" s="7"/>
      <c r="K139" s="7"/>
      <c r="L139" s="7"/>
      <c r="M139" s="7"/>
      <c r="N139" s="1" t="s">
        <v>38</v>
      </c>
      <c r="O139" s="1" t="s">
        <v>37</v>
      </c>
    </row>
    <row r="140" spans="1:15" ht="23.25" customHeight="1">
      <c r="A140" s="8" t="e">
        <f>A139+1</f>
        <v>#REF!</v>
      </c>
      <c r="B140" s="61" t="s">
        <v>30</v>
      </c>
      <c r="C140" s="208"/>
      <c r="D140" s="16" t="s">
        <v>36</v>
      </c>
      <c r="E140" s="23" t="str">
        <f t="shared" si="8"/>
        <v>Gas.LP für Netznutzung</v>
      </c>
      <c r="F140" s="7">
        <f>19.44*1000</f>
        <v>19440</v>
      </c>
      <c r="G140" s="7"/>
      <c r="H140" s="7"/>
      <c r="I140" s="7"/>
      <c r="J140" s="7"/>
      <c r="K140" s="7"/>
      <c r="L140" s="7"/>
      <c r="M140" s="7"/>
    </row>
    <row r="141" spans="1:15">
      <c r="A141" s="8" t="e">
        <f>A140+1</f>
        <v>#REF!</v>
      </c>
      <c r="B141" s="61" t="s">
        <v>30</v>
      </c>
      <c r="C141" s="209" t="s">
        <v>35</v>
      </c>
      <c r="D141" s="15" t="s">
        <v>34</v>
      </c>
      <c r="E141" s="23" t="str">
        <f t="shared" si="8"/>
        <v>Gas.GP_a</v>
      </c>
      <c r="F141" s="14"/>
      <c r="G141" s="14"/>
      <c r="H141" s="14"/>
      <c r="I141" s="14"/>
      <c r="J141" s="14"/>
      <c r="K141" s="14"/>
      <c r="L141" s="14"/>
      <c r="M141" s="14"/>
      <c r="N141" s="1" t="s">
        <v>33</v>
      </c>
    </row>
    <row r="142" spans="1:15" ht="25.5">
      <c r="A142" s="8" t="e">
        <f>A141+1</f>
        <v>#REF!</v>
      </c>
      <c r="B142" s="61" t="s">
        <v>30</v>
      </c>
      <c r="C142" s="209"/>
      <c r="D142" s="15" t="s">
        <v>32</v>
      </c>
      <c r="E142" s="23" t="str">
        <f t="shared" si="8"/>
        <v xml:space="preserve">Gas.Messung/Betrieb/
Abrechnung </v>
      </c>
      <c r="F142" s="14">
        <f>259.32+590.76+196.92+297.48</f>
        <v>1344.48</v>
      </c>
      <c r="G142" s="14"/>
      <c r="H142" s="14"/>
      <c r="I142" s="14"/>
      <c r="J142" s="14"/>
      <c r="K142" s="14"/>
      <c r="L142" s="14"/>
      <c r="M142" s="14"/>
    </row>
    <row r="143" spans="1:15" s="2" customFormat="1">
      <c r="A143" s="8" t="e">
        <f>#REF!+1</f>
        <v>#REF!</v>
      </c>
      <c r="B143" s="8"/>
      <c r="C143" s="8"/>
      <c r="D143" s="8"/>
      <c r="E143" s="23" t="str">
        <f t="shared" si="8"/>
        <v>.</v>
      </c>
      <c r="F143" s="8"/>
      <c r="G143" s="8"/>
      <c r="H143" s="8"/>
      <c r="I143" s="8"/>
      <c r="J143" s="8"/>
      <c r="K143" s="8"/>
      <c r="L143" s="8"/>
      <c r="M143" s="8"/>
    </row>
    <row r="144" spans="1:15" ht="14.25" customHeight="1">
      <c r="A144" s="8"/>
      <c r="B144" s="61" t="s">
        <v>139</v>
      </c>
      <c r="C144" s="214" t="s">
        <v>31</v>
      </c>
      <c r="D144" s="10" t="s">
        <v>30</v>
      </c>
      <c r="E144" s="23" t="str">
        <f t="shared" si="8"/>
        <v>CO2-Intensität.Gas</v>
      </c>
      <c r="F144" s="10">
        <f>0.2</f>
        <v>0.2</v>
      </c>
      <c r="G144" s="10"/>
      <c r="H144" s="10">
        <f t="shared" ref="H144:M144" si="10">0.2</f>
        <v>0.2</v>
      </c>
      <c r="I144" s="10">
        <f t="shared" si="10"/>
        <v>0.2</v>
      </c>
      <c r="J144" s="10">
        <f t="shared" si="10"/>
        <v>0.2</v>
      </c>
      <c r="K144" s="10">
        <f t="shared" si="10"/>
        <v>0.2</v>
      </c>
      <c r="L144" s="10">
        <f t="shared" si="10"/>
        <v>0.2</v>
      </c>
      <c r="M144" s="10">
        <f t="shared" si="10"/>
        <v>0.2</v>
      </c>
      <c r="N144" s="1" t="s">
        <v>29</v>
      </c>
    </row>
    <row r="145" spans="1:14" ht="14.25" customHeight="1">
      <c r="A145" s="8"/>
      <c r="B145" s="61" t="s">
        <v>139</v>
      </c>
      <c r="C145" s="214"/>
      <c r="D145" s="10" t="s">
        <v>28</v>
      </c>
      <c r="E145" s="23" t="str">
        <f t="shared" si="8"/>
        <v>CO2-Intensität.Strommix</v>
      </c>
      <c r="F145" s="10"/>
      <c r="G145" s="10"/>
      <c r="H145" s="10"/>
      <c r="I145" s="10"/>
      <c r="J145" s="10">
        <v>0.47</v>
      </c>
      <c r="K145" s="10">
        <v>0.47</v>
      </c>
      <c r="L145" s="10"/>
      <c r="M145" s="10"/>
    </row>
    <row r="146" spans="1:14" ht="14.25" customHeight="1">
      <c r="A146" s="8"/>
      <c r="B146" s="61" t="s">
        <v>105</v>
      </c>
      <c r="C146" s="213" t="s">
        <v>27</v>
      </c>
      <c r="D146" s="60" t="s">
        <v>26</v>
      </c>
      <c r="E146" s="23" t="str">
        <f t="shared" si="8"/>
        <v>CO2-Kosten.ETC-Handelspreis</v>
      </c>
      <c r="F146" s="10">
        <f>VLOOKUP($E146,'Year Selection'!$E:$N,'Year Selection'!$F$4+1,0)</f>
        <v>7</v>
      </c>
      <c r="G146" s="10"/>
      <c r="H146" s="10">
        <f>VLOOKUP($E146,'Year Selection'!$E:$N,'Year Selection'!$F$4+1,0)</f>
        <v>7</v>
      </c>
      <c r="I146" s="10">
        <f>VLOOKUP($E146,'Year Selection'!$E:$N,'Year Selection'!$F$4+1,0)</f>
        <v>7</v>
      </c>
      <c r="J146" s="10">
        <f>VLOOKUP($E146,'Year Selection'!$E:$N,'Year Selection'!$F$4+1,0)</f>
        <v>7</v>
      </c>
      <c r="K146" s="10">
        <f>VLOOKUP($E146,'Year Selection'!$E:$N,'Year Selection'!$F$4+1,0)</f>
        <v>7</v>
      </c>
      <c r="L146" s="10">
        <f>VLOOKUP($E146,'Year Selection'!$E:$N,'Year Selection'!$F$4+1,0)</f>
        <v>7</v>
      </c>
      <c r="M146" s="10">
        <f>VLOOKUP($E146,'Year Selection'!$E:$N,'Year Selection'!$F$4+1,0)</f>
        <v>7</v>
      </c>
      <c r="N146" s="1" t="s">
        <v>25</v>
      </c>
    </row>
    <row r="147" spans="1:14" ht="14.25" customHeight="1">
      <c r="A147" s="8"/>
      <c r="B147" s="61" t="s">
        <v>105</v>
      </c>
      <c r="C147" s="213"/>
      <c r="D147" s="60" t="s">
        <v>24</v>
      </c>
      <c r="E147" s="23" t="str">
        <f t="shared" si="8"/>
        <v>CO2-Kosten.CO2-Steuer</v>
      </c>
      <c r="F147" s="12">
        <v>0</v>
      </c>
      <c r="G147" s="12"/>
      <c r="H147" s="12"/>
      <c r="I147" s="12"/>
      <c r="J147" s="12">
        <v>45</v>
      </c>
      <c r="K147" s="12">
        <v>125</v>
      </c>
      <c r="L147" s="12"/>
      <c r="M147" s="12"/>
      <c r="N147" s="1" t="s">
        <v>23</v>
      </c>
    </row>
    <row r="148" spans="1:14" s="2" customFormat="1">
      <c r="A148" s="8"/>
      <c r="B148" s="8"/>
      <c r="C148" s="8"/>
      <c r="D148" s="8"/>
      <c r="E148" s="23" t="str">
        <f t="shared" si="8"/>
        <v>.</v>
      </c>
      <c r="F148" s="8"/>
      <c r="G148" s="8"/>
      <c r="H148" s="8"/>
      <c r="I148" s="8"/>
      <c r="J148" s="8"/>
      <c r="K148" s="8"/>
      <c r="L148" s="8"/>
      <c r="M148" s="8"/>
    </row>
    <row r="149" spans="1:14" ht="12.75" customHeight="1">
      <c r="A149" s="8"/>
      <c r="B149" s="61" t="s">
        <v>186</v>
      </c>
      <c r="C149" s="13" t="s">
        <v>22</v>
      </c>
      <c r="D149" s="60" t="s">
        <v>21</v>
      </c>
      <c r="E149" s="23" t="str">
        <f t="shared" si="8"/>
        <v>Strom-Mix-CO2_Emiss BMWi Ref.EE-Anteil</v>
      </c>
      <c r="F149" s="12">
        <f>VLOOKUP($E149,'Year Selection'!$E:$N,'Year Selection'!$F$4+1,0)</f>
        <v>0.51679999999999993</v>
      </c>
      <c r="G149" s="12"/>
      <c r="H149" s="12"/>
      <c r="I149" s="12">
        <f>VLOOKUP($E149,'Year Selection'!$E:$N,'Year Selection'!$F$4+1,0)</f>
        <v>0.51679999999999993</v>
      </c>
      <c r="J149" s="12">
        <f>VLOOKUP($E149,'Year Selection'!$E:$N,'Year Selection'!$F$4+1,0)</f>
        <v>0.51679999999999993</v>
      </c>
      <c r="K149" s="12">
        <f>VLOOKUP($E149,'Year Selection'!$E:$N,'Year Selection'!$F$4+1,0)</f>
        <v>0.51679999999999993</v>
      </c>
      <c r="L149" s="12">
        <f>VLOOKUP($E149,'Year Selection'!$E:$N,'Year Selection'!$F$4+1,0)</f>
        <v>0.51679999999999993</v>
      </c>
      <c r="M149" s="12">
        <f>VLOOKUP($E149,'Year Selection'!$E:$N,'Year Selection'!$F$4+1,0)</f>
        <v>0.51679999999999993</v>
      </c>
    </row>
    <row r="150" spans="1:14">
      <c r="A150" s="8"/>
      <c r="B150" s="61" t="s">
        <v>185</v>
      </c>
      <c r="C150" s="88"/>
      <c r="D150" s="60" t="s">
        <v>21</v>
      </c>
      <c r="E150" s="23" t="str">
        <f t="shared" si="8"/>
        <v>Strom-Mix-CO2_Emiss BMWi Basis.EE-Anteil</v>
      </c>
      <c r="F150" s="12">
        <f>VLOOKUP($E150,'Year Selection'!$E:$N,'Year Selection'!$F$4+1,0)</f>
        <v>0.503</v>
      </c>
      <c r="G150" s="12"/>
      <c r="H150" s="12"/>
      <c r="I150" s="12">
        <f>VLOOKUP($E150,'Year Selection'!$E:$N,'Year Selection'!$F$4+1,0)</f>
        <v>0.503</v>
      </c>
      <c r="J150" s="12">
        <f>VLOOKUP($E150,'Year Selection'!$E:$N,'Year Selection'!$F$4+1,0)</f>
        <v>0.503</v>
      </c>
      <c r="K150" s="12">
        <f>VLOOKUP($E150,'Year Selection'!$E:$N,'Year Selection'!$F$4+1,0)</f>
        <v>0.503</v>
      </c>
      <c r="L150" s="12">
        <f>VLOOKUP($E150,'Year Selection'!$E:$N,'Year Selection'!$F$4+1,0)</f>
        <v>0.503</v>
      </c>
      <c r="M150" s="12">
        <f>VLOOKUP($E150,'Year Selection'!$E:$N,'Year Selection'!$F$4+1,0)</f>
        <v>0.503</v>
      </c>
    </row>
    <row r="151" spans="1:14" s="2" customFormat="1">
      <c r="A151" s="8"/>
      <c r="B151" s="8"/>
      <c r="C151" s="8"/>
      <c r="D151" s="8"/>
      <c r="E151" s="23" t="str">
        <f t="shared" si="8"/>
        <v>.</v>
      </c>
      <c r="F151" s="8"/>
      <c r="G151" s="8"/>
      <c r="H151" s="8"/>
      <c r="I151" s="8"/>
      <c r="J151" s="8"/>
      <c r="K151" s="8"/>
      <c r="L151" s="8"/>
      <c r="M151" s="8"/>
    </row>
    <row r="152" spans="1:14" s="2" customFormat="1">
      <c r="A152" s="8"/>
      <c r="B152" s="8"/>
      <c r="C152" s="8"/>
      <c r="D152" s="8"/>
      <c r="E152" s="23" t="str">
        <f t="shared" si="8"/>
        <v>.</v>
      </c>
      <c r="F152" s="8"/>
      <c r="G152" s="8"/>
      <c r="H152" s="8"/>
      <c r="I152" s="8"/>
      <c r="J152" s="8"/>
      <c r="K152" s="8"/>
      <c r="L152" s="8"/>
      <c r="M152" s="8"/>
    </row>
    <row r="153" spans="1:14">
      <c r="A153" s="8" t="e">
        <f>A143+1</f>
        <v>#REF!</v>
      </c>
      <c r="B153" s="62" t="s">
        <v>20</v>
      </c>
      <c r="C153" s="11" t="s">
        <v>19</v>
      </c>
      <c r="D153" s="60" t="s">
        <v>220</v>
      </c>
      <c r="E153" s="23" t="str">
        <f t="shared" si="8"/>
        <v>Heat.Fernwärmepreis_pr</v>
      </c>
      <c r="F153" s="10">
        <f>VLOOKUP($E153,'Year Selection'!$E:$N,'Year Selection'!$F$4+1,0)</f>
        <v>51.43</v>
      </c>
      <c r="G153" s="10"/>
      <c r="H153" s="10"/>
      <c r="I153" s="10">
        <f>VLOOKUP($E153,'Year Selection'!$E:$N,'Year Selection'!$F$4+1,0)</f>
        <v>51.43</v>
      </c>
      <c r="J153" s="10">
        <f>VLOOKUP($E153,'Year Selection'!$E:$N,'Year Selection'!$F$4+1,0)</f>
        <v>51.43</v>
      </c>
      <c r="K153" s="10">
        <f>VLOOKUP($E153,'Year Selection'!$E:$N,'Year Selection'!$F$4+1,0)</f>
        <v>51.43</v>
      </c>
      <c r="L153" s="10">
        <f>VLOOKUP($E153,'Year Selection'!$E:$N,'Year Selection'!$F$4+1,0)</f>
        <v>51.43</v>
      </c>
      <c r="M153" s="10">
        <f>VLOOKUP($E153,'Year Selection'!$E:$N,'Year Selection'!$F$4+1,0)</f>
        <v>51.43</v>
      </c>
      <c r="N153" s="1" t="s">
        <v>230</v>
      </c>
    </row>
    <row r="154" spans="1:14">
      <c r="A154" s="8"/>
      <c r="B154" s="62" t="s">
        <v>20</v>
      </c>
      <c r="C154" s="99" t="s">
        <v>19</v>
      </c>
      <c r="D154" s="60" t="s">
        <v>221</v>
      </c>
      <c r="E154" s="23" t="str">
        <f>B154&amp;"."&amp;D154</f>
        <v>Heat.Fernwärmepreis_sch</v>
      </c>
      <c r="F154" s="10">
        <f>VLOOKUP($E154,'Year Selection'!$E:$N,'Year Selection'!$F$4+1,0)</f>
        <v>53.6</v>
      </c>
      <c r="G154" s="10"/>
      <c r="H154" s="10"/>
      <c r="I154" s="10"/>
      <c r="J154" s="10"/>
      <c r="K154" s="10"/>
      <c r="L154" s="10"/>
      <c r="M154" s="10"/>
      <c r="N154" s="1" t="s">
        <v>231</v>
      </c>
    </row>
    <row r="155" spans="1:14" s="2" customFormat="1">
      <c r="A155" s="8" t="e">
        <f>A153+1</f>
        <v>#REF!</v>
      </c>
      <c r="B155" s="8"/>
      <c r="C155" s="8"/>
      <c r="D155" s="8"/>
      <c r="E155" s="23" t="str">
        <f t="shared" si="8"/>
        <v>.</v>
      </c>
      <c r="F155" s="8"/>
      <c r="G155" s="8"/>
      <c r="H155" s="8"/>
      <c r="I155" s="8"/>
      <c r="J155" s="8"/>
      <c r="K155" s="8"/>
      <c r="L155" s="8"/>
      <c r="M155" s="8"/>
    </row>
    <row r="156" spans="1:14" ht="12.75" customHeight="1">
      <c r="A156" s="8" t="e">
        <f t="shared" ref="A156:A195" si="11">A155+1</f>
        <v>#REF!</v>
      </c>
      <c r="B156" s="61" t="s">
        <v>18</v>
      </c>
      <c r="C156" s="206" t="s">
        <v>14</v>
      </c>
      <c r="D156" s="60" t="s">
        <v>13</v>
      </c>
      <c r="E156" s="23" t="str">
        <f t="shared" si="8"/>
        <v>Invest.hot water boiler (1-30 MW_th)</v>
      </c>
      <c r="F156" s="7" t="e">
        <f>VLOOKUP($E156,'Year Selection'!$E:$N,'Year Selection'!$F$4+1,0)</f>
        <v>#N/A</v>
      </c>
      <c r="G156" s="7"/>
      <c r="H156" s="7"/>
      <c r="I156" s="7" t="e">
        <f>VLOOKUP($E156,'Year Selection'!$E:$N,'Year Selection'!$F$4+1,0)</f>
        <v>#N/A</v>
      </c>
      <c r="J156" s="7" t="e">
        <f>VLOOKUP($E156,'Year Selection'!$E:$N,'Year Selection'!$F$4+1,0)</f>
        <v>#N/A</v>
      </c>
      <c r="K156" s="7" t="e">
        <f>VLOOKUP($E156,'Year Selection'!$E:$N,'Year Selection'!$F$4+1,0)</f>
        <v>#N/A</v>
      </c>
      <c r="L156" s="7" t="e">
        <f>VLOOKUP($E156,'Year Selection'!$E:$N,'Year Selection'!$F$4+1,0)</f>
        <v>#N/A</v>
      </c>
      <c r="M156" s="7" t="e">
        <f>VLOOKUP($E156,'Year Selection'!$E:$N,'Year Selection'!$F$4+1,0)</f>
        <v>#N/A</v>
      </c>
      <c r="N156" s="1" t="s">
        <v>12</v>
      </c>
    </row>
    <row r="157" spans="1:14">
      <c r="A157" s="8" t="e">
        <f t="shared" si="11"/>
        <v>#REF!</v>
      </c>
      <c r="B157" s="61" t="s">
        <v>18</v>
      </c>
      <c r="C157" s="206"/>
      <c r="D157" s="60" t="s">
        <v>11</v>
      </c>
      <c r="E157" s="23" t="str">
        <f t="shared" si="8"/>
        <v>Invest.hot water tube boiler (20-250 MW_th)</v>
      </c>
      <c r="F157" s="7" t="e">
        <f>VLOOKUP($E157,'Year Selection'!$E:$N,'Year Selection'!$F$4+1,0)</f>
        <v>#N/A</v>
      </c>
      <c r="G157" s="7"/>
      <c r="H157" s="7"/>
      <c r="I157" s="7" t="e">
        <f>VLOOKUP($E157,'Year Selection'!$E:$N,'Year Selection'!$F$4+1,0)</f>
        <v>#N/A</v>
      </c>
      <c r="J157" s="7" t="e">
        <f>VLOOKUP($E157,'Year Selection'!$E:$N,'Year Selection'!$F$4+1,0)</f>
        <v>#N/A</v>
      </c>
      <c r="K157" s="7" t="e">
        <f>VLOOKUP($E157,'Year Selection'!$E:$N,'Year Selection'!$F$4+1,0)</f>
        <v>#N/A</v>
      </c>
      <c r="L157" s="7" t="e">
        <f>VLOOKUP($E157,'Year Selection'!$E:$N,'Year Selection'!$F$4+1,0)</f>
        <v>#N/A</v>
      </c>
      <c r="M157" s="7" t="e">
        <f>VLOOKUP($E157,'Year Selection'!$E:$N,'Year Selection'!$F$4+1,0)</f>
        <v>#N/A</v>
      </c>
      <c r="N157" s="1" t="s">
        <v>10</v>
      </c>
    </row>
    <row r="158" spans="1:14" ht="12.75" customHeight="1">
      <c r="A158" s="8" t="e">
        <f t="shared" si="11"/>
        <v>#REF!</v>
      </c>
      <c r="B158" s="61" t="s">
        <v>18</v>
      </c>
      <c r="C158" s="206"/>
      <c r="D158" s="60" t="s">
        <v>9</v>
      </c>
      <c r="E158" s="23" t="str">
        <f t="shared" si="8"/>
        <v>Invest.kwk klein (0.5-30 MW_el)</v>
      </c>
      <c r="F158" s="7" t="e">
        <f>VLOOKUP($E158,'Year Selection'!$E:$N,'Year Selection'!$F$4+1,0)</f>
        <v>#N/A</v>
      </c>
      <c r="G158" s="7"/>
      <c r="H158" s="7"/>
      <c r="I158" s="7" t="e">
        <f>VLOOKUP($E158,'Year Selection'!$E:$N,'Year Selection'!$F$4+1,0)</f>
        <v>#N/A</v>
      </c>
      <c r="J158" s="7" t="e">
        <f>VLOOKUP($E158,'Year Selection'!$E:$N,'Year Selection'!$F$4+1,0)</f>
        <v>#N/A</v>
      </c>
      <c r="K158" s="7" t="e">
        <f>VLOOKUP($E158,'Year Selection'!$E:$N,'Year Selection'!$F$4+1,0)</f>
        <v>#N/A</v>
      </c>
      <c r="L158" s="7" t="e">
        <f>VLOOKUP($E158,'Year Selection'!$E:$N,'Year Selection'!$F$4+1,0)</f>
        <v>#N/A</v>
      </c>
      <c r="M158" s="7" t="e">
        <f>VLOOKUP($E158,'Year Selection'!$E:$N,'Year Selection'!$F$4+1,0)</f>
        <v>#N/A</v>
      </c>
      <c r="N158" s="1" t="s">
        <v>8</v>
      </c>
    </row>
    <row r="159" spans="1:14">
      <c r="A159" s="8" t="e">
        <f t="shared" si="11"/>
        <v>#REF!</v>
      </c>
      <c r="B159" s="61" t="s">
        <v>18</v>
      </c>
      <c r="C159" s="206"/>
      <c r="D159" s="60" t="s">
        <v>7</v>
      </c>
      <c r="E159" s="23" t="str">
        <f t="shared" si="8"/>
        <v>Invest.kwk mittel (30-250 MW_el)</v>
      </c>
      <c r="F159" s="7">
        <f>VLOOKUP($E159,'Year Selection'!$E:$N,'Year Selection'!$F$4+1,0)</f>
        <v>0</v>
      </c>
      <c r="G159" s="7"/>
      <c r="H159" s="7"/>
      <c r="I159" s="7">
        <f>VLOOKUP($E159,'Year Selection'!$E:$N,'Year Selection'!$F$4+1,0)</f>
        <v>0</v>
      </c>
      <c r="J159" s="7">
        <f>VLOOKUP($E159,'Year Selection'!$E:$N,'Year Selection'!$F$4+1,0)</f>
        <v>0</v>
      </c>
      <c r="K159" s="7">
        <f>VLOOKUP($E159,'Year Selection'!$E:$N,'Year Selection'!$F$4+1,0)</f>
        <v>0</v>
      </c>
      <c r="L159" s="7">
        <f>VLOOKUP($E159,'Year Selection'!$E:$N,'Year Selection'!$F$4+1,0)</f>
        <v>0</v>
      </c>
      <c r="M159" s="7">
        <f>VLOOKUP($E159,'Year Selection'!$E:$N,'Year Selection'!$F$4+1,0)</f>
        <v>0</v>
      </c>
      <c r="N159" s="1" t="s">
        <v>6</v>
      </c>
    </row>
    <row r="160" spans="1:14">
      <c r="A160" s="8" t="e">
        <f t="shared" si="11"/>
        <v>#REF!</v>
      </c>
      <c r="B160" s="61" t="s">
        <v>18</v>
      </c>
      <c r="C160" s="206"/>
      <c r="D160" s="60" t="s">
        <v>5</v>
      </c>
      <c r="E160" s="23" t="str">
        <f t="shared" si="8"/>
        <v>Invest.kwk groß (&gt;250 MW_el)</v>
      </c>
      <c r="F160" s="7">
        <f>VLOOKUP($E160,'Year Selection'!$E:$N,'Year Selection'!$F$4+1,0)</f>
        <v>0</v>
      </c>
      <c r="G160" s="7"/>
      <c r="H160" s="7"/>
      <c r="I160" s="7">
        <f>VLOOKUP($E160,'Year Selection'!$E:$N,'Year Selection'!$F$4+1,0)</f>
        <v>0</v>
      </c>
      <c r="J160" s="7">
        <f>VLOOKUP($E160,'Year Selection'!$E:$N,'Year Selection'!$F$4+1,0)</f>
        <v>0</v>
      </c>
      <c r="K160" s="7">
        <f>VLOOKUP($E160,'Year Selection'!$E:$N,'Year Selection'!$F$4+1,0)</f>
        <v>0</v>
      </c>
      <c r="L160" s="7">
        <f>VLOOKUP($E160,'Year Selection'!$E:$N,'Year Selection'!$F$4+1,0)</f>
        <v>0</v>
      </c>
      <c r="M160" s="7">
        <f>VLOOKUP($E160,'Year Selection'!$E:$N,'Year Selection'!$F$4+1,0)</f>
        <v>0</v>
      </c>
      <c r="N160" s="1" t="s">
        <v>4</v>
      </c>
    </row>
    <row r="161" spans="1:14">
      <c r="A161" s="8" t="e">
        <f t="shared" si="11"/>
        <v>#REF!</v>
      </c>
      <c r="B161" s="61" t="s">
        <v>18</v>
      </c>
      <c r="C161" s="206"/>
      <c r="D161" s="60" t="s">
        <v>3</v>
      </c>
      <c r="E161" s="23" t="str">
        <f t="shared" si="8"/>
        <v>Invest.pth</v>
      </c>
      <c r="F161" s="7">
        <f>VLOOKUP($E161,'Year Selection'!$E:$N,'Year Selection'!$F$4+1,0)</f>
        <v>0</v>
      </c>
      <c r="G161" s="7"/>
      <c r="H161" s="7"/>
      <c r="I161" s="7">
        <f>VLOOKUP($E161,'Year Selection'!$E:$N,'Year Selection'!$F$4+1,0)</f>
        <v>0</v>
      </c>
      <c r="J161" s="7">
        <f>VLOOKUP($E161,'Year Selection'!$E:$N,'Year Selection'!$F$4+1,0)</f>
        <v>0</v>
      </c>
      <c r="K161" s="7">
        <f>VLOOKUP($E161,'Year Selection'!$E:$N,'Year Selection'!$F$4+1,0)</f>
        <v>0</v>
      </c>
      <c r="L161" s="7">
        <f>VLOOKUP($E161,'Year Selection'!$E:$N,'Year Selection'!$F$4+1,0)</f>
        <v>0</v>
      </c>
      <c r="M161" s="7">
        <f>VLOOKUP($E161,'Year Selection'!$E:$N,'Year Selection'!$F$4+1,0)</f>
        <v>0</v>
      </c>
      <c r="N161" s="1" t="s">
        <v>2</v>
      </c>
    </row>
    <row r="162" spans="1:14">
      <c r="A162" s="8" t="e">
        <f t="shared" si="11"/>
        <v>#REF!</v>
      </c>
      <c r="B162" s="61" t="s">
        <v>18</v>
      </c>
      <c r="C162" s="206"/>
      <c r="D162" s="60" t="s">
        <v>1</v>
      </c>
      <c r="E162" s="23" t="str">
        <f t="shared" si="8"/>
        <v>Invest.batt</v>
      </c>
      <c r="F162" s="7">
        <f>VLOOKUP($E162,'Year Selection'!$E:$N,'Year Selection'!$F$4+1,0)</f>
        <v>0</v>
      </c>
      <c r="G162" s="7"/>
      <c r="H162" s="7"/>
      <c r="I162" s="7">
        <f>VLOOKUP($E162,'Year Selection'!$E:$N,'Year Selection'!$F$4+1,0)</f>
        <v>0</v>
      </c>
      <c r="J162" s="7">
        <f>VLOOKUP($E162,'Year Selection'!$E:$N,'Year Selection'!$F$4+1,0)</f>
        <v>0</v>
      </c>
      <c r="K162" s="7">
        <f>VLOOKUP($E162,'Year Selection'!$E:$N,'Year Selection'!$F$4+1,0)</f>
        <v>0</v>
      </c>
      <c r="L162" s="7">
        <f>VLOOKUP($E162,'Year Selection'!$E:$N,'Year Selection'!$F$4+1,0)</f>
        <v>0</v>
      </c>
      <c r="M162" s="7">
        <f>VLOOKUP($E162,'Year Selection'!$E:$N,'Year Selection'!$F$4+1,0)</f>
        <v>0</v>
      </c>
    </row>
    <row r="163" spans="1:14">
      <c r="A163" s="8" t="e">
        <f t="shared" si="11"/>
        <v>#REF!</v>
      </c>
      <c r="B163" s="61" t="s">
        <v>18</v>
      </c>
      <c r="C163" s="206"/>
      <c r="D163" s="60" t="s">
        <v>0</v>
      </c>
      <c r="E163" s="23" t="str">
        <f t="shared" si="8"/>
        <v>Invest.ptg</v>
      </c>
      <c r="F163" s="7">
        <f>VLOOKUP($E163,'Year Selection'!$E:$N,'Year Selection'!$F$4+1,0)</f>
        <v>0</v>
      </c>
      <c r="G163" s="7"/>
      <c r="H163" s="7"/>
      <c r="I163" s="7">
        <f>VLOOKUP($E163,'Year Selection'!$E:$N,'Year Selection'!$F$4+1,0)</f>
        <v>0</v>
      </c>
      <c r="J163" s="7">
        <f>VLOOKUP($E163,'Year Selection'!$E:$N,'Year Selection'!$F$4+1,0)</f>
        <v>0</v>
      </c>
      <c r="K163" s="7">
        <f>VLOOKUP($E163,'Year Selection'!$E:$N,'Year Selection'!$F$4+1,0)</f>
        <v>0</v>
      </c>
      <c r="L163" s="7">
        <f>VLOOKUP($E163,'Year Selection'!$E:$N,'Year Selection'!$F$4+1,0)</f>
        <v>0</v>
      </c>
      <c r="M163" s="7">
        <f>VLOOKUP($E163,'Year Selection'!$E:$N,'Year Selection'!$F$4+1,0)</f>
        <v>0</v>
      </c>
    </row>
    <row r="164" spans="1:14" s="2" customFormat="1">
      <c r="A164" s="8" t="e">
        <f t="shared" si="11"/>
        <v>#REF!</v>
      </c>
      <c r="B164" s="8"/>
      <c r="C164" s="8"/>
      <c r="D164" s="8"/>
      <c r="E164" s="23" t="str">
        <f t="shared" si="8"/>
        <v>.</v>
      </c>
      <c r="F164" s="8"/>
      <c r="G164" s="8"/>
      <c r="H164" s="8"/>
      <c r="I164" s="8"/>
      <c r="J164" s="8"/>
      <c r="K164" s="8"/>
      <c r="L164" s="8"/>
      <c r="M164" s="8"/>
    </row>
    <row r="165" spans="1:14" ht="12.75" customHeight="1">
      <c r="A165" s="8" t="e">
        <f t="shared" si="11"/>
        <v>#REF!</v>
      </c>
      <c r="B165" s="61" t="s">
        <v>17</v>
      </c>
      <c r="C165" s="205" t="s">
        <v>16</v>
      </c>
      <c r="D165" s="60" t="s">
        <v>13</v>
      </c>
      <c r="E165" s="23" t="str">
        <f t="shared" si="8"/>
        <v>variable O&amp;M.hot water boiler (1-30 MW_th)</v>
      </c>
      <c r="F165" s="10">
        <f>VLOOKUP($E165,'Year Selection'!$E:$N,'Year Selection'!$F$4+1,0)</f>
        <v>0.5</v>
      </c>
      <c r="G165" s="10"/>
      <c r="H165" s="10"/>
      <c r="I165" s="10">
        <f>VLOOKUP($E165,'Year Selection'!$E:$N,'Year Selection'!$F$4+1,0)</f>
        <v>0.5</v>
      </c>
      <c r="J165" s="10">
        <f>VLOOKUP($E165,'Year Selection'!$E:$N,'Year Selection'!$F$4+1,0)</f>
        <v>0.5</v>
      </c>
      <c r="K165" s="10">
        <f>VLOOKUP($E165,'Year Selection'!$E:$N,'Year Selection'!$F$4+1,0)</f>
        <v>0.5</v>
      </c>
      <c r="L165" s="10">
        <f>VLOOKUP($E165,'Year Selection'!$E:$N,'Year Selection'!$F$4+1,0)</f>
        <v>0.5</v>
      </c>
      <c r="M165" s="10">
        <f>VLOOKUP($E165,'Year Selection'!$E:$N,'Year Selection'!$F$4+1,0)</f>
        <v>0.5</v>
      </c>
      <c r="N165" s="1" t="s">
        <v>12</v>
      </c>
    </row>
    <row r="166" spans="1:14">
      <c r="A166" s="8" t="e">
        <f t="shared" si="11"/>
        <v>#REF!</v>
      </c>
      <c r="B166" s="61" t="s">
        <v>17</v>
      </c>
      <c r="C166" s="205"/>
      <c r="D166" s="60" t="s">
        <v>11</v>
      </c>
      <c r="E166" s="23" t="str">
        <f t="shared" si="8"/>
        <v>variable O&amp;M.hot water tube boiler (20-250 MW_th)</v>
      </c>
      <c r="F166" s="10">
        <f>VLOOKUP($E166,'Year Selection'!$E:$N,'Year Selection'!$F$4+1,0)</f>
        <v>0.2</v>
      </c>
      <c r="G166" s="10"/>
      <c r="H166" s="10"/>
      <c r="I166" s="10">
        <f>VLOOKUP($E166,'Year Selection'!$E:$N,'Year Selection'!$F$4+1,0)</f>
        <v>0.2</v>
      </c>
      <c r="J166" s="10">
        <f>VLOOKUP($E166,'Year Selection'!$E:$N,'Year Selection'!$F$4+1,0)</f>
        <v>0.2</v>
      </c>
      <c r="K166" s="10">
        <f>VLOOKUP($E166,'Year Selection'!$E:$N,'Year Selection'!$F$4+1,0)</f>
        <v>0.2</v>
      </c>
      <c r="L166" s="10">
        <f>VLOOKUP($E166,'Year Selection'!$E:$N,'Year Selection'!$F$4+1,0)</f>
        <v>0.2</v>
      </c>
      <c r="M166" s="10">
        <f>VLOOKUP($E166,'Year Selection'!$E:$N,'Year Selection'!$F$4+1,0)</f>
        <v>0.2</v>
      </c>
      <c r="N166" s="1" t="s">
        <v>10</v>
      </c>
    </row>
    <row r="167" spans="1:14">
      <c r="A167" s="8" t="e">
        <f t="shared" si="11"/>
        <v>#REF!</v>
      </c>
      <c r="B167" s="61" t="s">
        <v>17</v>
      </c>
      <c r="C167" s="205"/>
      <c r="D167" s="60" t="s">
        <v>9</v>
      </c>
      <c r="E167" s="23" t="str">
        <f t="shared" si="8"/>
        <v>variable O&amp;M.kwk klein (0.5-30 MW_el)</v>
      </c>
      <c r="F167" s="10">
        <f>VLOOKUP($E167,'Year Selection'!$E:$N,'Year Selection'!$F$4+1,0)</f>
        <v>8</v>
      </c>
      <c r="G167" s="10"/>
      <c r="H167" s="10"/>
      <c r="I167" s="10">
        <f>VLOOKUP($E167,'Year Selection'!$E:$N,'Year Selection'!$F$4+1,0)</f>
        <v>8</v>
      </c>
      <c r="J167" s="10">
        <f>VLOOKUP($E167,'Year Selection'!$E:$N,'Year Selection'!$F$4+1,0)</f>
        <v>8</v>
      </c>
      <c r="K167" s="10">
        <f>VLOOKUP($E167,'Year Selection'!$E:$N,'Year Selection'!$F$4+1,0)</f>
        <v>8</v>
      </c>
      <c r="L167" s="10">
        <f>VLOOKUP($E167,'Year Selection'!$E:$N,'Year Selection'!$F$4+1,0)</f>
        <v>8</v>
      </c>
      <c r="M167" s="10">
        <f>VLOOKUP($E167,'Year Selection'!$E:$N,'Year Selection'!$F$4+1,0)</f>
        <v>8</v>
      </c>
      <c r="N167" s="1" t="s">
        <v>8</v>
      </c>
    </row>
    <row r="168" spans="1:14">
      <c r="A168" s="8" t="e">
        <f t="shared" si="11"/>
        <v>#REF!</v>
      </c>
      <c r="B168" s="61" t="s">
        <v>17</v>
      </c>
      <c r="C168" s="205"/>
      <c r="D168" s="60" t="s">
        <v>7</v>
      </c>
      <c r="E168" s="23" t="str">
        <f t="shared" si="8"/>
        <v>variable O&amp;M.kwk mittel (30-250 MW_el)</v>
      </c>
      <c r="F168" s="10">
        <f>VLOOKUP($E168,'Year Selection'!$E:$N,'Year Selection'!$F$4+1,0)</f>
        <v>7</v>
      </c>
      <c r="G168" s="10"/>
      <c r="H168" s="10"/>
      <c r="I168" s="10">
        <f>VLOOKUP($E168,'Year Selection'!$E:$N,'Year Selection'!$F$4+1,0)</f>
        <v>7</v>
      </c>
      <c r="J168" s="10">
        <f>VLOOKUP($E168,'Year Selection'!$E:$N,'Year Selection'!$F$4+1,0)</f>
        <v>7</v>
      </c>
      <c r="K168" s="10">
        <f>VLOOKUP($E168,'Year Selection'!$E:$N,'Year Selection'!$F$4+1,0)</f>
        <v>7</v>
      </c>
      <c r="L168" s="10">
        <f>VLOOKUP($E168,'Year Selection'!$E:$N,'Year Selection'!$F$4+1,0)</f>
        <v>7</v>
      </c>
      <c r="M168" s="10">
        <f>VLOOKUP($E168,'Year Selection'!$E:$N,'Year Selection'!$F$4+1,0)</f>
        <v>7</v>
      </c>
      <c r="N168" s="1" t="s">
        <v>6</v>
      </c>
    </row>
    <row r="169" spans="1:14">
      <c r="A169" s="8" t="e">
        <f t="shared" si="11"/>
        <v>#REF!</v>
      </c>
      <c r="B169" s="61" t="s">
        <v>17</v>
      </c>
      <c r="C169" s="205"/>
      <c r="D169" s="60" t="s">
        <v>5</v>
      </c>
      <c r="E169" s="23" t="str">
        <f t="shared" si="8"/>
        <v>variable O&amp;M.kwk groß (&gt;250 MW_el)</v>
      </c>
      <c r="F169" s="10">
        <f>VLOOKUP($E169,'Year Selection'!$E:$N,'Year Selection'!$F$4+1,0)</f>
        <v>5</v>
      </c>
      <c r="G169" s="10"/>
      <c r="H169" s="10"/>
      <c r="I169" s="10">
        <f>VLOOKUP($E169,'Year Selection'!$E:$N,'Year Selection'!$F$4+1,0)</f>
        <v>5</v>
      </c>
      <c r="J169" s="10">
        <f>VLOOKUP($E169,'Year Selection'!$E:$N,'Year Selection'!$F$4+1,0)</f>
        <v>5</v>
      </c>
      <c r="K169" s="10">
        <f>VLOOKUP($E169,'Year Selection'!$E:$N,'Year Selection'!$F$4+1,0)</f>
        <v>5</v>
      </c>
      <c r="L169" s="10">
        <f>VLOOKUP($E169,'Year Selection'!$E:$N,'Year Selection'!$F$4+1,0)</f>
        <v>5</v>
      </c>
      <c r="M169" s="10">
        <f>VLOOKUP($E169,'Year Selection'!$E:$N,'Year Selection'!$F$4+1,0)</f>
        <v>5</v>
      </c>
      <c r="N169" s="1" t="s">
        <v>4</v>
      </c>
    </row>
    <row r="170" spans="1:14">
      <c r="A170" s="8" t="e">
        <f>A169+1</f>
        <v>#REF!</v>
      </c>
      <c r="B170" s="61" t="s">
        <v>17</v>
      </c>
      <c r="C170" s="205"/>
      <c r="D170" s="60" t="s">
        <v>3</v>
      </c>
      <c r="E170" s="23" t="str">
        <f t="shared" si="8"/>
        <v>variable O&amp;M.pth</v>
      </c>
      <c r="F170" s="10">
        <f>VLOOKUP($E170,'Year Selection'!$E:$N,'Year Selection'!$F$4+1,0)</f>
        <v>0.2</v>
      </c>
      <c r="G170" s="10"/>
      <c r="H170" s="10"/>
      <c r="I170" s="10">
        <f>VLOOKUP($E170,'Year Selection'!$E:$N,'Year Selection'!$F$4+1,0)</f>
        <v>0.2</v>
      </c>
      <c r="J170" s="10">
        <f>VLOOKUP($E170,'Year Selection'!$E:$N,'Year Selection'!$F$4+1,0)</f>
        <v>0.2</v>
      </c>
      <c r="K170" s="10">
        <f>VLOOKUP($E170,'Year Selection'!$E:$N,'Year Selection'!$F$4+1,0)</f>
        <v>0.2</v>
      </c>
      <c r="L170" s="10">
        <f>VLOOKUP($E170,'Year Selection'!$E:$N,'Year Selection'!$F$4+1,0)</f>
        <v>0.2</v>
      </c>
      <c r="M170" s="10">
        <f>VLOOKUP($E170,'Year Selection'!$E:$N,'Year Selection'!$F$4+1,0)</f>
        <v>0.2</v>
      </c>
      <c r="N170" s="1" t="s">
        <v>2</v>
      </c>
    </row>
    <row r="171" spans="1:14">
      <c r="A171" s="8" t="e">
        <f t="shared" si="11"/>
        <v>#REF!</v>
      </c>
      <c r="B171" s="61" t="s">
        <v>17</v>
      </c>
      <c r="C171" s="205"/>
      <c r="D171" s="60" t="s">
        <v>1</v>
      </c>
      <c r="E171" s="23" t="str">
        <f t="shared" si="8"/>
        <v>variable O&amp;M.batt</v>
      </c>
      <c r="F171" s="10">
        <f>VLOOKUP($E171,'Year Selection'!$E:$N,'Year Selection'!$F$4+1,0)</f>
        <v>0</v>
      </c>
      <c r="G171" s="10"/>
      <c r="H171" s="10"/>
      <c r="I171" s="10">
        <f>VLOOKUP($E171,'Year Selection'!$E:$N,'Year Selection'!$F$4+1,0)</f>
        <v>0</v>
      </c>
      <c r="J171" s="10">
        <f>VLOOKUP($E171,'Year Selection'!$E:$N,'Year Selection'!$F$4+1,0)</f>
        <v>0</v>
      </c>
      <c r="K171" s="10">
        <f>VLOOKUP($E171,'Year Selection'!$E:$N,'Year Selection'!$F$4+1,0)</f>
        <v>0</v>
      </c>
      <c r="L171" s="10">
        <f>VLOOKUP($E171,'Year Selection'!$E:$N,'Year Selection'!$F$4+1,0)</f>
        <v>0</v>
      </c>
      <c r="M171" s="10">
        <f>VLOOKUP($E171,'Year Selection'!$E:$N,'Year Selection'!$F$4+1,0)</f>
        <v>0</v>
      </c>
    </row>
    <row r="172" spans="1:14">
      <c r="A172" s="8" t="e">
        <f t="shared" si="11"/>
        <v>#REF!</v>
      </c>
      <c r="B172" s="61" t="s">
        <v>17</v>
      </c>
      <c r="C172" s="205"/>
      <c r="D172" s="60" t="s">
        <v>0</v>
      </c>
      <c r="E172" s="23" t="str">
        <f t="shared" si="8"/>
        <v>variable O&amp;M.ptg</v>
      </c>
      <c r="F172" s="10">
        <f>VLOOKUP($E172,'Year Selection'!$E:$N,'Year Selection'!$F$4+1,0)</f>
        <v>0</v>
      </c>
      <c r="G172" s="10"/>
      <c r="H172" s="10"/>
      <c r="I172" s="10">
        <f>VLOOKUP($E172,'Year Selection'!$E:$N,'Year Selection'!$F$4+1,0)</f>
        <v>0</v>
      </c>
      <c r="J172" s="10">
        <f>VLOOKUP($E172,'Year Selection'!$E:$N,'Year Selection'!$F$4+1,0)</f>
        <v>0</v>
      </c>
      <c r="K172" s="10">
        <f>VLOOKUP($E172,'Year Selection'!$E:$N,'Year Selection'!$F$4+1,0)</f>
        <v>0</v>
      </c>
      <c r="L172" s="10">
        <f>VLOOKUP($E172,'Year Selection'!$E:$N,'Year Selection'!$F$4+1,0)</f>
        <v>0</v>
      </c>
      <c r="M172" s="10">
        <f>VLOOKUP($E172,'Year Selection'!$E:$N,'Year Selection'!$F$4+1,0)</f>
        <v>0</v>
      </c>
    </row>
    <row r="173" spans="1:14" s="2" customFormat="1">
      <c r="A173" s="8" t="e">
        <f t="shared" si="11"/>
        <v>#REF!</v>
      </c>
      <c r="B173" s="8"/>
      <c r="C173" s="8"/>
      <c r="D173" s="8"/>
      <c r="E173" s="23" t="str">
        <f t="shared" si="8"/>
        <v>.</v>
      </c>
      <c r="F173" s="8"/>
      <c r="G173" s="8"/>
      <c r="H173" s="8"/>
      <c r="I173" s="8"/>
      <c r="J173" s="8"/>
      <c r="K173" s="8"/>
      <c r="L173" s="8"/>
      <c r="M173" s="8"/>
    </row>
    <row r="174" spans="1:14" s="2" customFormat="1">
      <c r="A174" s="8"/>
      <c r="B174" s="61" t="s">
        <v>239</v>
      </c>
      <c r="C174" s="58" t="s">
        <v>19</v>
      </c>
      <c r="D174" s="8" t="s">
        <v>142</v>
      </c>
      <c r="E174" s="23" t="str">
        <f t="shared" si="8"/>
        <v>KWK-Zulagen (30000h).KWK bis 0.05 MW</v>
      </c>
      <c r="F174" s="70">
        <v>80</v>
      </c>
      <c r="G174" s="10"/>
      <c r="H174" s="10"/>
      <c r="I174" s="10"/>
      <c r="J174" s="10"/>
      <c r="K174" s="10"/>
      <c r="L174" s="10"/>
      <c r="M174" s="10"/>
      <c r="N174" s="2" t="s">
        <v>147</v>
      </c>
    </row>
    <row r="175" spans="1:14" s="2" customFormat="1">
      <c r="A175" s="8"/>
      <c r="B175" s="61" t="s">
        <v>239</v>
      </c>
      <c r="C175" s="58" t="s">
        <v>19</v>
      </c>
      <c r="D175" s="8" t="s">
        <v>143</v>
      </c>
      <c r="E175" s="23" t="str">
        <f t="shared" si="8"/>
        <v>KWK-Zulagen (30000h).KWK bis 0.1 MW</v>
      </c>
      <c r="F175" s="70">
        <v>60</v>
      </c>
      <c r="G175" s="10"/>
      <c r="H175" s="10"/>
      <c r="I175" s="10"/>
      <c r="J175" s="10"/>
      <c r="K175" s="10"/>
      <c r="L175" s="10"/>
      <c r="M175" s="10"/>
      <c r="N175" s="2" t="s">
        <v>147</v>
      </c>
    </row>
    <row r="176" spans="1:14" s="2" customFormat="1">
      <c r="A176" s="8"/>
      <c r="B176" s="61" t="s">
        <v>239</v>
      </c>
      <c r="C176" s="58" t="s">
        <v>19</v>
      </c>
      <c r="D176" s="8" t="s">
        <v>144</v>
      </c>
      <c r="E176" s="23" t="str">
        <f t="shared" si="8"/>
        <v>KWK-Zulagen (30000h).KWK bis 0.25 MW</v>
      </c>
      <c r="F176" s="70">
        <v>50</v>
      </c>
      <c r="G176" s="10"/>
      <c r="H176" s="10"/>
      <c r="I176" s="10"/>
      <c r="J176" s="10"/>
      <c r="K176" s="10"/>
      <c r="L176" s="10"/>
      <c r="M176" s="10"/>
      <c r="N176" s="2" t="s">
        <v>147</v>
      </c>
    </row>
    <row r="177" spans="1:14" s="2" customFormat="1">
      <c r="A177" s="8"/>
      <c r="B177" s="61" t="s">
        <v>239</v>
      </c>
      <c r="C177" s="58" t="s">
        <v>19</v>
      </c>
      <c r="D177" s="8" t="s">
        <v>145</v>
      </c>
      <c r="E177" s="23" t="str">
        <f t="shared" si="8"/>
        <v>KWK-Zulagen (30000h).KWK  bis 2 MW</v>
      </c>
      <c r="F177" s="70">
        <v>44</v>
      </c>
      <c r="G177" s="10"/>
      <c r="H177" s="10"/>
      <c r="I177" s="10"/>
      <c r="J177" s="10"/>
      <c r="K177" s="10"/>
      <c r="L177" s="10"/>
      <c r="M177" s="10"/>
      <c r="N177" s="2" t="s">
        <v>147</v>
      </c>
    </row>
    <row r="178" spans="1:14" s="2" customFormat="1">
      <c r="A178" s="8"/>
      <c r="B178" s="61" t="s">
        <v>239</v>
      </c>
      <c r="C178" s="58" t="s">
        <v>19</v>
      </c>
      <c r="D178" s="8" t="s">
        <v>146</v>
      </c>
      <c r="E178" s="23" t="str">
        <f t="shared" si="8"/>
        <v>KWK-Zulagen (30000h).KWK &gt; 2 MW</v>
      </c>
      <c r="F178" s="70">
        <v>31</v>
      </c>
      <c r="G178" s="10"/>
      <c r="H178" s="10"/>
      <c r="I178" s="10"/>
      <c r="J178" s="10"/>
      <c r="K178" s="10"/>
      <c r="L178" s="10"/>
      <c r="M178" s="10"/>
      <c r="N178" s="2" t="s">
        <v>147</v>
      </c>
    </row>
    <row r="179" spans="1:14" s="2" customFormat="1">
      <c r="A179" s="8"/>
      <c r="B179" s="8"/>
      <c r="C179" s="8"/>
      <c r="D179" s="8"/>
      <c r="E179" s="23"/>
      <c r="F179" s="8"/>
      <c r="G179" s="8"/>
      <c r="H179" s="8"/>
      <c r="I179" s="8"/>
      <c r="J179" s="8"/>
      <c r="K179" s="8"/>
      <c r="L179" s="8"/>
      <c r="M179" s="8"/>
    </row>
    <row r="180" spans="1:14" s="2" customFormat="1">
      <c r="A180" s="8"/>
      <c r="B180" s="61" t="s">
        <v>240</v>
      </c>
      <c r="C180" s="101" t="s">
        <v>19</v>
      </c>
      <c r="D180" s="8" t="s">
        <v>142</v>
      </c>
      <c r="E180" s="23" t="str">
        <f>B180&amp;"."&amp;D180</f>
        <v>KWK-Zulagen (durchschnitt bei 4500h/a für 20a).KWK bis 0.05 MW</v>
      </c>
      <c r="F180" s="70">
        <f>(F174*30000)/(4500*20)</f>
        <v>26.666666666666668</v>
      </c>
      <c r="G180" s="8"/>
      <c r="H180" s="8"/>
      <c r="I180" s="8"/>
      <c r="J180" s="8"/>
      <c r="K180" s="8"/>
      <c r="L180" s="8"/>
      <c r="M180" s="8"/>
    </row>
    <row r="181" spans="1:14" s="2" customFormat="1">
      <c r="A181" s="8"/>
      <c r="B181" s="61" t="s">
        <v>240</v>
      </c>
      <c r="C181" s="101" t="s">
        <v>19</v>
      </c>
      <c r="D181" s="8" t="s">
        <v>143</v>
      </c>
      <c r="E181" s="23" t="str">
        <f>B181&amp;"."&amp;D181</f>
        <v>KWK-Zulagen (durchschnitt bei 4500h/a für 20a).KWK bis 0.1 MW</v>
      </c>
      <c r="F181" s="70">
        <f>(F175*30000)/(4500*20)</f>
        <v>20</v>
      </c>
      <c r="G181" s="8"/>
      <c r="H181" s="8"/>
      <c r="I181" s="8"/>
      <c r="J181" s="8"/>
      <c r="K181" s="8"/>
      <c r="L181" s="8"/>
      <c r="M181" s="8"/>
    </row>
    <row r="182" spans="1:14" s="2" customFormat="1">
      <c r="A182" s="8"/>
      <c r="B182" s="61" t="s">
        <v>240</v>
      </c>
      <c r="C182" s="101" t="s">
        <v>19</v>
      </c>
      <c r="D182" s="8" t="s">
        <v>144</v>
      </c>
      <c r="E182" s="23" t="str">
        <f>B182&amp;"."&amp;D182</f>
        <v>KWK-Zulagen (durchschnitt bei 4500h/a für 20a).KWK bis 0.25 MW</v>
      </c>
      <c r="F182" s="70">
        <f>(F176*30000)/(4500*20)</f>
        <v>16.666666666666668</v>
      </c>
      <c r="G182" s="8"/>
      <c r="H182" s="8"/>
      <c r="I182" s="8"/>
      <c r="J182" s="8"/>
      <c r="K182" s="8"/>
      <c r="L182" s="8"/>
      <c r="M182" s="8"/>
    </row>
    <row r="183" spans="1:14" s="2" customFormat="1">
      <c r="A183" s="8"/>
      <c r="B183" s="61" t="s">
        <v>240</v>
      </c>
      <c r="C183" s="101" t="s">
        <v>19</v>
      </c>
      <c r="D183" s="8" t="s">
        <v>145</v>
      </c>
      <c r="E183" s="23" t="str">
        <f>B183&amp;"."&amp;D183</f>
        <v>KWK-Zulagen (durchschnitt bei 4500h/a für 20a).KWK  bis 2 MW</v>
      </c>
      <c r="F183" s="70">
        <f>(F177*30000)/(4500*20)</f>
        <v>14.666666666666666</v>
      </c>
      <c r="G183" s="8"/>
      <c r="H183" s="8"/>
      <c r="I183" s="8"/>
      <c r="J183" s="8"/>
      <c r="K183" s="8"/>
      <c r="L183" s="8"/>
      <c r="M183" s="8"/>
    </row>
    <row r="184" spans="1:14" s="2" customFormat="1">
      <c r="A184" s="8"/>
      <c r="B184" s="61" t="s">
        <v>240</v>
      </c>
      <c r="C184" s="101" t="s">
        <v>19</v>
      </c>
      <c r="D184" s="8" t="s">
        <v>146</v>
      </c>
      <c r="E184" s="23" t="str">
        <f>B184&amp;"."&amp;D184</f>
        <v>KWK-Zulagen (durchschnitt bei 4500h/a für 20a).KWK &gt; 2 MW</v>
      </c>
      <c r="F184" s="70">
        <f>(F178*30000)/(4500*20)</f>
        <v>10.333333333333334</v>
      </c>
      <c r="G184" s="8"/>
      <c r="H184" s="8"/>
      <c r="I184" s="8"/>
      <c r="J184" s="8"/>
      <c r="K184" s="8"/>
      <c r="L184" s="8"/>
      <c r="M184" s="8"/>
    </row>
    <row r="185" spans="1:14" s="2" customFormat="1">
      <c r="A185" s="8"/>
      <c r="B185" s="8"/>
      <c r="C185" s="8"/>
      <c r="D185" s="8"/>
      <c r="E185" s="23"/>
      <c r="F185" s="8"/>
      <c r="G185" s="8"/>
      <c r="H185" s="8"/>
      <c r="I185" s="8"/>
      <c r="J185" s="8"/>
      <c r="K185" s="8"/>
      <c r="L185" s="8"/>
      <c r="M185" s="8"/>
    </row>
    <row r="186" spans="1:14" s="2" customFormat="1">
      <c r="A186" s="8"/>
      <c r="B186" s="8"/>
      <c r="C186" s="8"/>
      <c r="D186" s="8"/>
      <c r="E186" s="23"/>
      <c r="F186" s="8"/>
      <c r="G186" s="8"/>
      <c r="H186" s="8"/>
      <c r="I186" s="8"/>
      <c r="J186" s="8"/>
      <c r="K186" s="8"/>
      <c r="L186" s="8"/>
      <c r="M186" s="8"/>
    </row>
    <row r="187" spans="1:14" ht="12.75" customHeight="1">
      <c r="A187" s="8" t="e">
        <f>A173+1</f>
        <v>#REF!</v>
      </c>
      <c r="B187" s="61" t="s">
        <v>15</v>
      </c>
      <c r="C187" s="206" t="s">
        <v>14</v>
      </c>
      <c r="D187" s="60" t="s">
        <v>13</v>
      </c>
      <c r="E187" s="23" t="str">
        <f t="shared" si="8"/>
        <v>fixed O&amp;M.hot water boiler (1-30 MW_th)</v>
      </c>
      <c r="F187" s="7">
        <f>VLOOKUP($E187,'Year Selection'!$E:$N,'Year Selection'!$F$4+1,0)</f>
        <v>3000</v>
      </c>
      <c r="G187" s="7"/>
      <c r="H187" s="7"/>
      <c r="I187" s="7">
        <f>VLOOKUP($E187,'Year Selection'!$E:$N,'Year Selection'!$F$4+1,0)</f>
        <v>3000</v>
      </c>
      <c r="J187" s="7">
        <f>VLOOKUP($E187,'Year Selection'!$E:$N,'Year Selection'!$F$4+1,0)</f>
        <v>3000</v>
      </c>
      <c r="K187" s="7">
        <f>VLOOKUP($E187,'Year Selection'!$E:$N,'Year Selection'!$F$4+1,0)</f>
        <v>3000</v>
      </c>
      <c r="L187" s="7">
        <f>VLOOKUP($E187,'Year Selection'!$E:$N,'Year Selection'!$F$4+1,0)</f>
        <v>3000</v>
      </c>
      <c r="M187" s="7">
        <f>VLOOKUP($E187,'Year Selection'!$E:$N,'Year Selection'!$F$4+1,0)</f>
        <v>3000</v>
      </c>
      <c r="N187" s="1" t="s">
        <v>12</v>
      </c>
    </row>
    <row r="188" spans="1:14">
      <c r="A188" s="8" t="e">
        <f t="shared" si="11"/>
        <v>#REF!</v>
      </c>
      <c r="B188" s="61" t="s">
        <v>15</v>
      </c>
      <c r="C188" s="206"/>
      <c r="D188" s="60" t="s">
        <v>11</v>
      </c>
      <c r="E188" s="23" t="str">
        <f t="shared" si="8"/>
        <v>fixed O&amp;M.hot water tube boiler (20-250 MW_th)</v>
      </c>
      <c r="F188" s="7">
        <f>VLOOKUP($E188,'Year Selection'!$E:$N,'Year Selection'!$F$4+1,0)</f>
        <v>2000</v>
      </c>
      <c r="G188" s="7"/>
      <c r="H188" s="7"/>
      <c r="I188" s="7">
        <f>VLOOKUP($E188,'Year Selection'!$E:$N,'Year Selection'!$F$4+1,0)</f>
        <v>2000</v>
      </c>
      <c r="J188" s="7">
        <f>VLOOKUP($E188,'Year Selection'!$E:$N,'Year Selection'!$F$4+1,0)</f>
        <v>2000</v>
      </c>
      <c r="K188" s="7">
        <f>VLOOKUP($E188,'Year Selection'!$E:$N,'Year Selection'!$F$4+1,0)</f>
        <v>2000</v>
      </c>
      <c r="L188" s="7">
        <f>VLOOKUP($E188,'Year Selection'!$E:$N,'Year Selection'!$F$4+1,0)</f>
        <v>2000</v>
      </c>
      <c r="M188" s="7">
        <f>VLOOKUP($E188,'Year Selection'!$E:$N,'Year Selection'!$F$4+1,0)</f>
        <v>2000</v>
      </c>
      <c r="N188" s="1" t="s">
        <v>10</v>
      </c>
    </row>
    <row r="189" spans="1:14">
      <c r="A189" s="8" t="e">
        <f t="shared" si="11"/>
        <v>#REF!</v>
      </c>
      <c r="B189" s="61" t="s">
        <v>15</v>
      </c>
      <c r="C189" s="206"/>
      <c r="D189" s="60" t="s">
        <v>9</v>
      </c>
      <c r="E189" s="23" t="str">
        <f t="shared" si="8"/>
        <v>fixed O&amp;M.kwk klein (0.5-30 MW_el)</v>
      </c>
      <c r="F189" s="7">
        <f>VLOOKUP($E189,'Year Selection'!$E:$N,'Year Selection'!$F$4+1,0)</f>
        <v>10000</v>
      </c>
      <c r="G189" s="7"/>
      <c r="H189" s="7"/>
      <c r="I189" s="7">
        <f>VLOOKUP($E189,'Year Selection'!$E:$N,'Year Selection'!$F$4+1,0)</f>
        <v>10000</v>
      </c>
      <c r="J189" s="7">
        <f>VLOOKUP($E189,'Year Selection'!$E:$N,'Year Selection'!$F$4+1,0)</f>
        <v>10000</v>
      </c>
      <c r="K189" s="7">
        <f>VLOOKUP($E189,'Year Selection'!$E:$N,'Year Selection'!$F$4+1,0)</f>
        <v>10000</v>
      </c>
      <c r="L189" s="7">
        <f>VLOOKUP($E189,'Year Selection'!$E:$N,'Year Selection'!$F$4+1,0)</f>
        <v>10000</v>
      </c>
      <c r="M189" s="7">
        <f>VLOOKUP($E189,'Year Selection'!$E:$N,'Year Selection'!$F$4+1,0)</f>
        <v>10000</v>
      </c>
      <c r="N189" s="1" t="s">
        <v>8</v>
      </c>
    </row>
    <row r="190" spans="1:14">
      <c r="A190" s="8" t="e">
        <f t="shared" si="11"/>
        <v>#REF!</v>
      </c>
      <c r="B190" s="61" t="s">
        <v>15</v>
      </c>
      <c r="C190" s="206"/>
      <c r="D190" s="60" t="s">
        <v>7</v>
      </c>
      <c r="E190" s="23" t="str">
        <f t="shared" si="8"/>
        <v>fixed O&amp;M.kwk mittel (30-250 MW_el)</v>
      </c>
      <c r="F190" s="7">
        <f>VLOOKUP($E190,'Year Selection'!$E:$N,'Year Selection'!$F$4+1,0)</f>
        <v>0</v>
      </c>
      <c r="G190" s="7"/>
      <c r="H190" s="7"/>
      <c r="I190" s="7">
        <f>VLOOKUP($E190,'Year Selection'!$E:$N,'Year Selection'!$F$4+1,0)</f>
        <v>0</v>
      </c>
      <c r="J190" s="7">
        <f>VLOOKUP($E190,'Year Selection'!$E:$N,'Year Selection'!$F$4+1,0)</f>
        <v>0</v>
      </c>
      <c r="K190" s="7">
        <f>VLOOKUP($E190,'Year Selection'!$E:$N,'Year Selection'!$F$4+1,0)</f>
        <v>0</v>
      </c>
      <c r="L190" s="7">
        <f>VLOOKUP($E190,'Year Selection'!$E:$N,'Year Selection'!$F$4+1,0)</f>
        <v>0</v>
      </c>
      <c r="M190" s="7">
        <f>VLOOKUP($E190,'Year Selection'!$E:$N,'Year Selection'!$F$4+1,0)</f>
        <v>0</v>
      </c>
      <c r="N190" s="1" t="s">
        <v>6</v>
      </c>
    </row>
    <row r="191" spans="1:14">
      <c r="A191" s="8" t="e">
        <f t="shared" si="11"/>
        <v>#REF!</v>
      </c>
      <c r="B191" s="61" t="s">
        <v>15</v>
      </c>
      <c r="C191" s="206"/>
      <c r="D191" s="60" t="s">
        <v>5</v>
      </c>
      <c r="E191" s="23" t="str">
        <f t="shared" si="8"/>
        <v>fixed O&amp;M.kwk groß (&gt;250 MW_el)</v>
      </c>
      <c r="F191" s="7">
        <f>VLOOKUP($E191,'Year Selection'!$E:$N,'Year Selection'!$F$4+1,0)</f>
        <v>0</v>
      </c>
      <c r="G191" s="7"/>
      <c r="H191" s="7"/>
      <c r="I191" s="7">
        <f>VLOOKUP($E191,'Year Selection'!$E:$N,'Year Selection'!$F$4+1,0)</f>
        <v>0</v>
      </c>
      <c r="J191" s="7">
        <f>VLOOKUP($E191,'Year Selection'!$E:$N,'Year Selection'!$F$4+1,0)</f>
        <v>0</v>
      </c>
      <c r="K191" s="7">
        <f>VLOOKUP($E191,'Year Selection'!$E:$N,'Year Selection'!$F$4+1,0)</f>
        <v>0</v>
      </c>
      <c r="L191" s="7">
        <f>VLOOKUP($E191,'Year Selection'!$E:$N,'Year Selection'!$F$4+1,0)</f>
        <v>0</v>
      </c>
      <c r="M191" s="7">
        <f>VLOOKUP($E191,'Year Selection'!$E:$N,'Year Selection'!$F$4+1,0)</f>
        <v>0</v>
      </c>
      <c r="N191" s="1" t="s">
        <v>4</v>
      </c>
    </row>
    <row r="192" spans="1:14">
      <c r="A192" s="8" t="e">
        <f t="shared" si="11"/>
        <v>#REF!</v>
      </c>
      <c r="B192" s="61" t="s">
        <v>15</v>
      </c>
      <c r="C192" s="206"/>
      <c r="D192" s="60" t="s">
        <v>3</v>
      </c>
      <c r="E192" s="23" t="str">
        <f t="shared" si="8"/>
        <v>fixed O&amp;M.pth</v>
      </c>
      <c r="F192" s="7">
        <f>VLOOKUP($E192,'Year Selection'!$E:$N,'Year Selection'!$F$4+1,0)</f>
        <v>5000</v>
      </c>
      <c r="G192" s="7"/>
      <c r="H192" s="7"/>
      <c r="I192" s="7">
        <f>VLOOKUP($E192,'Year Selection'!$E:$N,'Year Selection'!$F$4+1,0)</f>
        <v>5000</v>
      </c>
      <c r="J192" s="7">
        <f>VLOOKUP($E192,'Year Selection'!$E:$N,'Year Selection'!$F$4+1,0)</f>
        <v>5000</v>
      </c>
      <c r="K192" s="7">
        <f>VLOOKUP($E192,'Year Selection'!$E:$N,'Year Selection'!$F$4+1,0)</f>
        <v>5000</v>
      </c>
      <c r="L192" s="7">
        <f>VLOOKUP($E192,'Year Selection'!$E:$N,'Year Selection'!$F$4+1,0)</f>
        <v>5000</v>
      </c>
      <c r="M192" s="7">
        <f>VLOOKUP($E192,'Year Selection'!$E:$N,'Year Selection'!$F$4+1,0)</f>
        <v>5000</v>
      </c>
      <c r="N192" s="1" t="s">
        <v>2</v>
      </c>
    </row>
    <row r="193" spans="1:13">
      <c r="A193" s="8" t="e">
        <f t="shared" si="11"/>
        <v>#REF!</v>
      </c>
      <c r="B193" s="61" t="s">
        <v>15</v>
      </c>
      <c r="C193" s="206"/>
      <c r="D193" s="60" t="s">
        <v>1</v>
      </c>
      <c r="E193" s="23" t="str">
        <f t="shared" si="8"/>
        <v>fixed O&amp;M.batt</v>
      </c>
      <c r="F193" s="7">
        <f>VLOOKUP($E193,'Year Selection'!$E:$N,'Year Selection'!$F$4+1,0)</f>
        <v>0</v>
      </c>
      <c r="G193" s="7"/>
      <c r="H193" s="7"/>
      <c r="I193" s="7">
        <f>VLOOKUP($E193,'Year Selection'!$E:$N,'Year Selection'!$F$4+1,0)</f>
        <v>0</v>
      </c>
      <c r="J193" s="7">
        <f>VLOOKUP($E193,'Year Selection'!$E:$N,'Year Selection'!$F$4+1,0)</f>
        <v>0</v>
      </c>
      <c r="K193" s="7">
        <f>VLOOKUP($E193,'Year Selection'!$E:$N,'Year Selection'!$F$4+1,0)</f>
        <v>0</v>
      </c>
      <c r="L193" s="7">
        <f>VLOOKUP($E193,'Year Selection'!$E:$N,'Year Selection'!$F$4+1,0)</f>
        <v>0</v>
      </c>
      <c r="M193" s="7">
        <f>VLOOKUP($E193,'Year Selection'!$E:$N,'Year Selection'!$F$4+1,0)</f>
        <v>0</v>
      </c>
    </row>
    <row r="194" spans="1:13">
      <c r="A194" s="8" t="e">
        <f t="shared" si="11"/>
        <v>#REF!</v>
      </c>
      <c r="B194" s="61" t="s">
        <v>15</v>
      </c>
      <c r="C194" s="206"/>
      <c r="D194" s="60" t="s">
        <v>0</v>
      </c>
      <c r="E194" s="23" t="str">
        <f t="shared" si="8"/>
        <v>fixed O&amp;M.ptg</v>
      </c>
      <c r="F194" s="7">
        <f>VLOOKUP($E194,'Year Selection'!$E:$N,'Year Selection'!$F$4+1,0)</f>
        <v>0</v>
      </c>
      <c r="G194" s="7"/>
      <c r="H194" s="7"/>
      <c r="I194" s="7">
        <f>VLOOKUP($E194,'Year Selection'!$E:$N,'Year Selection'!$F$4+1,0)</f>
        <v>0</v>
      </c>
      <c r="J194" s="7">
        <f>VLOOKUP($E194,'Year Selection'!$E:$N,'Year Selection'!$F$4+1,0)</f>
        <v>0</v>
      </c>
      <c r="K194" s="7">
        <f>VLOOKUP($E194,'Year Selection'!$E:$N,'Year Selection'!$F$4+1,0)</f>
        <v>0</v>
      </c>
      <c r="L194" s="7">
        <f>VLOOKUP($E194,'Year Selection'!$E:$N,'Year Selection'!$F$4+1,0)</f>
        <v>0</v>
      </c>
      <c r="M194" s="7">
        <f>VLOOKUP($E194,'Year Selection'!$E:$N,'Year Selection'!$F$4+1,0)</f>
        <v>0</v>
      </c>
    </row>
    <row r="195" spans="1:13">
      <c r="A195" s="1" t="e">
        <f t="shared" si="11"/>
        <v>#REF!</v>
      </c>
      <c r="D195" s="6"/>
    </row>
    <row r="196" spans="1:13">
      <c r="C196" s="1"/>
      <c r="D196" s="1"/>
      <c r="E196" s="1"/>
    </row>
    <row r="197" spans="1:13">
      <c r="C197" s="1"/>
      <c r="D197" s="1"/>
      <c r="E197" s="1"/>
    </row>
    <row r="198" spans="1:13">
      <c r="C198" s="1"/>
      <c r="D198" s="1"/>
      <c r="E198" s="1"/>
    </row>
    <row r="199" spans="1:13">
      <c r="C199" s="1"/>
      <c r="D199" s="1"/>
      <c r="E199" s="1"/>
    </row>
    <row r="200" spans="1:13">
      <c r="C200" s="1"/>
      <c r="D200" s="1"/>
      <c r="E200" s="1"/>
    </row>
    <row r="201" spans="1:13">
      <c r="C201" s="1"/>
      <c r="D201" s="1"/>
      <c r="E201" s="1"/>
    </row>
    <row r="202" spans="1:13">
      <c r="C202" s="1"/>
      <c r="D202" s="1"/>
      <c r="E202" s="1"/>
    </row>
    <row r="203" spans="1:13">
      <c r="C203" s="1"/>
      <c r="D203" s="1"/>
      <c r="E203" s="1"/>
    </row>
    <row r="204" spans="1:13">
      <c r="C204" s="1"/>
      <c r="D204" s="1"/>
      <c r="E204" s="1"/>
    </row>
    <row r="205" spans="1:13">
      <c r="C205" s="1"/>
      <c r="D205" s="1"/>
      <c r="E205" s="1"/>
    </row>
    <row r="206" spans="1:13">
      <c r="C206" s="1"/>
      <c r="D206" s="1"/>
      <c r="E206" s="1"/>
    </row>
    <row r="240" spans="5:5">
      <c r="E240" s="4" t="str">
        <f t="shared" ref="E240:E250" si="12">C240&amp;D240</f>
        <v/>
      </c>
    </row>
    <row r="241" spans="3:5">
      <c r="E241" s="4" t="str">
        <f t="shared" si="12"/>
        <v/>
      </c>
    </row>
    <row r="242" spans="3:5">
      <c r="E242" s="4" t="str">
        <f t="shared" si="12"/>
        <v/>
      </c>
    </row>
    <row r="243" spans="3:5">
      <c r="C243" s="5"/>
      <c r="E243" s="4" t="str">
        <f t="shared" si="12"/>
        <v/>
      </c>
    </row>
    <row r="244" spans="3:5">
      <c r="C244" s="5"/>
      <c r="E244" s="4" t="str">
        <f t="shared" si="12"/>
        <v/>
      </c>
    </row>
    <row r="245" spans="3:5">
      <c r="E245" s="4" t="str">
        <f t="shared" si="12"/>
        <v/>
      </c>
    </row>
    <row r="246" spans="3:5">
      <c r="E246" s="4" t="str">
        <f t="shared" si="12"/>
        <v/>
      </c>
    </row>
    <row r="247" spans="3:5">
      <c r="E247" s="4" t="str">
        <f t="shared" si="12"/>
        <v/>
      </c>
    </row>
    <row r="248" spans="3:5">
      <c r="E248" s="4" t="str">
        <f t="shared" si="12"/>
        <v/>
      </c>
    </row>
    <row r="249" spans="3:5">
      <c r="E249" s="4" t="str">
        <f t="shared" si="12"/>
        <v/>
      </c>
    </row>
    <row r="250" spans="3:5">
      <c r="E250" s="4" t="str">
        <f t="shared" si="12"/>
        <v/>
      </c>
    </row>
  </sheetData>
  <mergeCells count="12">
    <mergeCell ref="E6:E7"/>
    <mergeCell ref="C165:C172"/>
    <mergeCell ref="C187:C194"/>
    <mergeCell ref="C116:C125"/>
    <mergeCell ref="C126:C127"/>
    <mergeCell ref="C128:C129"/>
    <mergeCell ref="C139:C140"/>
    <mergeCell ref="C141:C142"/>
    <mergeCell ref="C134:C138"/>
    <mergeCell ref="C156:C163"/>
    <mergeCell ref="C146:C147"/>
    <mergeCell ref="C144:C145"/>
  </mergeCells>
  <pageMargins left="0.75" right="0.75" top="1" bottom="1" header="0.5" footer="0.5"/>
  <pageSetup orientation="portrait" horizontalDpi="4294967292" vertic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553C6-61B7-4691-A1A5-8E0BDE67761C}">
  <sheetPr>
    <tabColor theme="5"/>
  </sheetPr>
  <dimension ref="A1:AE436"/>
  <sheetViews>
    <sheetView showGridLines="0" zoomScaleNormal="100" workbookViewId="0">
      <pane xSplit="5" ySplit="7" topLeftCell="F249" activePane="bottomRight" state="frozen"/>
      <selection pane="topRight" activeCell="C1" sqref="C1"/>
      <selection pane="bottomLeft" activeCell="A8" sqref="A8"/>
      <selection pane="bottomRight" activeCell="F262" sqref="F262"/>
    </sheetView>
  </sheetViews>
  <sheetFormatPr baseColWidth="10" defaultRowHeight="12.75"/>
  <cols>
    <col min="1" max="1" width="4" style="1" hidden="1" customWidth="1"/>
    <col min="2" max="2" width="28" style="36" customWidth="1"/>
    <col min="3" max="3" width="16.7109375" style="35" customWidth="1"/>
    <col min="4" max="4" width="26.85546875" style="2" customWidth="1"/>
    <col min="5" max="5" width="34" style="2" customWidth="1"/>
    <col min="6" max="6" width="20" style="1" customWidth="1"/>
    <col min="7" max="8" width="19.5703125" style="1" customWidth="1"/>
    <col min="9" max="9" width="5.7109375" style="91" customWidth="1"/>
    <col min="10" max="12" width="30.140625" style="1" customWidth="1"/>
    <col min="13" max="23" width="9.7109375" style="1" customWidth="1"/>
    <col min="24" max="26" width="16.7109375" style="1" customWidth="1"/>
    <col min="27" max="16384" width="11.42578125" style="1"/>
  </cols>
  <sheetData>
    <row r="1" spans="1:22">
      <c r="C1" s="32" t="s">
        <v>88</v>
      </c>
      <c r="D1" s="34"/>
      <c r="E1" s="33"/>
    </row>
    <row r="2" spans="1:22">
      <c r="C2" s="51" t="s">
        <v>87</v>
      </c>
      <c r="D2" s="28"/>
      <c r="F2" s="2" t="s">
        <v>136</v>
      </c>
    </row>
    <row r="3" spans="1:22">
      <c r="C3" s="52"/>
      <c r="F3" s="2" t="s">
        <v>85</v>
      </c>
    </row>
    <row r="4" spans="1:22">
      <c r="C4" s="32" t="s">
        <v>135</v>
      </c>
      <c r="D4" s="32"/>
      <c r="E4" s="30"/>
      <c r="F4" s="53">
        <v>1</v>
      </c>
    </row>
    <row r="5" spans="1:22">
      <c r="C5" s="52"/>
      <c r="J5" s="97" t="s">
        <v>189</v>
      </c>
    </row>
    <row r="6" spans="1:22" ht="12.75" customHeight="1">
      <c r="A6" s="1">
        <v>6</v>
      </c>
      <c r="C6" s="51"/>
      <c r="D6" s="28"/>
      <c r="E6" s="8"/>
      <c r="F6" s="90" t="s">
        <v>134</v>
      </c>
      <c r="G6" s="90">
        <f>F6+1</f>
        <v>2</v>
      </c>
      <c r="H6" s="90">
        <f>G6+1</f>
        <v>3</v>
      </c>
      <c r="I6" s="90"/>
      <c r="J6" s="90" t="str">
        <f>F6</f>
        <v>1</v>
      </c>
      <c r="K6" s="90">
        <f>G6</f>
        <v>2</v>
      </c>
      <c r="L6" s="90">
        <f>H6</f>
        <v>3</v>
      </c>
      <c r="M6" s="90"/>
      <c r="N6" s="2"/>
    </row>
    <row r="7" spans="1:22">
      <c r="A7" s="1">
        <f>A6+1</f>
        <v>7</v>
      </c>
      <c r="B7" s="8" t="s">
        <v>195</v>
      </c>
      <c r="C7" s="8" t="s">
        <v>153</v>
      </c>
      <c r="D7" s="8" t="s">
        <v>154</v>
      </c>
      <c r="E7" s="8" t="s">
        <v>155</v>
      </c>
      <c r="F7" s="89">
        <v>2016</v>
      </c>
      <c r="G7" s="89">
        <v>2035</v>
      </c>
      <c r="H7" s="89">
        <v>2050</v>
      </c>
      <c r="I7" s="89"/>
      <c r="J7" s="91"/>
      <c r="K7" s="93"/>
      <c r="L7" s="93"/>
      <c r="M7" s="93"/>
      <c r="N7" s="2"/>
    </row>
    <row r="8" spans="1:22">
      <c r="A8" s="1" t="e">
        <f>#REF!+1</f>
        <v>#REF!</v>
      </c>
      <c r="B8" s="8" t="s">
        <v>61</v>
      </c>
      <c r="C8" s="50" t="s">
        <v>60</v>
      </c>
      <c r="D8" s="49" t="s">
        <v>115</v>
      </c>
      <c r="E8" s="79" t="str">
        <f>C8&amp;"."&amp;D8</f>
        <v>cs_gas.capacity</v>
      </c>
      <c r="F8" s="49">
        <v>1000000000</v>
      </c>
      <c r="G8" s="49">
        <v>1000000000</v>
      </c>
      <c r="H8" s="49">
        <v>1000000000</v>
      </c>
      <c r="I8" s="9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>
      <c r="B9" s="8" t="s">
        <v>61</v>
      </c>
      <c r="C9" s="50" t="s">
        <v>59</v>
      </c>
      <c r="D9" s="49" t="s">
        <v>115</v>
      </c>
      <c r="E9" s="79" t="str">
        <f>C9&amp;"."&amp;D9</f>
        <v>cs_electric.capacity</v>
      </c>
      <c r="F9" s="49">
        <v>1000000000</v>
      </c>
      <c r="G9" s="49">
        <v>1000000000</v>
      </c>
      <c r="H9" s="49">
        <v>1000000000</v>
      </c>
      <c r="I9" s="9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>
      <c r="B10" s="8"/>
      <c r="C10" s="50"/>
      <c r="D10" s="49"/>
      <c r="E10" s="79"/>
      <c r="F10" s="49"/>
      <c r="G10" s="49"/>
      <c r="H10" s="49"/>
      <c r="I10" s="9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>
      <c r="B11" s="8" t="s">
        <v>133</v>
      </c>
      <c r="C11" s="50" t="s">
        <v>132</v>
      </c>
      <c r="D11" s="49" t="s">
        <v>157</v>
      </c>
      <c r="E11" s="79" t="str">
        <f t="shared" ref="E11:E18" si="0">C11&amp;"."&amp;D11</f>
        <v>chp_pr.Invest. Eq.</v>
      </c>
      <c r="F11" s="26">
        <f>F$256*VLOOKUP($C11&amp;"."&amp;"power el max",$E:$K,$F$4+1,0)</f>
        <v>264600</v>
      </c>
      <c r="G11" s="26">
        <f>G$248*VLOOKUP($C11&amp;"."&amp;"power el max",$E:$K,$F$4+1,0)</f>
        <v>25200</v>
      </c>
      <c r="H11" s="26">
        <f>H$248*VLOOKUP($C11&amp;"."&amp;"power el max",$E:$K,$F$4+1,0)</f>
        <v>25200</v>
      </c>
      <c r="I11" s="9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>
      <c r="B12" s="8" t="s">
        <v>133</v>
      </c>
      <c r="C12" s="50" t="s">
        <v>132</v>
      </c>
      <c r="D12" s="49" t="s">
        <v>158</v>
      </c>
      <c r="E12" s="79" t="str">
        <f t="shared" si="0"/>
        <v>chp_pr.Invest. Installation</v>
      </c>
      <c r="F12" s="26">
        <f>F$249*VLOOKUP($C12&amp;"."&amp;"power el max",$E:$K,$F$4+1,0)</f>
        <v>16800</v>
      </c>
      <c r="G12" s="26">
        <f>G$249*VLOOKUP($C12&amp;"."&amp;"power el max",$E:$K,$F$4+1,0)</f>
        <v>16800</v>
      </c>
      <c r="H12" s="26">
        <f>H$249*VLOOKUP($C12&amp;"."&amp;"power el max",$E:$K,$F$4+1,0)</f>
        <v>16800</v>
      </c>
      <c r="I12" s="9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>
      <c r="B13" s="8" t="s">
        <v>133</v>
      </c>
      <c r="C13" s="50" t="s">
        <v>132</v>
      </c>
      <c r="D13" s="49" t="s">
        <v>15</v>
      </c>
      <c r="E13" s="79" t="str">
        <f t="shared" si="0"/>
        <v>chp_pr.fixed O&amp;M</v>
      </c>
      <c r="F13" s="26">
        <f>F$258*VLOOKUP($C13&amp;"."&amp;"power el max",$E:$K,$F$4+1,0)</f>
        <v>4200</v>
      </c>
      <c r="G13" s="26">
        <f>G$258*VLOOKUP($C13&amp;"."&amp;"power el max",$E:$K,$F$4+1,0)</f>
        <v>3780</v>
      </c>
      <c r="H13" s="26">
        <f>H$258*VLOOKUP($C13&amp;"."&amp;"power el max",$E:$K,$F$4+1,0)</f>
        <v>3360</v>
      </c>
      <c r="I13" s="9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>
      <c r="B14" s="8" t="s">
        <v>133</v>
      </c>
      <c r="C14" s="50" t="s">
        <v>132</v>
      </c>
      <c r="D14" s="49" t="s">
        <v>149</v>
      </c>
      <c r="E14" s="79" t="str">
        <f t="shared" si="0"/>
        <v>chp_pr.lifetime</v>
      </c>
      <c r="F14" s="26">
        <f>F$260</f>
        <v>30</v>
      </c>
      <c r="G14" s="26">
        <f>G$260</f>
        <v>35</v>
      </c>
      <c r="H14" s="26">
        <f>H$260</f>
        <v>35</v>
      </c>
      <c r="I14" s="9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>
      <c r="B15" s="8" t="s">
        <v>133</v>
      </c>
      <c r="C15" s="50" t="s">
        <v>132</v>
      </c>
      <c r="D15" s="49" t="s">
        <v>110</v>
      </c>
      <c r="E15" s="79" t="str">
        <f t="shared" si="0"/>
        <v>chp_pr.el efficiency min</v>
      </c>
      <c r="F15" s="49">
        <v>0.25</v>
      </c>
      <c r="G15" s="49">
        <v>0.25</v>
      </c>
      <c r="H15" s="49">
        <v>0.25</v>
      </c>
      <c r="I15" s="9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>
      <c r="B16" s="8" t="s">
        <v>133</v>
      </c>
      <c r="C16" s="50" t="s">
        <v>132</v>
      </c>
      <c r="D16" s="49" t="s">
        <v>109</v>
      </c>
      <c r="E16" s="79" t="str">
        <f t="shared" si="0"/>
        <v>chp_pr.el efficiency max</v>
      </c>
      <c r="F16" s="8">
        <v>0.49</v>
      </c>
      <c r="G16" s="8">
        <v>0.49</v>
      </c>
      <c r="H16" s="8">
        <v>0.49</v>
      </c>
      <c r="I16" s="93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2:22">
      <c r="B17" s="8" t="s">
        <v>133</v>
      </c>
      <c r="C17" s="50" t="s">
        <v>132</v>
      </c>
      <c r="D17" s="49" t="s">
        <v>198</v>
      </c>
      <c r="E17" s="79" t="str">
        <f t="shared" si="0"/>
        <v>chp_pr.power el min</v>
      </c>
      <c r="F17" s="8">
        <f>0.5*F18</f>
        <v>0.21</v>
      </c>
      <c r="G17" s="8">
        <v>0.9</v>
      </c>
      <c r="H17" s="8">
        <v>0.9</v>
      </c>
      <c r="I17" s="93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2:22">
      <c r="B18" s="8" t="s">
        <v>133</v>
      </c>
      <c r="C18" s="50" t="s">
        <v>132</v>
      </c>
      <c r="D18" s="49" t="s">
        <v>199</v>
      </c>
      <c r="E18" s="79" t="str">
        <f t="shared" si="0"/>
        <v>chp_pr.power el max</v>
      </c>
      <c r="F18" s="8">
        <v>0.42</v>
      </c>
      <c r="G18" s="8">
        <v>2.7</v>
      </c>
      <c r="H18" s="8">
        <v>2.7</v>
      </c>
      <c r="I18" s="93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2:22">
      <c r="B19" s="8"/>
      <c r="C19" s="50"/>
      <c r="D19" s="49"/>
      <c r="E19" s="79"/>
      <c r="F19" s="8"/>
      <c r="G19" s="8"/>
      <c r="H19" s="8"/>
      <c r="I19" s="93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2:22">
      <c r="B20" s="8" t="s">
        <v>133</v>
      </c>
      <c r="C20" s="86" t="s">
        <v>131</v>
      </c>
      <c r="D20" s="49" t="s">
        <v>157</v>
      </c>
      <c r="E20" s="79" t="str">
        <f t="shared" ref="E20:E27" si="1">C20&amp;"."&amp;D20</f>
        <v>chp_sch.Invest. Eq.</v>
      </c>
      <c r="F20" s="26">
        <f>F$256*VLOOKUP($C20&amp;"."&amp;"power el max",$E:$K,$F$4+1,0)</f>
        <v>1726200.0000000002</v>
      </c>
      <c r="G20" s="26">
        <f>G$248*VLOOKUP($C20&amp;"."&amp;"power el max",$E:$K,$F$4+1,0)</f>
        <v>164400</v>
      </c>
      <c r="H20" s="26">
        <f>H$248*VLOOKUP($C20&amp;"."&amp;"power el max",$E:$K,$F$4+1,0)</f>
        <v>164400</v>
      </c>
      <c r="I20" s="9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2:22">
      <c r="B21" s="8" t="s">
        <v>133</v>
      </c>
      <c r="C21" s="86" t="s">
        <v>131</v>
      </c>
      <c r="D21" s="49" t="s">
        <v>158</v>
      </c>
      <c r="E21" s="79" t="str">
        <f t="shared" si="1"/>
        <v>chp_sch.Invest. Installation</v>
      </c>
      <c r="F21" s="26">
        <f>F$249*VLOOKUP($C21&amp;"."&amp;"power el max",$E:$K,$F$4+1,0)</f>
        <v>109600.00000000001</v>
      </c>
      <c r="G21" s="26">
        <f>G$249*VLOOKUP($C21&amp;"."&amp;"power el max",$E:$K,$F$4+1,0)</f>
        <v>109600.00000000001</v>
      </c>
      <c r="H21" s="26">
        <f>H$249*VLOOKUP($C21&amp;"."&amp;"power el max",$E:$K,$F$4+1,0)</f>
        <v>109600.00000000001</v>
      </c>
      <c r="I21" s="9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2:22">
      <c r="B22" s="8" t="s">
        <v>133</v>
      </c>
      <c r="C22" s="86" t="s">
        <v>131</v>
      </c>
      <c r="D22" s="49" t="s">
        <v>15</v>
      </c>
      <c r="E22" s="79" t="str">
        <f t="shared" si="1"/>
        <v>chp_sch.fixed O&amp;M</v>
      </c>
      <c r="F22" s="26">
        <f>F$258*VLOOKUP($C22&amp;"."&amp;"power el max",$E:$K,$F$4+1,0)</f>
        <v>27400.000000000004</v>
      </c>
      <c r="G22" s="26">
        <f>G$258*VLOOKUP($C22&amp;"."&amp;"power el max",$E:$K,$F$4+1,0)</f>
        <v>24660.000000000004</v>
      </c>
      <c r="H22" s="26">
        <f>H$258*VLOOKUP($C22&amp;"."&amp;"power el max",$E:$K,$F$4+1,0)</f>
        <v>21920</v>
      </c>
      <c r="I22" s="9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2:22">
      <c r="B23" s="8" t="s">
        <v>133</v>
      </c>
      <c r="C23" s="86" t="s">
        <v>131</v>
      </c>
      <c r="D23" s="49" t="s">
        <v>149</v>
      </c>
      <c r="E23" s="79" t="str">
        <f t="shared" si="1"/>
        <v>chp_sch.lifetime</v>
      </c>
      <c r="F23" s="26">
        <f>F$260</f>
        <v>30</v>
      </c>
      <c r="G23" s="26">
        <f>G$260</f>
        <v>35</v>
      </c>
      <c r="H23" s="26">
        <f>H$260</f>
        <v>35</v>
      </c>
      <c r="I23" s="9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2:22">
      <c r="B24" s="8" t="s">
        <v>133</v>
      </c>
      <c r="C24" s="86" t="s">
        <v>131</v>
      </c>
      <c r="D24" s="49" t="s">
        <v>110</v>
      </c>
      <c r="E24" s="79" t="str">
        <f t="shared" si="1"/>
        <v>chp_sch.el efficiency min</v>
      </c>
      <c r="F24" s="12">
        <v>0.25</v>
      </c>
      <c r="G24" s="12">
        <v>0.25</v>
      </c>
      <c r="H24" s="12">
        <v>0.25</v>
      </c>
      <c r="I24" s="93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2:22">
      <c r="B25" s="8" t="s">
        <v>133</v>
      </c>
      <c r="C25" s="86" t="s">
        <v>131</v>
      </c>
      <c r="D25" s="49" t="s">
        <v>109</v>
      </c>
      <c r="E25" s="79" t="str">
        <f t="shared" si="1"/>
        <v>chp_sch.el efficiency max</v>
      </c>
      <c r="F25" s="12">
        <v>0.49</v>
      </c>
      <c r="G25" s="12">
        <v>0.49</v>
      </c>
      <c r="H25" s="12">
        <v>0.49</v>
      </c>
      <c r="I25" s="93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2:22">
      <c r="B26" s="8" t="s">
        <v>133</v>
      </c>
      <c r="C26" s="86" t="s">
        <v>131</v>
      </c>
      <c r="D26" s="49" t="s">
        <v>198</v>
      </c>
      <c r="E26" s="79" t="str">
        <f t="shared" si="1"/>
        <v>chp_sch.power el min</v>
      </c>
      <c r="F26" s="12">
        <f>0.5*F27</f>
        <v>1.37</v>
      </c>
      <c r="G26" s="12">
        <v>8</v>
      </c>
      <c r="H26" s="12">
        <v>8</v>
      </c>
      <c r="I26" s="93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2:22">
      <c r="B27" s="8" t="s">
        <v>133</v>
      </c>
      <c r="C27" s="86" t="s">
        <v>131</v>
      </c>
      <c r="D27" s="49" t="s">
        <v>199</v>
      </c>
      <c r="E27" s="79" t="str">
        <f t="shared" si="1"/>
        <v>chp_sch.power el max</v>
      </c>
      <c r="F27" s="12">
        <v>2.74</v>
      </c>
      <c r="G27" s="12">
        <v>19</v>
      </c>
      <c r="H27" s="12">
        <v>19</v>
      </c>
      <c r="I27" s="93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2:22">
      <c r="B28" s="8"/>
      <c r="C28" s="50"/>
      <c r="D28" s="49"/>
      <c r="E28" s="79"/>
      <c r="F28" s="8"/>
      <c r="G28" s="8"/>
      <c r="H28" s="8"/>
      <c r="I28" s="93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2:22">
      <c r="B29" s="8"/>
      <c r="C29" s="50" t="s">
        <v>203</v>
      </c>
      <c r="D29" s="49" t="s">
        <v>15</v>
      </c>
      <c r="E29" s="79" t="str">
        <f t="shared" ref="E29:E34" si="2">C29&amp;"."&amp;D29</f>
        <v>chp_pr_gas_1.fixed O&amp;M</v>
      </c>
      <c r="F29" s="26">
        <f t="shared" ref="F29:F34" si="3">F$258*VLOOKUP($C29&amp;"."&amp;"power el max",$E:$K,$F$4+1,0)</f>
        <v>200</v>
      </c>
      <c r="G29" s="8"/>
      <c r="H29" s="8"/>
      <c r="I29" s="93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2:22">
      <c r="B30" s="8"/>
      <c r="C30" s="50" t="s">
        <v>204</v>
      </c>
      <c r="D30" s="49" t="s">
        <v>15</v>
      </c>
      <c r="E30" s="79" t="str">
        <f t="shared" si="2"/>
        <v>chp_pr_gas_2.fixed O&amp;M</v>
      </c>
      <c r="F30" s="26">
        <f t="shared" si="3"/>
        <v>4000</v>
      </c>
      <c r="G30" s="8"/>
      <c r="H30" s="8"/>
      <c r="I30" s="93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2:22">
      <c r="B31" s="8"/>
      <c r="C31" s="50" t="s">
        <v>207</v>
      </c>
      <c r="D31" s="49" t="s">
        <v>15</v>
      </c>
      <c r="E31" s="79" t="str">
        <f t="shared" si="2"/>
        <v>chp_sch_kuhheide.fixed O&amp;M</v>
      </c>
      <c r="F31" s="26">
        <f t="shared" si="3"/>
        <v>1000</v>
      </c>
      <c r="G31" s="8"/>
      <c r="H31" s="8"/>
      <c r="I31" s="93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2:22">
      <c r="B32" s="8"/>
      <c r="C32" s="50" t="s">
        <v>225</v>
      </c>
      <c r="D32" s="49" t="s">
        <v>15</v>
      </c>
      <c r="E32" s="79" t="str">
        <f t="shared" si="2"/>
        <v>chp_sch_m_turbine1.fixed O&amp;M</v>
      </c>
      <c r="F32" s="26">
        <f t="shared" si="3"/>
        <v>1000</v>
      </c>
      <c r="G32" s="8"/>
      <c r="H32" s="8"/>
      <c r="I32" s="93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2:22">
      <c r="B33" s="8"/>
      <c r="C33" s="50" t="s">
        <v>226</v>
      </c>
      <c r="D33" s="49" t="s">
        <v>15</v>
      </c>
      <c r="E33" s="79" t="str">
        <f t="shared" si="2"/>
        <v>chp_sch_m_turbine2.fixed O&amp;M</v>
      </c>
      <c r="F33" s="26">
        <f t="shared" si="3"/>
        <v>1000</v>
      </c>
      <c r="G33" s="8"/>
      <c r="H33" s="8"/>
      <c r="I33" s="93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2:22">
      <c r="B34" s="8"/>
      <c r="C34" s="50" t="s">
        <v>209</v>
      </c>
      <c r="D34" s="49" t="s">
        <v>15</v>
      </c>
      <c r="E34" s="79" t="str">
        <f t="shared" si="2"/>
        <v>chp_sch_contract.fixed O&amp;M</v>
      </c>
      <c r="F34" s="26">
        <f t="shared" si="3"/>
        <v>24400</v>
      </c>
      <c r="G34" s="8"/>
      <c r="H34" s="8"/>
      <c r="I34" s="93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2:22">
      <c r="B35" s="8"/>
      <c r="C35" s="50"/>
      <c r="D35" s="49"/>
      <c r="E35" s="79"/>
      <c r="F35" s="8"/>
      <c r="G35" s="8"/>
      <c r="H35" s="8"/>
      <c r="I35" s="93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2:22">
      <c r="B36" s="8"/>
      <c r="C36" s="50" t="s">
        <v>203</v>
      </c>
      <c r="D36" s="49" t="s">
        <v>158</v>
      </c>
      <c r="E36" s="79" t="str">
        <f t="shared" ref="E36:E41" si="4">C36&amp;"."&amp;D36</f>
        <v>chp_pr_gas_1.Invest. Installation</v>
      </c>
      <c r="F36" s="26">
        <f>F$249*VLOOKUP($C36&amp;"."&amp;"power el max",$E:$K,$F$4+1,0)</f>
        <v>800</v>
      </c>
      <c r="G36" s="8"/>
      <c r="H36" s="8"/>
      <c r="I36" s="93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2:22">
      <c r="B37" s="8"/>
      <c r="C37" s="50" t="s">
        <v>204</v>
      </c>
      <c r="D37" s="49" t="s">
        <v>158</v>
      </c>
      <c r="E37" s="79" t="str">
        <f t="shared" si="4"/>
        <v>chp_pr_gas_2.Invest. Installation</v>
      </c>
      <c r="F37" s="26">
        <f>F45*0.6</f>
        <v>192000</v>
      </c>
      <c r="G37" s="8"/>
      <c r="H37" s="8"/>
      <c r="I37" s="93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2:22">
      <c r="B38" s="8"/>
      <c r="C38" s="50" t="s">
        <v>207</v>
      </c>
      <c r="D38" s="49" t="s">
        <v>158</v>
      </c>
      <c r="E38" s="79" t="str">
        <f t="shared" si="4"/>
        <v>chp_sch_kuhheide.Invest. Installation</v>
      </c>
      <c r="F38" s="26">
        <f>F$249*VLOOKUP($C38&amp;"."&amp;"power el max",$E:$K,$F$4+1,0)</f>
        <v>4000</v>
      </c>
      <c r="G38" s="8"/>
      <c r="H38" s="8"/>
      <c r="I38" s="93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2:22">
      <c r="B39" s="8"/>
      <c r="C39" s="50" t="s">
        <v>225</v>
      </c>
      <c r="D39" s="49" t="s">
        <v>158</v>
      </c>
      <c r="E39" s="79" t="str">
        <f t="shared" si="4"/>
        <v>chp_sch_m_turbine1.Invest. Installation</v>
      </c>
      <c r="F39" s="26">
        <f>F$249*VLOOKUP($C39&amp;"."&amp;"power el max",$E:$K,$F$4+1,0)</f>
        <v>4000</v>
      </c>
      <c r="G39" s="8"/>
      <c r="H39" s="8"/>
      <c r="I39" s="93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2:22">
      <c r="B40" s="8"/>
      <c r="C40" s="50" t="s">
        <v>226</v>
      </c>
      <c r="D40" s="49" t="s">
        <v>158</v>
      </c>
      <c r="E40" s="79" t="str">
        <f t="shared" si="4"/>
        <v>chp_sch_m_turbine2.Invest. Installation</v>
      </c>
      <c r="F40" s="26">
        <f>F$249*VLOOKUP($C40&amp;"."&amp;"power el max",$E:$K,$F$4+1,0)</f>
        <v>4000</v>
      </c>
      <c r="G40" s="8"/>
      <c r="H40" s="8"/>
      <c r="I40" s="93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2:22">
      <c r="B41" s="8"/>
      <c r="C41" s="50" t="s">
        <v>209</v>
      </c>
      <c r="D41" s="49" t="s">
        <v>158</v>
      </c>
      <c r="E41" s="79" t="str">
        <f t="shared" si="4"/>
        <v>chp_sch_contract.Invest. Installation</v>
      </c>
      <c r="F41" s="26">
        <f>F$249*VLOOKUP($C41&amp;"."&amp;"power el max",$E:$K,$F$4+1,0)</f>
        <v>97600</v>
      </c>
      <c r="G41" s="8"/>
      <c r="H41" s="8"/>
      <c r="I41" s="93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2:22">
      <c r="B42" s="8"/>
      <c r="C42" s="50"/>
      <c r="D42" s="49"/>
      <c r="E42" s="79"/>
      <c r="F42" s="8"/>
      <c r="G42" s="8"/>
      <c r="H42" s="8"/>
      <c r="I42" s="93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2:22">
      <c r="B43" s="8"/>
      <c r="C43" s="50"/>
      <c r="D43" s="49"/>
      <c r="E43" s="79"/>
      <c r="F43" s="8"/>
      <c r="G43" s="8"/>
      <c r="H43" s="8"/>
      <c r="I43" s="93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2:22">
      <c r="B44" s="8"/>
      <c r="C44" s="50" t="s">
        <v>203</v>
      </c>
      <c r="D44" s="49" t="s">
        <v>157</v>
      </c>
      <c r="E44" s="79" t="str">
        <f t="shared" ref="E44:E49" si="5">C44&amp;"."&amp;D44</f>
        <v>chp_pr_gas_1.Invest. Eq.</v>
      </c>
      <c r="F44" s="8">
        <f>F$256*VLOOKUP($C44&amp;"."&amp;"power el max",$E:$K,$F$4+1,0)</f>
        <v>12600</v>
      </c>
      <c r="G44" s="8"/>
      <c r="H44" s="8"/>
      <c r="I44" s="93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2:22">
      <c r="B45" s="8"/>
      <c r="C45" s="50" t="s">
        <v>204</v>
      </c>
      <c r="D45" s="49" t="s">
        <v>157</v>
      </c>
      <c r="E45" s="79" t="str">
        <f t="shared" si="5"/>
        <v>chp_pr_gas_2.Invest. Eq.</v>
      </c>
      <c r="F45" s="8">
        <f>800000*VLOOKUP($C45&amp;"."&amp;"power el max",$E:$K,$F$4+1,0)</f>
        <v>320000</v>
      </c>
      <c r="G45" s="8"/>
      <c r="H45" s="8"/>
      <c r="I45" s="93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2:22">
      <c r="B46" s="8"/>
      <c r="C46" s="50" t="s">
        <v>207</v>
      </c>
      <c r="D46" s="49" t="s">
        <v>157</v>
      </c>
      <c r="E46" s="79" t="str">
        <f t="shared" si="5"/>
        <v>chp_sch_kuhheide.Invest. Eq.</v>
      </c>
      <c r="F46" s="8">
        <f>F$256*VLOOKUP($C46&amp;"."&amp;"power el max",$E:$K,$F$4+1,0)</f>
        <v>63000</v>
      </c>
      <c r="G46" s="8"/>
      <c r="H46" s="8"/>
      <c r="I46" s="93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2:22">
      <c r="B47" s="8"/>
      <c r="C47" s="50" t="s">
        <v>225</v>
      </c>
      <c r="D47" s="49" t="s">
        <v>157</v>
      </c>
      <c r="E47" s="79" t="str">
        <f t="shared" si="5"/>
        <v>chp_sch_m_turbine1.Invest. Eq.</v>
      </c>
      <c r="F47" s="8">
        <f>F$256*VLOOKUP($C47&amp;"."&amp;"power el max",$E:$K,$F$4+1,0)</f>
        <v>63000</v>
      </c>
      <c r="G47" s="8"/>
      <c r="H47" s="8"/>
      <c r="I47" s="93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2:22">
      <c r="B48" s="8"/>
      <c r="C48" s="50" t="s">
        <v>226</v>
      </c>
      <c r="D48" s="49" t="s">
        <v>157</v>
      </c>
      <c r="E48" s="79" t="str">
        <f t="shared" si="5"/>
        <v>chp_sch_m_turbine2.Invest. Eq.</v>
      </c>
      <c r="F48" s="8">
        <f>F$256*VLOOKUP($C48&amp;"."&amp;"power el max",$E:$K,$F$4+1,0)</f>
        <v>63000</v>
      </c>
      <c r="G48" s="8"/>
      <c r="H48" s="8"/>
      <c r="I48" s="93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2:31">
      <c r="B49" s="8"/>
      <c r="C49" s="50" t="s">
        <v>209</v>
      </c>
      <c r="D49" s="49" t="s">
        <v>157</v>
      </c>
      <c r="E49" s="79" t="str">
        <f t="shared" si="5"/>
        <v>chp_sch_contract.Invest. Eq.</v>
      </c>
      <c r="F49" s="8">
        <f>F$256*VLOOKUP($C49&amp;"."&amp;"power el max",$E:$K,$F$4+1,0)</f>
        <v>1537200</v>
      </c>
      <c r="G49" s="8"/>
      <c r="H49" s="8"/>
      <c r="I49" s="93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2:31">
      <c r="B50" s="8"/>
      <c r="C50" s="50"/>
      <c r="D50" s="49"/>
      <c r="E50" s="79"/>
      <c r="F50" s="8"/>
      <c r="G50" s="8"/>
      <c r="H50" s="8"/>
      <c r="I50" s="93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2:31">
      <c r="B51" s="8"/>
      <c r="C51" s="50"/>
      <c r="D51" s="49"/>
      <c r="E51" s="79"/>
      <c r="F51" s="8"/>
      <c r="G51" s="8"/>
      <c r="H51" s="8"/>
      <c r="I51" s="93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2:31">
      <c r="B52" s="8"/>
      <c r="C52" s="50"/>
      <c r="D52" s="49"/>
      <c r="E52" s="79"/>
      <c r="F52" s="8"/>
      <c r="G52" s="8"/>
      <c r="H52" s="8"/>
      <c r="I52" s="93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2:31">
      <c r="B53" s="8"/>
      <c r="C53" s="50"/>
      <c r="D53" s="49"/>
      <c r="E53" s="79"/>
      <c r="F53" s="8"/>
      <c r="G53" s="8"/>
      <c r="H53" s="8"/>
      <c r="I53" s="93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2:31">
      <c r="B54" s="8" t="s">
        <v>133</v>
      </c>
      <c r="C54" s="50" t="s">
        <v>132</v>
      </c>
      <c r="D54" s="49" t="s">
        <v>191</v>
      </c>
      <c r="E54" s="79" t="str">
        <f t="shared" ref="E54:E67" si="6">C54&amp;"."&amp;D54</f>
        <v>chp_pr.variable_costs_out</v>
      </c>
      <c r="F54" s="71">
        <f>VLOOKUP($C54&amp;"."&amp;"variable_O&amp;M",$E:$M,F$6+1,0)
+VLOOKUP($C54&amp;"."&amp;"kwk_zulage",$E:$M,F$6+1,0)</f>
        <v>-2.7619047619047965</v>
      </c>
      <c r="G54" s="8"/>
      <c r="H54" s="8"/>
      <c r="I54" s="93"/>
      <c r="J54" s="1" t="s">
        <v>233</v>
      </c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2:31">
      <c r="B55" s="8" t="s">
        <v>133</v>
      </c>
      <c r="C55" s="50" t="s">
        <v>131</v>
      </c>
      <c r="D55" s="49" t="s">
        <v>191</v>
      </c>
      <c r="E55" s="79" t="str">
        <f t="shared" si="6"/>
        <v>chp_sch.variable_costs_out</v>
      </c>
      <c r="F55" s="71">
        <f t="shared" ref="F55:F67" si="7">VLOOKUP($C55&amp;"."&amp;"variable_O&amp;M",$E:$M,F$6+1,0)
+VLOOKUP($C55&amp;"."&amp;"kwk_zulage",$E:$M,F$6+1,0)</f>
        <v>-7</v>
      </c>
      <c r="G55" s="8"/>
      <c r="H55" s="8"/>
      <c r="I55" s="93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2:31">
      <c r="B56" s="8" t="s">
        <v>133</v>
      </c>
      <c r="C56" s="50" t="s">
        <v>200</v>
      </c>
      <c r="D56" s="49" t="s">
        <v>191</v>
      </c>
      <c r="E56" s="79" t="str">
        <f t="shared" si="6"/>
        <v>chp_pr_biogas.variable_costs_out</v>
      </c>
      <c r="F56" s="71">
        <f t="shared" si="7"/>
        <v>-10.333333333333334</v>
      </c>
      <c r="G56" s="8">
        <f t="shared" ref="G56:G67" si="8">VLOOKUP($C56&amp;"."&amp;"variable_O&amp;M",$E:$M,F$6+1,0)
*VLOOKUP($C56&amp;"."&amp;"power el max",$E:$M,F$6+1,0)</f>
        <v>0</v>
      </c>
      <c r="H56" s="8"/>
      <c r="I56" s="93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2:31">
      <c r="B57" s="8" t="s">
        <v>133</v>
      </c>
      <c r="C57" s="50" t="s">
        <v>201</v>
      </c>
      <c r="D57" s="49" t="s">
        <v>191</v>
      </c>
      <c r="E57" s="79" t="str">
        <f t="shared" si="6"/>
        <v>chp_pr_klgas.variable_costs_out</v>
      </c>
      <c r="F57" s="71">
        <f t="shared" si="7"/>
        <v>-3.6666666666666679</v>
      </c>
      <c r="G57" s="8">
        <f t="shared" si="8"/>
        <v>3.6400000000000006</v>
      </c>
      <c r="H57" s="8"/>
      <c r="I57" s="93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2:31">
      <c r="B58" s="8" t="s">
        <v>133</v>
      </c>
      <c r="C58" s="50" t="s">
        <v>202</v>
      </c>
      <c r="D58" s="49" t="s">
        <v>191</v>
      </c>
      <c r="E58" s="79" t="str">
        <f t="shared" si="6"/>
        <v>chp_pr_biogas_h2.variable_costs_out</v>
      </c>
      <c r="F58" s="71">
        <f t="shared" si="7"/>
        <v>-4.6666666666666661</v>
      </c>
      <c r="G58" s="8">
        <f t="shared" si="8"/>
        <v>7.32</v>
      </c>
      <c r="H58" s="8"/>
      <c r="I58" s="93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2:31">
      <c r="B59" s="8" t="s">
        <v>133</v>
      </c>
      <c r="C59" s="50" t="s">
        <v>203</v>
      </c>
      <c r="D59" s="49" t="s">
        <v>191</v>
      </c>
      <c r="E59" s="79" t="str">
        <f t="shared" si="6"/>
        <v>chp_pr_gas_1.variable_costs_out</v>
      </c>
      <c r="F59" s="71">
        <f t="shared" si="7"/>
        <v>3.3333333333333321</v>
      </c>
      <c r="G59" s="8">
        <f t="shared" si="8"/>
        <v>0.6</v>
      </c>
      <c r="H59" s="8"/>
      <c r="I59" s="93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2:31">
      <c r="B60" s="8" t="s">
        <v>133</v>
      </c>
      <c r="C60" s="50" t="s">
        <v>204</v>
      </c>
      <c r="D60" s="49" t="s">
        <v>191</v>
      </c>
      <c r="E60" s="79" t="str">
        <f t="shared" si="6"/>
        <v>chp_pr_gas_2.variable_costs_out</v>
      </c>
      <c r="F60" s="71">
        <f t="shared" si="7"/>
        <v>-3.6666666666666661</v>
      </c>
      <c r="G60" s="8">
        <f t="shared" si="8"/>
        <v>4.4000000000000004</v>
      </c>
      <c r="H60" s="8"/>
      <c r="I60" s="93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2:31">
      <c r="B61" s="8" t="s">
        <v>133</v>
      </c>
      <c r="C61" s="50" t="s">
        <v>205</v>
      </c>
      <c r="D61" s="49" t="s">
        <v>191</v>
      </c>
      <c r="E61" s="79" t="str">
        <f t="shared" si="6"/>
        <v>chp_sch_raff.variable_costs_out</v>
      </c>
      <c r="F61" s="71">
        <f t="shared" si="7"/>
        <v>-10.333333333333334</v>
      </c>
      <c r="G61" s="8">
        <f t="shared" si="8"/>
        <v>0</v>
      </c>
      <c r="H61" s="8"/>
      <c r="I61" s="93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2:31">
      <c r="B62" s="8" t="s">
        <v>133</v>
      </c>
      <c r="C62" s="50" t="s">
        <v>206</v>
      </c>
      <c r="D62" s="49" t="s">
        <v>191</v>
      </c>
      <c r="E62" s="79" t="str">
        <f t="shared" si="6"/>
        <v>chp_sch_waste.variable_costs_out</v>
      </c>
      <c r="F62" s="71">
        <f t="shared" si="7"/>
        <v>-10.333333333333334</v>
      </c>
      <c r="G62" s="8">
        <f t="shared" si="8"/>
        <v>0</v>
      </c>
      <c r="H62" s="8"/>
      <c r="I62" s="93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2:31">
      <c r="B63" s="8" t="s">
        <v>133</v>
      </c>
      <c r="C63" s="50" t="s">
        <v>207</v>
      </c>
      <c r="D63" s="49" t="s">
        <v>191</v>
      </c>
      <c r="E63" s="79" t="str">
        <f t="shared" si="6"/>
        <v>chp_sch_kuhheide.variable_costs_out</v>
      </c>
      <c r="F63" s="71">
        <f t="shared" si="7"/>
        <v>-2</v>
      </c>
      <c r="G63" s="8">
        <f t="shared" si="8"/>
        <v>1.8</v>
      </c>
      <c r="H63" s="8"/>
      <c r="I63" s="93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2:31">
      <c r="B64" s="8" t="s">
        <v>133</v>
      </c>
      <c r="C64" s="50" t="s">
        <v>225</v>
      </c>
      <c r="D64" s="49" t="s">
        <v>191</v>
      </c>
      <c r="E64" s="79" t="str">
        <f t="shared" si="6"/>
        <v>chp_sch_m_turbine1.variable_costs_out</v>
      </c>
      <c r="F64" s="71">
        <f t="shared" si="7"/>
        <v>-3.6666666666666679</v>
      </c>
      <c r="G64" s="8">
        <f t="shared" si="8"/>
        <v>1.3</v>
      </c>
      <c r="H64" s="8"/>
      <c r="I64" s="93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2:24">
      <c r="B65" s="8" t="s">
        <v>133</v>
      </c>
      <c r="C65" s="50" t="s">
        <v>226</v>
      </c>
      <c r="D65" s="49" t="s">
        <v>191</v>
      </c>
      <c r="E65" s="79" t="str">
        <f t="shared" si="6"/>
        <v>chp_sch_m_turbine2.variable_costs_out</v>
      </c>
      <c r="F65" s="71">
        <f t="shared" si="7"/>
        <v>-3.6666666666666679</v>
      </c>
      <c r="G65" s="8">
        <f t="shared" si="8"/>
        <v>1.3</v>
      </c>
      <c r="H65" s="8"/>
      <c r="I65" s="93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2:24">
      <c r="B66" s="8" t="s">
        <v>133</v>
      </c>
      <c r="C66" s="50" t="s">
        <v>209</v>
      </c>
      <c r="D66" s="49" t="s">
        <v>191</v>
      </c>
      <c r="E66" s="79" t="str">
        <f t="shared" si="6"/>
        <v>chp_sch_contract.variable_costs_out</v>
      </c>
      <c r="F66" s="71">
        <f t="shared" si="7"/>
        <v>2.6666666666666661</v>
      </c>
      <c r="G66" s="8">
        <f t="shared" si="8"/>
        <v>31.72</v>
      </c>
      <c r="H66" s="8"/>
      <c r="I66" s="93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2:24">
      <c r="B67" s="8"/>
      <c r="C67" s="50" t="s">
        <v>208</v>
      </c>
      <c r="D67" s="49" t="s">
        <v>191</v>
      </c>
      <c r="E67" s="79" t="str">
        <f t="shared" si="6"/>
        <v>chp_sch_m_turbine.variable_costs_out</v>
      </c>
      <c r="F67" s="71">
        <f t="shared" si="7"/>
        <v>-3.6666666666666679</v>
      </c>
      <c r="G67" s="8">
        <f t="shared" si="8"/>
        <v>2.6</v>
      </c>
      <c r="H67" s="8"/>
      <c r="I67" s="93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2:24">
      <c r="B68" s="8"/>
      <c r="C68" s="50"/>
      <c r="D68" s="49"/>
      <c r="E68" s="79"/>
      <c r="F68" s="8"/>
      <c r="G68" s="8"/>
      <c r="H68" s="8"/>
      <c r="I68" s="93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2:24">
      <c r="B69" s="8" t="s">
        <v>133</v>
      </c>
      <c r="C69" s="50" t="s">
        <v>132</v>
      </c>
      <c r="D69" s="49" t="s">
        <v>199</v>
      </c>
      <c r="E69" s="79" t="str">
        <f>C69&amp;"."&amp;D69</f>
        <v>chp_pr.power el max</v>
      </c>
      <c r="F69" s="8">
        <f>SUM(F74:F75)</f>
        <v>0.42000000000000004</v>
      </c>
      <c r="G69" s="8"/>
      <c r="H69" s="8"/>
      <c r="I69" s="93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2:24">
      <c r="B70" s="8" t="s">
        <v>133</v>
      </c>
      <c r="C70" s="50" t="s">
        <v>131</v>
      </c>
      <c r="D70" s="49" t="s">
        <v>199</v>
      </c>
      <c r="E70" s="79" t="str">
        <f>C70&amp;"."&amp;D70</f>
        <v>chp_sch.power el max</v>
      </c>
      <c r="F70" s="8">
        <f>SUM(F78:F81)</f>
        <v>2.74</v>
      </c>
      <c r="G70" s="8"/>
      <c r="H70" s="8"/>
      <c r="I70" s="93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2:24">
      <c r="B71" s="8" t="s">
        <v>133</v>
      </c>
      <c r="C71" s="50" t="s">
        <v>200</v>
      </c>
      <c r="D71" s="49" t="s">
        <v>199</v>
      </c>
      <c r="E71" s="79" t="str">
        <f t="shared" ref="E71:E82" si="9">C71&amp;"."&amp;D71</f>
        <v>chp_pr_biogas.power el max</v>
      </c>
      <c r="F71" s="8">
        <v>2</v>
      </c>
      <c r="G71" s="8"/>
      <c r="H71" s="8"/>
      <c r="I71" s="9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2:24">
      <c r="B72" s="8" t="s">
        <v>133</v>
      </c>
      <c r="C72" s="50" t="s">
        <v>201</v>
      </c>
      <c r="D72" s="49" t="s">
        <v>199</v>
      </c>
      <c r="E72" s="79" t="str">
        <f t="shared" si="9"/>
        <v>chp_pr_klgas.power el max</v>
      </c>
      <c r="F72" s="8">
        <v>0.28000000000000003</v>
      </c>
      <c r="G72" s="8"/>
      <c r="H72" s="8"/>
      <c r="I72" s="93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2:24">
      <c r="B73" s="8" t="s">
        <v>133</v>
      </c>
      <c r="C73" s="50" t="s">
        <v>202</v>
      </c>
      <c r="D73" s="49" t="s">
        <v>199</v>
      </c>
      <c r="E73" s="79" t="str">
        <f t="shared" si="9"/>
        <v>chp_pr_biogas_h2.power el max</v>
      </c>
      <c r="F73" s="8">
        <v>0.73199999999999998</v>
      </c>
      <c r="G73" s="8"/>
      <c r="H73" s="8"/>
      <c r="I73" s="93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2:24">
      <c r="B74" s="8" t="s">
        <v>133</v>
      </c>
      <c r="C74" s="50" t="s">
        <v>203</v>
      </c>
      <c r="D74" s="49" t="s">
        <v>199</v>
      </c>
      <c r="E74" s="79" t="str">
        <f t="shared" si="9"/>
        <v>chp_pr_gas_1.power el max</v>
      </c>
      <c r="F74" s="8">
        <v>0.02</v>
      </c>
      <c r="G74" s="8"/>
      <c r="H74" s="8"/>
      <c r="I74" s="93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2:24">
      <c r="B75" s="8" t="s">
        <v>133</v>
      </c>
      <c r="C75" s="50" t="s">
        <v>204</v>
      </c>
      <c r="D75" s="49" t="s">
        <v>199</v>
      </c>
      <c r="E75" s="79" t="str">
        <f t="shared" si="9"/>
        <v>chp_pr_gas_2.power el max</v>
      </c>
      <c r="F75" s="8">
        <v>0.4</v>
      </c>
      <c r="G75" s="8"/>
      <c r="H75" s="8"/>
      <c r="I75" s="93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2:24">
      <c r="B76" s="8" t="s">
        <v>133</v>
      </c>
      <c r="C76" s="50" t="s">
        <v>205</v>
      </c>
      <c r="D76" s="49" t="s">
        <v>199</v>
      </c>
      <c r="E76" s="79" t="str">
        <f t="shared" si="9"/>
        <v>chp_sch_raff.power el max</v>
      </c>
      <c r="F76" s="8">
        <v>130</v>
      </c>
      <c r="G76" s="8"/>
      <c r="H76" s="8"/>
      <c r="I76" s="93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2:24">
      <c r="B77" s="8" t="s">
        <v>133</v>
      </c>
      <c r="C77" s="50" t="s">
        <v>206</v>
      </c>
      <c r="D77" s="49" t="s">
        <v>199</v>
      </c>
      <c r="E77" s="79" t="str">
        <f t="shared" si="9"/>
        <v>chp_sch_waste.power el max</v>
      </c>
      <c r="F77" s="8">
        <v>28.9</v>
      </c>
      <c r="G77" s="8"/>
      <c r="H77" s="8"/>
      <c r="I77" s="93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2:24">
      <c r="B78" s="8" t="s">
        <v>133</v>
      </c>
      <c r="C78" s="50" t="s">
        <v>207</v>
      </c>
      <c r="D78" s="49" t="s">
        <v>199</v>
      </c>
      <c r="E78" s="79" t="str">
        <f t="shared" si="9"/>
        <v>chp_sch_kuhheide.power el max</v>
      </c>
      <c r="F78" s="8">
        <v>0.1</v>
      </c>
      <c r="G78" s="8"/>
      <c r="H78" s="8"/>
      <c r="I78" s="93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2:24">
      <c r="B79" s="8" t="s">
        <v>133</v>
      </c>
      <c r="C79" s="50" t="s">
        <v>225</v>
      </c>
      <c r="D79" s="49" t="s">
        <v>199</v>
      </c>
      <c r="E79" s="79" t="str">
        <f>C79&amp;"."&amp;D79</f>
        <v>chp_sch_m_turbine1.power el max</v>
      </c>
      <c r="F79" s="8">
        <v>0.1</v>
      </c>
      <c r="G79" s="8"/>
      <c r="H79" s="8"/>
      <c r="I79" s="93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2:24">
      <c r="B80" s="8" t="s">
        <v>133</v>
      </c>
      <c r="C80" s="50" t="s">
        <v>226</v>
      </c>
      <c r="D80" s="49" t="s">
        <v>199</v>
      </c>
      <c r="E80" s="79" t="str">
        <f t="shared" si="9"/>
        <v>chp_sch_m_turbine2.power el max</v>
      </c>
      <c r="F80" s="8">
        <v>0.1</v>
      </c>
      <c r="G80" s="8"/>
      <c r="H80" s="8"/>
      <c r="I80" s="93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2:22">
      <c r="B81" s="8" t="s">
        <v>133</v>
      </c>
      <c r="C81" s="50" t="s">
        <v>209</v>
      </c>
      <c r="D81" s="49" t="s">
        <v>199</v>
      </c>
      <c r="E81" s="79" t="str">
        <f t="shared" si="9"/>
        <v>chp_sch_contract.power el max</v>
      </c>
      <c r="F81" s="8">
        <v>2.44</v>
      </c>
      <c r="G81" s="8"/>
      <c r="H81" s="8"/>
      <c r="I81" s="93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2:22">
      <c r="B82" s="8"/>
      <c r="C82" s="50" t="s">
        <v>208</v>
      </c>
      <c r="D82" s="49" t="s">
        <v>199</v>
      </c>
      <c r="E82" s="79" t="str">
        <f t="shared" si="9"/>
        <v>chp_sch_m_turbine.power el max</v>
      </c>
      <c r="F82" s="8">
        <f>F80+F79</f>
        <v>0.2</v>
      </c>
      <c r="G82" s="8"/>
      <c r="H82" s="8"/>
      <c r="I82" s="93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2:22">
      <c r="B83" s="8"/>
      <c r="C83" s="50"/>
      <c r="D83" s="49"/>
      <c r="E83" s="79"/>
      <c r="F83" s="8"/>
      <c r="G83" s="8"/>
      <c r="H83" s="8"/>
      <c r="I83" s="93"/>
      <c r="J83" s="1">
        <f>(F89*F74+F90*F75)/(F74+F75)</f>
        <v>11.904761904761903</v>
      </c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2:22">
      <c r="B84" s="8" t="s">
        <v>133</v>
      </c>
      <c r="C84" s="50" t="s">
        <v>132</v>
      </c>
      <c r="D84" s="49" t="s">
        <v>212</v>
      </c>
      <c r="E84" s="79" t="str">
        <f>C84&amp;"."&amp;D84</f>
        <v>chp_pr.variable_O&amp;M</v>
      </c>
      <c r="F84" s="71">
        <f xml:space="preserve">
(VLOOKUP($C89&amp;"."&amp;"variable_O&amp;M",$E:$M,F$6+1,0)
*VLOOKUP($C89&amp;"."&amp;"power el max",$E:$M,F$6+1,0)
+VLOOKUP($C90&amp;"."&amp;"variable_O&amp;M",$E:$M,F$6+1,0)
*VLOOKUP($C90&amp;"."&amp;"power el max",$E:$M,F$6+1,0))
/(VLOOKUP($C89&amp;"."&amp;"power el max",$E:$M,F$6+1,0)
+VLOOKUP($C90&amp;"."&amp;"power el max",$E:$M,F$6+1,0))</f>
        <v>11.904761904761903</v>
      </c>
      <c r="G84" s="8"/>
      <c r="H84" s="8"/>
      <c r="I84" s="93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2:22">
      <c r="B85" s="8" t="s">
        <v>133</v>
      </c>
      <c r="C85" s="50" t="s">
        <v>131</v>
      </c>
      <c r="D85" s="49" t="s">
        <v>212</v>
      </c>
      <c r="E85" s="79" t="str">
        <f>C85&amp;"."&amp;D85</f>
        <v>chp_sch.variable_O&amp;M</v>
      </c>
      <c r="F85" s="71">
        <f xml:space="preserve">
((VLOOKUP($C94&amp;"."&amp;"variable_O&amp;M",$E:$M,F$6+1,0)
*VLOOKUP($C94&amp;"."&amp;"power el max",$E:$M,F$6+1,0)
+VLOOKUP($C95&amp;"."&amp;"variable_O&amp;M",$E:$M,F$6+1,0)
*VLOOKUP($C95&amp;"."&amp;"power el max",$E:$M,F$6+1,0)
+VLOOKUP($C96&amp;"."&amp;"variable_O&amp;M",$E:$M,F$6+1,0)
*VLOOKUP($C96&amp;"."&amp;"power el max",$E:$M,F$6+1,0))
/(VLOOKUP($C94&amp;"."&amp;"power el max",$E:$M,F$6+1,0)
+VLOOKUP($C95&amp;"."&amp;"power el max",$E:$M,F$6+1,0)
+VLOOKUP($C96&amp;"."&amp;"power el max",$E:$M,F$6+1,0)))</f>
        <v>13</v>
      </c>
      <c r="G85" s="8"/>
      <c r="H85" s="8"/>
      <c r="I85" s="93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2:22">
      <c r="B86" s="8" t="s">
        <v>133</v>
      </c>
      <c r="C86" s="50" t="s">
        <v>200</v>
      </c>
      <c r="D86" s="49" t="s">
        <v>212</v>
      </c>
      <c r="E86" s="79" t="str">
        <f t="shared" ref="E86:E97" si="10">C86&amp;"."&amp;D86</f>
        <v>chp_pr_biogas.variable_O&amp;M</v>
      </c>
      <c r="F86" s="8"/>
      <c r="G86" s="8"/>
      <c r="H86" s="8"/>
      <c r="I86" s="93"/>
      <c r="J86" s="1" t="s">
        <v>210</v>
      </c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2:22">
      <c r="B87" s="8" t="s">
        <v>133</v>
      </c>
      <c r="C87" s="50" t="s">
        <v>201</v>
      </c>
      <c r="D87" s="49" t="s">
        <v>212</v>
      </c>
      <c r="E87" s="79" t="str">
        <f t="shared" si="10"/>
        <v>chp_pr_klgas.variable_O&amp;M</v>
      </c>
      <c r="F87" s="8">
        <f>13</f>
        <v>13</v>
      </c>
      <c r="G87" s="8"/>
      <c r="H87" s="8"/>
      <c r="I87" s="93" t="s">
        <v>232</v>
      </c>
      <c r="J87" s="1" t="s">
        <v>210</v>
      </c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2:22">
      <c r="B88" s="8" t="s">
        <v>133</v>
      </c>
      <c r="C88" s="50" t="s">
        <v>202</v>
      </c>
      <c r="D88" s="49" t="s">
        <v>212</v>
      </c>
      <c r="E88" s="79" t="str">
        <f t="shared" si="10"/>
        <v>chp_pr_biogas_h2.variable_O&amp;M</v>
      </c>
      <c r="F88" s="8">
        <f>10</f>
        <v>10</v>
      </c>
      <c r="G88" s="8"/>
      <c r="H88" s="8"/>
      <c r="I88" s="93" t="s">
        <v>232</v>
      </c>
      <c r="J88" s="1" t="s">
        <v>210</v>
      </c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2:22">
      <c r="B89" s="8" t="s">
        <v>133</v>
      </c>
      <c r="C89" s="50" t="s">
        <v>203</v>
      </c>
      <c r="D89" s="49" t="s">
        <v>212</v>
      </c>
      <c r="E89" s="79" t="str">
        <f t="shared" si="10"/>
        <v>chp_pr_gas_1.variable_O&amp;M</v>
      </c>
      <c r="F89" s="8">
        <f>30</f>
        <v>30</v>
      </c>
      <c r="G89" s="8"/>
      <c r="H89" s="8"/>
      <c r="I89" s="93" t="s">
        <v>232</v>
      </c>
      <c r="J89" s="1" t="s">
        <v>210</v>
      </c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2:22">
      <c r="B90" s="8" t="s">
        <v>133</v>
      </c>
      <c r="C90" s="50" t="s">
        <v>204</v>
      </c>
      <c r="D90" s="49" t="s">
        <v>212</v>
      </c>
      <c r="E90" s="79" t="str">
        <f t="shared" si="10"/>
        <v>chp_pr_gas_2.variable_O&amp;M</v>
      </c>
      <c r="F90" s="8">
        <f>11</f>
        <v>11</v>
      </c>
      <c r="G90" s="8"/>
      <c r="H90" s="8"/>
      <c r="I90" s="93" t="s">
        <v>232</v>
      </c>
      <c r="J90" s="1" t="s">
        <v>210</v>
      </c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2:22">
      <c r="B91" s="8" t="s">
        <v>133</v>
      </c>
      <c r="C91" s="50" t="s">
        <v>205</v>
      </c>
      <c r="D91" s="49" t="s">
        <v>212</v>
      </c>
      <c r="E91" s="79" t="str">
        <f t="shared" si="10"/>
        <v>chp_sch_raff.variable_O&amp;M</v>
      </c>
      <c r="F91" s="8"/>
      <c r="G91" s="8"/>
      <c r="H91" s="8"/>
      <c r="I91" s="93" t="s">
        <v>232</v>
      </c>
      <c r="J91" s="1" t="s">
        <v>210</v>
      </c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2:22">
      <c r="B92" s="8" t="s">
        <v>133</v>
      </c>
      <c r="C92" s="50" t="s">
        <v>206</v>
      </c>
      <c r="D92" s="49" t="s">
        <v>212</v>
      </c>
      <c r="E92" s="79" t="str">
        <f t="shared" si="10"/>
        <v>chp_sch_waste.variable_O&amp;M</v>
      </c>
      <c r="F92" s="8"/>
      <c r="G92" s="8"/>
      <c r="H92" s="8"/>
      <c r="I92" s="93" t="s">
        <v>232</v>
      </c>
      <c r="J92" s="1" t="s">
        <v>210</v>
      </c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2:22">
      <c r="B93" s="8" t="s">
        <v>133</v>
      </c>
      <c r="C93" s="50" t="s">
        <v>207</v>
      </c>
      <c r="D93" s="49" t="s">
        <v>212</v>
      </c>
      <c r="E93" s="79" t="str">
        <f t="shared" si="10"/>
        <v>chp_sch_kuhheide.variable_O&amp;M</v>
      </c>
      <c r="F93" s="8">
        <f>18</f>
        <v>18</v>
      </c>
      <c r="G93" s="8"/>
      <c r="H93" s="8"/>
      <c r="I93" s="93" t="s">
        <v>232</v>
      </c>
      <c r="J93" s="1" t="s">
        <v>210</v>
      </c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2:22">
      <c r="B94" s="8" t="s">
        <v>133</v>
      </c>
      <c r="C94" s="50" t="s">
        <v>225</v>
      </c>
      <c r="D94" s="49" t="s">
        <v>212</v>
      </c>
      <c r="E94" s="79" t="str">
        <f>C94&amp;"."&amp;D94</f>
        <v>chp_sch_m_turbine1.variable_O&amp;M</v>
      </c>
      <c r="F94" s="8">
        <f>13</f>
        <v>13</v>
      </c>
      <c r="G94" s="8"/>
      <c r="H94" s="8"/>
      <c r="I94" s="93" t="s">
        <v>232</v>
      </c>
      <c r="J94" s="1" t="s">
        <v>210</v>
      </c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2:22">
      <c r="B95" s="8" t="s">
        <v>133</v>
      </c>
      <c r="C95" s="50" t="s">
        <v>226</v>
      </c>
      <c r="D95" s="49" t="s">
        <v>212</v>
      </c>
      <c r="E95" s="79" t="str">
        <f t="shared" si="10"/>
        <v>chp_sch_m_turbine2.variable_O&amp;M</v>
      </c>
      <c r="F95" s="8">
        <f>13</f>
        <v>13</v>
      </c>
      <c r="G95" s="8"/>
      <c r="H95" s="8"/>
      <c r="I95" s="93" t="s">
        <v>232</v>
      </c>
      <c r="J95" s="1" t="s">
        <v>210</v>
      </c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2:22">
      <c r="B96" s="8" t="s">
        <v>133</v>
      </c>
      <c r="C96" s="50" t="s">
        <v>209</v>
      </c>
      <c r="D96" s="49" t="s">
        <v>212</v>
      </c>
      <c r="E96" s="79" t="str">
        <f t="shared" si="10"/>
        <v>chp_sch_contract.variable_O&amp;M</v>
      </c>
      <c r="F96" s="8">
        <v>13</v>
      </c>
      <c r="G96" s="8"/>
      <c r="H96" s="8"/>
      <c r="I96" s="93" t="s">
        <v>232</v>
      </c>
      <c r="J96" s="1" t="s">
        <v>210</v>
      </c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2:22">
      <c r="B97" s="8"/>
      <c r="C97" s="50" t="s">
        <v>208</v>
      </c>
      <c r="D97" s="49" t="s">
        <v>212</v>
      </c>
      <c r="E97" s="79" t="str">
        <f t="shared" si="10"/>
        <v>chp_sch_m_turbine.variable_O&amp;M</v>
      </c>
      <c r="F97" s="8">
        <f>13</f>
        <v>13</v>
      </c>
      <c r="G97" s="8"/>
      <c r="H97" s="8"/>
      <c r="I97" s="93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2:22">
      <c r="B98" s="8"/>
      <c r="C98" s="50"/>
      <c r="D98" s="49"/>
      <c r="E98" s="79"/>
      <c r="F98" s="8"/>
      <c r="G98" s="8"/>
      <c r="H98" s="8"/>
      <c r="I98" s="93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2:22">
      <c r="B99" s="8" t="s">
        <v>133</v>
      </c>
      <c r="C99" s="50" t="s">
        <v>132</v>
      </c>
      <c r="D99" s="49" t="s">
        <v>211</v>
      </c>
      <c r="E99" s="79" t="str">
        <f>C99&amp;"."&amp;D99</f>
        <v>chp_pr.kwk_zulage</v>
      </c>
      <c r="F99" s="71">
        <v>-14.6666666666667</v>
      </c>
      <c r="G99" s="8"/>
      <c r="H99" s="8"/>
      <c r="I99" s="93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2:22">
      <c r="B100" s="8" t="s">
        <v>133</v>
      </c>
      <c r="C100" s="50" t="s">
        <v>131</v>
      </c>
      <c r="D100" s="49" t="s">
        <v>211</v>
      </c>
      <c r="E100" s="79" t="str">
        <f>C100&amp;"."&amp;D100</f>
        <v>chp_sch.kwk_zulage</v>
      </c>
      <c r="F100" s="71">
        <v>-20</v>
      </c>
      <c r="G100" s="8"/>
      <c r="H100" s="8"/>
      <c r="I100" s="93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2:22">
      <c r="B101" s="8"/>
      <c r="C101" s="50"/>
      <c r="D101" s="49"/>
      <c r="E101" s="79"/>
      <c r="F101" s="71"/>
      <c r="G101" s="8"/>
      <c r="H101" s="8"/>
      <c r="I101" s="93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2:22">
      <c r="B102" s="8" t="s">
        <v>133</v>
      </c>
      <c r="C102" s="50" t="s">
        <v>200</v>
      </c>
      <c r="D102" s="49" t="s">
        <v>211</v>
      </c>
      <c r="E102" s="79" t="str">
        <f t="shared" ref="E102:E113" si="11">C102&amp;"."&amp;D102</f>
        <v>chp_pr_biogas.kwk_zulage</v>
      </c>
      <c r="F102" s="71">
        <f>(J102*30000)/(4500*20)</f>
        <v>-10.333333333333334</v>
      </c>
      <c r="G102" s="8"/>
      <c r="H102" s="8"/>
      <c r="I102" s="93"/>
      <c r="J102" s="8">
        <v>-31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2:22">
      <c r="B103" s="8" t="s">
        <v>133</v>
      </c>
      <c r="C103" s="50" t="s">
        <v>201</v>
      </c>
      <c r="D103" s="49" t="s">
        <v>211</v>
      </c>
      <c r="E103" s="79" t="str">
        <f t="shared" si="11"/>
        <v>chp_pr_klgas.kwk_zulage</v>
      </c>
      <c r="F103" s="71">
        <f t="shared" ref="F103:F112" si="12">(J103*30000)/(4500*20)</f>
        <v>-16.666666666666668</v>
      </c>
      <c r="G103" s="8"/>
      <c r="H103" s="8"/>
      <c r="I103" s="93"/>
      <c r="J103" s="8">
        <v>-50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2:22">
      <c r="B104" s="8" t="s">
        <v>133</v>
      </c>
      <c r="C104" s="50" t="s">
        <v>202</v>
      </c>
      <c r="D104" s="49" t="s">
        <v>211</v>
      </c>
      <c r="E104" s="79" t="str">
        <f t="shared" si="11"/>
        <v>chp_pr_biogas_h2.kwk_zulage</v>
      </c>
      <c r="F104" s="71">
        <f t="shared" si="12"/>
        <v>-14.666666666666666</v>
      </c>
      <c r="G104" s="8"/>
      <c r="H104" s="8"/>
      <c r="I104" s="93"/>
      <c r="J104" s="8">
        <v>-44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2:22">
      <c r="B105" s="8" t="s">
        <v>133</v>
      </c>
      <c r="C105" s="50" t="s">
        <v>203</v>
      </c>
      <c r="D105" s="49" t="s">
        <v>211</v>
      </c>
      <c r="E105" s="79" t="str">
        <f t="shared" si="11"/>
        <v>chp_pr_gas_1.kwk_zulage</v>
      </c>
      <c r="F105" s="71">
        <f t="shared" si="12"/>
        <v>-26.666666666666668</v>
      </c>
      <c r="G105" s="8"/>
      <c r="H105" s="8"/>
      <c r="I105" s="93"/>
      <c r="J105" s="8">
        <v>-80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2:22">
      <c r="B106" s="8" t="s">
        <v>133</v>
      </c>
      <c r="C106" s="50" t="s">
        <v>204</v>
      </c>
      <c r="D106" s="49" t="s">
        <v>211</v>
      </c>
      <c r="E106" s="79" t="str">
        <f t="shared" si="11"/>
        <v>chp_pr_gas_2.kwk_zulage</v>
      </c>
      <c r="F106" s="71">
        <f t="shared" si="12"/>
        <v>-14.666666666666666</v>
      </c>
      <c r="G106" s="8"/>
      <c r="H106" s="8"/>
      <c r="I106" s="93"/>
      <c r="J106" s="8">
        <v>-44</v>
      </c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2:22">
      <c r="B107" s="8" t="s">
        <v>133</v>
      </c>
      <c r="C107" s="50" t="s">
        <v>205</v>
      </c>
      <c r="D107" s="49" t="s">
        <v>211</v>
      </c>
      <c r="E107" s="79" t="str">
        <f t="shared" si="11"/>
        <v>chp_sch_raff.kwk_zulage</v>
      </c>
      <c r="F107" s="71">
        <f t="shared" si="12"/>
        <v>-10.333333333333334</v>
      </c>
      <c r="G107" s="8"/>
      <c r="H107" s="8"/>
      <c r="I107" s="93"/>
      <c r="J107" s="8">
        <v>-31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2:22">
      <c r="B108" s="8" t="s">
        <v>133</v>
      </c>
      <c r="C108" s="50" t="s">
        <v>206</v>
      </c>
      <c r="D108" s="49" t="s">
        <v>211</v>
      </c>
      <c r="E108" s="79" t="str">
        <f t="shared" si="11"/>
        <v>chp_sch_waste.kwk_zulage</v>
      </c>
      <c r="F108" s="71">
        <f t="shared" si="12"/>
        <v>-10.333333333333334</v>
      </c>
      <c r="G108" s="8"/>
      <c r="H108" s="8"/>
      <c r="I108" s="93"/>
      <c r="J108" s="8">
        <v>-31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2:22">
      <c r="B109" s="8" t="s">
        <v>133</v>
      </c>
      <c r="C109" s="50" t="s">
        <v>207</v>
      </c>
      <c r="D109" s="49" t="s">
        <v>211</v>
      </c>
      <c r="E109" s="79" t="str">
        <f t="shared" si="11"/>
        <v>chp_sch_kuhheide.kwk_zulage</v>
      </c>
      <c r="F109" s="71">
        <f t="shared" si="12"/>
        <v>-20</v>
      </c>
      <c r="G109" s="8"/>
      <c r="H109" s="8"/>
      <c r="I109" s="93"/>
      <c r="J109" s="8">
        <v>-60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2:22">
      <c r="B110" s="8" t="s">
        <v>133</v>
      </c>
      <c r="C110" s="50" t="s">
        <v>225</v>
      </c>
      <c r="D110" s="49" t="s">
        <v>211</v>
      </c>
      <c r="E110" s="79" t="str">
        <f>C110&amp;"."&amp;D110</f>
        <v>chp_sch_m_turbine1.kwk_zulage</v>
      </c>
      <c r="F110" s="71">
        <f t="shared" si="12"/>
        <v>-16.666666666666668</v>
      </c>
      <c r="G110" s="8"/>
      <c r="H110" s="8"/>
      <c r="I110" s="93"/>
      <c r="J110" s="8">
        <v>-50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2:22">
      <c r="B111" s="8" t="s">
        <v>133</v>
      </c>
      <c r="C111" s="50" t="s">
        <v>226</v>
      </c>
      <c r="D111" s="49" t="s">
        <v>211</v>
      </c>
      <c r="E111" s="79" t="str">
        <f t="shared" si="11"/>
        <v>chp_sch_m_turbine2.kwk_zulage</v>
      </c>
      <c r="F111" s="71">
        <f t="shared" si="12"/>
        <v>-16.666666666666668</v>
      </c>
      <c r="G111" s="8"/>
      <c r="H111" s="8"/>
      <c r="I111" s="93"/>
      <c r="J111" s="8">
        <v>-50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2:22">
      <c r="B112" s="8" t="s">
        <v>133</v>
      </c>
      <c r="C112" s="50" t="s">
        <v>209</v>
      </c>
      <c r="D112" s="49" t="s">
        <v>211</v>
      </c>
      <c r="E112" s="79" t="str">
        <f t="shared" si="11"/>
        <v>chp_sch_contract.kwk_zulage</v>
      </c>
      <c r="F112" s="71">
        <f t="shared" si="12"/>
        <v>-10.333333333333334</v>
      </c>
      <c r="G112" s="8"/>
      <c r="H112" s="8"/>
      <c r="I112" s="93"/>
      <c r="J112" s="8">
        <v>-31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2:22">
      <c r="B113" s="8"/>
      <c r="C113" s="50" t="s">
        <v>208</v>
      </c>
      <c r="D113" s="49" t="s">
        <v>211</v>
      </c>
      <c r="E113" s="79" t="str">
        <f t="shared" si="11"/>
        <v>chp_sch_m_turbine.kwk_zulage</v>
      </c>
      <c r="F113" s="71">
        <f>F110</f>
        <v>-16.666666666666668</v>
      </c>
      <c r="G113" s="8"/>
      <c r="H113" s="8"/>
      <c r="I113" s="93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2:22">
      <c r="B114" s="8"/>
      <c r="C114" s="50"/>
      <c r="D114" s="49"/>
      <c r="E114" s="79"/>
      <c r="F114" s="71"/>
      <c r="G114" s="8"/>
      <c r="H114" s="8"/>
      <c r="I114" s="93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2:22">
      <c r="B115" s="8" t="s">
        <v>64</v>
      </c>
      <c r="C115" s="50" t="s">
        <v>63</v>
      </c>
      <c r="D115" s="49" t="s">
        <v>130</v>
      </c>
      <c r="E115" s="79" t="str">
        <f t="shared" ref="E115:E148" si="13">C115&amp;"."&amp;D115</f>
        <v>spot_market_sink.nominal value</v>
      </c>
      <c r="F115" s="49">
        <v>1000000000</v>
      </c>
      <c r="G115" s="49">
        <v>1000000000</v>
      </c>
      <c r="H115" s="49">
        <v>1000000000</v>
      </c>
      <c r="I115" s="9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2:22" ht="15">
      <c r="B116" s="8" t="s">
        <v>64</v>
      </c>
      <c r="C116" s="100" t="s">
        <v>216</v>
      </c>
      <c r="D116" s="49" t="s">
        <v>130</v>
      </c>
      <c r="E116" s="79" t="str">
        <f t="shared" si="13"/>
        <v>heat_demand_sch.nominal value</v>
      </c>
      <c r="F116" s="39">
        <v>45.919563034254928</v>
      </c>
      <c r="G116" s="39">
        <v>25.301679231874463</v>
      </c>
      <c r="H116" s="39">
        <v>25.301679231874463</v>
      </c>
      <c r="I116" s="93"/>
      <c r="J116" s="1" t="s">
        <v>214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2:22" ht="15">
      <c r="B117" s="8" t="s">
        <v>64</v>
      </c>
      <c r="C117" s="100" t="s">
        <v>217</v>
      </c>
      <c r="D117" s="49" t="s">
        <v>130</v>
      </c>
      <c r="E117" s="79" t="str">
        <f t="shared" si="13"/>
        <v>heat_demand_pr.nominal value</v>
      </c>
      <c r="F117" s="39">
        <v>9.4291183885317391</v>
      </c>
      <c r="G117" s="39">
        <v>8.3947441013098079</v>
      </c>
      <c r="H117" s="39">
        <v>8.3947441013098079</v>
      </c>
      <c r="I117" s="93"/>
      <c r="J117" s="1" t="s">
        <v>215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2:22">
      <c r="B118" s="8" t="s">
        <v>64</v>
      </c>
      <c r="C118" s="50" t="s">
        <v>138</v>
      </c>
      <c r="D118" s="49" t="s">
        <v>130</v>
      </c>
      <c r="E118" s="79" t="str">
        <f t="shared" si="13"/>
        <v>curtailment.nominal value</v>
      </c>
      <c r="F118" s="49">
        <v>1000000000</v>
      </c>
      <c r="G118" s="49">
        <v>1000000000</v>
      </c>
      <c r="H118" s="49">
        <v>1000000000</v>
      </c>
      <c r="I118" s="93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2:22">
      <c r="B119" s="8" t="s">
        <v>64</v>
      </c>
      <c r="C119" s="50" t="s">
        <v>62</v>
      </c>
      <c r="D119" s="49" t="s">
        <v>130</v>
      </c>
      <c r="E119" s="79" t="str">
        <f t="shared" si="13"/>
        <v>el_demand_uck.nominal value</v>
      </c>
      <c r="F119" s="66">
        <v>26.641269666944201</v>
      </c>
      <c r="G119" s="66">
        <v>26.641269666944201</v>
      </c>
      <c r="H119" s="66">
        <v>26.641269666944201</v>
      </c>
      <c r="I119" s="94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2:22">
      <c r="B120" s="8" t="s">
        <v>129</v>
      </c>
      <c r="C120" s="50" t="s">
        <v>128</v>
      </c>
      <c r="D120" s="49" t="s">
        <v>115</v>
      </c>
      <c r="E120" s="79" t="str">
        <f t="shared" si="13"/>
        <v>wind_synth.capacity</v>
      </c>
      <c r="F120" s="39">
        <f>F$354</f>
        <v>717.51</v>
      </c>
      <c r="G120" s="39">
        <f>G354</f>
        <v>1004.4537864077669</v>
      </c>
      <c r="H120" s="39">
        <f>H354</f>
        <v>1244.3999429197574</v>
      </c>
      <c r="I120" s="95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2:22">
      <c r="B121" s="8" t="s">
        <v>129</v>
      </c>
      <c r="C121" s="50" t="s">
        <v>127</v>
      </c>
      <c r="D121" s="49" t="s">
        <v>115</v>
      </c>
      <c r="E121" s="79" t="str">
        <f t="shared" si="13"/>
        <v>pv_synth.capacity</v>
      </c>
      <c r="F121" s="39">
        <f>F$355</f>
        <v>72.260999999999996</v>
      </c>
      <c r="G121" s="39">
        <f>G355</f>
        <v>117.14520250381679</v>
      </c>
      <c r="H121" s="39">
        <f>H355</f>
        <v>156.41940973508827</v>
      </c>
      <c r="I121" s="95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2:22">
      <c r="B122" s="8" t="s">
        <v>126</v>
      </c>
      <c r="C122" s="50" t="s">
        <v>57</v>
      </c>
      <c r="D122" s="49" t="s">
        <v>125</v>
      </c>
      <c r="E122" s="79" t="str">
        <f t="shared" si="13"/>
        <v>storage_th_pr.nominal capacity</v>
      </c>
      <c r="F122" s="8">
        <v>66</v>
      </c>
      <c r="G122" s="8"/>
      <c r="H122" s="8"/>
      <c r="I122" s="93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2:22">
      <c r="B123" s="8" t="s">
        <v>126</v>
      </c>
      <c r="C123" s="50" t="s">
        <v>57</v>
      </c>
      <c r="D123" s="49" t="s">
        <v>124</v>
      </c>
      <c r="E123" s="79" t="str">
        <f t="shared" si="13"/>
        <v>storage_th_pr.nominal input value</v>
      </c>
      <c r="F123" s="8"/>
      <c r="G123" s="8"/>
      <c r="H123" s="8"/>
      <c r="I123" s="93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2:22">
      <c r="B124" s="8" t="s">
        <v>126</v>
      </c>
      <c r="C124" s="50" t="s">
        <v>57</v>
      </c>
      <c r="D124" s="49" t="s">
        <v>123</v>
      </c>
      <c r="E124" s="79" t="str">
        <f t="shared" si="13"/>
        <v>storage_th_pr.nominal output value</v>
      </c>
      <c r="F124" s="8"/>
      <c r="G124" s="8"/>
      <c r="H124" s="8"/>
      <c r="I124" s="93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2:22">
      <c r="B125" s="8" t="s">
        <v>126</v>
      </c>
      <c r="C125" s="50" t="s">
        <v>57</v>
      </c>
      <c r="D125" s="49" t="s">
        <v>122</v>
      </c>
      <c r="E125" s="79" t="str">
        <f t="shared" si="13"/>
        <v>storage_th_pr.capacity loss</v>
      </c>
      <c r="F125" s="8">
        <v>0.01</v>
      </c>
      <c r="G125" s="8"/>
      <c r="H125" s="8"/>
      <c r="I125" s="93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2:22">
      <c r="B126" s="8" t="s">
        <v>126</v>
      </c>
      <c r="C126" s="50" t="s">
        <v>57</v>
      </c>
      <c r="D126" s="49" t="s">
        <v>121</v>
      </c>
      <c r="E126" s="79" t="str">
        <f t="shared" si="13"/>
        <v>storage_th_pr.efficiency inflow</v>
      </c>
      <c r="F126" s="8">
        <v>0.98</v>
      </c>
      <c r="G126" s="8"/>
      <c r="H126" s="8"/>
      <c r="I126" s="93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2:22">
      <c r="B127" s="8" t="s">
        <v>126</v>
      </c>
      <c r="C127" s="50" t="s">
        <v>57</v>
      </c>
      <c r="D127" s="49" t="s">
        <v>120</v>
      </c>
      <c r="E127" s="79" t="str">
        <f t="shared" si="13"/>
        <v>storage_th_pr.efficiency outflow</v>
      </c>
      <c r="F127" s="8">
        <v>0.98</v>
      </c>
      <c r="G127" s="8"/>
      <c r="H127" s="8"/>
      <c r="I127" s="93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2:22">
      <c r="B128" s="8" t="s">
        <v>126</v>
      </c>
      <c r="C128" s="50" t="s">
        <v>57</v>
      </c>
      <c r="D128" s="49" t="s">
        <v>119</v>
      </c>
      <c r="E128" s="79" t="str">
        <f t="shared" si="13"/>
        <v>storage_th_pr.initial capacity</v>
      </c>
      <c r="F128" s="8">
        <v>0</v>
      </c>
      <c r="G128" s="8"/>
      <c r="H128" s="8"/>
      <c r="I128" s="93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2:22">
      <c r="B129" s="8" t="s">
        <v>126</v>
      </c>
      <c r="C129" s="50" t="s">
        <v>57</v>
      </c>
      <c r="D129" s="49" t="s">
        <v>118</v>
      </c>
      <c r="E129" s="79" t="str">
        <f t="shared" si="13"/>
        <v>storage_th_pr.capacity min</v>
      </c>
      <c r="F129" s="8">
        <v>0</v>
      </c>
      <c r="G129" s="8"/>
      <c r="H129" s="8"/>
      <c r="I129" s="93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2:22" ht="12.75" customHeight="1">
      <c r="B130" s="8" t="s">
        <v>126</v>
      </c>
      <c r="C130" s="50" t="s">
        <v>57</v>
      </c>
      <c r="D130" s="49" t="s">
        <v>117</v>
      </c>
      <c r="E130" s="79" t="str">
        <f t="shared" si="13"/>
        <v>storage_th_pr.capacity max</v>
      </c>
      <c r="F130" s="8">
        <v>1</v>
      </c>
      <c r="G130" s="8"/>
      <c r="H130" s="8"/>
      <c r="I130" s="93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2:22">
      <c r="B131" s="8" t="s">
        <v>126</v>
      </c>
      <c r="C131" s="50" t="s">
        <v>56</v>
      </c>
      <c r="D131" s="49" t="s">
        <v>125</v>
      </c>
      <c r="E131" s="79" t="str">
        <f t="shared" si="13"/>
        <v>storage_th_sch.nominal capacity</v>
      </c>
      <c r="F131" s="8">
        <v>101</v>
      </c>
      <c r="G131" s="8"/>
      <c r="H131" s="8"/>
      <c r="I131" s="93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2:22">
      <c r="B132" s="8" t="s">
        <v>126</v>
      </c>
      <c r="C132" s="50" t="s">
        <v>56</v>
      </c>
      <c r="D132" s="49" t="s">
        <v>124</v>
      </c>
      <c r="E132" s="79" t="str">
        <f t="shared" si="13"/>
        <v>storage_th_sch.nominal input value</v>
      </c>
      <c r="F132" s="8"/>
      <c r="G132" s="8"/>
      <c r="H132" s="8"/>
      <c r="I132" s="93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2:22">
      <c r="B133" s="8" t="s">
        <v>126</v>
      </c>
      <c r="C133" s="50" t="s">
        <v>56</v>
      </c>
      <c r="D133" s="49" t="s">
        <v>123</v>
      </c>
      <c r="E133" s="79" t="str">
        <f t="shared" si="13"/>
        <v>storage_th_sch.nominal output value</v>
      </c>
      <c r="F133" s="8"/>
      <c r="G133" s="8"/>
      <c r="H133" s="8"/>
      <c r="I133" s="93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2:22">
      <c r="B134" s="8" t="s">
        <v>126</v>
      </c>
      <c r="C134" s="50" t="s">
        <v>56</v>
      </c>
      <c r="D134" s="49" t="s">
        <v>122</v>
      </c>
      <c r="E134" s="79" t="str">
        <f t="shared" si="13"/>
        <v>storage_th_sch.capacity loss</v>
      </c>
      <c r="F134" s="8">
        <v>0.01</v>
      </c>
      <c r="G134" s="8"/>
      <c r="H134" s="8"/>
      <c r="I134" s="93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2:22">
      <c r="B135" s="8" t="s">
        <v>126</v>
      </c>
      <c r="C135" s="50" t="s">
        <v>56</v>
      </c>
      <c r="D135" s="49" t="s">
        <v>121</v>
      </c>
      <c r="E135" s="79" t="str">
        <f t="shared" si="13"/>
        <v>storage_th_sch.efficiency inflow</v>
      </c>
      <c r="F135" s="8">
        <v>0.98</v>
      </c>
      <c r="G135" s="8"/>
      <c r="H135" s="8"/>
      <c r="I135" s="93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2:22">
      <c r="B136" s="8" t="s">
        <v>126</v>
      </c>
      <c r="C136" s="50" t="s">
        <v>56</v>
      </c>
      <c r="D136" s="49" t="s">
        <v>120</v>
      </c>
      <c r="E136" s="79" t="str">
        <f t="shared" si="13"/>
        <v>storage_th_sch.efficiency outflow</v>
      </c>
      <c r="F136" s="8">
        <v>0.98</v>
      </c>
      <c r="G136" s="8"/>
      <c r="H136" s="8"/>
      <c r="I136" s="93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2:22">
      <c r="B137" s="8" t="s">
        <v>126</v>
      </c>
      <c r="C137" s="50" t="s">
        <v>56</v>
      </c>
      <c r="D137" s="49" t="s">
        <v>119</v>
      </c>
      <c r="E137" s="79" t="str">
        <f t="shared" si="13"/>
        <v>storage_th_sch.initial capacity</v>
      </c>
      <c r="F137" s="8">
        <v>0</v>
      </c>
      <c r="G137" s="8"/>
      <c r="H137" s="8"/>
      <c r="I137" s="93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2:22">
      <c r="B138" s="8" t="s">
        <v>126</v>
      </c>
      <c r="C138" s="50" t="s">
        <v>56</v>
      </c>
      <c r="D138" s="49" t="s">
        <v>118</v>
      </c>
      <c r="E138" s="79" t="str">
        <f t="shared" si="13"/>
        <v>storage_th_sch.capacity min</v>
      </c>
      <c r="F138" s="8">
        <v>0</v>
      </c>
      <c r="G138" s="8"/>
      <c r="H138" s="8"/>
      <c r="I138" s="93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2:22" ht="12.75" customHeight="1">
      <c r="B139" s="8" t="s">
        <v>126</v>
      </c>
      <c r="C139" s="50" t="s">
        <v>56</v>
      </c>
      <c r="D139" s="49" t="s">
        <v>117</v>
      </c>
      <c r="E139" s="79" t="str">
        <f t="shared" si="13"/>
        <v>storage_th_sch.capacity max</v>
      </c>
      <c r="F139" s="8">
        <v>1</v>
      </c>
      <c r="G139" s="8"/>
      <c r="H139" s="8"/>
      <c r="I139" s="93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2:22">
      <c r="B140" s="8" t="s">
        <v>126</v>
      </c>
      <c r="C140" s="50" t="s">
        <v>1</v>
      </c>
      <c r="D140" s="49" t="s">
        <v>125</v>
      </c>
      <c r="E140" s="79" t="str">
        <f t="shared" si="13"/>
        <v>batt.nominal capacity</v>
      </c>
      <c r="F140" s="8">
        <v>10</v>
      </c>
      <c r="G140" s="8"/>
      <c r="H140" s="8"/>
      <c r="I140" s="93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2:22">
      <c r="B141" s="8" t="s">
        <v>126</v>
      </c>
      <c r="C141" s="50" t="s">
        <v>1</v>
      </c>
      <c r="D141" s="49" t="s">
        <v>124</v>
      </c>
      <c r="E141" s="79" t="str">
        <f t="shared" si="13"/>
        <v>batt.nominal input value</v>
      </c>
      <c r="F141" s="8">
        <v>5</v>
      </c>
      <c r="G141" s="8"/>
      <c r="H141" s="8"/>
      <c r="I141" s="93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2:22">
      <c r="B142" s="8" t="s">
        <v>126</v>
      </c>
      <c r="C142" s="50" t="s">
        <v>1</v>
      </c>
      <c r="D142" s="49" t="s">
        <v>123</v>
      </c>
      <c r="E142" s="79" t="str">
        <f t="shared" si="13"/>
        <v>batt.nominal output value</v>
      </c>
      <c r="F142" s="8">
        <v>5</v>
      </c>
      <c r="G142" s="8"/>
      <c r="H142" s="8"/>
      <c r="I142" s="93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2:22">
      <c r="B143" s="8" t="s">
        <v>126</v>
      </c>
      <c r="C143" s="50" t="s">
        <v>1</v>
      </c>
      <c r="D143" s="49" t="s">
        <v>122</v>
      </c>
      <c r="E143" s="79" t="str">
        <f t="shared" si="13"/>
        <v>batt.capacity loss</v>
      </c>
      <c r="F143" s="8">
        <v>0.02</v>
      </c>
      <c r="G143" s="8"/>
      <c r="H143" s="8"/>
      <c r="I143" s="93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2:22">
      <c r="B144" s="8" t="s">
        <v>126</v>
      </c>
      <c r="C144" s="50" t="s">
        <v>1</v>
      </c>
      <c r="D144" s="49" t="s">
        <v>121</v>
      </c>
      <c r="E144" s="79" t="str">
        <f t="shared" si="13"/>
        <v>batt.efficiency inflow</v>
      </c>
      <c r="F144" s="8">
        <v>0.98</v>
      </c>
      <c r="G144" s="8"/>
      <c r="H144" s="8"/>
      <c r="I144" s="93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2:22">
      <c r="B145" s="8" t="s">
        <v>126</v>
      </c>
      <c r="C145" s="50" t="s">
        <v>1</v>
      </c>
      <c r="D145" s="49" t="s">
        <v>120</v>
      </c>
      <c r="E145" s="79" t="str">
        <f t="shared" si="13"/>
        <v>batt.efficiency outflow</v>
      </c>
      <c r="F145" s="8">
        <v>0.98</v>
      </c>
      <c r="G145" s="8"/>
      <c r="H145" s="8"/>
      <c r="I145" s="93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2:22">
      <c r="B146" s="8" t="s">
        <v>126</v>
      </c>
      <c r="C146" s="50" t="s">
        <v>1</v>
      </c>
      <c r="D146" s="49" t="s">
        <v>119</v>
      </c>
      <c r="E146" s="79" t="str">
        <f t="shared" si="13"/>
        <v>batt.initial capacity</v>
      </c>
      <c r="F146" s="8">
        <v>0</v>
      </c>
      <c r="G146" s="8"/>
      <c r="H146" s="8"/>
      <c r="I146" s="93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2:22">
      <c r="B147" s="8" t="s">
        <v>126</v>
      </c>
      <c r="C147" s="50" t="s">
        <v>1</v>
      </c>
      <c r="D147" s="49" t="s">
        <v>118</v>
      </c>
      <c r="E147" s="79" t="str">
        <f t="shared" si="13"/>
        <v>batt.capacity min</v>
      </c>
      <c r="F147" s="8">
        <v>0</v>
      </c>
      <c r="G147" s="8"/>
      <c r="H147" s="8"/>
      <c r="I147" s="93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2:22">
      <c r="B148" s="8" t="s">
        <v>126</v>
      </c>
      <c r="C148" s="50" t="s">
        <v>1</v>
      </c>
      <c r="D148" s="49" t="s">
        <v>117</v>
      </c>
      <c r="E148" s="79" t="str">
        <f t="shared" si="13"/>
        <v>batt.capacity max</v>
      </c>
      <c r="F148" s="8">
        <v>0.9</v>
      </c>
      <c r="G148" s="8"/>
      <c r="H148" s="8"/>
      <c r="I148" s="93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53" spans="2:22">
      <c r="B153" s="8" t="s">
        <v>78</v>
      </c>
      <c r="C153" s="50" t="s">
        <v>75</v>
      </c>
      <c r="D153" s="49" t="s">
        <v>116</v>
      </c>
      <c r="E153" s="79" t="str">
        <f>C153&amp;"."&amp;D153</f>
        <v>pth_pr.efficiency</v>
      </c>
      <c r="F153" s="49">
        <v>0.99</v>
      </c>
      <c r="G153" s="8"/>
      <c r="H153" s="8"/>
      <c r="I153" s="93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2:22">
      <c r="B154" s="8" t="s">
        <v>78</v>
      </c>
      <c r="C154" s="50" t="s">
        <v>75</v>
      </c>
      <c r="D154" s="49" t="s">
        <v>115</v>
      </c>
      <c r="E154" s="79" t="str">
        <f>C154&amp;"."&amp;D154</f>
        <v>pth_pr.capacity</v>
      </c>
      <c r="F154" s="49">
        <v>6.6</v>
      </c>
      <c r="G154" s="8"/>
      <c r="H154" s="8"/>
      <c r="I154" s="93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7" spans="2:22">
      <c r="B157" s="8" t="s">
        <v>78</v>
      </c>
      <c r="C157" s="50" t="s">
        <v>72</v>
      </c>
      <c r="D157" s="49" t="s">
        <v>116</v>
      </c>
      <c r="E157" s="79" t="str">
        <f t="shared" ref="E157:E178" si="14">C157&amp;"."&amp;D157</f>
        <v>wind_curtailment.efficiency</v>
      </c>
      <c r="F157" s="49">
        <v>1</v>
      </c>
      <c r="G157" s="8"/>
      <c r="H157" s="8"/>
      <c r="I157" s="93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2:22">
      <c r="B158" s="8" t="s">
        <v>78</v>
      </c>
      <c r="C158" s="50" t="s">
        <v>72</v>
      </c>
      <c r="D158" s="49" t="s">
        <v>115</v>
      </c>
      <c r="E158" s="79" t="str">
        <f t="shared" si="14"/>
        <v>wind_curtailment.capacity</v>
      </c>
      <c r="F158" s="66">
        <f>F$120</f>
        <v>717.51</v>
      </c>
      <c r="G158" s="8"/>
      <c r="H158" s="8"/>
      <c r="I158" s="93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2:22">
      <c r="B159" s="8" t="s">
        <v>78</v>
      </c>
      <c r="C159" s="50" t="s">
        <v>71</v>
      </c>
      <c r="D159" s="49" t="s">
        <v>116</v>
      </c>
      <c r="E159" s="79" t="str">
        <f t="shared" si="14"/>
        <v>wind_using.efficiency</v>
      </c>
      <c r="F159" s="26">
        <v>1</v>
      </c>
      <c r="G159" s="8"/>
      <c r="H159" s="8"/>
      <c r="I159" s="93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2:22">
      <c r="B160" s="8" t="s">
        <v>78</v>
      </c>
      <c r="C160" s="50" t="s">
        <v>71</v>
      </c>
      <c r="D160" s="49" t="s">
        <v>115</v>
      </c>
      <c r="E160" s="79" t="str">
        <f t="shared" si="14"/>
        <v>wind_using.capacity</v>
      </c>
      <c r="F160" s="67">
        <f>F$120</f>
        <v>717.51</v>
      </c>
      <c r="G160" s="8"/>
      <c r="H160" s="8"/>
      <c r="I160" s="93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2:22">
      <c r="B161" s="8" t="s">
        <v>78</v>
      </c>
      <c r="C161" s="50" t="s">
        <v>70</v>
      </c>
      <c r="D161" s="49" t="s">
        <v>116</v>
      </c>
      <c r="E161" s="79" t="str">
        <f t="shared" si="14"/>
        <v>wind_neg_spot.efficiency</v>
      </c>
      <c r="F161" s="26">
        <v>1</v>
      </c>
      <c r="G161" s="8"/>
      <c r="H161" s="8"/>
      <c r="I161" s="93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2:22">
      <c r="B162" s="8" t="s">
        <v>78</v>
      </c>
      <c r="C162" s="50" t="s">
        <v>70</v>
      </c>
      <c r="D162" s="49" t="s">
        <v>115</v>
      </c>
      <c r="E162" s="79" t="str">
        <f t="shared" si="14"/>
        <v>wind_neg_spot.capacity</v>
      </c>
      <c r="F162" s="67">
        <f>F$120</f>
        <v>717.51</v>
      </c>
      <c r="G162" s="8"/>
      <c r="H162" s="8"/>
      <c r="I162" s="93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2:22">
      <c r="B163" s="8" t="s">
        <v>78</v>
      </c>
      <c r="C163" s="50" t="s">
        <v>69</v>
      </c>
      <c r="D163" s="49" t="s">
        <v>116</v>
      </c>
      <c r="E163" s="79" t="str">
        <f t="shared" si="14"/>
        <v>negative_spot.efficiency</v>
      </c>
      <c r="F163" s="49">
        <v>1</v>
      </c>
      <c r="G163" s="8"/>
      <c r="H163" s="8"/>
      <c r="I163" s="93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2:22">
      <c r="B164" s="8" t="s">
        <v>78</v>
      </c>
      <c r="C164" s="50" t="s">
        <v>69</v>
      </c>
      <c r="D164" s="49" t="s">
        <v>115</v>
      </c>
      <c r="E164" s="79" t="str">
        <f t="shared" si="14"/>
        <v>negative_spot.capacity</v>
      </c>
      <c r="F164" s="49">
        <v>30000</v>
      </c>
      <c r="G164" s="8"/>
      <c r="H164" s="8"/>
      <c r="I164" s="93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2:22">
      <c r="B165" s="8" t="s">
        <v>78</v>
      </c>
      <c r="C165" s="50" t="s">
        <v>68</v>
      </c>
      <c r="D165" s="49" t="s">
        <v>116</v>
      </c>
      <c r="E165" s="79" t="str">
        <f t="shared" si="14"/>
        <v>spot_to_flex.efficiency</v>
      </c>
      <c r="F165" s="49">
        <v>1</v>
      </c>
      <c r="G165" s="8"/>
      <c r="H165" s="8"/>
      <c r="I165" s="93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2:22">
      <c r="B166" s="8" t="s">
        <v>78</v>
      </c>
      <c r="C166" s="50" t="s">
        <v>68</v>
      </c>
      <c r="D166" s="49" t="s">
        <v>115</v>
      </c>
      <c r="E166" s="79" t="str">
        <f t="shared" si="14"/>
        <v>spot_to_flex.capacity</v>
      </c>
      <c r="F166" s="49">
        <v>390</v>
      </c>
      <c r="G166" s="8"/>
      <c r="H166" s="8"/>
      <c r="I166" s="93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2:22">
      <c r="B167" s="8" t="s">
        <v>78</v>
      </c>
      <c r="C167" s="50" t="s">
        <v>0</v>
      </c>
      <c r="D167" s="49" t="s">
        <v>116</v>
      </c>
      <c r="E167" s="79" t="str">
        <f t="shared" si="14"/>
        <v>ptg.efficiency</v>
      </c>
      <c r="F167" s="49">
        <v>0.64300000000000002</v>
      </c>
      <c r="G167" s="8">
        <v>0.84399999999999997</v>
      </c>
      <c r="H167" s="8">
        <v>0.88100000000000001</v>
      </c>
      <c r="I167" s="93"/>
      <c r="J167" s="1" t="s">
        <v>196</v>
      </c>
      <c r="K167" s="1" t="s">
        <v>197</v>
      </c>
      <c r="L167" s="1" t="s">
        <v>197</v>
      </c>
      <c r="M167" s="1" t="s">
        <v>197</v>
      </c>
      <c r="N167" s="2"/>
      <c r="O167" s="2"/>
      <c r="P167" s="2"/>
      <c r="Q167" s="2"/>
      <c r="R167" s="2"/>
      <c r="S167" s="2"/>
      <c r="T167" s="2"/>
      <c r="U167" s="2"/>
      <c r="V167" s="2"/>
    </row>
    <row r="168" spans="2:22">
      <c r="B168" s="8" t="s">
        <v>78</v>
      </c>
      <c r="C168" s="50" t="s">
        <v>0</v>
      </c>
      <c r="D168" s="49" t="s">
        <v>115</v>
      </c>
      <c r="E168" s="79" t="str">
        <f>C168&amp;"."&amp;D168</f>
        <v>ptg.capacity</v>
      </c>
      <c r="F168" s="49">
        <v>10</v>
      </c>
      <c r="G168" s="8">
        <v>10</v>
      </c>
      <c r="H168" s="8">
        <v>10</v>
      </c>
      <c r="I168" s="93"/>
      <c r="J168" s="1" t="s">
        <v>196</v>
      </c>
      <c r="K168" s="1" t="s">
        <v>197</v>
      </c>
      <c r="L168" s="1" t="s">
        <v>197</v>
      </c>
      <c r="M168" s="1" t="s">
        <v>197</v>
      </c>
      <c r="N168" s="2"/>
      <c r="O168" s="2"/>
      <c r="P168" s="2"/>
      <c r="Q168" s="2"/>
      <c r="R168" s="2"/>
      <c r="S168" s="2"/>
      <c r="T168" s="2"/>
      <c r="U168" s="2"/>
      <c r="V168" s="2"/>
    </row>
    <row r="169" spans="2:22">
      <c r="B169" s="8" t="s">
        <v>78</v>
      </c>
      <c r="C169" s="50" t="s">
        <v>0</v>
      </c>
      <c r="D169" s="49" t="s">
        <v>18</v>
      </c>
      <c r="E169" s="79" t="str">
        <f>C169&amp;"."&amp;D169</f>
        <v>ptg.Invest</v>
      </c>
      <c r="F169" s="49">
        <f>776000*F168</f>
        <v>7760000</v>
      </c>
      <c r="G169" s="8">
        <f>800000*G168</f>
        <v>8000000</v>
      </c>
      <c r="H169" s="8">
        <f>550000*H168</f>
        <v>5500000</v>
      </c>
      <c r="I169" s="93"/>
      <c r="J169" s="1" t="s">
        <v>196</v>
      </c>
      <c r="K169" s="1" t="s">
        <v>197</v>
      </c>
      <c r="L169" s="1" t="s">
        <v>197</v>
      </c>
      <c r="M169" s="1" t="s">
        <v>197</v>
      </c>
      <c r="N169" s="2"/>
      <c r="O169" s="2"/>
      <c r="P169" s="2"/>
      <c r="Q169" s="2"/>
      <c r="R169" s="2"/>
      <c r="S169" s="2"/>
      <c r="T169" s="2"/>
      <c r="U169" s="2"/>
      <c r="V169" s="2"/>
    </row>
    <row r="170" spans="2:22">
      <c r="B170" s="8" t="s">
        <v>78</v>
      </c>
      <c r="C170" s="50" t="s">
        <v>0</v>
      </c>
      <c r="D170" s="49" t="s">
        <v>149</v>
      </c>
      <c r="E170" s="79" t="str">
        <f>C170&amp;"."&amp;D170</f>
        <v>ptg.lifetime</v>
      </c>
      <c r="F170" s="49">
        <v>26.8</v>
      </c>
      <c r="G170" s="8">
        <v>20</v>
      </c>
      <c r="H170" s="8">
        <v>20</v>
      </c>
      <c r="I170" s="93"/>
      <c r="J170" s="1" t="s">
        <v>196</v>
      </c>
      <c r="K170" s="1" t="s">
        <v>197</v>
      </c>
      <c r="L170" s="1" t="s">
        <v>197</v>
      </c>
      <c r="M170" s="1" t="s">
        <v>197</v>
      </c>
      <c r="N170" s="2"/>
      <c r="O170" s="2"/>
      <c r="P170" s="2"/>
      <c r="Q170" s="2"/>
      <c r="R170" s="2"/>
      <c r="S170" s="2"/>
      <c r="T170" s="2"/>
      <c r="U170" s="2"/>
      <c r="V170" s="2"/>
    </row>
    <row r="171" spans="2:22">
      <c r="B171" s="8" t="s">
        <v>78</v>
      </c>
      <c r="C171" s="50" t="s">
        <v>0</v>
      </c>
      <c r="D171" s="49" t="s">
        <v>191</v>
      </c>
      <c r="E171" s="79" t="str">
        <f>C171&amp;"."&amp;D171</f>
        <v>ptg.variable_costs_out</v>
      </c>
      <c r="F171" s="49">
        <f>0.035*F169</f>
        <v>271600</v>
      </c>
      <c r="G171" s="49">
        <f>0.03*G169</f>
        <v>240000</v>
      </c>
      <c r="H171" s="49">
        <f>0.03*H169</f>
        <v>165000</v>
      </c>
      <c r="I171" s="93"/>
      <c r="J171" s="1" t="s">
        <v>196</v>
      </c>
      <c r="K171" s="1" t="s">
        <v>197</v>
      </c>
      <c r="L171" s="1" t="s">
        <v>197</v>
      </c>
      <c r="M171" s="1" t="s">
        <v>197</v>
      </c>
      <c r="N171" s="2"/>
      <c r="O171" s="2"/>
      <c r="P171" s="2"/>
      <c r="Q171" s="2"/>
      <c r="R171" s="2"/>
      <c r="S171" s="2"/>
      <c r="T171" s="2"/>
      <c r="U171" s="2"/>
      <c r="V171" s="2"/>
    </row>
    <row r="172" spans="2:22">
      <c r="B172" s="8"/>
      <c r="C172" s="50"/>
      <c r="D172" s="49"/>
      <c r="E172" s="79"/>
      <c r="F172" s="49"/>
      <c r="G172" s="8"/>
      <c r="H172" s="8"/>
      <c r="I172" s="93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2:22">
      <c r="B173" s="8" t="s">
        <v>78</v>
      </c>
      <c r="C173" s="50" t="s">
        <v>67</v>
      </c>
      <c r="D173" s="49" t="s">
        <v>116</v>
      </c>
      <c r="E173" s="79" t="str">
        <f t="shared" si="14"/>
        <v>pv_using.efficiency</v>
      </c>
      <c r="F173" s="26">
        <v>1</v>
      </c>
      <c r="G173" s="8"/>
      <c r="H173" s="8"/>
      <c r="I173" s="93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2:22">
      <c r="B174" s="8" t="s">
        <v>78</v>
      </c>
      <c r="C174" s="50" t="s">
        <v>67</v>
      </c>
      <c r="D174" s="49" t="s">
        <v>115</v>
      </c>
      <c r="E174" s="79" t="str">
        <f t="shared" si="14"/>
        <v>pv_using.capacity</v>
      </c>
      <c r="F174" s="26">
        <f>VLOOKUP($C$121&amp;"."&amp;$D174,E:K,$F$4+1,0)</f>
        <v>72.260999999999996</v>
      </c>
      <c r="G174" s="8"/>
      <c r="H174" s="8"/>
      <c r="I174" s="93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2:22">
      <c r="B175" s="8" t="s">
        <v>78</v>
      </c>
      <c r="C175" s="50" t="s">
        <v>66</v>
      </c>
      <c r="D175" s="49" t="s">
        <v>116</v>
      </c>
      <c r="E175" s="79" t="str">
        <f t="shared" si="14"/>
        <v>pv_curtailment.efficiency</v>
      </c>
      <c r="F175" s="26">
        <v>1</v>
      </c>
      <c r="G175" s="8"/>
      <c r="H175" s="8"/>
      <c r="I175" s="93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2:22">
      <c r="B176" s="8" t="s">
        <v>78</v>
      </c>
      <c r="C176" s="50" t="s">
        <v>66</v>
      </c>
      <c r="D176" s="49" t="s">
        <v>115</v>
      </c>
      <c r="E176" s="79" t="str">
        <f t="shared" si="14"/>
        <v>pv_curtailment.capacity</v>
      </c>
      <c r="F176" s="26">
        <f>VLOOKUP($C$121&amp;"."&amp;$D176,E:K,$F$4+1,0)</f>
        <v>72.260999999999996</v>
      </c>
      <c r="G176" s="8"/>
      <c r="H176" s="8"/>
      <c r="I176" s="93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2:22">
      <c r="B177" s="8" t="s">
        <v>78</v>
      </c>
      <c r="C177" s="50" t="s">
        <v>65</v>
      </c>
      <c r="D177" s="49" t="s">
        <v>116</v>
      </c>
      <c r="E177" s="79" t="str">
        <f t="shared" si="14"/>
        <v>pv_neg_spot.efficiency</v>
      </c>
      <c r="F177" s="26">
        <v>1</v>
      </c>
      <c r="G177" s="8"/>
      <c r="H177" s="8"/>
      <c r="I177" s="93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2:22">
      <c r="B178" s="8" t="s">
        <v>78</v>
      </c>
      <c r="C178" s="50" t="s">
        <v>65</v>
      </c>
      <c r="D178" s="49" t="s">
        <v>115</v>
      </c>
      <c r="E178" s="79" t="str">
        <f t="shared" si="14"/>
        <v>pv_neg_spot.capacity</v>
      </c>
      <c r="F178" s="26">
        <f>VLOOKUP($C$121&amp;"."&amp;$D178,E:K,$F$4+1,0)</f>
        <v>72.260999999999996</v>
      </c>
      <c r="G178" s="8"/>
      <c r="H178" s="8"/>
      <c r="I178" s="93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2:22">
      <c r="B179" s="8"/>
      <c r="C179" s="8"/>
      <c r="D179" s="49"/>
      <c r="E179" s="79"/>
      <c r="F179" s="26"/>
      <c r="G179" s="8"/>
      <c r="H179" s="8"/>
      <c r="I179" s="93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2:22">
      <c r="B180" s="8"/>
      <c r="C180" s="8"/>
      <c r="D180" s="49"/>
      <c r="E180" s="79"/>
      <c r="F180" s="26"/>
      <c r="G180" s="8"/>
      <c r="H180" s="8"/>
      <c r="I180" s="93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2:22">
      <c r="B181" s="8" t="s">
        <v>78</v>
      </c>
      <c r="C181" s="8" t="s">
        <v>227</v>
      </c>
      <c r="D181" s="49" t="s">
        <v>157</v>
      </c>
      <c r="E181" s="79" t="str">
        <f t="shared" ref="E181:E200" si="15">C181&amp;"."&amp;D181</f>
        <v>boiler_pr_1.Invest. Eq.</v>
      </c>
      <c r="F181" s="26">
        <f>F$240*VLOOKUP($C181&amp;"."&amp;"capacity",$E:$K,F$6+1,0)</f>
        <v>629300</v>
      </c>
      <c r="G181" s="8"/>
      <c r="H181" s="8"/>
      <c r="I181" s="93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2:22">
      <c r="B182" s="8" t="s">
        <v>78</v>
      </c>
      <c r="C182" s="8" t="s">
        <v>227</v>
      </c>
      <c r="D182" s="49" t="s">
        <v>15</v>
      </c>
      <c r="E182" s="79" t="str">
        <f t="shared" si="15"/>
        <v>boiler_pr_1.fixed O&amp;M</v>
      </c>
      <c r="F182" s="26">
        <f>F$242*VLOOKUP($C182&amp;"."&amp;"capacity",$E:$K,F$6+1,0)</f>
        <v>26970</v>
      </c>
      <c r="G182" s="8"/>
      <c r="H182" s="8"/>
      <c r="I182" s="93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2:22">
      <c r="B183" s="8" t="s">
        <v>78</v>
      </c>
      <c r="C183" s="8" t="s">
        <v>227</v>
      </c>
      <c r="D183" s="49" t="s">
        <v>149</v>
      </c>
      <c r="E183" s="79" t="str">
        <f t="shared" si="15"/>
        <v>boiler_pr_1.lifetime</v>
      </c>
      <c r="F183" s="26">
        <f>F$244</f>
        <v>25</v>
      </c>
      <c r="G183" s="8"/>
      <c r="H183" s="8"/>
      <c r="I183" s="93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2:22">
      <c r="B184" s="8" t="s">
        <v>78</v>
      </c>
      <c r="C184" s="8" t="s">
        <v>227</v>
      </c>
      <c r="D184" s="49" t="s">
        <v>158</v>
      </c>
      <c r="E184" s="79" t="str">
        <f t="shared" si="15"/>
        <v>boiler_pr_1.Invest. Installation</v>
      </c>
      <c r="F184" s="26">
        <f>F$241*VLOOKUP($C184&amp;"."&amp;"capacity",$E:$K,F$6+1,0)</f>
        <v>359600</v>
      </c>
      <c r="G184" s="8"/>
      <c r="H184" s="8"/>
      <c r="I184" s="93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2:22">
      <c r="B185" s="8" t="s">
        <v>78</v>
      </c>
      <c r="C185" s="8" t="s">
        <v>227</v>
      </c>
      <c r="D185" s="49" t="s">
        <v>116</v>
      </c>
      <c r="E185" s="79" t="str">
        <f t="shared" si="15"/>
        <v>boiler_pr_1.efficiency</v>
      </c>
      <c r="F185" s="26">
        <v>0.9</v>
      </c>
      <c r="G185" s="8"/>
      <c r="H185" s="8"/>
      <c r="I185" s="93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2:22">
      <c r="B186" s="8" t="s">
        <v>78</v>
      </c>
      <c r="C186" s="8" t="s">
        <v>227</v>
      </c>
      <c r="D186" s="49" t="s">
        <v>115</v>
      </c>
      <c r="E186" s="79" t="str">
        <f t="shared" si="15"/>
        <v>boiler_pr_1.capacity</v>
      </c>
      <c r="F186" s="26">
        <v>8.99</v>
      </c>
      <c r="G186" s="8"/>
      <c r="H186" s="8"/>
      <c r="I186" s="93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2:22">
      <c r="B187" s="8"/>
      <c r="C187" s="8"/>
      <c r="D187" s="49"/>
      <c r="E187" s="79"/>
      <c r="F187" s="26"/>
      <c r="G187" s="8"/>
      <c r="H187" s="8"/>
      <c r="I187" s="93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2:22">
      <c r="B188" s="8" t="s">
        <v>78</v>
      </c>
      <c r="C188" s="8" t="s">
        <v>228</v>
      </c>
      <c r="D188" s="49" t="s">
        <v>157</v>
      </c>
      <c r="E188" s="79" t="str">
        <f t="shared" si="15"/>
        <v>boiler_pr_2.Invest. Eq.</v>
      </c>
      <c r="F188" s="26">
        <f>F$240*VLOOKUP($C188&amp;"."&amp;"capacity",$E:$K,F$6+1,0)</f>
        <v>856100</v>
      </c>
      <c r="G188" s="8"/>
      <c r="H188" s="8"/>
      <c r="I188" s="93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2:22">
      <c r="B189" s="8" t="s">
        <v>78</v>
      </c>
      <c r="C189" s="8" t="s">
        <v>228</v>
      </c>
      <c r="D189" s="49" t="s">
        <v>15</v>
      </c>
      <c r="E189" s="79" t="str">
        <f t="shared" si="15"/>
        <v>boiler_pr_2.fixed O&amp;M</v>
      </c>
      <c r="F189" s="26">
        <f>F$242*VLOOKUP($C189&amp;"."&amp;"capacity",$E:$K,F$6+1,0)</f>
        <v>36690</v>
      </c>
      <c r="G189" s="8"/>
      <c r="H189" s="8"/>
      <c r="I189" s="93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2:22">
      <c r="B190" s="8" t="s">
        <v>78</v>
      </c>
      <c r="C190" s="8" t="s">
        <v>228</v>
      </c>
      <c r="D190" s="49" t="s">
        <v>149</v>
      </c>
      <c r="E190" s="79" t="str">
        <f t="shared" si="15"/>
        <v>boiler_pr_2.lifetime</v>
      </c>
      <c r="F190" s="26">
        <f>F$244</f>
        <v>25</v>
      </c>
      <c r="G190" s="8"/>
      <c r="H190" s="8"/>
      <c r="I190" s="93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2:22">
      <c r="B191" s="8" t="s">
        <v>78</v>
      </c>
      <c r="C191" s="8" t="s">
        <v>228</v>
      </c>
      <c r="D191" s="49" t="s">
        <v>158</v>
      </c>
      <c r="E191" s="79" t="str">
        <f t="shared" si="15"/>
        <v>boiler_pr_2.Invest. Installation</v>
      </c>
      <c r="F191" s="26">
        <f>F$241*VLOOKUP($C191&amp;"."&amp;"capacity",$E:$K,F$6+1,0)</f>
        <v>489200</v>
      </c>
      <c r="G191" s="8"/>
      <c r="H191" s="8"/>
      <c r="I191" s="93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2:22">
      <c r="B192" s="8" t="s">
        <v>78</v>
      </c>
      <c r="C192" s="8" t="s">
        <v>228</v>
      </c>
      <c r="D192" s="49" t="s">
        <v>116</v>
      </c>
      <c r="E192" s="79" t="str">
        <f t="shared" si="15"/>
        <v>boiler_pr_2.efficiency</v>
      </c>
      <c r="F192" s="26">
        <v>0.9</v>
      </c>
      <c r="G192" s="8"/>
      <c r="H192" s="8"/>
      <c r="I192" s="93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2:22">
      <c r="B193" s="8" t="s">
        <v>78</v>
      </c>
      <c r="C193" s="8" t="s">
        <v>228</v>
      </c>
      <c r="D193" s="49" t="s">
        <v>115</v>
      </c>
      <c r="E193" s="79" t="str">
        <f t="shared" si="15"/>
        <v>boiler_pr_2.capacity</v>
      </c>
      <c r="F193" s="26">
        <v>12.23</v>
      </c>
      <c r="G193" s="8"/>
      <c r="H193" s="8"/>
      <c r="I193" s="93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2:22">
      <c r="B194" s="8"/>
      <c r="C194" s="8"/>
      <c r="D194" s="49"/>
      <c r="E194" s="79"/>
      <c r="F194" s="26"/>
      <c r="G194" s="8"/>
      <c r="H194" s="8"/>
      <c r="I194" s="93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2:22">
      <c r="B195" s="8" t="s">
        <v>78</v>
      </c>
      <c r="C195" s="8" t="s">
        <v>229</v>
      </c>
      <c r="D195" s="49" t="s">
        <v>157</v>
      </c>
      <c r="E195" s="79" t="str">
        <f t="shared" si="15"/>
        <v>boiler_pr_3.Invest. Eq.</v>
      </c>
      <c r="F195" s="26">
        <f>F$240*VLOOKUP($C195&amp;"."&amp;"capacity",$E:$K,F$6+1,0)</f>
        <v>140000</v>
      </c>
      <c r="G195" s="8"/>
      <c r="H195" s="8"/>
      <c r="I195" s="93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2:22">
      <c r="B196" s="8" t="s">
        <v>78</v>
      </c>
      <c r="C196" s="8" t="s">
        <v>229</v>
      </c>
      <c r="D196" s="49" t="s">
        <v>15</v>
      </c>
      <c r="E196" s="79" t="str">
        <f t="shared" si="15"/>
        <v>boiler_pr_3.fixed O&amp;M</v>
      </c>
      <c r="F196" s="26">
        <f>F$242*VLOOKUP($C196&amp;"."&amp;"capacity",$E:$K,F$6+1,0)</f>
        <v>6000</v>
      </c>
      <c r="G196" s="8"/>
      <c r="H196" s="8"/>
      <c r="I196" s="93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2:22">
      <c r="B197" s="8" t="s">
        <v>78</v>
      </c>
      <c r="C197" s="8" t="s">
        <v>229</v>
      </c>
      <c r="D197" s="49" t="s">
        <v>149</v>
      </c>
      <c r="E197" s="79" t="str">
        <f t="shared" si="15"/>
        <v>boiler_pr_3.lifetime</v>
      </c>
      <c r="F197" s="26">
        <f>F$244</f>
        <v>25</v>
      </c>
      <c r="G197" s="8"/>
      <c r="H197" s="8"/>
      <c r="I197" s="93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2:22">
      <c r="B198" s="8" t="s">
        <v>78</v>
      </c>
      <c r="C198" s="8" t="s">
        <v>229</v>
      </c>
      <c r="D198" s="49" t="s">
        <v>158</v>
      </c>
      <c r="E198" s="79" t="str">
        <f t="shared" si="15"/>
        <v>boiler_pr_3.Invest. Installation</v>
      </c>
      <c r="F198" s="26">
        <f>F$241*VLOOKUP($C198&amp;"."&amp;"capacity",$E:$K,F$6+1,0)</f>
        <v>80000</v>
      </c>
      <c r="G198" s="8"/>
      <c r="H198" s="8"/>
      <c r="I198" s="93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2:22">
      <c r="B199" s="8" t="s">
        <v>78</v>
      </c>
      <c r="C199" s="8" t="s">
        <v>229</v>
      </c>
      <c r="D199" s="49" t="s">
        <v>116</v>
      </c>
      <c r="E199" s="79" t="str">
        <f t="shared" si="15"/>
        <v>boiler_pr_3.efficiency</v>
      </c>
      <c r="F199" s="26">
        <v>0.9</v>
      </c>
      <c r="G199" s="8"/>
      <c r="H199" s="8"/>
      <c r="I199" s="93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2:22">
      <c r="B200" s="8" t="s">
        <v>78</v>
      </c>
      <c r="C200" s="8" t="s">
        <v>229</v>
      </c>
      <c r="D200" s="49" t="s">
        <v>115</v>
      </c>
      <c r="E200" s="79" t="str">
        <f t="shared" si="15"/>
        <v>boiler_pr_3.capacity</v>
      </c>
      <c r="F200" s="26">
        <v>2</v>
      </c>
      <c r="G200" s="8"/>
      <c r="H200" s="8"/>
      <c r="I200" s="93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2:22">
      <c r="B201" s="8"/>
      <c r="C201" s="8"/>
      <c r="D201" s="49"/>
      <c r="E201" s="79"/>
      <c r="F201" s="26"/>
      <c r="G201" s="8"/>
      <c r="H201" s="8"/>
      <c r="I201" s="93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2:22">
      <c r="B202" s="8"/>
      <c r="C202" s="8"/>
      <c r="D202" s="49"/>
      <c r="E202" s="79"/>
      <c r="F202" s="26"/>
      <c r="G202" s="8"/>
      <c r="H202" s="8"/>
      <c r="I202" s="93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2:22" ht="15" customHeight="1">
      <c r="B203" s="8"/>
      <c r="C203" s="8"/>
      <c r="D203" s="49"/>
      <c r="E203" s="79"/>
      <c r="F203" s="26"/>
      <c r="G203" s="8"/>
      <c r="H203" s="8"/>
      <c r="I203" s="93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2:22">
      <c r="B204" s="8" t="s">
        <v>78</v>
      </c>
      <c r="C204" s="87" t="s">
        <v>73</v>
      </c>
      <c r="D204" s="49" t="s">
        <v>157</v>
      </c>
      <c r="E204" s="79" t="str">
        <f t="shared" ref="E204:E209" si="16">C204&amp;"."&amp;D204</f>
        <v>boiler_sch.Invest. Eq.</v>
      </c>
      <c r="F204" s="26">
        <f>F$248*VLOOKUP($C204&amp;"."&amp;"capacity",$E:$K,F$6+1,0)</f>
        <v>2196000</v>
      </c>
      <c r="G204" s="26">
        <f>G$248*VLOOKUP($C204&amp;"."&amp;"capacity",$E:$K,G$6+1,0)</f>
        <v>2220000</v>
      </c>
      <c r="H204" s="26">
        <f>H$248*VLOOKUP($C204&amp;"."&amp;"capacity",$E:$K,H$6+1,0)</f>
        <v>2220000</v>
      </c>
      <c r="I204" s="9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2:22">
      <c r="B205" s="8" t="s">
        <v>78</v>
      </c>
      <c r="C205" s="87" t="s">
        <v>73</v>
      </c>
      <c r="D205" s="49" t="s">
        <v>15</v>
      </c>
      <c r="E205" s="79" t="str">
        <f t="shared" si="16"/>
        <v>boiler_sch.fixed O&amp;M</v>
      </c>
      <c r="F205" s="26">
        <f>F$250*VLOOKUP($C205&amp;"."&amp;"capacity",$E:$K,F$6+1,0)</f>
        <v>73200</v>
      </c>
      <c r="G205" s="26">
        <f>G$250*VLOOKUP($C205&amp;"."&amp;"capacity",$E:$K,G$6+1,0)</f>
        <v>70300</v>
      </c>
      <c r="H205" s="26">
        <f>H$250*VLOOKUP($C205&amp;"."&amp;"capacity",$E:$K,H$6+1,0)</f>
        <v>66600</v>
      </c>
      <c r="I205" s="9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2:22">
      <c r="B206" s="8" t="s">
        <v>78</v>
      </c>
      <c r="C206" s="87" t="s">
        <v>73</v>
      </c>
      <c r="D206" s="49" t="s">
        <v>149</v>
      </c>
      <c r="E206" s="79" t="str">
        <f t="shared" si="16"/>
        <v>boiler_sch.lifetime</v>
      </c>
      <c r="F206" s="26">
        <f>F$252</f>
        <v>30</v>
      </c>
      <c r="G206" s="26">
        <f>G$252</f>
        <v>30</v>
      </c>
      <c r="H206" s="26">
        <f>H$252</f>
        <v>40</v>
      </c>
      <c r="I206" s="9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2:22">
      <c r="B207" s="8" t="s">
        <v>78</v>
      </c>
      <c r="C207" s="87" t="s">
        <v>73</v>
      </c>
      <c r="D207" s="49" t="s">
        <v>158</v>
      </c>
      <c r="E207" s="79" t="str">
        <f t="shared" si="16"/>
        <v>boiler_sch.Invest. Installation</v>
      </c>
      <c r="F207" s="26">
        <f>F$249*VLOOKUP($C207&amp;"."&amp;"capacity",$E:$K,F$6+1,0)</f>
        <v>1464000</v>
      </c>
      <c r="G207" s="26">
        <f>G$249*VLOOKUP($C207&amp;"."&amp;"capacity",$E:$K,G$6+1,0)</f>
        <v>1480000</v>
      </c>
      <c r="H207" s="26">
        <f>H$249*VLOOKUP($C207&amp;"."&amp;"capacity",$E:$K,H$6+1,0)</f>
        <v>1480000</v>
      </c>
      <c r="I207" s="9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2:22">
      <c r="B208" s="8" t="s">
        <v>78</v>
      </c>
      <c r="C208" s="86" t="s">
        <v>73</v>
      </c>
      <c r="D208" s="49" t="s">
        <v>116</v>
      </c>
      <c r="E208" s="79" t="str">
        <f t="shared" si="16"/>
        <v>boiler_sch.efficiency</v>
      </c>
      <c r="F208" s="85">
        <v>0.9</v>
      </c>
      <c r="G208" s="85">
        <v>0.9</v>
      </c>
      <c r="H208" s="85">
        <v>0.9</v>
      </c>
      <c r="I208" s="9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2:22">
      <c r="B209" s="8" t="s">
        <v>78</v>
      </c>
      <c r="C209" s="86" t="s">
        <v>73</v>
      </c>
      <c r="D209" s="49" t="s">
        <v>115</v>
      </c>
      <c r="E209" s="79" t="str">
        <f t="shared" si="16"/>
        <v>boiler_sch.capacity</v>
      </c>
      <c r="F209" s="85">
        <v>36.6</v>
      </c>
      <c r="G209" s="85">
        <v>37</v>
      </c>
      <c r="H209" s="85">
        <v>37</v>
      </c>
      <c r="I209" s="9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2:22">
      <c r="B210" s="68"/>
      <c r="C210" s="25"/>
      <c r="D210" s="49"/>
      <c r="E210" s="79"/>
      <c r="F210" s="26"/>
      <c r="G210" s="8"/>
      <c r="H210" s="8"/>
      <c r="I210" s="93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2:22">
      <c r="B211" s="8" t="s">
        <v>78</v>
      </c>
      <c r="C211" s="86" t="s">
        <v>74</v>
      </c>
      <c r="D211" s="49" t="s">
        <v>157</v>
      </c>
      <c r="E211" s="79" t="str">
        <f t="shared" ref="E211:E216" si="17">C211&amp;"."&amp;D211</f>
        <v>boiler_pr.Invest. Eq.</v>
      </c>
      <c r="F211" s="26">
        <f>F$240*VLOOKUP($C211&amp;"."&amp;"capacity",$E:$K,F$6+1,0)</f>
        <v>1625400</v>
      </c>
      <c r="G211" s="26">
        <f>G$240*VLOOKUP($C211&amp;"."&amp;"capacity",$E:$K,G$6+1,0)</f>
        <v>2590000</v>
      </c>
      <c r="H211" s="26">
        <f>H$240*VLOOKUP($C211&amp;"."&amp;"capacity",$E:$K,H$6+1,0)</f>
        <v>2590000</v>
      </c>
      <c r="I211" s="9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2:22">
      <c r="B212" s="8" t="s">
        <v>78</v>
      </c>
      <c r="C212" s="86" t="s">
        <v>74</v>
      </c>
      <c r="D212" s="49" t="s">
        <v>15</v>
      </c>
      <c r="E212" s="79" t="str">
        <f t="shared" si="17"/>
        <v>boiler_pr.fixed O&amp;M</v>
      </c>
      <c r="F212" s="26">
        <f>F$242*VLOOKUP($C212&amp;"."&amp;"capacity",$E:$K,F$6+1,0)</f>
        <v>69660</v>
      </c>
      <c r="G212" s="26">
        <f>G$242*VLOOKUP($C212&amp;"."&amp;"capacity",$E:$K,G$6+1,0)</f>
        <v>92500</v>
      </c>
      <c r="H212" s="26">
        <f>H$242*VLOOKUP($C212&amp;"."&amp;"capacity",$E:$K,H$6+1,0)</f>
        <v>74000</v>
      </c>
      <c r="I212" s="9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2:22">
      <c r="B213" s="8" t="s">
        <v>78</v>
      </c>
      <c r="C213" s="86" t="s">
        <v>74</v>
      </c>
      <c r="D213" s="49" t="s">
        <v>149</v>
      </c>
      <c r="E213" s="79" t="str">
        <f t="shared" si="17"/>
        <v>boiler_pr.lifetime</v>
      </c>
      <c r="F213" s="26">
        <f>F$244</f>
        <v>25</v>
      </c>
      <c r="G213" s="26">
        <f>G$244</f>
        <v>25</v>
      </c>
      <c r="H213" s="26">
        <f>H$244</f>
        <v>25</v>
      </c>
      <c r="I213" s="9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2:22">
      <c r="B214" s="8" t="s">
        <v>78</v>
      </c>
      <c r="C214" s="87" t="s">
        <v>74</v>
      </c>
      <c r="D214" s="49" t="s">
        <v>158</v>
      </c>
      <c r="E214" s="79" t="str">
        <f t="shared" si="17"/>
        <v>boiler_pr.Invest. Installation</v>
      </c>
      <c r="F214" s="26">
        <f>F$241*VLOOKUP($C214&amp;"."&amp;"capacity",$E:$K,F$6+1,0)</f>
        <v>928800</v>
      </c>
      <c r="G214" s="26">
        <f>G$241*VLOOKUP($C214&amp;"."&amp;"capacity",$E:$K,G$6+1,0)</f>
        <v>1480000</v>
      </c>
      <c r="H214" s="26">
        <f>H$241*VLOOKUP($C214&amp;"."&amp;"capacity",$E:$K,H$6+1,0)</f>
        <v>1480000</v>
      </c>
      <c r="I214" s="9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2:22">
      <c r="B215" s="8" t="s">
        <v>78</v>
      </c>
      <c r="C215" s="86" t="s">
        <v>74</v>
      </c>
      <c r="D215" s="49" t="s">
        <v>116</v>
      </c>
      <c r="E215" s="79" t="str">
        <f t="shared" si="17"/>
        <v>boiler_pr.efficiency</v>
      </c>
      <c r="F215" s="85">
        <v>0.9</v>
      </c>
      <c r="G215" s="85">
        <v>0.9</v>
      </c>
      <c r="H215" s="85">
        <v>0.9</v>
      </c>
      <c r="I215" s="9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2:22">
      <c r="B216" s="8" t="s">
        <v>78</v>
      </c>
      <c r="C216" s="86" t="s">
        <v>74</v>
      </c>
      <c r="D216" s="49" t="s">
        <v>115</v>
      </c>
      <c r="E216" s="79" t="str">
        <f t="shared" si="17"/>
        <v>boiler_pr.capacity</v>
      </c>
      <c r="F216" s="85">
        <v>23.22</v>
      </c>
      <c r="G216" s="85">
        <v>37</v>
      </c>
      <c r="H216" s="85">
        <v>37</v>
      </c>
      <c r="I216" s="9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2:22">
      <c r="B217" s="8"/>
      <c r="C217" s="50"/>
      <c r="D217" s="49"/>
      <c r="E217" s="79"/>
      <c r="F217" s="49"/>
      <c r="G217" s="8"/>
      <c r="H217" s="8"/>
      <c r="I217" s="93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2:22">
      <c r="B218" s="68"/>
      <c r="C218" s="25"/>
      <c r="D218" s="49"/>
      <c r="E218" s="79"/>
      <c r="F218" s="26"/>
      <c r="G218" s="8"/>
      <c r="H218" s="8"/>
      <c r="I218" s="93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2:22">
      <c r="B219" s="8" t="s">
        <v>78</v>
      </c>
      <c r="C219" s="86" t="s">
        <v>77</v>
      </c>
      <c r="D219" s="49" t="s">
        <v>157</v>
      </c>
      <c r="E219" s="79" t="str">
        <f t="shared" ref="E219:E226" si="18">C219&amp;"."&amp;D219</f>
        <v>pth_sch.Invest. Eq.</v>
      </c>
      <c r="F219" s="26">
        <f>F$262*VLOOKUP($C219&amp;"."&amp;"capacity",$E:$K,$F$4+1,0)</f>
        <v>880000</v>
      </c>
      <c r="G219" s="26">
        <f>G$262*VLOOKUP($C219&amp;"."&amp;"capacity",$E:$K,$F$4+1,0)</f>
        <v>880000</v>
      </c>
      <c r="H219" s="26">
        <f>H$262*VLOOKUP($C219&amp;"."&amp;"capacity",$E:$K,$F$4+1,0)</f>
        <v>880000</v>
      </c>
      <c r="I219" s="9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2:22">
      <c r="B220" s="8" t="s">
        <v>78</v>
      </c>
      <c r="C220" s="86" t="s">
        <v>77</v>
      </c>
      <c r="D220" s="49" t="s">
        <v>158</v>
      </c>
      <c r="E220" s="79" t="str">
        <f t="shared" si="18"/>
        <v>pth_sch.Invest. Installation</v>
      </c>
      <c r="F220" s="26">
        <f>F$263*VLOOKUP($C220&amp;"."&amp;"capacity",$E:$K,$F$4+1,0)</f>
        <v>440000</v>
      </c>
      <c r="G220" s="26">
        <f>G$263*VLOOKUP($C220&amp;"."&amp;"capacity",$E:$K,$F$4+1,0)</f>
        <v>440000</v>
      </c>
      <c r="H220" s="26">
        <f>H$263*VLOOKUP($C220&amp;"."&amp;"capacity",$E:$K,$F$4+1,0)</f>
        <v>440000</v>
      </c>
      <c r="I220" s="9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2:22">
      <c r="B221" s="8" t="s">
        <v>78</v>
      </c>
      <c r="C221" s="86" t="s">
        <v>77</v>
      </c>
      <c r="D221" s="49" t="s">
        <v>116</v>
      </c>
      <c r="E221" s="79" t="str">
        <f t="shared" si="18"/>
        <v>pth_sch.efficiency</v>
      </c>
      <c r="F221" s="12">
        <v>0.99</v>
      </c>
      <c r="G221" s="12">
        <v>0.99</v>
      </c>
      <c r="H221" s="12">
        <v>0.99</v>
      </c>
      <c r="I221" s="93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2:22">
      <c r="B222" s="8" t="s">
        <v>78</v>
      </c>
      <c r="C222" s="86" t="s">
        <v>77</v>
      </c>
      <c r="D222" s="49" t="s">
        <v>115</v>
      </c>
      <c r="E222" s="79" t="str">
        <f t="shared" si="18"/>
        <v>pth_sch.capacity</v>
      </c>
      <c r="F222" s="12">
        <v>11</v>
      </c>
      <c r="G222" s="12">
        <v>11</v>
      </c>
      <c r="H222" s="12">
        <v>11</v>
      </c>
      <c r="I222" s="93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2:22">
      <c r="B223" s="8" t="s">
        <v>78</v>
      </c>
      <c r="C223" s="86" t="s">
        <v>76</v>
      </c>
      <c r="D223" s="49" t="s">
        <v>116</v>
      </c>
      <c r="E223" s="79" t="str">
        <f t="shared" si="18"/>
        <v>pth_sch_out.efficiency</v>
      </c>
      <c r="F223" s="12">
        <v>1</v>
      </c>
      <c r="G223" s="12">
        <v>1</v>
      </c>
      <c r="H223" s="12">
        <v>1</v>
      </c>
      <c r="I223" s="93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2:22">
      <c r="B224" s="8" t="s">
        <v>78</v>
      </c>
      <c r="C224" s="86" t="s">
        <v>76</v>
      </c>
      <c r="D224" s="49" t="s">
        <v>115</v>
      </c>
      <c r="E224" s="79" t="str">
        <f t="shared" si="18"/>
        <v>pth_sch_out.capacity</v>
      </c>
      <c r="F224" s="49">
        <f>F222</f>
        <v>11</v>
      </c>
      <c r="G224" s="49">
        <f>G222</f>
        <v>11</v>
      </c>
      <c r="H224" s="49">
        <f>H222</f>
        <v>11</v>
      </c>
      <c r="I224" s="9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>
      <c r="B225" s="8" t="s">
        <v>78</v>
      </c>
      <c r="C225" s="86" t="s">
        <v>77</v>
      </c>
      <c r="D225" s="49" t="s">
        <v>149</v>
      </c>
      <c r="E225" s="79" t="str">
        <f t="shared" si="18"/>
        <v>pth_sch.lifetime</v>
      </c>
      <c r="F225" s="26">
        <f>$F$266</f>
        <v>20</v>
      </c>
      <c r="G225" s="26">
        <f>$F$266</f>
        <v>20</v>
      </c>
      <c r="H225" s="26">
        <f>$F$266</f>
        <v>20</v>
      </c>
      <c r="I225" s="9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>
      <c r="B226" s="8" t="s">
        <v>78</v>
      </c>
      <c r="C226" s="86" t="s">
        <v>77</v>
      </c>
      <c r="D226" s="49" t="s">
        <v>15</v>
      </c>
      <c r="E226" s="79" t="str">
        <f t="shared" si="18"/>
        <v>pth_sch.fixed O&amp;M</v>
      </c>
      <c r="F226" s="26">
        <f>F$264*VLOOKUP($C226&amp;"."&amp;"capacity",$E:$K,$F$4+1,0)</f>
        <v>55000</v>
      </c>
      <c r="G226" s="26">
        <f>G$264*VLOOKUP($C226&amp;"."&amp;"capacity",$E:$K,$F$4+1,0)</f>
        <v>55000</v>
      </c>
      <c r="H226" s="26">
        <f>H$264*VLOOKUP($C226&amp;"."&amp;"capacity",$E:$K,$F$4+1,0)</f>
        <v>55000</v>
      </c>
      <c r="I226" s="9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>
      <c r="B227" s="68"/>
      <c r="C227" s="25"/>
      <c r="D227" s="49"/>
      <c r="E227" s="79"/>
      <c r="F227" s="26"/>
      <c r="G227" s="8"/>
      <c r="H227" s="8"/>
      <c r="I227" s="93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>
      <c r="A228" s="48"/>
      <c r="B228" s="80" t="s">
        <v>140</v>
      </c>
      <c r="C228" s="25" t="s">
        <v>218</v>
      </c>
      <c r="D228" s="25" t="s">
        <v>116</v>
      </c>
      <c r="E228" s="23" t="str">
        <f>C228&amp;"."&amp;D228</f>
        <v>dist_heat_eff_pr.efficiency</v>
      </c>
      <c r="F228" s="74">
        <v>0.86</v>
      </c>
      <c r="G228" s="74">
        <v>0.86</v>
      </c>
      <c r="H228" s="74">
        <v>0.86</v>
      </c>
      <c r="I228" s="93"/>
      <c r="M228" s="2"/>
      <c r="N228" s="2"/>
    </row>
    <row r="229" spans="1:22">
      <c r="A229" s="48"/>
      <c r="B229" s="80" t="s">
        <v>140</v>
      </c>
      <c r="C229" s="25" t="s">
        <v>218</v>
      </c>
      <c r="D229" s="25" t="s">
        <v>115</v>
      </c>
      <c r="E229" s="23" t="str">
        <f>C229&amp;"."&amp;D229</f>
        <v>dist_heat_eff_pr.capacity</v>
      </c>
      <c r="F229" s="74">
        <v>100000</v>
      </c>
      <c r="G229" s="74">
        <v>100000</v>
      </c>
      <c r="H229" s="74">
        <v>100000</v>
      </c>
      <c r="I229" s="93"/>
      <c r="M229" s="2"/>
      <c r="N229" s="2"/>
    </row>
    <row r="230" spans="1:22">
      <c r="A230" s="48"/>
      <c r="B230" s="80"/>
      <c r="C230" s="25"/>
      <c r="D230" s="25"/>
      <c r="E230" s="23"/>
      <c r="F230" s="74"/>
      <c r="G230" s="74"/>
      <c r="H230" s="74"/>
      <c r="I230" s="93"/>
      <c r="M230" s="2"/>
      <c r="N230" s="2"/>
    </row>
    <row r="231" spans="1:22">
      <c r="A231" s="48"/>
      <c r="B231" s="80" t="s">
        <v>140</v>
      </c>
      <c r="C231" s="25" t="s">
        <v>219</v>
      </c>
      <c r="D231" s="25" t="s">
        <v>116</v>
      </c>
      <c r="E231" s="23" t="str">
        <f>C231&amp;"."&amp;D231</f>
        <v>dist_heat_eff_sch.efficiency</v>
      </c>
      <c r="F231" s="74">
        <v>0.82</v>
      </c>
      <c r="G231" s="74">
        <v>0.82</v>
      </c>
      <c r="H231" s="74">
        <v>0.82</v>
      </c>
      <c r="I231" s="93"/>
      <c r="M231" s="2"/>
      <c r="N231" s="2"/>
    </row>
    <row r="232" spans="1:22">
      <c r="A232" s="48"/>
      <c r="B232" s="80" t="s">
        <v>140</v>
      </c>
      <c r="C232" s="25" t="s">
        <v>219</v>
      </c>
      <c r="D232" s="25" t="s">
        <v>115</v>
      </c>
      <c r="E232" s="23" t="str">
        <f>C232&amp;"."&amp;D232</f>
        <v>dist_heat_eff_sch.capacity</v>
      </c>
      <c r="F232" s="74">
        <v>100000</v>
      </c>
      <c r="G232" s="74">
        <v>100000</v>
      </c>
      <c r="H232" s="74">
        <v>100000</v>
      </c>
      <c r="I232" s="93"/>
      <c r="M232" s="2"/>
      <c r="N232" s="2"/>
    </row>
    <row r="233" spans="1:22">
      <c r="B233" s="68"/>
      <c r="C233" s="25"/>
      <c r="D233" s="49"/>
      <c r="E233" s="79"/>
      <c r="F233" s="26"/>
      <c r="G233" s="8"/>
      <c r="H233" s="8"/>
      <c r="I233" s="93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>
      <c r="B234" s="68"/>
      <c r="C234" s="25"/>
      <c r="D234" s="49"/>
      <c r="E234" s="79"/>
      <c r="F234" s="26"/>
      <c r="G234" s="8"/>
      <c r="H234" s="8"/>
      <c r="I234" s="93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>
      <c r="B235" s="68"/>
      <c r="C235" s="25"/>
      <c r="D235" s="49"/>
      <c r="E235" s="79"/>
      <c r="F235" s="26"/>
      <c r="G235" s="8"/>
      <c r="H235" s="8"/>
      <c r="I235" s="93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>
      <c r="B236" s="68"/>
      <c r="C236" s="25"/>
      <c r="D236" s="49"/>
      <c r="E236" s="79"/>
      <c r="F236" s="26"/>
      <c r="G236" s="8"/>
      <c r="H236" s="8"/>
      <c r="I236" s="93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>
      <c r="B237" s="68"/>
      <c r="C237" s="25"/>
      <c r="D237" s="49"/>
      <c r="E237" s="79"/>
      <c r="F237" s="26"/>
      <c r="G237" s="8"/>
      <c r="H237" s="8"/>
      <c r="I237" s="93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>
      <c r="B238" s="9"/>
      <c r="C238" s="42"/>
      <c r="D238" s="48"/>
      <c r="E238" s="79" t="str">
        <f>C238&amp;"."&amp;D238</f>
        <v>.</v>
      </c>
      <c r="F238" s="8"/>
      <c r="G238" s="8"/>
      <c r="H238" s="8"/>
      <c r="I238" s="93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>
      <c r="A239" s="1" t="e">
        <f>#REF!+1</f>
        <v>#REF!</v>
      </c>
      <c r="B239" s="9"/>
      <c r="C239" s="42"/>
      <c r="D239" s="48"/>
      <c r="E239" s="79" t="str">
        <f>C239&amp;"."&amp;D239</f>
        <v>.</v>
      </c>
      <c r="F239" s="8"/>
      <c r="G239" s="8"/>
      <c r="H239" s="8"/>
      <c r="I239" s="93"/>
    </row>
    <row r="240" spans="1:22" ht="12.75" customHeight="1">
      <c r="A240" s="1" t="e">
        <f>A239+1</f>
        <v>#REF!</v>
      </c>
      <c r="B240" s="63" t="s">
        <v>157</v>
      </c>
      <c r="C240" s="7" t="s">
        <v>156</v>
      </c>
      <c r="D240" s="7" t="s">
        <v>13</v>
      </c>
      <c r="E240" s="79" t="str">
        <f>B240&amp;"."&amp;D240</f>
        <v>Invest. Eq..hot water boiler (1-30 MW_th)</v>
      </c>
      <c r="F240" s="8">
        <f>0.07*10^6</f>
        <v>70000</v>
      </c>
      <c r="G240" s="8">
        <f>0.07*10^6</f>
        <v>70000</v>
      </c>
      <c r="H240" s="8">
        <f>0.07*10^6</f>
        <v>70000</v>
      </c>
      <c r="I240" s="93"/>
      <c r="J240" s="1" t="s">
        <v>12</v>
      </c>
    </row>
    <row r="241" spans="1:10" ht="12.75" customHeight="1">
      <c r="B241" s="63" t="s">
        <v>158</v>
      </c>
      <c r="C241" s="7" t="s">
        <v>156</v>
      </c>
      <c r="D241" s="7" t="s">
        <v>13</v>
      </c>
      <c r="E241" s="79" t="str">
        <f>B241&amp;"."&amp;D241</f>
        <v>Invest. Installation.hot water boiler (1-30 MW_th)</v>
      </c>
      <c r="F241" s="8">
        <f>0.04*10^6</f>
        <v>40000</v>
      </c>
      <c r="G241" s="8">
        <f>0.04*10^6</f>
        <v>40000</v>
      </c>
      <c r="H241" s="8">
        <f>0.04*10^6</f>
        <v>40000</v>
      </c>
      <c r="I241" s="93"/>
      <c r="J241" s="1" t="s">
        <v>12</v>
      </c>
    </row>
    <row r="242" spans="1:10" ht="12.75" customHeight="1">
      <c r="B242" s="63" t="s">
        <v>15</v>
      </c>
      <c r="C242" s="7" t="s">
        <v>14</v>
      </c>
      <c r="D242" s="7" t="s">
        <v>13</v>
      </c>
      <c r="E242" s="79" t="str">
        <f>B242&amp;"."&amp;D242</f>
        <v>fixed O&amp;M.hot water boiler (1-30 MW_th)</v>
      </c>
      <c r="F242" s="8">
        <v>3000</v>
      </c>
      <c r="G242" s="8">
        <v>2500</v>
      </c>
      <c r="H242" s="8">
        <v>2000</v>
      </c>
      <c r="I242" s="93"/>
      <c r="J242" s="1" t="s">
        <v>12</v>
      </c>
    </row>
    <row r="243" spans="1:10" ht="12.75" customHeight="1">
      <c r="A243" s="1" t="e">
        <f>A275+1</f>
        <v>#REF!</v>
      </c>
      <c r="B243" s="63" t="s">
        <v>17</v>
      </c>
      <c r="C243" s="10" t="s">
        <v>16</v>
      </c>
      <c r="D243" s="10" t="s">
        <v>13</v>
      </c>
      <c r="E243" s="79" t="str">
        <f>B243&amp;"."&amp;D243</f>
        <v>variable O&amp;M.hot water boiler (1-30 MW_th)</v>
      </c>
      <c r="F243" s="8">
        <v>0.5</v>
      </c>
      <c r="G243" s="8">
        <v>0.5</v>
      </c>
      <c r="H243" s="8">
        <v>0.2</v>
      </c>
      <c r="I243" s="93"/>
      <c r="J243" s="1" t="s">
        <v>12</v>
      </c>
    </row>
    <row r="244" spans="1:10" ht="12.75" customHeight="1">
      <c r="A244" s="1" t="e">
        <f>A334+1</f>
        <v>#REF!</v>
      </c>
      <c r="B244" s="63" t="s">
        <v>149</v>
      </c>
      <c r="C244" s="43" t="s">
        <v>106</v>
      </c>
      <c r="D244" s="43" t="s">
        <v>13</v>
      </c>
      <c r="E244" s="79" t="str">
        <f>B244&amp;"."&amp;D244</f>
        <v>lifetime.hot water boiler (1-30 MW_th)</v>
      </c>
      <c r="F244" s="8">
        <v>25</v>
      </c>
      <c r="G244" s="8">
        <v>25</v>
      </c>
      <c r="H244" s="8">
        <v>25</v>
      </c>
      <c r="I244" s="93"/>
      <c r="J244" s="1" t="s">
        <v>12</v>
      </c>
    </row>
    <row r="245" spans="1:10" ht="12.75" customHeight="1">
      <c r="B245" s="63"/>
      <c r="C245" s="10"/>
      <c r="D245" s="10"/>
      <c r="E245" s="79"/>
      <c r="F245" s="8"/>
      <c r="G245" s="8"/>
      <c r="H245" s="8"/>
      <c r="I245" s="93"/>
    </row>
    <row r="246" spans="1:10" ht="12.75" customHeight="1">
      <c r="B246" s="63"/>
      <c r="C246" s="10"/>
      <c r="D246" s="10"/>
      <c r="E246" s="79"/>
      <c r="F246" s="8"/>
      <c r="G246" s="8"/>
      <c r="H246" s="8"/>
      <c r="I246" s="93"/>
    </row>
    <row r="247" spans="1:10" ht="12.75" customHeight="1">
      <c r="B247" s="63"/>
      <c r="C247" s="7"/>
      <c r="D247" s="7"/>
      <c r="E247" s="79"/>
      <c r="F247" s="8"/>
      <c r="G247" s="8"/>
      <c r="H247" s="8"/>
      <c r="I247" s="93"/>
    </row>
    <row r="248" spans="1:10">
      <c r="A248" s="1" t="e">
        <f>A240+1</f>
        <v>#REF!</v>
      </c>
      <c r="B248" s="63" t="s">
        <v>157</v>
      </c>
      <c r="C248" s="7" t="s">
        <v>156</v>
      </c>
      <c r="D248" s="7" t="s">
        <v>11</v>
      </c>
      <c r="E248" s="79" t="str">
        <f t="shared" ref="E248:E353" si="19">B248&amp;"."&amp;D248</f>
        <v>Invest. Eq..hot water tube boiler (20-250 MW_th)</v>
      </c>
      <c r="F248" s="8">
        <f>0.06*1000000</f>
        <v>60000</v>
      </c>
      <c r="G248" s="8">
        <f>0.06*1000000</f>
        <v>60000</v>
      </c>
      <c r="H248" s="8">
        <f>0.06*1000000</f>
        <v>60000</v>
      </c>
      <c r="I248" s="93"/>
      <c r="J248" s="1" t="s">
        <v>10</v>
      </c>
    </row>
    <row r="249" spans="1:10">
      <c r="B249" s="63" t="s">
        <v>158</v>
      </c>
      <c r="C249" s="7" t="s">
        <v>156</v>
      </c>
      <c r="D249" s="7" t="s">
        <v>11</v>
      </c>
      <c r="E249" s="79" t="str">
        <f t="shared" si="19"/>
        <v>Invest. Installation.hot water tube boiler (20-250 MW_th)</v>
      </c>
      <c r="F249" s="8">
        <f>0.04*10^6</f>
        <v>40000</v>
      </c>
      <c r="G249" s="8">
        <f>0.04*1000000</f>
        <v>40000</v>
      </c>
      <c r="H249" s="8">
        <f>0.04*1000000</f>
        <v>40000</v>
      </c>
      <c r="I249" s="93"/>
      <c r="J249" s="1" t="s">
        <v>10</v>
      </c>
    </row>
    <row r="250" spans="1:10">
      <c r="B250" s="63" t="s">
        <v>15</v>
      </c>
      <c r="C250" s="7" t="s">
        <v>14</v>
      </c>
      <c r="D250" s="7" t="s">
        <v>11</v>
      </c>
      <c r="E250" s="79" t="str">
        <f t="shared" si="19"/>
        <v>fixed O&amp;M.hot water tube boiler (20-250 MW_th)</v>
      </c>
      <c r="F250" s="8">
        <v>2000</v>
      </c>
      <c r="G250" s="8">
        <v>1900</v>
      </c>
      <c r="H250" s="8">
        <v>1800</v>
      </c>
      <c r="I250" s="93"/>
      <c r="J250" s="1" t="s">
        <v>10</v>
      </c>
    </row>
    <row r="251" spans="1:10">
      <c r="A251" s="1" t="e">
        <f>A243+1</f>
        <v>#REF!</v>
      </c>
      <c r="B251" s="63" t="s">
        <v>17</v>
      </c>
      <c r="C251" s="10" t="s">
        <v>16</v>
      </c>
      <c r="D251" s="10" t="s">
        <v>11</v>
      </c>
      <c r="E251" s="79" t="str">
        <f>B251&amp;"."&amp;D251</f>
        <v>variable O&amp;M.hot water tube boiler (20-250 MW_th)</v>
      </c>
      <c r="F251" s="8">
        <v>0.2</v>
      </c>
      <c r="G251" s="8">
        <v>0.2</v>
      </c>
      <c r="H251" s="8">
        <v>0.2</v>
      </c>
      <c r="I251" s="93"/>
      <c r="J251" s="1" t="s">
        <v>10</v>
      </c>
    </row>
    <row r="252" spans="1:10">
      <c r="A252" s="1" t="e">
        <f>A244+1</f>
        <v>#REF!</v>
      </c>
      <c r="B252" s="63" t="s">
        <v>149</v>
      </c>
      <c r="C252" s="43" t="s">
        <v>106</v>
      </c>
      <c r="D252" s="43" t="s">
        <v>11</v>
      </c>
      <c r="E252" s="79" t="str">
        <f>B252&amp;"."&amp;D252</f>
        <v>lifetime.hot water tube boiler (20-250 MW_th)</v>
      </c>
      <c r="F252" s="8">
        <v>30</v>
      </c>
      <c r="G252" s="8">
        <v>30</v>
      </c>
      <c r="H252" s="8">
        <v>40</v>
      </c>
      <c r="I252" s="93"/>
      <c r="J252" s="1" t="s">
        <v>10</v>
      </c>
    </row>
    <row r="253" spans="1:10">
      <c r="B253" s="63"/>
      <c r="C253" s="10"/>
      <c r="D253" s="10"/>
      <c r="E253" s="79"/>
      <c r="F253" s="8"/>
      <c r="G253" s="8"/>
      <c r="H253" s="8"/>
      <c r="I253" s="93"/>
    </row>
    <row r="254" spans="1:10">
      <c r="B254" s="63"/>
      <c r="C254" s="10"/>
      <c r="D254" s="10"/>
      <c r="E254" s="79"/>
      <c r="F254" s="8"/>
      <c r="G254" s="8"/>
      <c r="H254" s="8"/>
      <c r="I254" s="93"/>
    </row>
    <row r="255" spans="1:10">
      <c r="B255" s="63"/>
      <c r="C255" s="7"/>
      <c r="D255" s="7"/>
      <c r="E255" s="79"/>
      <c r="F255" s="8"/>
      <c r="G255" s="8"/>
      <c r="H255" s="8"/>
      <c r="I255" s="93"/>
    </row>
    <row r="256" spans="1:10">
      <c r="A256" s="1" t="e">
        <f>A248+1</f>
        <v>#REF!</v>
      </c>
      <c r="B256" s="63" t="s">
        <v>157</v>
      </c>
      <c r="C256" s="7" t="s">
        <v>156</v>
      </c>
      <c r="D256" s="7" t="s">
        <v>9</v>
      </c>
      <c r="E256" s="79" t="str">
        <f t="shared" si="19"/>
        <v>Invest. Eq..kwk klein (0.5-30 MW_el)</v>
      </c>
      <c r="F256" s="8">
        <f>0.63*1000000</f>
        <v>630000</v>
      </c>
      <c r="G256" s="8">
        <f>0.54*1000000</f>
        <v>540000</v>
      </c>
      <c r="H256" s="8">
        <f>0.45*1000000</f>
        <v>450000</v>
      </c>
      <c r="I256" s="93"/>
      <c r="J256" s="1" t="s">
        <v>8</v>
      </c>
    </row>
    <row r="257" spans="1:10">
      <c r="B257" s="63" t="s">
        <v>158</v>
      </c>
      <c r="C257" s="7" t="s">
        <v>156</v>
      </c>
      <c r="D257" s="7" t="s">
        <v>9</v>
      </c>
      <c r="E257" s="79" t="str">
        <f t="shared" si="19"/>
        <v>Invest. Installation.kwk klein (0.5-30 MW_el)</v>
      </c>
      <c r="F257" s="8">
        <f>0.36*1000000</f>
        <v>360000</v>
      </c>
      <c r="G257" s="8">
        <f>0.36*1000000</f>
        <v>360000</v>
      </c>
      <c r="H257" s="8">
        <f>0.36*1000000</f>
        <v>360000</v>
      </c>
      <c r="I257" s="93"/>
      <c r="J257" s="1" t="s">
        <v>8</v>
      </c>
    </row>
    <row r="258" spans="1:10">
      <c r="B258" s="63" t="s">
        <v>15</v>
      </c>
      <c r="C258" s="7" t="s">
        <v>14</v>
      </c>
      <c r="D258" s="7" t="s">
        <v>9</v>
      </c>
      <c r="E258" s="79" t="str">
        <f t="shared" si="19"/>
        <v>fixed O&amp;M.kwk klein (0.5-30 MW_el)</v>
      </c>
      <c r="F258" s="8">
        <v>10000</v>
      </c>
      <c r="G258" s="8">
        <v>9000</v>
      </c>
      <c r="H258" s="8">
        <v>8000</v>
      </c>
      <c r="I258" s="93"/>
      <c r="J258" s="1" t="s">
        <v>8</v>
      </c>
    </row>
    <row r="259" spans="1:10">
      <c r="A259" s="1" t="e">
        <f>A251+1</f>
        <v>#REF!</v>
      </c>
      <c r="B259" s="63" t="s">
        <v>17</v>
      </c>
      <c r="C259" s="10" t="s">
        <v>16</v>
      </c>
      <c r="D259" s="10" t="s">
        <v>9</v>
      </c>
      <c r="E259" s="79" t="str">
        <f>B259&amp;"."&amp;D259</f>
        <v>variable O&amp;M.kwk klein (0.5-30 MW_el)</v>
      </c>
      <c r="F259" s="8">
        <v>8</v>
      </c>
      <c r="G259" s="8">
        <v>8</v>
      </c>
      <c r="H259" s="8">
        <v>8</v>
      </c>
      <c r="I259" s="93"/>
      <c r="J259" s="1" t="s">
        <v>8</v>
      </c>
    </row>
    <row r="260" spans="1:10">
      <c r="A260" s="1" t="e">
        <f>A252+1</f>
        <v>#REF!</v>
      </c>
      <c r="B260" s="61" t="s">
        <v>149</v>
      </c>
      <c r="C260" s="43" t="s">
        <v>106</v>
      </c>
      <c r="D260" s="43" t="s">
        <v>9</v>
      </c>
      <c r="E260" s="79" t="str">
        <f>B260&amp;"."&amp;D260</f>
        <v>lifetime.kwk klein (0.5-30 MW_el)</v>
      </c>
      <c r="F260" s="8">
        <v>30</v>
      </c>
      <c r="G260" s="8">
        <v>35</v>
      </c>
      <c r="H260" s="8">
        <v>35</v>
      </c>
      <c r="I260" s="93"/>
      <c r="J260" s="1" t="s">
        <v>8</v>
      </c>
    </row>
    <row r="261" spans="1:10">
      <c r="B261" s="61"/>
      <c r="C261" s="10"/>
      <c r="D261" s="10"/>
      <c r="E261" s="79"/>
      <c r="F261" s="8"/>
      <c r="G261" s="8"/>
      <c r="H261" s="8"/>
      <c r="I261" s="93"/>
    </row>
    <row r="262" spans="1:10">
      <c r="B262" s="63" t="s">
        <v>157</v>
      </c>
      <c r="C262" s="7" t="s">
        <v>156</v>
      </c>
      <c r="D262" s="7" t="s">
        <v>3</v>
      </c>
      <c r="E262" s="79" t="str">
        <f>B262&amp;"."&amp;D262</f>
        <v>Invest. Eq..pth</v>
      </c>
      <c r="F262" s="8">
        <f>0.08*1000000</f>
        <v>80000</v>
      </c>
      <c r="G262" s="8">
        <f>0.08*1000000</f>
        <v>80000</v>
      </c>
      <c r="H262" s="8">
        <f>0.08*1000000</f>
        <v>80000</v>
      </c>
      <c r="I262" s="93"/>
      <c r="J262" s="1" t="s">
        <v>2</v>
      </c>
    </row>
    <row r="263" spans="1:10">
      <c r="B263" s="63" t="s">
        <v>158</v>
      </c>
      <c r="C263" s="7" t="s">
        <v>156</v>
      </c>
      <c r="D263" s="7" t="s">
        <v>3</v>
      </c>
      <c r="E263" s="79" t="str">
        <f>B263&amp;"."&amp;D263</f>
        <v>Invest. Installation.pth</v>
      </c>
      <c r="F263" s="8">
        <f>0.04*1000000</f>
        <v>40000</v>
      </c>
      <c r="G263" s="8">
        <f>0.04*1000000</f>
        <v>40000</v>
      </c>
      <c r="H263" s="8">
        <f>0.04*1000000</f>
        <v>40000</v>
      </c>
      <c r="I263" s="93"/>
      <c r="J263" s="1" t="s">
        <v>2</v>
      </c>
    </row>
    <row r="264" spans="1:10">
      <c r="B264" s="63" t="s">
        <v>15</v>
      </c>
      <c r="C264" s="7" t="s">
        <v>14</v>
      </c>
      <c r="D264" s="7" t="s">
        <v>3</v>
      </c>
      <c r="E264" s="79" t="str">
        <f>B264&amp;"."&amp;D264</f>
        <v>fixed O&amp;M.pth</v>
      </c>
      <c r="F264" s="8">
        <v>5000</v>
      </c>
      <c r="G264" s="8">
        <v>5000</v>
      </c>
      <c r="H264" s="8">
        <v>5000</v>
      </c>
      <c r="I264" s="93"/>
      <c r="J264" s="1" t="s">
        <v>2</v>
      </c>
    </row>
    <row r="265" spans="1:10">
      <c r="B265" s="63" t="s">
        <v>17</v>
      </c>
      <c r="C265" s="10" t="s">
        <v>16</v>
      </c>
      <c r="D265" s="7" t="s">
        <v>3</v>
      </c>
      <c r="E265" s="79" t="str">
        <f>B265&amp;"."&amp;D265</f>
        <v>variable O&amp;M.pth</v>
      </c>
      <c r="F265" s="8">
        <v>0.2</v>
      </c>
      <c r="G265" s="8">
        <v>0.2</v>
      </c>
      <c r="H265" s="8">
        <v>0.2</v>
      </c>
      <c r="I265" s="93"/>
      <c r="J265" s="1" t="s">
        <v>2</v>
      </c>
    </row>
    <row r="266" spans="1:10">
      <c r="B266" s="61" t="s">
        <v>149</v>
      </c>
      <c r="C266" s="43" t="s">
        <v>106</v>
      </c>
      <c r="D266" s="7" t="s">
        <v>3</v>
      </c>
      <c r="E266" s="79" t="str">
        <f>B266&amp;"."&amp;D266</f>
        <v>lifetime.pth</v>
      </c>
      <c r="F266" s="8">
        <v>20</v>
      </c>
      <c r="G266" s="8">
        <v>20</v>
      </c>
      <c r="H266" s="8">
        <v>20</v>
      </c>
      <c r="I266" s="93"/>
      <c r="J266" s="1" t="s">
        <v>2</v>
      </c>
    </row>
    <row r="267" spans="1:10">
      <c r="B267" s="61"/>
      <c r="C267" s="10"/>
      <c r="D267" s="10"/>
      <c r="E267" s="79"/>
      <c r="F267" s="8"/>
      <c r="G267" s="8"/>
      <c r="H267" s="8"/>
      <c r="I267" s="93"/>
    </row>
    <row r="268" spans="1:10">
      <c r="B268" s="61"/>
      <c r="C268" s="10"/>
      <c r="D268" s="10"/>
      <c r="E268" s="79"/>
      <c r="F268" s="8"/>
      <c r="G268" s="8"/>
      <c r="H268" s="8"/>
      <c r="I268" s="93"/>
    </row>
    <row r="269" spans="1:10">
      <c r="B269" s="63"/>
      <c r="C269" s="7"/>
      <c r="D269" s="7"/>
      <c r="E269" s="79"/>
      <c r="F269" s="8"/>
      <c r="G269" s="8"/>
      <c r="H269" s="8"/>
      <c r="I269" s="93"/>
    </row>
    <row r="270" spans="1:10">
      <c r="A270" s="1" t="e">
        <f>A256+1</f>
        <v>#REF!</v>
      </c>
      <c r="B270" s="63" t="s">
        <v>18</v>
      </c>
      <c r="C270" s="7" t="s">
        <v>156</v>
      </c>
      <c r="D270" s="7" t="s">
        <v>7</v>
      </c>
      <c r="E270" s="79" t="str">
        <f t="shared" si="19"/>
        <v>Invest.kwk mittel (30-250 MW_el)</v>
      </c>
      <c r="F270" s="8"/>
      <c r="G270" s="8"/>
      <c r="H270" s="8"/>
      <c r="I270" s="93"/>
      <c r="J270" s="1" t="s">
        <v>6</v>
      </c>
    </row>
    <row r="271" spans="1:10">
      <c r="A271" s="1" t="e">
        <f>A270+1</f>
        <v>#REF!</v>
      </c>
      <c r="B271" s="63" t="s">
        <v>18</v>
      </c>
      <c r="C271" s="7" t="s">
        <v>156</v>
      </c>
      <c r="D271" s="7" t="s">
        <v>5</v>
      </c>
      <c r="E271" s="79" t="str">
        <f t="shared" si="19"/>
        <v>Invest.kwk groß (&gt;250 MW_el)</v>
      </c>
      <c r="F271" s="8"/>
      <c r="G271" s="8"/>
      <c r="H271" s="8"/>
      <c r="I271" s="93"/>
      <c r="J271" s="1" t="s">
        <v>4</v>
      </c>
    </row>
    <row r="272" spans="1:10">
      <c r="A272" s="1" t="e">
        <f>A271+1</f>
        <v>#REF!</v>
      </c>
      <c r="B272" s="63" t="s">
        <v>18</v>
      </c>
      <c r="C272" s="7" t="s">
        <v>156</v>
      </c>
      <c r="D272" s="7" t="s">
        <v>3</v>
      </c>
      <c r="E272" s="79" t="str">
        <f t="shared" si="19"/>
        <v>Invest.pth</v>
      </c>
      <c r="G272" s="8">
        <f>0.12*1000000</f>
        <v>120000</v>
      </c>
      <c r="H272" s="8">
        <f>0.12*1000000</f>
        <v>120000</v>
      </c>
      <c r="I272" s="93"/>
      <c r="J272" s="1" t="s">
        <v>2</v>
      </c>
    </row>
    <row r="273" spans="1:10">
      <c r="A273" s="1" t="e">
        <f>A272+1</f>
        <v>#REF!</v>
      </c>
      <c r="B273" s="63" t="s">
        <v>18</v>
      </c>
      <c r="C273" s="7" t="s">
        <v>156</v>
      </c>
      <c r="D273" s="7" t="s">
        <v>1</v>
      </c>
      <c r="E273" s="79" t="str">
        <f t="shared" si="19"/>
        <v>Invest.batt</v>
      </c>
      <c r="F273" s="8"/>
      <c r="G273" s="8"/>
      <c r="H273" s="8"/>
      <c r="I273" s="93"/>
    </row>
    <row r="274" spans="1:10">
      <c r="A274" s="1" t="e">
        <f>A273+1</f>
        <v>#REF!</v>
      </c>
      <c r="B274" s="63" t="s">
        <v>18</v>
      </c>
      <c r="C274" s="7" t="s">
        <v>156</v>
      </c>
      <c r="D274" s="7" t="s">
        <v>0</v>
      </c>
      <c r="E274" s="79" t="str">
        <f t="shared" si="19"/>
        <v>Invest.ptg</v>
      </c>
      <c r="F274" s="8"/>
      <c r="G274" s="8"/>
      <c r="H274" s="8"/>
      <c r="I274" s="93"/>
    </row>
    <row r="275" spans="1:10">
      <c r="A275" s="1" t="e">
        <f>A274+1</f>
        <v>#REF!</v>
      </c>
      <c r="B275" s="17"/>
      <c r="C275" s="42"/>
      <c r="D275" s="8"/>
      <c r="E275" s="79" t="str">
        <f t="shared" si="19"/>
        <v>.</v>
      </c>
      <c r="F275" s="8"/>
      <c r="G275" s="8"/>
      <c r="H275" s="8"/>
      <c r="I275" s="93"/>
    </row>
    <row r="276" spans="1:10">
      <c r="B276" s="81"/>
      <c r="E276" s="82"/>
      <c r="F276" s="2"/>
      <c r="G276" s="2"/>
      <c r="H276" s="2"/>
      <c r="I276" s="93"/>
    </row>
    <row r="277" spans="1:10">
      <c r="B277" s="63" t="s">
        <v>116</v>
      </c>
      <c r="C277" s="35" t="s">
        <v>22</v>
      </c>
      <c r="D277" s="82" t="s">
        <v>160</v>
      </c>
      <c r="E277" s="79" t="str">
        <f t="shared" si="19"/>
        <v>efficiency.Li-Ion Batt</v>
      </c>
      <c r="F277" s="2">
        <v>0.87</v>
      </c>
      <c r="G277" s="2">
        <v>0.9</v>
      </c>
      <c r="H277" s="2">
        <v>0.95</v>
      </c>
      <c r="I277" s="93"/>
      <c r="J277" s="1" t="s">
        <v>161</v>
      </c>
    </row>
    <row r="278" spans="1:10">
      <c r="B278" s="63" t="s">
        <v>122</v>
      </c>
      <c r="C278" s="35" t="s">
        <v>164</v>
      </c>
      <c r="D278" s="82" t="s">
        <v>160</v>
      </c>
      <c r="E278" s="79" t="str">
        <f t="shared" si="19"/>
        <v>capacity loss.Li-Ion Batt</v>
      </c>
      <c r="F278" s="2">
        <v>0.03</v>
      </c>
      <c r="G278" s="2">
        <v>0.02</v>
      </c>
      <c r="H278" s="2">
        <v>0.01</v>
      </c>
      <c r="I278" s="93"/>
      <c r="J278" s="1" t="s">
        <v>161</v>
      </c>
    </row>
    <row r="279" spans="1:10">
      <c r="B279" s="63" t="s">
        <v>149</v>
      </c>
      <c r="C279" s="35" t="s">
        <v>106</v>
      </c>
      <c r="D279" s="82" t="s">
        <v>160</v>
      </c>
      <c r="E279" s="79" t="str">
        <f t="shared" si="19"/>
        <v>lifetime.Li-Ion Batt</v>
      </c>
      <c r="F279" s="2">
        <v>15</v>
      </c>
      <c r="G279" s="2">
        <v>21</v>
      </c>
      <c r="H279" s="2">
        <v>30</v>
      </c>
      <c r="I279" s="93"/>
      <c r="J279" s="1" t="s">
        <v>161</v>
      </c>
    </row>
    <row r="280" spans="1:10">
      <c r="B280" s="63" t="s">
        <v>162</v>
      </c>
      <c r="C280" s="35" t="s">
        <v>163</v>
      </c>
      <c r="D280" s="82" t="s">
        <v>160</v>
      </c>
      <c r="E280" s="79" t="str">
        <f t="shared" si="19"/>
        <v>cycle lifetime.Li-Ion Batt</v>
      </c>
      <c r="F280" s="2">
        <v>5000</v>
      </c>
      <c r="G280" s="2">
        <v>7000</v>
      </c>
      <c r="H280" s="2">
        <v>12000</v>
      </c>
      <c r="I280" s="93"/>
      <c r="J280" s="1" t="s">
        <v>161</v>
      </c>
    </row>
    <row r="281" spans="1:10">
      <c r="B281" s="63" t="s">
        <v>117</v>
      </c>
      <c r="C281" s="35" t="s">
        <v>22</v>
      </c>
      <c r="D281" s="82" t="s">
        <v>160</v>
      </c>
      <c r="E281" s="79" t="str">
        <f t="shared" si="19"/>
        <v>capacity max.Li-Ion Batt</v>
      </c>
      <c r="F281" s="1">
        <v>0.85</v>
      </c>
      <c r="G281" s="1">
        <v>0.95</v>
      </c>
      <c r="H281" s="1">
        <v>100</v>
      </c>
      <c r="J281" s="1" t="s">
        <v>161</v>
      </c>
    </row>
    <row r="282" spans="1:10">
      <c r="B282" s="63" t="s">
        <v>18</v>
      </c>
      <c r="C282" s="35" t="s">
        <v>19</v>
      </c>
      <c r="D282" s="82" t="s">
        <v>165</v>
      </c>
      <c r="E282" s="82" t="str">
        <f t="shared" si="19"/>
        <v>Invest.Li-Ion_Großspeicher</v>
      </c>
      <c r="F282" s="1">
        <f>(310+580)/2</f>
        <v>445</v>
      </c>
      <c r="G282" s="1">
        <f>(76+206)/2</f>
        <v>141</v>
      </c>
      <c r="H282" s="1">
        <f>(66+145)/2</f>
        <v>105.5</v>
      </c>
      <c r="J282" s="1" t="s">
        <v>170</v>
      </c>
    </row>
    <row r="283" spans="1:10">
      <c r="B283" s="63" t="s">
        <v>18</v>
      </c>
      <c r="C283" s="35" t="s">
        <v>19</v>
      </c>
      <c r="D283" s="82" t="s">
        <v>166</v>
      </c>
      <c r="E283" s="82" t="str">
        <f t="shared" si="19"/>
        <v>Invest.Li-Ion_HH-Speicher</v>
      </c>
      <c r="F283" s="1">
        <f>(580+2100)/2</f>
        <v>1340</v>
      </c>
      <c r="G283" s="1">
        <f>(158+720)/2</f>
        <v>439</v>
      </c>
      <c r="H283" s="1">
        <f>(145+445)/2</f>
        <v>295</v>
      </c>
      <c r="J283" s="1" t="s">
        <v>170</v>
      </c>
    </row>
    <row r="284" spans="1:10">
      <c r="B284" s="63" t="s">
        <v>18</v>
      </c>
      <c r="C284" s="35" t="s">
        <v>168</v>
      </c>
      <c r="D284" s="82" t="s">
        <v>167</v>
      </c>
      <c r="E284" s="82" t="str">
        <f t="shared" si="19"/>
        <v>Invest.Umrichter_bidirektional</v>
      </c>
      <c r="F284" s="1">
        <f>(140+180)/2</f>
        <v>160</v>
      </c>
      <c r="G284" s="1">
        <f>(55+90)/2</f>
        <v>72.5</v>
      </c>
      <c r="H284" s="1">
        <f>(30+60)/2</f>
        <v>45</v>
      </c>
      <c r="J284" s="1" t="s">
        <v>170</v>
      </c>
    </row>
    <row r="285" spans="1:10">
      <c r="B285" s="63" t="s">
        <v>17</v>
      </c>
      <c r="C285" s="35" t="s">
        <v>169</v>
      </c>
      <c r="D285" s="82" t="s">
        <v>160</v>
      </c>
      <c r="E285" s="82" t="str">
        <f t="shared" si="19"/>
        <v>variable O&amp;M.Li-Ion Batt</v>
      </c>
      <c r="F285" s="1">
        <v>0.01</v>
      </c>
      <c r="G285" s="1">
        <v>0.01</v>
      </c>
      <c r="H285" s="1">
        <v>0.01</v>
      </c>
      <c r="J285" s="1" t="s">
        <v>170</v>
      </c>
    </row>
    <row r="286" spans="1:10">
      <c r="B286" s="83"/>
      <c r="D286" s="82"/>
      <c r="E286" s="82" t="str">
        <f t="shared" si="19"/>
        <v>.</v>
      </c>
    </row>
    <row r="287" spans="1:10">
      <c r="B287" s="63" t="s">
        <v>18</v>
      </c>
      <c r="D287" s="82" t="s">
        <v>173</v>
      </c>
      <c r="E287" s="82" t="str">
        <f t="shared" si="19"/>
        <v>Invest.KWK_20kW_el</v>
      </c>
      <c r="G287" s="1">
        <f>150*1000</f>
        <v>150000</v>
      </c>
      <c r="H287" s="1">
        <f>150*1000</f>
        <v>150000</v>
      </c>
      <c r="J287" s="1" t="s">
        <v>176</v>
      </c>
    </row>
    <row r="288" spans="1:10">
      <c r="B288" s="63" t="s">
        <v>149</v>
      </c>
      <c r="D288" s="82" t="s">
        <v>173</v>
      </c>
      <c r="E288" s="82" t="str">
        <f t="shared" si="19"/>
        <v>lifetime.KWK_20kW_el</v>
      </c>
      <c r="G288" s="1">
        <v>17.5</v>
      </c>
      <c r="H288" s="1">
        <v>17.5</v>
      </c>
      <c r="J288" s="1" t="s">
        <v>176</v>
      </c>
    </row>
    <row r="289" spans="1:11">
      <c r="B289" s="63" t="s">
        <v>18</v>
      </c>
      <c r="D289" s="82" t="s">
        <v>171</v>
      </c>
      <c r="E289" s="82" t="str">
        <f>B289&amp;"."&amp;D289</f>
        <v>Invest.KWK_1MW_el</v>
      </c>
      <c r="H289" s="1">
        <v>750000</v>
      </c>
      <c r="J289" s="1" t="s">
        <v>176</v>
      </c>
    </row>
    <row r="290" spans="1:11">
      <c r="B290" s="63" t="s">
        <v>149</v>
      </c>
      <c r="D290" s="82" t="s">
        <v>171</v>
      </c>
      <c r="E290" s="82" t="str">
        <f>B290&amp;"."&amp;D290</f>
        <v>lifetime.KWK_1MW_el</v>
      </c>
      <c r="H290" s="1">
        <v>25</v>
      </c>
      <c r="J290" s="1" t="s">
        <v>176</v>
      </c>
    </row>
    <row r="291" spans="1:11">
      <c r="B291" s="63" t="s">
        <v>172</v>
      </c>
      <c r="C291" s="35" t="s">
        <v>175</v>
      </c>
      <c r="D291" s="82" t="s">
        <v>171</v>
      </c>
      <c r="E291" s="82" t="str">
        <f>B291&amp;"."&amp;D291</f>
        <v>Kaltstartkosten.KWK_1MW_el</v>
      </c>
      <c r="H291" s="1">
        <v>30</v>
      </c>
      <c r="J291" s="1" t="s">
        <v>176</v>
      </c>
    </row>
    <row r="292" spans="1:11">
      <c r="B292" s="63" t="s">
        <v>174</v>
      </c>
      <c r="C292" s="35" t="s">
        <v>175</v>
      </c>
      <c r="D292" s="82" t="s">
        <v>171</v>
      </c>
      <c r="E292" s="82" t="str">
        <f>B292&amp;"."&amp;D292</f>
        <v>Warmstartkosten.KWK_1MW_el</v>
      </c>
      <c r="H292" s="1">
        <v>5</v>
      </c>
      <c r="J292" s="1" t="s">
        <v>176</v>
      </c>
    </row>
    <row r="293" spans="1:11">
      <c r="B293" s="63" t="s">
        <v>17</v>
      </c>
      <c r="C293" s="35" t="s">
        <v>169</v>
      </c>
      <c r="D293" s="82" t="s">
        <v>171</v>
      </c>
      <c r="E293" s="82" t="str">
        <f>B293&amp;"."&amp;D293</f>
        <v>variable O&amp;M.KWK_1MW_el</v>
      </c>
      <c r="H293" s="1">
        <v>0.09</v>
      </c>
      <c r="J293" s="1" t="s">
        <v>176</v>
      </c>
    </row>
    <row r="294" spans="1:11">
      <c r="B294" s="83"/>
      <c r="D294" s="82"/>
      <c r="E294" s="82"/>
    </row>
    <row r="295" spans="1:11">
      <c r="B295" s="83"/>
      <c r="C295" s="35" t="s">
        <v>19</v>
      </c>
      <c r="D295" s="82" t="s">
        <v>179</v>
      </c>
      <c r="E295" s="82"/>
      <c r="F295" s="1">
        <v>50</v>
      </c>
      <c r="J295" s="1" t="s">
        <v>178</v>
      </c>
      <c r="K295" s="1" t="s">
        <v>182</v>
      </c>
    </row>
    <row r="296" spans="1:11">
      <c r="B296" s="83"/>
      <c r="C296" s="35" t="s">
        <v>19</v>
      </c>
      <c r="D296" s="82" t="s">
        <v>181</v>
      </c>
      <c r="E296" s="82"/>
      <c r="F296" s="1">
        <v>80.67</v>
      </c>
      <c r="J296" s="1" t="s">
        <v>180</v>
      </c>
    </row>
    <row r="297" spans="1:11">
      <c r="B297" s="83"/>
      <c r="D297" s="82"/>
      <c r="E297" s="82"/>
    </row>
    <row r="298" spans="1:11">
      <c r="B298" s="83"/>
      <c r="D298" s="82"/>
      <c r="E298" s="82"/>
    </row>
    <row r="301" spans="1:11">
      <c r="A301" s="1" t="e">
        <f>A259+1</f>
        <v>#REF!</v>
      </c>
      <c r="B301" s="61" t="s">
        <v>17</v>
      </c>
      <c r="C301" s="10" t="s">
        <v>16</v>
      </c>
      <c r="D301" s="10" t="s">
        <v>7</v>
      </c>
      <c r="E301" s="79" t="str">
        <f t="shared" si="19"/>
        <v>variable O&amp;M.kwk mittel (30-250 MW_el)</v>
      </c>
      <c r="F301" s="8">
        <v>7</v>
      </c>
      <c r="G301" s="8">
        <v>7</v>
      </c>
      <c r="H301" s="8">
        <v>7</v>
      </c>
      <c r="I301" s="93"/>
      <c r="J301" s="1" t="s">
        <v>6</v>
      </c>
    </row>
    <row r="302" spans="1:11">
      <c r="A302" s="1" t="e">
        <f t="shared" ref="A302:A320" si="20">A301+1</f>
        <v>#REF!</v>
      </c>
      <c r="B302" s="61" t="s">
        <v>17</v>
      </c>
      <c r="C302" s="10" t="s">
        <v>16</v>
      </c>
      <c r="D302" s="10" t="s">
        <v>5</v>
      </c>
      <c r="E302" s="79" t="str">
        <f t="shared" si="19"/>
        <v>variable O&amp;M.kwk groß (&gt;250 MW_el)</v>
      </c>
      <c r="F302" s="8">
        <v>5</v>
      </c>
      <c r="G302" s="8">
        <v>5</v>
      </c>
      <c r="H302" s="8">
        <v>5</v>
      </c>
      <c r="I302" s="93"/>
      <c r="J302" s="1" t="s">
        <v>4</v>
      </c>
    </row>
    <row r="303" spans="1:11">
      <c r="A303" s="1" t="e">
        <f t="shared" si="20"/>
        <v>#REF!</v>
      </c>
      <c r="B303" s="61" t="s">
        <v>17</v>
      </c>
      <c r="C303" s="10" t="s">
        <v>16</v>
      </c>
      <c r="D303" s="10" t="s">
        <v>3</v>
      </c>
      <c r="E303" s="79" t="str">
        <f t="shared" si="19"/>
        <v>variable O&amp;M.pth</v>
      </c>
      <c r="F303" s="8">
        <v>0.2</v>
      </c>
      <c r="G303" s="8">
        <v>0.2</v>
      </c>
      <c r="H303" s="8">
        <v>0.2</v>
      </c>
      <c r="I303" s="93"/>
      <c r="J303" s="1" t="s">
        <v>2</v>
      </c>
    </row>
    <row r="304" spans="1:11">
      <c r="A304" s="1" t="e">
        <f t="shared" si="20"/>
        <v>#REF!</v>
      </c>
      <c r="B304" s="61" t="s">
        <v>17</v>
      </c>
      <c r="C304" s="10" t="s">
        <v>16</v>
      </c>
      <c r="D304" s="10" t="s">
        <v>1</v>
      </c>
      <c r="E304" s="79" t="str">
        <f t="shared" si="19"/>
        <v>variable O&amp;M.batt</v>
      </c>
      <c r="F304" s="8"/>
      <c r="G304" s="8"/>
      <c r="H304" s="8"/>
      <c r="I304" s="93"/>
    </row>
    <row r="305" spans="1:10">
      <c r="A305" s="1" t="e">
        <f t="shared" si="20"/>
        <v>#REF!</v>
      </c>
      <c r="B305" s="61" t="s">
        <v>17</v>
      </c>
      <c r="C305" s="10" t="s">
        <v>16</v>
      </c>
      <c r="D305" s="10" t="s">
        <v>0</v>
      </c>
      <c r="E305" s="79" t="str">
        <f t="shared" si="19"/>
        <v>variable O&amp;M.ptg</v>
      </c>
      <c r="F305" s="8"/>
      <c r="G305" s="8"/>
      <c r="H305" s="8"/>
      <c r="I305" s="93"/>
    </row>
    <row r="306" spans="1:10">
      <c r="A306" s="1" t="e">
        <f t="shared" si="20"/>
        <v>#REF!</v>
      </c>
      <c r="B306" s="17"/>
      <c r="C306" s="42"/>
      <c r="D306" s="8"/>
      <c r="E306" s="79" t="str">
        <f t="shared" si="19"/>
        <v>.</v>
      </c>
      <c r="F306" s="8"/>
      <c r="G306" s="8"/>
      <c r="H306" s="8"/>
      <c r="I306" s="93"/>
    </row>
    <row r="307" spans="1:10" ht="12.75" customHeight="1">
      <c r="A307" s="1" t="e">
        <f t="shared" si="20"/>
        <v>#REF!</v>
      </c>
      <c r="B307" s="61" t="s">
        <v>15</v>
      </c>
      <c r="C307" s="206" t="s">
        <v>14</v>
      </c>
      <c r="D307" s="7" t="s">
        <v>13</v>
      </c>
      <c r="E307" s="79" t="str">
        <f t="shared" si="19"/>
        <v>fixed O&amp;M.hot water boiler (1-30 MW_th)</v>
      </c>
      <c r="F307" s="8">
        <v>3000</v>
      </c>
      <c r="G307" s="8">
        <v>3000</v>
      </c>
      <c r="H307" s="8">
        <v>3000</v>
      </c>
      <c r="I307" s="93"/>
      <c r="J307" s="1" t="s">
        <v>12</v>
      </c>
    </row>
    <row r="308" spans="1:10">
      <c r="A308" s="1" t="e">
        <f t="shared" si="20"/>
        <v>#REF!</v>
      </c>
      <c r="B308" s="61" t="s">
        <v>15</v>
      </c>
      <c r="C308" s="206"/>
      <c r="D308" s="7" t="s">
        <v>11</v>
      </c>
      <c r="E308" s="79" t="str">
        <f t="shared" si="19"/>
        <v>fixed O&amp;M.hot water tube boiler (20-250 MW_th)</v>
      </c>
      <c r="F308" s="8">
        <v>2000</v>
      </c>
      <c r="G308" s="8">
        <v>2000</v>
      </c>
      <c r="H308" s="8">
        <v>2000</v>
      </c>
      <c r="I308" s="93"/>
      <c r="J308" s="1" t="s">
        <v>10</v>
      </c>
    </row>
    <row r="309" spans="1:10">
      <c r="A309" s="1" t="e">
        <f t="shared" si="20"/>
        <v>#REF!</v>
      </c>
      <c r="B309" s="61" t="s">
        <v>15</v>
      </c>
      <c r="C309" s="206"/>
      <c r="D309" s="7" t="s">
        <v>9</v>
      </c>
      <c r="E309" s="79" t="str">
        <f t="shared" si="19"/>
        <v>fixed O&amp;M.kwk klein (0.5-30 MW_el)</v>
      </c>
      <c r="F309" s="8"/>
      <c r="G309" s="8"/>
      <c r="H309" s="8"/>
      <c r="I309" s="93"/>
      <c r="J309" s="1" t="s">
        <v>8</v>
      </c>
    </row>
    <row r="310" spans="1:10">
      <c r="A310" s="1" t="e">
        <f t="shared" si="20"/>
        <v>#REF!</v>
      </c>
      <c r="B310" s="61" t="s">
        <v>15</v>
      </c>
      <c r="C310" s="206"/>
      <c r="D310" s="7" t="s">
        <v>7</v>
      </c>
      <c r="E310" s="79" t="str">
        <f t="shared" si="19"/>
        <v>fixed O&amp;M.kwk mittel (30-250 MW_el)</v>
      </c>
      <c r="F310" s="8"/>
      <c r="G310" s="8"/>
      <c r="H310" s="8"/>
      <c r="I310" s="93"/>
      <c r="J310" s="1" t="s">
        <v>6</v>
      </c>
    </row>
    <row r="311" spans="1:10">
      <c r="A311" s="1" t="e">
        <f t="shared" si="20"/>
        <v>#REF!</v>
      </c>
      <c r="B311" s="61" t="s">
        <v>15</v>
      </c>
      <c r="C311" s="206"/>
      <c r="D311" s="7" t="s">
        <v>5</v>
      </c>
      <c r="E311" s="79" t="str">
        <f t="shared" si="19"/>
        <v>fixed O&amp;M.kwk groß (&gt;250 MW_el)</v>
      </c>
      <c r="F311" s="8"/>
      <c r="G311" s="8"/>
      <c r="H311" s="8"/>
      <c r="I311" s="93"/>
      <c r="J311" s="1" t="s">
        <v>4</v>
      </c>
    </row>
    <row r="312" spans="1:10">
      <c r="A312" s="1" t="e">
        <f t="shared" si="20"/>
        <v>#REF!</v>
      </c>
      <c r="B312" s="61" t="s">
        <v>15</v>
      </c>
      <c r="C312" s="206"/>
      <c r="D312" s="7" t="s">
        <v>3</v>
      </c>
      <c r="E312" s="79" t="str">
        <f t="shared" si="19"/>
        <v>fixed O&amp;M.pth</v>
      </c>
      <c r="F312" s="8">
        <v>500</v>
      </c>
      <c r="G312" s="8">
        <v>500</v>
      </c>
      <c r="H312" s="8">
        <v>500</v>
      </c>
      <c r="I312" s="93"/>
      <c r="J312" s="1" t="s">
        <v>2</v>
      </c>
    </row>
    <row r="313" spans="1:10">
      <c r="A313" s="1" t="e">
        <f t="shared" si="20"/>
        <v>#REF!</v>
      </c>
      <c r="B313" s="61" t="s">
        <v>15</v>
      </c>
      <c r="C313" s="206"/>
      <c r="D313" s="7" t="s">
        <v>1</v>
      </c>
      <c r="E313" s="79" t="str">
        <f t="shared" si="19"/>
        <v>fixed O&amp;M.batt</v>
      </c>
      <c r="F313" s="8"/>
      <c r="G313" s="8"/>
      <c r="H313" s="8"/>
      <c r="I313" s="93"/>
    </row>
    <row r="314" spans="1:10">
      <c r="A314" s="1" t="e">
        <f t="shared" si="20"/>
        <v>#REF!</v>
      </c>
      <c r="B314" s="61" t="s">
        <v>15</v>
      </c>
      <c r="C314" s="206"/>
      <c r="D314" s="7" t="s">
        <v>0</v>
      </c>
      <c r="E314" s="79" t="str">
        <f t="shared" si="19"/>
        <v>fixed O&amp;M.ptg</v>
      </c>
      <c r="F314" s="8"/>
      <c r="G314" s="8"/>
      <c r="H314" s="8"/>
      <c r="I314" s="93"/>
    </row>
    <row r="315" spans="1:10">
      <c r="A315" s="1" t="e">
        <f t="shared" si="20"/>
        <v>#REF!</v>
      </c>
      <c r="B315" s="42"/>
      <c r="C315" s="42"/>
      <c r="D315" s="8"/>
      <c r="E315" s="79" t="str">
        <f t="shared" si="19"/>
        <v>.</v>
      </c>
      <c r="F315" s="8"/>
      <c r="G315" s="8"/>
      <c r="H315" s="8"/>
      <c r="I315" s="93"/>
    </row>
    <row r="316" spans="1:10" ht="12.75" customHeight="1">
      <c r="A316" s="1" t="e">
        <f t="shared" si="20"/>
        <v>#REF!</v>
      </c>
      <c r="B316" s="61" t="s">
        <v>114</v>
      </c>
      <c r="C316" s="217"/>
      <c r="D316" s="43" t="s">
        <v>13</v>
      </c>
      <c r="E316" s="79" t="str">
        <f t="shared" si="19"/>
        <v>Effizienz.hot water boiler (1-30 MW_th)</v>
      </c>
      <c r="F316" s="8">
        <v>0.93</v>
      </c>
      <c r="G316" s="8">
        <v>0.93</v>
      </c>
      <c r="H316" s="8">
        <v>0.94</v>
      </c>
      <c r="I316" s="93"/>
      <c r="J316" s="1" t="s">
        <v>12</v>
      </c>
    </row>
    <row r="317" spans="1:10">
      <c r="A317" s="1" t="e">
        <f t="shared" si="20"/>
        <v>#REF!</v>
      </c>
      <c r="B317" s="61" t="s">
        <v>114</v>
      </c>
      <c r="C317" s="217"/>
      <c r="D317" s="43" t="s">
        <v>11</v>
      </c>
      <c r="E317" s="79" t="str">
        <f t="shared" si="19"/>
        <v>Effizienz.hot water tube boiler (20-250 MW_th)</v>
      </c>
      <c r="F317" s="8">
        <v>0.87</v>
      </c>
      <c r="G317" s="8">
        <v>0.87</v>
      </c>
      <c r="H317" s="8">
        <v>0.87</v>
      </c>
      <c r="I317" s="93"/>
      <c r="J317" s="1" t="s">
        <v>10</v>
      </c>
    </row>
    <row r="318" spans="1:10">
      <c r="A318" s="1" t="e">
        <f t="shared" si="20"/>
        <v>#REF!</v>
      </c>
      <c r="B318" s="61" t="s">
        <v>114</v>
      </c>
      <c r="C318" s="217"/>
      <c r="D318" s="43" t="s">
        <v>9</v>
      </c>
      <c r="E318" s="79" t="str">
        <f t="shared" si="19"/>
        <v>Effizienz.kwk klein (0.5-30 MW_el)</v>
      </c>
      <c r="F318" s="8"/>
      <c r="G318" s="8"/>
      <c r="H318" s="8"/>
      <c r="I318" s="93"/>
      <c r="J318" s="1" t="s">
        <v>8</v>
      </c>
    </row>
    <row r="319" spans="1:10">
      <c r="A319" s="1" t="e">
        <f t="shared" si="20"/>
        <v>#REF!</v>
      </c>
      <c r="B319" s="61" t="s">
        <v>114</v>
      </c>
      <c r="C319" s="217"/>
      <c r="D319" s="43" t="s">
        <v>7</v>
      </c>
      <c r="E319" s="79" t="str">
        <f t="shared" si="19"/>
        <v>Effizienz.kwk mittel (30-250 MW_el)</v>
      </c>
      <c r="F319" s="8"/>
      <c r="G319" s="8"/>
      <c r="H319" s="8"/>
      <c r="I319" s="93"/>
      <c r="J319" s="1" t="s">
        <v>6</v>
      </c>
    </row>
    <row r="320" spans="1:10">
      <c r="A320" s="1" t="e">
        <f t="shared" si="20"/>
        <v>#REF!</v>
      </c>
      <c r="B320" s="61" t="s">
        <v>114</v>
      </c>
      <c r="C320" s="217"/>
      <c r="D320" s="43" t="s">
        <v>5</v>
      </c>
      <c r="E320" s="79" t="str">
        <f t="shared" si="19"/>
        <v>Effizienz.kwk groß (&gt;250 MW_el)</v>
      </c>
      <c r="F320" s="8"/>
      <c r="G320" s="8"/>
      <c r="H320" s="8"/>
      <c r="I320" s="93"/>
      <c r="J320" s="1" t="s">
        <v>4</v>
      </c>
    </row>
    <row r="321" spans="1:10">
      <c r="A321" s="1" t="e">
        <f t="shared" ref="A321:A342" si="21">A320+1</f>
        <v>#REF!</v>
      </c>
      <c r="B321" s="61" t="s">
        <v>114</v>
      </c>
      <c r="C321" s="217"/>
      <c r="D321" s="43" t="s">
        <v>3</v>
      </c>
      <c r="E321" s="79" t="str">
        <f t="shared" si="19"/>
        <v>Effizienz.pth</v>
      </c>
      <c r="F321" s="8">
        <v>0.98</v>
      </c>
      <c r="G321" s="8">
        <v>0.98</v>
      </c>
      <c r="H321" s="8">
        <v>0.98</v>
      </c>
      <c r="I321" s="93"/>
      <c r="J321" s="1" t="s">
        <v>2</v>
      </c>
    </row>
    <row r="322" spans="1:10">
      <c r="A322" s="1" t="e">
        <f t="shared" si="21"/>
        <v>#REF!</v>
      </c>
      <c r="B322" s="61" t="s">
        <v>114</v>
      </c>
      <c r="C322" s="217"/>
      <c r="D322" s="43" t="s">
        <v>1</v>
      </c>
      <c r="E322" s="79" t="str">
        <f t="shared" si="19"/>
        <v>Effizienz.batt</v>
      </c>
      <c r="F322" s="8"/>
      <c r="G322" s="8"/>
      <c r="H322" s="8"/>
      <c r="I322" s="93"/>
    </row>
    <row r="323" spans="1:10">
      <c r="A323" s="1" t="e">
        <f t="shared" si="21"/>
        <v>#REF!</v>
      </c>
      <c r="B323" s="61" t="s">
        <v>114</v>
      </c>
      <c r="C323" s="217"/>
      <c r="D323" s="43" t="s">
        <v>0</v>
      </c>
      <c r="E323" s="79" t="str">
        <f t="shared" si="19"/>
        <v>Effizienz.ptg</v>
      </c>
      <c r="F323" s="8">
        <v>0.7</v>
      </c>
      <c r="G323" s="8"/>
      <c r="H323" s="8"/>
      <c r="I323" s="93"/>
      <c r="J323" s="1" t="s">
        <v>113</v>
      </c>
    </row>
    <row r="324" spans="1:10">
      <c r="A324" s="1" t="e">
        <f t="shared" si="21"/>
        <v>#REF!</v>
      </c>
      <c r="B324" s="42"/>
      <c r="C324" s="42"/>
      <c r="D324" s="8"/>
      <c r="E324" s="79" t="str">
        <f t="shared" si="19"/>
        <v>.</v>
      </c>
      <c r="F324" s="8"/>
      <c r="G324" s="8"/>
      <c r="H324" s="8"/>
      <c r="I324" s="93"/>
    </row>
    <row r="325" spans="1:10" ht="12.75" customHeight="1">
      <c r="A325" s="1" t="e">
        <f t="shared" si="21"/>
        <v>#REF!</v>
      </c>
      <c r="B325" s="61" t="s">
        <v>112</v>
      </c>
      <c r="C325" s="217"/>
      <c r="D325" s="45" t="s">
        <v>110</v>
      </c>
      <c r="E325" s="79" t="str">
        <f t="shared" si="19"/>
        <v>Effizienz chp_pr.el efficiency min</v>
      </c>
      <c r="F325" s="8">
        <v>0.25</v>
      </c>
      <c r="G325" s="8"/>
      <c r="H325" s="8"/>
      <c r="I325" s="93"/>
    </row>
    <row r="326" spans="1:10">
      <c r="A326" s="1" t="e">
        <f t="shared" si="21"/>
        <v>#REF!</v>
      </c>
      <c r="B326" s="61" t="s">
        <v>112</v>
      </c>
      <c r="C326" s="217"/>
      <c r="D326" s="44" t="s">
        <v>109</v>
      </c>
      <c r="E326" s="79" t="str">
        <f t="shared" si="19"/>
        <v>Effizienz chp_pr.el efficiency max</v>
      </c>
      <c r="F326" s="8">
        <v>0.49</v>
      </c>
      <c r="G326" s="8"/>
      <c r="H326" s="8"/>
      <c r="I326" s="93"/>
    </row>
    <row r="327" spans="1:10">
      <c r="A327" s="1" t="e">
        <f t="shared" si="21"/>
        <v>#REF!</v>
      </c>
      <c r="B327" s="61" t="s">
        <v>112</v>
      </c>
      <c r="C327" s="217"/>
      <c r="D327" s="44" t="s">
        <v>108</v>
      </c>
      <c r="E327" s="79" t="str">
        <f t="shared" si="19"/>
        <v>Effizienz chp_pr.power min</v>
      </c>
      <c r="F327" s="8">
        <v>0.9</v>
      </c>
      <c r="G327" s="8"/>
      <c r="H327" s="8"/>
      <c r="I327" s="93"/>
    </row>
    <row r="328" spans="1:10">
      <c r="A328" s="1" t="e">
        <f t="shared" si="21"/>
        <v>#REF!</v>
      </c>
      <c r="B328" s="61" t="s">
        <v>112</v>
      </c>
      <c r="C328" s="217"/>
      <c r="D328" s="44" t="s">
        <v>107</v>
      </c>
      <c r="E328" s="79" t="str">
        <f t="shared" si="19"/>
        <v>Effizienz chp_pr.power max</v>
      </c>
      <c r="F328" s="8">
        <v>2.7</v>
      </c>
      <c r="G328" s="8"/>
      <c r="H328" s="8"/>
      <c r="I328" s="93"/>
    </row>
    <row r="329" spans="1:10" s="46" customFormat="1">
      <c r="A329" s="1" t="e">
        <f t="shared" si="21"/>
        <v>#REF!</v>
      </c>
      <c r="B329" s="64"/>
      <c r="C329" s="47"/>
      <c r="D329" s="24"/>
      <c r="E329" s="79" t="str">
        <f t="shared" si="19"/>
        <v>.</v>
      </c>
      <c r="F329" s="8"/>
      <c r="G329" s="23"/>
      <c r="H329" s="23"/>
      <c r="I329" s="93"/>
    </row>
    <row r="330" spans="1:10" ht="12.75" customHeight="1">
      <c r="A330" s="1" t="e">
        <f t="shared" si="21"/>
        <v>#REF!</v>
      </c>
      <c r="B330" s="61" t="s">
        <v>111</v>
      </c>
      <c r="C330" s="217"/>
      <c r="D330" s="45" t="s">
        <v>110</v>
      </c>
      <c r="E330" s="79" t="str">
        <f t="shared" si="19"/>
        <v>Effizienz chp_sch.el efficiency min</v>
      </c>
      <c r="F330" s="8">
        <v>0.25</v>
      </c>
      <c r="G330" s="8"/>
      <c r="H330" s="8"/>
      <c r="I330" s="93"/>
    </row>
    <row r="331" spans="1:10">
      <c r="A331" s="1" t="e">
        <f t="shared" si="21"/>
        <v>#REF!</v>
      </c>
      <c r="B331" s="61" t="s">
        <v>111</v>
      </c>
      <c r="C331" s="217"/>
      <c r="D331" s="44" t="s">
        <v>109</v>
      </c>
      <c r="E331" s="79" t="str">
        <f t="shared" si="19"/>
        <v>Effizienz chp_sch.el efficiency max</v>
      </c>
      <c r="F331" s="8">
        <v>0.49</v>
      </c>
      <c r="G331" s="8"/>
      <c r="H331" s="8"/>
      <c r="I331" s="93"/>
    </row>
    <row r="332" spans="1:10">
      <c r="A332" s="1" t="e">
        <f t="shared" si="21"/>
        <v>#REF!</v>
      </c>
      <c r="B332" s="61" t="s">
        <v>111</v>
      </c>
      <c r="C332" s="217"/>
      <c r="D332" s="44" t="s">
        <v>108</v>
      </c>
      <c r="E332" s="79" t="str">
        <f t="shared" si="19"/>
        <v>Effizienz chp_sch.power min</v>
      </c>
      <c r="F332" s="8">
        <v>8</v>
      </c>
      <c r="G332" s="8"/>
      <c r="H332" s="8"/>
      <c r="I332" s="93"/>
    </row>
    <row r="333" spans="1:10">
      <c r="A333" s="1" t="e">
        <f t="shared" si="21"/>
        <v>#REF!</v>
      </c>
      <c r="B333" s="61" t="s">
        <v>111</v>
      </c>
      <c r="C333" s="217"/>
      <c r="D333" s="44" t="s">
        <v>107</v>
      </c>
      <c r="E333" s="79" t="str">
        <f t="shared" si="19"/>
        <v>Effizienz chp_sch.power max</v>
      </c>
      <c r="F333" s="8">
        <v>19</v>
      </c>
      <c r="G333" s="8"/>
      <c r="H333" s="8"/>
      <c r="I333" s="93"/>
    </row>
    <row r="334" spans="1:10">
      <c r="A334" s="1" t="e">
        <f t="shared" si="21"/>
        <v>#REF!</v>
      </c>
      <c r="B334" s="42"/>
      <c r="C334" s="42"/>
      <c r="D334" s="8"/>
      <c r="E334" s="79" t="str">
        <f t="shared" si="19"/>
        <v>.</v>
      </c>
      <c r="F334" s="8"/>
      <c r="G334" s="8"/>
      <c r="H334" s="8"/>
      <c r="I334" s="93"/>
    </row>
    <row r="338" spans="1:23">
      <c r="A338" s="1" t="e">
        <f>A260+1</f>
        <v>#REF!</v>
      </c>
      <c r="B338" s="61" t="s">
        <v>149</v>
      </c>
      <c r="C338" s="43" t="s">
        <v>106</v>
      </c>
      <c r="D338" s="43" t="s">
        <v>7</v>
      </c>
      <c r="E338" s="79" t="str">
        <f t="shared" si="19"/>
        <v>lifetime.kwk mittel (30-250 MW_el)</v>
      </c>
      <c r="F338" s="8"/>
      <c r="G338" s="8"/>
      <c r="H338" s="8"/>
      <c r="I338" s="93"/>
      <c r="J338" s="1" t="s">
        <v>6</v>
      </c>
    </row>
    <row r="339" spans="1:23">
      <c r="A339" s="1" t="e">
        <f t="shared" si="21"/>
        <v>#REF!</v>
      </c>
      <c r="B339" s="61" t="s">
        <v>149</v>
      </c>
      <c r="C339" s="43" t="s">
        <v>106</v>
      </c>
      <c r="D339" s="43" t="s">
        <v>5</v>
      </c>
      <c r="E339" s="79" t="str">
        <f t="shared" si="19"/>
        <v>lifetime.kwk groß (&gt;250 MW_el)</v>
      </c>
      <c r="F339" s="8"/>
      <c r="G339" s="8"/>
      <c r="H339" s="8"/>
      <c r="I339" s="93"/>
      <c r="J339" s="1" t="s">
        <v>4</v>
      </c>
    </row>
    <row r="340" spans="1:23">
      <c r="A340" s="1" t="e">
        <f t="shared" si="21"/>
        <v>#REF!</v>
      </c>
      <c r="B340" s="61" t="s">
        <v>149</v>
      </c>
      <c r="C340" s="43" t="s">
        <v>106</v>
      </c>
      <c r="D340" s="43" t="s">
        <v>3</v>
      </c>
      <c r="E340" s="79" t="str">
        <f t="shared" si="19"/>
        <v>lifetime.pth</v>
      </c>
      <c r="F340" s="8">
        <v>20</v>
      </c>
      <c r="G340" s="8">
        <v>20</v>
      </c>
      <c r="H340" s="8">
        <v>20</v>
      </c>
      <c r="I340" s="93"/>
      <c r="J340" s="1" t="s">
        <v>2</v>
      </c>
    </row>
    <row r="341" spans="1:23">
      <c r="A341" s="1" t="e">
        <f t="shared" si="21"/>
        <v>#REF!</v>
      </c>
      <c r="B341" s="61" t="s">
        <v>149</v>
      </c>
      <c r="C341" s="43" t="s">
        <v>106</v>
      </c>
      <c r="D341" s="43" t="s">
        <v>1</v>
      </c>
      <c r="E341" s="79" t="str">
        <f t="shared" si="19"/>
        <v>lifetime.batt</v>
      </c>
      <c r="F341" s="8"/>
      <c r="G341" s="8"/>
      <c r="H341" s="8"/>
      <c r="I341" s="93"/>
    </row>
    <row r="342" spans="1:23">
      <c r="A342" s="1" t="e">
        <f t="shared" si="21"/>
        <v>#REF!</v>
      </c>
      <c r="B342" s="61" t="s">
        <v>149</v>
      </c>
      <c r="C342" s="43" t="s">
        <v>106</v>
      </c>
      <c r="D342" s="43" t="s">
        <v>0</v>
      </c>
      <c r="E342" s="79" t="str">
        <f t="shared" si="19"/>
        <v>lifetime.ptg</v>
      </c>
      <c r="F342" s="8"/>
      <c r="G342" s="8"/>
      <c r="H342" s="8"/>
      <c r="I342" s="93"/>
    </row>
    <row r="343" spans="1:23">
      <c r="B343" s="42"/>
      <c r="C343" s="42"/>
      <c r="D343" s="41" t="str">
        <f>B343&amp;C343</f>
        <v/>
      </c>
      <c r="E343" s="79" t="str">
        <f t="shared" si="19"/>
        <v>.</v>
      </c>
      <c r="F343" s="8"/>
      <c r="G343" s="8"/>
      <c r="H343" s="8"/>
      <c r="I343" s="93"/>
    </row>
    <row r="344" spans="1:23" s="40" customFormat="1" ht="25.5" customHeight="1">
      <c r="B344" s="61" t="s">
        <v>105</v>
      </c>
      <c r="C344" s="217" t="s">
        <v>27</v>
      </c>
      <c r="D344" s="12" t="s">
        <v>104</v>
      </c>
      <c r="E344" s="79" t="str">
        <f t="shared" si="19"/>
        <v>CO2-Kosten.Vermeidungskosten mittel</v>
      </c>
      <c r="F344" s="12">
        <f>77+(((104-77)/10)*6)</f>
        <v>93.2</v>
      </c>
      <c r="G344" s="12">
        <f>(139+186)/2</f>
        <v>162.5</v>
      </c>
      <c r="H344" s="12">
        <v>251</v>
      </c>
      <c r="I344" s="93"/>
      <c r="J344" s="1" t="s">
        <v>103</v>
      </c>
      <c r="L344" s="1"/>
      <c r="M344" s="1"/>
      <c r="N344" s="1"/>
      <c r="Q344" s="1"/>
      <c r="R344" s="1"/>
      <c r="S344" s="1"/>
      <c r="T344" s="1"/>
      <c r="U344" s="1"/>
      <c r="V344" s="1"/>
      <c r="W344" s="1"/>
    </row>
    <row r="345" spans="1:23">
      <c r="B345" s="61" t="s">
        <v>105</v>
      </c>
      <c r="C345" s="217"/>
      <c r="D345" s="12" t="s">
        <v>102</v>
      </c>
      <c r="E345" s="79" t="str">
        <f t="shared" si="19"/>
        <v>CO2-Kosten.Schadenskosten (Weu / 1%)</v>
      </c>
      <c r="F345" s="12">
        <f>141.23+(((170.55-141.23)/10))</f>
        <v>144.16199999999998</v>
      </c>
      <c r="G345" s="12">
        <v>158.51</v>
      </c>
      <c r="H345" s="12">
        <f>164.96+(((225.95-164.96)/10)*5)</f>
        <v>195.45499999999998</v>
      </c>
      <c r="I345" s="93"/>
      <c r="J345" s="1" t="s">
        <v>101</v>
      </c>
    </row>
    <row r="346" spans="1:23" ht="12.75" customHeight="1">
      <c r="B346" s="61" t="s">
        <v>105</v>
      </c>
      <c r="C346" s="217"/>
      <c r="D346" s="12" t="s">
        <v>100</v>
      </c>
      <c r="E346" s="79" t="str">
        <f t="shared" si="19"/>
        <v>CO2-Kosten.CO2-Steuer (Agora Mittel)</v>
      </c>
      <c r="F346" s="12"/>
      <c r="G346" s="12">
        <f>45+((86-45)/4)*(G7-2020)</f>
        <v>198.75</v>
      </c>
      <c r="H346" s="12">
        <f>45+((86-45)/4)*(H7-2020)</f>
        <v>352.5</v>
      </c>
      <c r="I346" s="93"/>
      <c r="J346" s="1" t="s">
        <v>25</v>
      </c>
    </row>
    <row r="347" spans="1:23" ht="12.75" customHeight="1">
      <c r="B347" s="61" t="s">
        <v>105</v>
      </c>
      <c r="C347" s="217"/>
      <c r="D347" s="12" t="s">
        <v>26</v>
      </c>
      <c r="E347" s="79" t="str">
        <f t="shared" si="19"/>
        <v>CO2-Kosten.ETC-Handelspreis</v>
      </c>
      <c r="F347" s="59">
        <v>7</v>
      </c>
      <c r="G347" s="59">
        <v>33</v>
      </c>
      <c r="H347" s="59">
        <v>49.645166163141766</v>
      </c>
      <c r="I347" s="96"/>
    </row>
    <row r="348" spans="1:23">
      <c r="B348" s="61" t="s">
        <v>105</v>
      </c>
      <c r="C348" s="217"/>
      <c r="D348" s="12" t="s">
        <v>99</v>
      </c>
      <c r="E348" s="79" t="str">
        <f t="shared" si="19"/>
        <v>CO2-Kosten.CO2-Steuer (Agora Groß)</v>
      </c>
      <c r="F348" s="12">
        <v>125</v>
      </c>
      <c r="G348" s="12">
        <v>125</v>
      </c>
      <c r="H348" s="12">
        <v>125</v>
      </c>
      <c r="I348" s="93"/>
      <c r="J348" s="1" t="s">
        <v>98</v>
      </c>
    </row>
    <row r="349" spans="1:23">
      <c r="B349" s="1"/>
      <c r="C349" s="38"/>
      <c r="D349" s="1"/>
      <c r="E349" s="79" t="str">
        <f t="shared" si="19"/>
        <v>.</v>
      </c>
    </row>
    <row r="350" spans="1:23" ht="12.75" customHeight="1">
      <c r="B350" s="61" t="s">
        <v>97</v>
      </c>
      <c r="C350" s="205" t="s">
        <v>16</v>
      </c>
      <c r="D350" s="10" t="s">
        <v>96</v>
      </c>
      <c r="E350" s="79" t="str">
        <f t="shared" si="19"/>
        <v>Kosten Energie.Strom</v>
      </c>
      <c r="F350" s="8">
        <v>0.5</v>
      </c>
      <c r="G350" s="8">
        <v>0.5</v>
      </c>
      <c r="H350" s="8">
        <v>0.2</v>
      </c>
      <c r="I350" s="93"/>
    </row>
    <row r="351" spans="1:23" ht="14.25">
      <c r="B351" s="61" t="s">
        <v>97</v>
      </c>
      <c r="C351" s="205"/>
      <c r="D351" s="10" t="s">
        <v>213</v>
      </c>
      <c r="E351" s="79" t="str">
        <f t="shared" si="19"/>
        <v>Kosten Energie.gas_price</v>
      </c>
      <c r="F351" s="59">
        <v>29.11</v>
      </c>
      <c r="G351" s="59">
        <v>33.700000000000003</v>
      </c>
      <c r="H351" s="59">
        <v>37.121903323262814</v>
      </c>
      <c r="I351" s="96"/>
    </row>
    <row r="352" spans="1:23">
      <c r="B352" s="61" t="s">
        <v>97</v>
      </c>
      <c r="C352" s="205"/>
      <c r="D352" s="10" t="s">
        <v>95</v>
      </c>
      <c r="E352" s="79" t="str">
        <f t="shared" si="19"/>
        <v>Kosten Energie.Wasserstoff</v>
      </c>
      <c r="F352" s="8">
        <v>8</v>
      </c>
      <c r="G352" s="8">
        <v>8</v>
      </c>
      <c r="H352" s="8">
        <v>8</v>
      </c>
      <c r="I352" s="93"/>
    </row>
    <row r="353" spans="2:12">
      <c r="B353" s="1"/>
      <c r="C353" s="38"/>
      <c r="D353" s="1"/>
      <c r="E353" s="79" t="str">
        <f t="shared" si="19"/>
        <v>.</v>
      </c>
    </row>
    <row r="354" spans="2:12" ht="12.75" customHeight="1">
      <c r="B354" s="61" t="s">
        <v>94</v>
      </c>
      <c r="C354" s="205" t="s">
        <v>93</v>
      </c>
      <c r="D354" s="10" t="s">
        <v>92</v>
      </c>
      <c r="E354" s="79" t="str">
        <f>B354&amp;"."&amp;D354</f>
        <v>EE-Erzeugung.Wind</v>
      </c>
      <c r="F354" s="39">
        <v>717.51</v>
      </c>
      <c r="G354" s="39">
        <v>1004.4537864077669</v>
      </c>
      <c r="H354" s="39">
        <v>1244.3999429197574</v>
      </c>
      <c r="I354" s="95"/>
      <c r="J354" s="1" t="s">
        <v>90</v>
      </c>
      <c r="K354" s="1" t="s">
        <v>89</v>
      </c>
    </row>
    <row r="355" spans="2:12">
      <c r="B355" s="61" t="s">
        <v>94</v>
      </c>
      <c r="C355" s="205"/>
      <c r="D355" s="10" t="s">
        <v>91</v>
      </c>
      <c r="E355" s="79" t="str">
        <f>B355&amp;"."&amp;D355</f>
        <v>EE-Erzeugung.solar</v>
      </c>
      <c r="F355" s="39">
        <v>72.260999999999996</v>
      </c>
      <c r="G355" s="39">
        <v>117.14520250381679</v>
      </c>
      <c r="H355" s="39">
        <v>156.41940973508827</v>
      </c>
      <c r="I355" s="95"/>
      <c r="J355" s="1" t="s">
        <v>90</v>
      </c>
      <c r="K355" s="1" t="s">
        <v>89</v>
      </c>
    </row>
    <row r="356" spans="2:12">
      <c r="B356" s="1"/>
      <c r="C356" s="38"/>
      <c r="D356" s="1"/>
      <c r="E356" s="1"/>
    </row>
    <row r="357" spans="2:12">
      <c r="B357" s="61" t="s">
        <v>186</v>
      </c>
      <c r="C357" s="56" t="s">
        <v>183</v>
      </c>
      <c r="D357" s="12" t="s">
        <v>21</v>
      </c>
      <c r="E357" s="23" t="str">
        <f t="shared" ref="E357:E364" si="22">B357&amp;"."&amp;D357</f>
        <v>Strom-Mix-CO2_Emiss BMWi Ref.EE-Anteil</v>
      </c>
      <c r="F357" s="12">
        <f>(557+((490-557)/10*6))/1000</f>
        <v>0.51679999999999993</v>
      </c>
      <c r="G357" s="12">
        <f>(485+(430-485)/2)/1000</f>
        <v>0.45750000000000002</v>
      </c>
      <c r="H357" s="12">
        <v>0.35699999999999998</v>
      </c>
      <c r="I357" s="93"/>
      <c r="J357" s="1" t="s">
        <v>187</v>
      </c>
    </row>
    <row r="358" spans="2:12">
      <c r="B358" s="61" t="s">
        <v>185</v>
      </c>
      <c r="C358" s="84" t="s">
        <v>183</v>
      </c>
      <c r="D358" s="12" t="s">
        <v>21</v>
      </c>
      <c r="E358" s="23" t="str">
        <f>B358&amp;"."&amp;D358</f>
        <v>Strom-Mix-CO2_Emiss BMWi Basis.EE-Anteil</v>
      </c>
      <c r="F358" s="12">
        <f>(557+((467-557)/10*6))/1000</f>
        <v>0.503</v>
      </c>
      <c r="G358" s="12">
        <f>(348+(160-348)/2)/1000</f>
        <v>0.254</v>
      </c>
      <c r="H358" s="12">
        <v>6.7000000000000004E-2</v>
      </c>
      <c r="I358" s="93"/>
      <c r="J358" s="1" t="s">
        <v>184</v>
      </c>
    </row>
    <row r="359" spans="2:12">
      <c r="B359" s="8"/>
      <c r="C359" s="8"/>
      <c r="D359" s="8"/>
      <c r="E359" s="23" t="str">
        <f t="shared" si="22"/>
        <v>.</v>
      </c>
      <c r="F359" s="8"/>
      <c r="G359" s="8"/>
      <c r="H359" s="8"/>
      <c r="I359" s="93"/>
      <c r="J359" s="2"/>
    </row>
    <row r="360" spans="2:12">
      <c r="B360" s="8"/>
      <c r="C360" s="8"/>
      <c r="D360" s="8"/>
      <c r="E360" s="23" t="str">
        <f t="shared" si="22"/>
        <v>.</v>
      </c>
      <c r="F360" s="8"/>
      <c r="G360" s="8"/>
      <c r="H360" s="8"/>
      <c r="I360" s="93"/>
      <c r="J360" s="2"/>
    </row>
    <row r="361" spans="2:12">
      <c r="B361" s="61" t="s">
        <v>150</v>
      </c>
      <c r="C361" s="8" t="s">
        <v>151</v>
      </c>
      <c r="D361" s="8"/>
      <c r="E361" s="23"/>
      <c r="F361" s="8">
        <v>0.1</v>
      </c>
      <c r="G361" s="8"/>
      <c r="H361" s="8"/>
      <c r="I361" s="93"/>
      <c r="J361" s="2"/>
    </row>
    <row r="362" spans="2:12">
      <c r="B362" s="8"/>
      <c r="C362" s="8"/>
      <c r="D362" s="8"/>
      <c r="E362" s="23"/>
      <c r="F362" s="8"/>
      <c r="G362" s="8"/>
      <c r="H362" s="8"/>
      <c r="I362" s="93"/>
      <c r="J362" s="2"/>
    </row>
    <row r="363" spans="2:12">
      <c r="B363" s="8"/>
      <c r="C363" s="8"/>
      <c r="D363" s="8"/>
      <c r="E363" s="23"/>
      <c r="F363" s="8"/>
      <c r="G363" s="8"/>
      <c r="H363" s="8"/>
      <c r="I363" s="93"/>
      <c r="J363" s="2"/>
    </row>
    <row r="364" spans="2:12">
      <c r="B364" s="62" t="s">
        <v>20</v>
      </c>
      <c r="C364" s="54" t="s">
        <v>19</v>
      </c>
      <c r="D364" s="10" t="s">
        <v>220</v>
      </c>
      <c r="E364" s="23" t="str">
        <f t="shared" si="22"/>
        <v>Heat.Fernwärmepreis_pr</v>
      </c>
      <c r="F364" s="10">
        <v>51.43</v>
      </c>
      <c r="G364" s="70">
        <f>F364*1.01^(G7-F7)</f>
        <v>62.133043321310829</v>
      </c>
      <c r="H364" s="70">
        <f>G364*1.01^(H7-G7)</f>
        <v>72.134534398701092</v>
      </c>
      <c r="I364" s="93"/>
      <c r="J364" s="1" t="s">
        <v>222</v>
      </c>
      <c r="K364" s="1" t="s">
        <v>224</v>
      </c>
      <c r="L364" s="1" t="s">
        <v>224</v>
      </c>
    </row>
    <row r="365" spans="2:12">
      <c r="B365" s="62" t="s">
        <v>20</v>
      </c>
      <c r="C365" s="99" t="s">
        <v>19</v>
      </c>
      <c r="D365" s="10" t="s">
        <v>221</v>
      </c>
      <c r="E365" s="23" t="str">
        <f>B365&amp;"."&amp;D365</f>
        <v>Heat.Fernwärmepreis_sch</v>
      </c>
      <c r="F365" s="10">
        <v>53.6</v>
      </c>
      <c r="G365" s="70">
        <f>F365*1.01^(G7-F7)</f>
        <v>64.754639743773296</v>
      </c>
      <c r="H365" s="70">
        <f>G365*1.01^(H7-G7)</f>
        <v>75.178126458689064</v>
      </c>
      <c r="J365" s="1" t="s">
        <v>223</v>
      </c>
      <c r="K365" s="1" t="s">
        <v>224</v>
      </c>
      <c r="L365" s="1" t="s">
        <v>224</v>
      </c>
    </row>
    <row r="366" spans="2:12">
      <c r="B366" s="1"/>
      <c r="C366" s="38"/>
      <c r="D366" s="1"/>
      <c r="E366" s="1"/>
    </row>
    <row r="367" spans="2:12">
      <c r="B367" s="62" t="s">
        <v>194</v>
      </c>
      <c r="C367" s="38" t="s">
        <v>22</v>
      </c>
      <c r="D367" s="1"/>
      <c r="E367" s="1"/>
      <c r="F367" s="98">
        <v>0.02</v>
      </c>
      <c r="G367" s="98">
        <v>0.05</v>
      </c>
      <c r="H367" s="98">
        <v>0.1</v>
      </c>
    </row>
    <row r="368" spans="2:12">
      <c r="B368" s="1"/>
      <c r="C368" s="38"/>
      <c r="D368" s="1"/>
      <c r="E368" s="1"/>
    </row>
    <row r="369" spans="2:5">
      <c r="B369" s="1"/>
      <c r="C369" s="38"/>
      <c r="D369" s="1"/>
      <c r="E369" s="1"/>
    </row>
    <row r="370" spans="2:5">
      <c r="B370" s="1"/>
      <c r="C370" s="38"/>
      <c r="D370" s="1"/>
      <c r="E370" s="1"/>
    </row>
    <row r="371" spans="2:5">
      <c r="B371" s="61" t="s">
        <v>15</v>
      </c>
      <c r="C371" s="215" t="s">
        <v>14</v>
      </c>
      <c r="D371" s="60" t="s">
        <v>200</v>
      </c>
      <c r="E371" s="23" t="str">
        <f t="shared" ref="E371:E380" si="23">B371&amp;"."&amp;D371</f>
        <v>fixed O&amp;M.chp_pr_biogas</v>
      </c>
    </row>
    <row r="372" spans="2:5">
      <c r="B372" s="61" t="s">
        <v>15</v>
      </c>
      <c r="C372" s="216"/>
      <c r="D372" s="60" t="s">
        <v>201</v>
      </c>
      <c r="E372" s="23" t="str">
        <f t="shared" si="23"/>
        <v>fixed O&amp;M.chp_pr_klgas</v>
      </c>
    </row>
    <row r="373" spans="2:5">
      <c r="B373" s="61" t="s">
        <v>15</v>
      </c>
      <c r="C373" s="216"/>
      <c r="D373" s="60" t="s">
        <v>202</v>
      </c>
      <c r="E373" s="23" t="str">
        <f t="shared" si="23"/>
        <v>fixed O&amp;M.chp_pr_biogas_h2</v>
      </c>
    </row>
    <row r="374" spans="2:5">
      <c r="B374" s="61" t="s">
        <v>15</v>
      </c>
      <c r="C374" s="216"/>
      <c r="D374" s="60" t="s">
        <v>203</v>
      </c>
      <c r="E374" s="23" t="str">
        <f t="shared" si="23"/>
        <v>fixed O&amp;M.chp_pr_gas_1</v>
      </c>
    </row>
    <row r="375" spans="2:5">
      <c r="B375" s="61" t="s">
        <v>15</v>
      </c>
      <c r="C375" s="216"/>
      <c r="D375" s="60" t="s">
        <v>204</v>
      </c>
      <c r="E375" s="23" t="str">
        <f t="shared" si="23"/>
        <v>fixed O&amp;M.chp_pr_gas_2</v>
      </c>
    </row>
    <row r="376" spans="2:5">
      <c r="B376" s="61" t="s">
        <v>15</v>
      </c>
      <c r="C376" s="216"/>
      <c r="D376" s="60" t="s">
        <v>205</v>
      </c>
      <c r="E376" s="23" t="str">
        <f t="shared" si="23"/>
        <v>fixed O&amp;M.chp_sch_raff</v>
      </c>
    </row>
    <row r="377" spans="2:5">
      <c r="B377" s="61" t="s">
        <v>15</v>
      </c>
      <c r="C377" s="216"/>
      <c r="D377" s="60" t="s">
        <v>206</v>
      </c>
      <c r="E377" s="23" t="str">
        <f t="shared" si="23"/>
        <v>fixed O&amp;M.chp_sch_waste</v>
      </c>
    </row>
    <row r="378" spans="2:5">
      <c r="B378" s="61" t="s">
        <v>15</v>
      </c>
      <c r="C378" s="216"/>
      <c r="D378" s="60" t="s">
        <v>207</v>
      </c>
      <c r="E378" s="23" t="str">
        <f t="shared" si="23"/>
        <v>fixed O&amp;M.chp_sch_kuhheide</v>
      </c>
    </row>
    <row r="379" spans="2:5">
      <c r="B379" s="61" t="s">
        <v>15</v>
      </c>
      <c r="C379" s="216"/>
      <c r="D379" s="60" t="s">
        <v>208</v>
      </c>
      <c r="E379" s="23" t="str">
        <f t="shared" si="23"/>
        <v>fixed O&amp;M.chp_sch_m_turbine</v>
      </c>
    </row>
    <row r="380" spans="2:5">
      <c r="B380" s="61" t="s">
        <v>15</v>
      </c>
      <c r="C380" s="216"/>
      <c r="D380" s="60" t="s">
        <v>209</v>
      </c>
      <c r="E380" s="23" t="str">
        <f t="shared" si="23"/>
        <v>fixed O&amp;M.chp_sch_contract</v>
      </c>
    </row>
    <row r="381" spans="2:5">
      <c r="B381" s="1"/>
      <c r="C381" s="38"/>
      <c r="D381" s="1"/>
      <c r="E381" s="1"/>
    </row>
    <row r="382" spans="2:5">
      <c r="B382" s="1"/>
      <c r="C382" s="38"/>
      <c r="D382" s="1"/>
      <c r="E382" s="1"/>
    </row>
    <row r="383" spans="2:5">
      <c r="B383" s="1"/>
      <c r="C383" s="38"/>
      <c r="D383" s="1"/>
      <c r="E383" s="1"/>
    </row>
    <row r="384" spans="2:5">
      <c r="B384" s="1"/>
      <c r="C384" s="38"/>
      <c r="D384" s="1"/>
      <c r="E384" s="1"/>
    </row>
    <row r="385" spans="2:5">
      <c r="B385" s="1"/>
      <c r="C385" s="38"/>
      <c r="D385" s="1"/>
      <c r="E385" s="1"/>
    </row>
    <row r="386" spans="2:5">
      <c r="B386" s="1"/>
      <c r="C386" s="38"/>
      <c r="D386" s="1"/>
      <c r="E386" s="1"/>
    </row>
    <row r="387" spans="2:5">
      <c r="B387" s="1"/>
      <c r="C387" s="38"/>
      <c r="D387" s="1"/>
      <c r="E387" s="1"/>
    </row>
    <row r="388" spans="2:5">
      <c r="B388" s="1"/>
      <c r="C388" s="38"/>
      <c r="D388" s="1"/>
      <c r="E388" s="1"/>
    </row>
    <row r="389" spans="2:5">
      <c r="B389" s="1"/>
      <c r="C389" s="38"/>
      <c r="D389" s="1"/>
      <c r="E389" s="1"/>
    </row>
    <row r="390" spans="2:5">
      <c r="B390" s="1"/>
      <c r="C390" s="38"/>
      <c r="D390" s="1"/>
      <c r="E390" s="1"/>
    </row>
    <row r="391" spans="2:5">
      <c r="B391" s="1"/>
      <c r="C391" s="38"/>
      <c r="D391" s="1"/>
      <c r="E391" s="1"/>
    </row>
    <row r="392" spans="2:5">
      <c r="B392" s="1"/>
      <c r="C392" s="38"/>
      <c r="D392" s="1"/>
      <c r="E392" s="1"/>
    </row>
    <row r="393" spans="2:5">
      <c r="B393" s="1"/>
      <c r="C393" s="38"/>
      <c r="D393" s="1"/>
      <c r="E393" s="1"/>
    </row>
    <row r="394" spans="2:5">
      <c r="B394" s="1"/>
      <c r="C394" s="38"/>
      <c r="D394" s="1"/>
      <c r="E394" s="1"/>
    </row>
    <row r="395" spans="2:5">
      <c r="B395" s="1"/>
      <c r="C395" s="38"/>
      <c r="D395" s="1"/>
      <c r="E395" s="1"/>
    </row>
    <row r="396" spans="2:5">
      <c r="B396" s="1"/>
      <c r="C396" s="38"/>
      <c r="D396" s="1"/>
      <c r="E396" s="1"/>
    </row>
    <row r="397" spans="2:5">
      <c r="B397" s="1"/>
      <c r="C397" s="38"/>
      <c r="D397" s="1"/>
      <c r="E397" s="1"/>
    </row>
    <row r="398" spans="2:5">
      <c r="B398" s="1"/>
      <c r="C398" s="38"/>
      <c r="D398" s="1"/>
      <c r="E398" s="1"/>
    </row>
    <row r="399" spans="2:5">
      <c r="B399" s="1"/>
      <c r="C399" s="38"/>
      <c r="D399" s="1"/>
      <c r="E399" s="1"/>
    </row>
    <row r="400" spans="2:5">
      <c r="B400" s="1"/>
      <c r="C400" s="38"/>
      <c r="D400" s="1"/>
      <c r="E400" s="1"/>
    </row>
    <row r="401" spans="2:5">
      <c r="B401" s="1"/>
      <c r="C401" s="38"/>
      <c r="D401" s="1"/>
      <c r="E401" s="1"/>
    </row>
    <row r="402" spans="2:5">
      <c r="B402" s="1"/>
      <c r="C402" s="38"/>
      <c r="D402" s="1"/>
      <c r="E402" s="1"/>
    </row>
    <row r="403" spans="2:5">
      <c r="B403" s="1"/>
      <c r="C403" s="38"/>
      <c r="D403" s="1"/>
      <c r="E403" s="1"/>
    </row>
    <row r="404" spans="2:5">
      <c r="B404" s="1"/>
      <c r="C404" s="38"/>
      <c r="D404" s="1"/>
      <c r="E404" s="1"/>
    </row>
    <row r="405" spans="2:5">
      <c r="B405" s="1"/>
      <c r="C405" s="38"/>
      <c r="D405" s="1"/>
      <c r="E405" s="1"/>
    </row>
    <row r="406" spans="2:5">
      <c r="B406" s="1"/>
      <c r="C406" s="38"/>
      <c r="D406" s="1"/>
      <c r="E406" s="1"/>
    </row>
    <row r="407" spans="2:5">
      <c r="B407" s="1"/>
      <c r="C407" s="38"/>
      <c r="D407" s="1"/>
      <c r="E407" s="1"/>
    </row>
    <row r="408" spans="2:5">
      <c r="B408" s="1"/>
      <c r="C408" s="38"/>
      <c r="D408" s="1"/>
      <c r="E408" s="1"/>
    </row>
    <row r="409" spans="2:5">
      <c r="B409" s="1"/>
      <c r="C409" s="38"/>
      <c r="D409" s="1"/>
      <c r="E409" s="1"/>
    </row>
    <row r="410" spans="2:5">
      <c r="B410" s="1"/>
      <c r="C410" s="38"/>
      <c r="D410" s="1"/>
      <c r="E410" s="1"/>
    </row>
    <row r="411" spans="2:5">
      <c r="B411" s="1"/>
      <c r="C411" s="38"/>
      <c r="D411" s="1"/>
      <c r="E411" s="1"/>
    </row>
    <row r="412" spans="2:5">
      <c r="B412" s="1"/>
      <c r="C412" s="38"/>
      <c r="D412" s="1"/>
      <c r="E412" s="1"/>
    </row>
    <row r="413" spans="2:5">
      <c r="B413" s="1"/>
      <c r="C413" s="38"/>
      <c r="D413" s="1"/>
      <c r="E413" s="1"/>
    </row>
    <row r="414" spans="2:5">
      <c r="B414" s="1"/>
      <c r="C414" s="38"/>
      <c r="D414" s="1"/>
      <c r="E414" s="1"/>
    </row>
    <row r="415" spans="2:5">
      <c r="B415" s="1"/>
      <c r="C415" s="38"/>
      <c r="D415" s="1"/>
      <c r="E415" s="1"/>
    </row>
    <row r="416" spans="2:5">
      <c r="B416" s="1"/>
      <c r="C416" s="38"/>
      <c r="D416" s="1"/>
      <c r="E416" s="1"/>
    </row>
    <row r="417" spans="2:5">
      <c r="B417" s="1"/>
      <c r="C417" s="38"/>
      <c r="D417" s="1"/>
      <c r="E417" s="1"/>
    </row>
    <row r="418" spans="2:5">
      <c r="B418" s="1"/>
      <c r="C418" s="38"/>
      <c r="D418" s="1"/>
      <c r="E418" s="1"/>
    </row>
    <row r="419" spans="2:5">
      <c r="B419" s="1"/>
      <c r="C419" s="38"/>
      <c r="D419" s="1"/>
      <c r="E419" s="1"/>
    </row>
    <row r="420" spans="2:5">
      <c r="B420" s="1"/>
      <c r="C420" s="38"/>
      <c r="D420" s="1"/>
      <c r="E420" s="1"/>
    </row>
    <row r="421" spans="2:5">
      <c r="B421" s="1"/>
      <c r="C421" s="38"/>
      <c r="D421" s="1"/>
      <c r="E421" s="1"/>
    </row>
    <row r="422" spans="2:5">
      <c r="B422" s="1"/>
      <c r="C422" s="38"/>
      <c r="D422" s="1"/>
      <c r="E422" s="1"/>
    </row>
    <row r="423" spans="2:5">
      <c r="B423" s="1"/>
      <c r="C423" s="38"/>
      <c r="D423" s="1"/>
      <c r="E423" s="1"/>
    </row>
    <row r="424" spans="2:5">
      <c r="B424" s="1"/>
      <c r="C424" s="38"/>
      <c r="D424" s="1"/>
      <c r="E424" s="1"/>
    </row>
    <row r="425" spans="2:5">
      <c r="B425" s="1"/>
      <c r="C425" s="38"/>
      <c r="D425" s="1"/>
      <c r="E425" s="1"/>
    </row>
    <row r="426" spans="2:5">
      <c r="B426" s="1"/>
      <c r="C426" s="38"/>
      <c r="D426" s="1"/>
      <c r="E426" s="1"/>
    </row>
    <row r="427" spans="2:5">
      <c r="B427" s="1"/>
      <c r="C427" s="38"/>
      <c r="D427" s="1"/>
      <c r="E427" s="1"/>
    </row>
    <row r="428" spans="2:5">
      <c r="B428" s="1"/>
      <c r="C428" s="38"/>
      <c r="D428" s="1"/>
      <c r="E428" s="1"/>
    </row>
    <row r="429" spans="2:5">
      <c r="B429" s="1"/>
      <c r="C429" s="38"/>
      <c r="D429" s="1"/>
      <c r="E429" s="1"/>
    </row>
    <row r="430" spans="2:5">
      <c r="B430" s="1"/>
      <c r="C430" s="38"/>
      <c r="D430" s="1"/>
      <c r="E430" s="1"/>
    </row>
    <row r="431" spans="2:5">
      <c r="B431" s="1"/>
      <c r="C431" s="38"/>
      <c r="D431" s="1"/>
      <c r="E431" s="1"/>
    </row>
    <row r="432" spans="2:5">
      <c r="B432" s="1"/>
      <c r="C432" s="38"/>
      <c r="D432" s="1"/>
      <c r="E432" s="1"/>
    </row>
    <row r="433" spans="2:5">
      <c r="B433" s="1"/>
      <c r="C433" s="38"/>
      <c r="D433" s="1"/>
      <c r="E433" s="1"/>
    </row>
    <row r="434" spans="2:5">
      <c r="B434" s="1"/>
      <c r="C434" s="38"/>
      <c r="D434" s="1"/>
      <c r="E434" s="1"/>
    </row>
    <row r="435" spans="2:5">
      <c r="B435" s="1"/>
      <c r="C435" s="38"/>
      <c r="D435" s="1"/>
      <c r="E435" s="1"/>
    </row>
    <row r="436" spans="2:5">
      <c r="D436" s="37" t="str">
        <f>B439&amp;C436</f>
        <v/>
      </c>
    </row>
  </sheetData>
  <mergeCells count="8">
    <mergeCell ref="C371:C380"/>
    <mergeCell ref="C307:C314"/>
    <mergeCell ref="C316:C323"/>
    <mergeCell ref="C325:C328"/>
    <mergeCell ref="C350:C352"/>
    <mergeCell ref="C354:C355"/>
    <mergeCell ref="C330:C333"/>
    <mergeCell ref="C344:C348"/>
  </mergeCells>
  <pageMargins left="0.75" right="0.75" top="1" bottom="1" header="0.5" footer="0.5"/>
  <pageSetup orientation="portrait" horizontalDpi="4294967292" vertic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9F621-8EAB-48B4-BE87-AF6CD6249452}">
  <dimension ref="A1:AY79"/>
  <sheetViews>
    <sheetView showGridLines="0" zoomScale="70" zoomScaleNormal="70" workbookViewId="0">
      <pane xSplit="5" ySplit="3" topLeftCell="F4" activePane="bottomRight" state="frozen"/>
      <selection pane="topRight" activeCell="D1" sqref="D1"/>
      <selection pane="bottomLeft" activeCell="A2" sqref="A2"/>
      <selection pane="bottomRight" activeCell="P7" sqref="P7"/>
    </sheetView>
  </sheetViews>
  <sheetFormatPr baseColWidth="10" defaultRowHeight="15"/>
  <cols>
    <col min="1" max="1" width="3.85546875" style="105" customWidth="1"/>
    <col min="2" max="2" width="30.42578125" style="106" customWidth="1"/>
    <col min="3" max="4" width="8.7109375" style="105" customWidth="1"/>
    <col min="5" max="5" width="14.42578125" style="105" customWidth="1"/>
    <col min="6" max="9" width="12.85546875" style="105" customWidth="1"/>
    <col min="10" max="15" width="9.85546875" style="105" customWidth="1"/>
    <col min="16" max="16" width="12.140625" style="105" customWidth="1"/>
    <col min="17" max="24" width="9.85546875" style="105" customWidth="1"/>
    <col min="25" max="25" width="11.42578125" style="105" customWidth="1"/>
    <col min="26" max="28" width="9.85546875" style="105" customWidth="1"/>
    <col min="29" max="29" width="11.42578125" style="105"/>
    <col min="30" max="33" width="21.28515625" style="105" customWidth="1"/>
    <col min="34" max="16384" width="11.42578125" style="105"/>
  </cols>
  <sheetData>
    <row r="1" spans="1:33" ht="18.75">
      <c r="F1" s="225" t="s">
        <v>314</v>
      </c>
      <c r="G1" s="226"/>
      <c r="H1" s="226"/>
      <c r="I1" s="227"/>
      <c r="J1" s="154" t="s">
        <v>277</v>
      </c>
      <c r="K1" s="155"/>
      <c r="L1" s="155"/>
      <c r="M1" s="155"/>
      <c r="N1" s="155"/>
      <c r="O1" s="155"/>
      <c r="P1" s="155"/>
      <c r="Q1" s="156"/>
      <c r="R1" s="222" t="s">
        <v>276</v>
      </c>
      <c r="S1" s="223"/>
      <c r="T1" s="223"/>
      <c r="U1" s="223"/>
      <c r="V1" s="223"/>
      <c r="W1" s="223"/>
      <c r="X1" s="223"/>
      <c r="Y1" s="223"/>
      <c r="Z1" s="224"/>
      <c r="AA1" s="218" t="s">
        <v>314</v>
      </c>
      <c r="AB1" s="219"/>
    </row>
    <row r="2" spans="1:33" ht="37.5">
      <c r="F2" s="123"/>
      <c r="G2" s="123"/>
      <c r="H2" s="123"/>
      <c r="I2" s="123"/>
      <c r="J2" s="195" t="s">
        <v>241</v>
      </c>
      <c r="K2" s="195"/>
      <c r="L2" s="195"/>
      <c r="M2" s="196" t="s">
        <v>255</v>
      </c>
      <c r="N2" s="196"/>
      <c r="O2" s="196"/>
      <c r="P2" s="203" t="s">
        <v>324</v>
      </c>
      <c r="Q2" s="123" t="s">
        <v>302</v>
      </c>
      <c r="R2" s="220" t="s">
        <v>241</v>
      </c>
      <c r="S2" s="220"/>
      <c r="T2" s="220"/>
      <c r="U2" s="220"/>
      <c r="V2" s="221" t="s">
        <v>255</v>
      </c>
      <c r="W2" s="221"/>
      <c r="X2" s="221"/>
      <c r="Y2" s="203" t="s">
        <v>324</v>
      </c>
      <c r="Z2" s="123" t="s">
        <v>302</v>
      </c>
      <c r="AA2" s="123" t="s">
        <v>312</v>
      </c>
      <c r="AB2" s="123" t="s">
        <v>313</v>
      </c>
    </row>
    <row r="3" spans="1:33" s="107" customFormat="1" ht="45">
      <c r="C3" s="147" t="s">
        <v>285</v>
      </c>
      <c r="D3" s="147" t="s">
        <v>286</v>
      </c>
      <c r="F3" s="124" t="s">
        <v>317</v>
      </c>
      <c r="G3" s="124" t="s">
        <v>318</v>
      </c>
      <c r="H3" s="124" t="s">
        <v>319</v>
      </c>
      <c r="I3" s="124" t="s">
        <v>320</v>
      </c>
      <c r="J3" s="103" t="s">
        <v>275</v>
      </c>
      <c r="K3" s="103" t="s">
        <v>203</v>
      </c>
      <c r="L3" s="103" t="s">
        <v>204</v>
      </c>
      <c r="M3" s="104" t="s">
        <v>227</v>
      </c>
      <c r="N3" s="104" t="s">
        <v>228</v>
      </c>
      <c r="O3" s="104" t="s">
        <v>229</v>
      </c>
      <c r="P3" s="104" t="s">
        <v>57</v>
      </c>
      <c r="Q3" s="124" t="s">
        <v>75</v>
      </c>
      <c r="R3" s="103" t="s">
        <v>242</v>
      </c>
      <c r="S3" s="103" t="s">
        <v>207</v>
      </c>
      <c r="T3" s="103" t="s">
        <v>225</v>
      </c>
      <c r="U3" s="103" t="s">
        <v>226</v>
      </c>
      <c r="V3" s="104" t="s">
        <v>273</v>
      </c>
      <c r="W3" s="104" t="s">
        <v>274</v>
      </c>
      <c r="X3" s="104" t="s">
        <v>272</v>
      </c>
      <c r="Y3" s="104" t="s">
        <v>56</v>
      </c>
      <c r="Z3" s="124" t="s">
        <v>77</v>
      </c>
      <c r="AA3" s="124" t="s">
        <v>1</v>
      </c>
      <c r="AB3" s="124" t="s">
        <v>0</v>
      </c>
    </row>
    <row r="4" spans="1:33" ht="18.75">
      <c r="B4" s="108" t="s">
        <v>278</v>
      </c>
      <c r="C4" s="117"/>
      <c r="D4" s="117"/>
      <c r="E4" s="117"/>
      <c r="F4" s="127"/>
      <c r="G4" s="128"/>
      <c r="H4" s="129"/>
      <c r="I4" s="128"/>
      <c r="J4" s="127"/>
      <c r="K4" s="128"/>
      <c r="L4" s="129"/>
      <c r="M4" s="127"/>
      <c r="N4" s="128"/>
      <c r="O4" s="129"/>
      <c r="P4" s="129"/>
      <c r="Q4" s="128"/>
      <c r="R4" s="127"/>
      <c r="S4" s="128"/>
      <c r="T4" s="128"/>
      <c r="U4" s="129"/>
      <c r="V4" s="127"/>
      <c r="W4" s="128"/>
      <c r="X4" s="129"/>
      <c r="Y4" s="129"/>
      <c r="Z4" s="177"/>
      <c r="AA4" s="177"/>
      <c r="AB4" s="177"/>
    </row>
    <row r="5" spans="1:33">
      <c r="B5" s="178" t="s">
        <v>315</v>
      </c>
      <c r="C5" s="179" t="s">
        <v>281</v>
      </c>
      <c r="D5" s="179" t="s">
        <v>115</v>
      </c>
      <c r="E5" s="180"/>
      <c r="F5" s="184">
        <v>100000</v>
      </c>
      <c r="G5" s="184">
        <v>100000</v>
      </c>
      <c r="H5" s="184">
        <v>100000</v>
      </c>
      <c r="I5" s="184">
        <v>100000</v>
      </c>
      <c r="J5" s="144">
        <f>J6</f>
        <v>3.0570000000000004</v>
      </c>
      <c r="K5" s="145">
        <f>K6</f>
        <v>2.1999999999999999E-2</v>
      </c>
      <c r="L5" s="146">
        <f>L6</f>
        <v>0.4</v>
      </c>
      <c r="M5" s="144">
        <f>M7</f>
        <v>8.64</v>
      </c>
      <c r="N5" s="145">
        <f>N7</f>
        <v>12.231999999999999</v>
      </c>
      <c r="O5" s="146">
        <f>O7</f>
        <v>2</v>
      </c>
      <c r="P5" s="146"/>
      <c r="Q5" s="145">
        <f>Q7</f>
        <v>2</v>
      </c>
      <c r="R5" s="144">
        <f>R6</f>
        <v>200.13300000000001</v>
      </c>
      <c r="S5" s="145">
        <f>S6</f>
        <v>0.1</v>
      </c>
      <c r="T5" s="145">
        <f>T6</f>
        <v>0.1</v>
      </c>
      <c r="U5" s="146">
        <f>U6</f>
        <v>0.1</v>
      </c>
      <c r="V5" s="144">
        <f t="shared" ref="V5:AB5" si="0">V7</f>
        <v>36.6</v>
      </c>
      <c r="W5" s="145">
        <f t="shared" si="0"/>
        <v>3.05</v>
      </c>
      <c r="X5" s="146">
        <f t="shared" si="0"/>
        <v>0.62</v>
      </c>
      <c r="Y5" s="146"/>
      <c r="Z5" s="181">
        <f t="shared" si="0"/>
        <v>5</v>
      </c>
      <c r="AA5" s="181">
        <f t="shared" si="0"/>
        <v>5</v>
      </c>
      <c r="AB5" s="181">
        <f t="shared" si="0"/>
        <v>5</v>
      </c>
    </row>
    <row r="6" spans="1:33" ht="18.75">
      <c r="A6" s="109"/>
      <c r="B6" s="178" t="s">
        <v>245</v>
      </c>
      <c r="C6" s="179" t="s">
        <v>281</v>
      </c>
      <c r="D6" s="157"/>
      <c r="E6" s="180" t="s">
        <v>252</v>
      </c>
      <c r="F6" s="181"/>
      <c r="G6" s="181"/>
      <c r="H6" s="181"/>
      <c r="I6" s="181"/>
      <c r="J6" s="144">
        <v>3.0570000000000004</v>
      </c>
      <c r="K6" s="145">
        <v>2.1999999999999999E-2</v>
      </c>
      <c r="L6" s="146">
        <v>0.4</v>
      </c>
      <c r="M6" s="144"/>
      <c r="N6" s="145"/>
      <c r="O6" s="146"/>
      <c r="P6" s="146"/>
      <c r="Q6" s="145"/>
      <c r="R6" s="144">
        <v>200.13300000000001</v>
      </c>
      <c r="S6" s="145">
        <v>0.1</v>
      </c>
      <c r="T6" s="145">
        <v>0.1</v>
      </c>
      <c r="U6" s="146">
        <v>0.1</v>
      </c>
      <c r="V6" s="144"/>
      <c r="W6" s="145"/>
      <c r="X6" s="146"/>
      <c r="Y6" s="146"/>
      <c r="Z6" s="181"/>
      <c r="AA6" s="181"/>
      <c r="AB6" s="181"/>
    </row>
    <row r="7" spans="1:33" ht="18.75">
      <c r="A7" s="109"/>
      <c r="B7" s="178" t="s">
        <v>246</v>
      </c>
      <c r="C7" s="179" t="s">
        <v>282</v>
      </c>
      <c r="D7" s="179" t="s">
        <v>115</v>
      </c>
      <c r="E7" s="180" t="s">
        <v>253</v>
      </c>
      <c r="F7" s="181"/>
      <c r="G7" s="181"/>
      <c r="H7" s="181"/>
      <c r="I7" s="181"/>
      <c r="J7" s="144">
        <v>2.778</v>
      </c>
      <c r="K7" s="182">
        <v>0.05</v>
      </c>
      <c r="L7" s="146">
        <v>0.5</v>
      </c>
      <c r="M7" s="144">
        <v>8.64</v>
      </c>
      <c r="N7" s="145">
        <v>12.231999999999999</v>
      </c>
      <c r="O7" s="146">
        <v>2</v>
      </c>
      <c r="P7" s="146">
        <f>P11/2</f>
        <v>33</v>
      </c>
      <c r="Q7" s="145">
        <v>2</v>
      </c>
      <c r="R7" s="144">
        <v>18.398</v>
      </c>
      <c r="S7" s="145">
        <v>0.16200000000000001</v>
      </c>
      <c r="T7" s="145">
        <v>0.14499999999999999</v>
      </c>
      <c r="U7" s="146">
        <v>0.14499999999999999</v>
      </c>
      <c r="V7" s="144">
        <v>36.6</v>
      </c>
      <c r="W7" s="145">
        <v>3.05</v>
      </c>
      <c r="X7" s="146">
        <v>0.62</v>
      </c>
      <c r="Y7" s="146">
        <f>Y11/2</f>
        <v>169.5</v>
      </c>
      <c r="Z7" s="181">
        <v>5</v>
      </c>
      <c r="AA7" s="181">
        <v>5</v>
      </c>
      <c r="AB7" s="181">
        <v>5</v>
      </c>
    </row>
    <row r="8" spans="1:33" ht="18.75">
      <c r="A8" s="109"/>
      <c r="B8" s="178" t="s">
        <v>259</v>
      </c>
      <c r="C8" s="180"/>
      <c r="D8" s="180"/>
      <c r="E8" s="180" t="s">
        <v>264</v>
      </c>
      <c r="F8" s="146"/>
      <c r="G8" s="146"/>
      <c r="H8" s="146"/>
      <c r="I8" s="146"/>
      <c r="J8" s="144"/>
      <c r="K8" s="145">
        <f t="shared" ref="K8:X8" si="1">K7/K10</f>
        <v>8.3333333333333343E-2</v>
      </c>
      <c r="L8" s="146">
        <f t="shared" si="1"/>
        <v>1.0416666666666667</v>
      </c>
      <c r="M8" s="144">
        <f t="shared" si="1"/>
        <v>9.6</v>
      </c>
      <c r="N8" s="145">
        <f t="shared" si="1"/>
        <v>13.591111111111109</v>
      </c>
      <c r="O8" s="146">
        <f t="shared" si="1"/>
        <v>2.2222222222222223</v>
      </c>
      <c r="P8" s="146"/>
      <c r="Q8" s="146">
        <f t="shared" si="1"/>
        <v>2.1052631578947367</v>
      </c>
      <c r="R8" s="144">
        <f t="shared" si="1"/>
        <v>36.795999999999999</v>
      </c>
      <c r="S8" s="145">
        <f t="shared" si="1"/>
        <v>0.28222996515679444</v>
      </c>
      <c r="T8" s="145">
        <f t="shared" si="1"/>
        <v>0.25261324041811845</v>
      </c>
      <c r="U8" s="146">
        <f t="shared" si="1"/>
        <v>0.25261324041811845</v>
      </c>
      <c r="V8" s="144">
        <f t="shared" si="1"/>
        <v>40.666666666666664</v>
      </c>
      <c r="W8" s="145">
        <f t="shared" si="1"/>
        <v>3.3888888888888884</v>
      </c>
      <c r="X8" s="146">
        <f t="shared" si="1"/>
        <v>0.68888888888888888</v>
      </c>
      <c r="Y8" s="146"/>
      <c r="Z8" s="146">
        <f>Z7/Z10</f>
        <v>5.2631578947368425</v>
      </c>
      <c r="AA8" s="146">
        <f>AA7/AA10</f>
        <v>5.2631578947368425</v>
      </c>
      <c r="AB8" s="146">
        <f>AB7/AB10</f>
        <v>6.25</v>
      </c>
    </row>
    <row r="9" spans="1:33" ht="18.75">
      <c r="A9" s="109"/>
      <c r="B9" s="178" t="s">
        <v>257</v>
      </c>
      <c r="C9" s="179" t="s">
        <v>283</v>
      </c>
      <c r="D9" s="179"/>
      <c r="E9" s="180" t="s">
        <v>22</v>
      </c>
      <c r="F9" s="181">
        <v>1</v>
      </c>
      <c r="G9" s="181">
        <v>1</v>
      </c>
      <c r="H9" s="181">
        <v>1</v>
      </c>
      <c r="I9" s="181">
        <v>1</v>
      </c>
      <c r="J9" s="144">
        <v>0.40533333333333332</v>
      </c>
      <c r="K9" s="145">
        <v>0.29299999999999998</v>
      </c>
      <c r="L9" s="146">
        <v>0.39</v>
      </c>
      <c r="M9" s="144">
        <v>0</v>
      </c>
      <c r="N9" s="145">
        <v>0</v>
      </c>
      <c r="O9" s="146">
        <v>0</v>
      </c>
      <c r="P9" s="146"/>
      <c r="Q9" s="146">
        <v>0</v>
      </c>
      <c r="R9" s="144">
        <v>0.35</v>
      </c>
      <c r="S9" s="145">
        <v>0.34599999999999997</v>
      </c>
      <c r="T9" s="145">
        <v>0.34599999999999997</v>
      </c>
      <c r="U9" s="146">
        <v>0.34599999999999997</v>
      </c>
      <c r="V9" s="144">
        <v>0</v>
      </c>
      <c r="W9" s="145">
        <v>0</v>
      </c>
      <c r="X9" s="146">
        <v>0</v>
      </c>
      <c r="Y9" s="146"/>
      <c r="Z9" s="181"/>
      <c r="AA9" s="181"/>
      <c r="AB9" s="181"/>
      <c r="AF9" s="121"/>
      <c r="AG9" s="121"/>
    </row>
    <row r="10" spans="1:33" ht="18.75">
      <c r="A10" s="109"/>
      <c r="B10" s="178" t="s">
        <v>258</v>
      </c>
      <c r="C10" s="179" t="s">
        <v>284</v>
      </c>
      <c r="D10" s="183" t="s">
        <v>116</v>
      </c>
      <c r="E10" s="180" t="s">
        <v>22</v>
      </c>
      <c r="F10" s="181">
        <v>1</v>
      </c>
      <c r="G10" s="181">
        <v>1</v>
      </c>
      <c r="H10" s="181">
        <v>1</v>
      </c>
      <c r="I10" s="181">
        <v>1</v>
      </c>
      <c r="J10" s="144">
        <v>0.56799999999999995</v>
      </c>
      <c r="K10" s="145">
        <v>0.6</v>
      </c>
      <c r="L10" s="146">
        <v>0.48</v>
      </c>
      <c r="M10" s="144">
        <v>0.9</v>
      </c>
      <c r="N10" s="145">
        <v>0.9</v>
      </c>
      <c r="O10" s="146">
        <v>0.9</v>
      </c>
      <c r="P10" s="146"/>
      <c r="Q10" s="145">
        <v>0.95</v>
      </c>
      <c r="R10" s="144">
        <v>0.5</v>
      </c>
      <c r="S10" s="145">
        <v>0.57399999999999995</v>
      </c>
      <c r="T10" s="145">
        <v>0.57399999999999995</v>
      </c>
      <c r="U10" s="146">
        <v>0.57399999999999995</v>
      </c>
      <c r="V10" s="144">
        <v>0.9</v>
      </c>
      <c r="W10" s="145">
        <v>0.9</v>
      </c>
      <c r="X10" s="146">
        <v>0.9</v>
      </c>
      <c r="Y10" s="146"/>
      <c r="Z10" s="181">
        <v>0.95</v>
      </c>
      <c r="AA10" s="181">
        <v>0.95</v>
      </c>
      <c r="AB10" s="181">
        <v>0.8</v>
      </c>
      <c r="AF10" s="121"/>
      <c r="AG10" s="121"/>
    </row>
    <row r="11" spans="1:33" ht="25.5">
      <c r="A11" s="109"/>
      <c r="B11" s="178" t="s">
        <v>325</v>
      </c>
      <c r="C11" s="179"/>
      <c r="D11" s="83" t="s">
        <v>125</v>
      </c>
      <c r="E11" s="180" t="s">
        <v>326</v>
      </c>
      <c r="F11" s="181"/>
      <c r="G11" s="181"/>
      <c r="H11" s="181"/>
      <c r="I11" s="181"/>
      <c r="J11" s="144"/>
      <c r="K11" s="145"/>
      <c r="L11" s="146"/>
      <c r="M11" s="144"/>
      <c r="N11" s="145"/>
      <c r="O11" s="146"/>
      <c r="P11" s="146">
        <v>66</v>
      </c>
      <c r="Q11" s="145"/>
      <c r="R11" s="144"/>
      <c r="S11" s="145"/>
      <c r="T11" s="145"/>
      <c r="U11" s="146"/>
      <c r="V11" s="144"/>
      <c r="W11" s="145"/>
      <c r="X11" s="146"/>
      <c r="Y11" s="146">
        <v>339</v>
      </c>
      <c r="Z11" s="181"/>
      <c r="AA11" s="181"/>
      <c r="AB11" s="181"/>
      <c r="AF11" s="121"/>
      <c r="AG11" s="121"/>
    </row>
    <row r="12" spans="1:33" ht="18.75">
      <c r="A12" s="109"/>
      <c r="B12" s="178" t="s">
        <v>244</v>
      </c>
      <c r="C12" s="180" t="str">
        <f>B12</f>
        <v>Lebensdauer</v>
      </c>
      <c r="D12" s="180"/>
      <c r="E12" s="180" t="s">
        <v>106</v>
      </c>
      <c r="F12" s="184"/>
      <c r="G12" s="184"/>
      <c r="H12" s="184"/>
      <c r="I12" s="184"/>
      <c r="J12" s="141">
        <v>20</v>
      </c>
      <c r="K12" s="142">
        <v>20</v>
      </c>
      <c r="L12" s="143">
        <v>20</v>
      </c>
      <c r="M12" s="141">
        <v>20</v>
      </c>
      <c r="N12" s="142">
        <v>20</v>
      </c>
      <c r="O12" s="143">
        <v>20</v>
      </c>
      <c r="P12" s="143"/>
      <c r="Q12" s="142">
        <v>20</v>
      </c>
      <c r="R12" s="141">
        <v>20</v>
      </c>
      <c r="S12" s="142">
        <v>20</v>
      </c>
      <c r="T12" s="142">
        <v>20</v>
      </c>
      <c r="U12" s="143">
        <v>20</v>
      </c>
      <c r="V12" s="141">
        <v>20</v>
      </c>
      <c r="W12" s="142">
        <v>20</v>
      </c>
      <c r="X12" s="143">
        <v>20</v>
      </c>
      <c r="Y12" s="143"/>
      <c r="Z12" s="184">
        <v>20</v>
      </c>
      <c r="AA12" s="184">
        <v>20</v>
      </c>
      <c r="AB12" s="184">
        <v>20</v>
      </c>
      <c r="AF12" s="121"/>
      <c r="AG12" s="121"/>
    </row>
    <row r="13" spans="1:33" ht="18.75">
      <c r="A13" s="108"/>
      <c r="B13" s="116"/>
      <c r="C13" s="117"/>
      <c r="D13" s="117"/>
      <c r="E13" s="117"/>
      <c r="F13" s="177"/>
      <c r="G13" s="177"/>
      <c r="H13" s="177"/>
      <c r="I13" s="174"/>
      <c r="J13" s="174"/>
      <c r="K13" s="175"/>
      <c r="L13" s="176"/>
      <c r="M13" s="174"/>
      <c r="N13" s="175"/>
      <c r="O13" s="176"/>
      <c r="P13" s="176"/>
      <c r="Q13" s="175"/>
      <c r="R13" s="174"/>
      <c r="S13" s="175"/>
      <c r="T13" s="175"/>
      <c r="U13" s="176"/>
      <c r="V13" s="174"/>
      <c r="W13" s="175"/>
      <c r="X13" s="176"/>
      <c r="Y13" s="176"/>
      <c r="Z13" s="177"/>
      <c r="AA13" s="177"/>
      <c r="AB13" s="177"/>
      <c r="AF13" s="121"/>
      <c r="AG13" s="121"/>
    </row>
    <row r="14" spans="1:33" ht="18.75">
      <c r="B14" s="108" t="s">
        <v>262</v>
      </c>
      <c r="C14" s="117"/>
      <c r="D14" s="117"/>
      <c r="E14" s="117"/>
      <c r="F14" s="177"/>
      <c r="G14" s="177"/>
      <c r="H14" s="177"/>
      <c r="I14" s="174"/>
      <c r="J14" s="174"/>
      <c r="K14" s="175"/>
      <c r="L14" s="176"/>
      <c r="M14" s="174"/>
      <c r="N14" s="175"/>
      <c r="O14" s="176"/>
      <c r="P14" s="176"/>
      <c r="Q14" s="175"/>
      <c r="R14" s="174"/>
      <c r="S14" s="175"/>
      <c r="T14" s="175"/>
      <c r="U14" s="176"/>
      <c r="V14" s="174"/>
      <c r="W14" s="175"/>
      <c r="X14" s="176"/>
      <c r="Y14" s="176"/>
      <c r="Z14" s="177"/>
      <c r="AA14" s="177"/>
      <c r="AB14" s="177"/>
    </row>
    <row r="15" spans="1:33" ht="30">
      <c r="A15" s="108"/>
      <c r="B15" s="178" t="s">
        <v>279</v>
      </c>
      <c r="C15" s="180"/>
      <c r="D15" s="180"/>
      <c r="E15" s="180" t="s">
        <v>263</v>
      </c>
      <c r="F15" s="184"/>
      <c r="G15" s="184"/>
      <c r="H15" s="184"/>
      <c r="I15" s="141"/>
      <c r="J15" s="141">
        <v>4500</v>
      </c>
      <c r="K15" s="142">
        <v>4500</v>
      </c>
      <c r="L15" s="143">
        <v>4500</v>
      </c>
      <c r="M15" s="141">
        <v>1000</v>
      </c>
      <c r="N15" s="142">
        <v>1000</v>
      </c>
      <c r="O15" s="143">
        <v>1000</v>
      </c>
      <c r="P15" s="143"/>
      <c r="Q15" s="142">
        <v>500</v>
      </c>
      <c r="R15" s="141">
        <v>4500</v>
      </c>
      <c r="S15" s="142">
        <v>4500</v>
      </c>
      <c r="T15" s="142">
        <v>4500</v>
      </c>
      <c r="U15" s="143">
        <v>4500</v>
      </c>
      <c r="V15" s="141">
        <v>1000</v>
      </c>
      <c r="W15" s="142">
        <v>1000</v>
      </c>
      <c r="X15" s="143">
        <v>1000</v>
      </c>
      <c r="Y15" s="143"/>
      <c r="Z15" s="184">
        <v>500</v>
      </c>
      <c r="AA15" s="184">
        <v>500</v>
      </c>
      <c r="AB15" s="184">
        <v>500</v>
      </c>
    </row>
    <row r="16" spans="1:33" ht="18.75">
      <c r="A16" s="108"/>
      <c r="B16" s="178" t="s">
        <v>260</v>
      </c>
      <c r="C16" s="180"/>
      <c r="D16" s="180"/>
      <c r="E16" s="180" t="s">
        <v>265</v>
      </c>
      <c r="F16" s="143"/>
      <c r="G16" s="143"/>
      <c r="H16" s="143"/>
      <c r="I16" s="142"/>
      <c r="J16" s="141">
        <f>J17*J9</f>
        <v>5067.0720000000001</v>
      </c>
      <c r="K16" s="142">
        <f>K18*K9</f>
        <v>109.875</v>
      </c>
      <c r="L16" s="143">
        <f t="shared" ref="L16:O17" si="2">L17*L9</f>
        <v>877.5</v>
      </c>
      <c r="M16" s="141">
        <f t="shared" si="2"/>
        <v>0</v>
      </c>
      <c r="N16" s="142">
        <f t="shared" si="2"/>
        <v>0</v>
      </c>
      <c r="O16" s="143">
        <f t="shared" si="2"/>
        <v>0</v>
      </c>
      <c r="P16" s="143"/>
      <c r="Q16" s="143">
        <f>Q17*Q9</f>
        <v>0</v>
      </c>
      <c r="R16" s="141">
        <f>R18*R9</f>
        <v>57953.7</v>
      </c>
      <c r="S16" s="142">
        <f t="shared" ref="S16:X17" si="3">S17*S9</f>
        <v>252.23399999999998</v>
      </c>
      <c r="T16" s="142">
        <f t="shared" si="3"/>
        <v>225.76499999999999</v>
      </c>
      <c r="U16" s="143">
        <f t="shared" si="3"/>
        <v>225.76499999999999</v>
      </c>
      <c r="V16" s="141">
        <f t="shared" si="3"/>
        <v>0</v>
      </c>
      <c r="W16" s="142">
        <f t="shared" si="3"/>
        <v>0</v>
      </c>
      <c r="X16" s="143">
        <f t="shared" si="3"/>
        <v>0</v>
      </c>
      <c r="Y16" s="143"/>
      <c r="Z16" s="143">
        <f t="shared" ref="Z16:AB17" si="4">Z17*Z9</f>
        <v>0</v>
      </c>
      <c r="AA16" s="143">
        <f t="shared" si="4"/>
        <v>0</v>
      </c>
      <c r="AB16" s="143">
        <f t="shared" si="4"/>
        <v>0</v>
      </c>
      <c r="AE16" s="120"/>
      <c r="AF16" s="121"/>
      <c r="AG16" s="121"/>
    </row>
    <row r="17" spans="1:33" ht="18.75">
      <c r="A17" s="108"/>
      <c r="B17" s="178" t="s">
        <v>261</v>
      </c>
      <c r="C17" s="180"/>
      <c r="D17" s="180"/>
      <c r="E17" s="180" t="s">
        <v>265</v>
      </c>
      <c r="F17" s="143"/>
      <c r="G17" s="143"/>
      <c r="H17" s="143"/>
      <c r="I17" s="142"/>
      <c r="J17" s="141">
        <f>J18*J10</f>
        <v>12501</v>
      </c>
      <c r="K17" s="142">
        <f>K18*K10</f>
        <v>225</v>
      </c>
      <c r="L17" s="143">
        <f t="shared" si="2"/>
        <v>2250</v>
      </c>
      <c r="M17" s="141">
        <f t="shared" si="2"/>
        <v>8640</v>
      </c>
      <c r="N17" s="142">
        <f t="shared" si="2"/>
        <v>12232</v>
      </c>
      <c r="O17" s="143">
        <f t="shared" si="2"/>
        <v>2000</v>
      </c>
      <c r="P17" s="143"/>
      <c r="Q17" s="143">
        <f>Q18*Q10</f>
        <v>1000.0000000000001</v>
      </c>
      <c r="R17" s="141">
        <f>R18*R10</f>
        <v>82791</v>
      </c>
      <c r="S17" s="142">
        <f t="shared" si="3"/>
        <v>729</v>
      </c>
      <c r="T17" s="142">
        <f t="shared" si="3"/>
        <v>652.5</v>
      </c>
      <c r="U17" s="143">
        <f t="shared" si="3"/>
        <v>652.5</v>
      </c>
      <c r="V17" s="141">
        <f t="shared" si="3"/>
        <v>36600</v>
      </c>
      <c r="W17" s="142">
        <f t="shared" si="3"/>
        <v>3050</v>
      </c>
      <c r="X17" s="143">
        <f t="shared" si="3"/>
        <v>620</v>
      </c>
      <c r="Y17" s="143"/>
      <c r="Z17" s="143">
        <f t="shared" si="4"/>
        <v>2500</v>
      </c>
      <c r="AA17" s="143">
        <f t="shared" si="4"/>
        <v>2500</v>
      </c>
      <c r="AB17" s="143">
        <f t="shared" si="4"/>
        <v>2500</v>
      </c>
      <c r="AE17" s="120"/>
      <c r="AF17" s="121"/>
      <c r="AG17" s="121"/>
    </row>
    <row r="18" spans="1:33" ht="18.75">
      <c r="A18" s="109"/>
      <c r="B18" s="178" t="s">
        <v>256</v>
      </c>
      <c r="C18" s="180"/>
      <c r="D18" s="180"/>
      <c r="E18" s="180" t="s">
        <v>265</v>
      </c>
      <c r="F18" s="143"/>
      <c r="G18" s="143"/>
      <c r="H18" s="143"/>
      <c r="I18" s="142"/>
      <c r="J18" s="141">
        <f>J15*J7/J10</f>
        <v>22008.802816901411</v>
      </c>
      <c r="K18" s="142">
        <f>(K15*K7)/K10</f>
        <v>375</v>
      </c>
      <c r="L18" s="143">
        <f t="shared" ref="L18:Z18" si="5">L15*L7/L10</f>
        <v>4687.5</v>
      </c>
      <c r="M18" s="141">
        <f t="shared" si="5"/>
        <v>9600</v>
      </c>
      <c r="N18" s="142">
        <f t="shared" si="5"/>
        <v>13591.111111111111</v>
      </c>
      <c r="O18" s="143">
        <f t="shared" si="5"/>
        <v>2222.2222222222222</v>
      </c>
      <c r="P18" s="143"/>
      <c r="Q18" s="143">
        <f>Q15*Q7/Q10</f>
        <v>1052.6315789473686</v>
      </c>
      <c r="R18" s="141">
        <f t="shared" si="5"/>
        <v>165582</v>
      </c>
      <c r="S18" s="142">
        <f t="shared" si="5"/>
        <v>1270.034843205575</v>
      </c>
      <c r="T18" s="142">
        <f t="shared" si="5"/>
        <v>1136.7595818815332</v>
      </c>
      <c r="U18" s="143">
        <f t="shared" si="5"/>
        <v>1136.7595818815332</v>
      </c>
      <c r="V18" s="141">
        <f t="shared" si="5"/>
        <v>40666.666666666664</v>
      </c>
      <c r="W18" s="142">
        <f t="shared" si="5"/>
        <v>3388.8888888888887</v>
      </c>
      <c r="X18" s="143">
        <f t="shared" si="5"/>
        <v>688.88888888888891</v>
      </c>
      <c r="Y18" s="143"/>
      <c r="Z18" s="143">
        <f t="shared" si="5"/>
        <v>2631.5789473684213</v>
      </c>
      <c r="AA18" s="143">
        <f>AA15*AA7/AA10</f>
        <v>2631.5789473684213</v>
      </c>
      <c r="AB18" s="143">
        <f>AB15*AB7/AB10</f>
        <v>3125</v>
      </c>
      <c r="AE18" s="120"/>
      <c r="AF18" s="121"/>
      <c r="AG18" s="121"/>
    </row>
    <row r="19" spans="1:33" ht="18.75">
      <c r="A19" s="109"/>
      <c r="B19" s="116"/>
      <c r="C19" s="117"/>
      <c r="D19" s="117"/>
      <c r="E19" s="117"/>
      <c r="F19" s="177"/>
      <c r="G19" s="177"/>
      <c r="H19" s="177"/>
      <c r="I19" s="174"/>
      <c r="J19" s="174"/>
      <c r="K19" s="175"/>
      <c r="L19" s="176"/>
      <c r="M19" s="174"/>
      <c r="N19" s="175"/>
      <c r="O19" s="176"/>
      <c r="P19" s="176"/>
      <c r="Q19" s="175"/>
      <c r="R19" s="174"/>
      <c r="S19" s="175"/>
      <c r="T19" s="175"/>
      <c r="U19" s="176"/>
      <c r="V19" s="174"/>
      <c r="W19" s="175"/>
      <c r="X19" s="176"/>
      <c r="Y19" s="176"/>
      <c r="Z19" s="177"/>
      <c r="AA19" s="177"/>
      <c r="AB19" s="177"/>
      <c r="AF19" s="121"/>
      <c r="AG19" s="121"/>
    </row>
    <row r="20" spans="1:33" ht="18.75">
      <c r="B20" s="108" t="s">
        <v>290</v>
      </c>
      <c r="C20" s="117"/>
      <c r="D20" s="117"/>
      <c r="E20" s="117"/>
      <c r="F20" s="131"/>
      <c r="G20" s="131"/>
      <c r="H20" s="131"/>
      <c r="I20" s="127"/>
      <c r="J20" s="127"/>
      <c r="K20" s="128"/>
      <c r="L20" s="129"/>
      <c r="M20" s="127"/>
      <c r="N20" s="128"/>
      <c r="O20" s="129"/>
      <c r="P20" s="129"/>
      <c r="Q20" s="128"/>
      <c r="R20" s="127"/>
      <c r="S20" s="128"/>
      <c r="T20" s="128"/>
      <c r="U20" s="129"/>
      <c r="V20" s="127"/>
      <c r="W20" s="128"/>
      <c r="X20" s="129"/>
      <c r="Y20" s="129"/>
      <c r="Z20" s="131"/>
      <c r="AA20" s="131"/>
      <c r="AB20" s="131"/>
    </row>
    <row r="21" spans="1:33" ht="18.75">
      <c r="A21" s="109"/>
      <c r="B21" s="178" t="s">
        <v>287</v>
      </c>
      <c r="C21" s="180"/>
      <c r="D21" s="180"/>
      <c r="E21" s="180"/>
      <c r="F21" s="184"/>
      <c r="G21" s="184"/>
      <c r="H21" s="184"/>
      <c r="I21" s="141"/>
      <c r="J21" s="141">
        <f>SUM(F17:O17)</f>
        <v>37848</v>
      </c>
      <c r="K21" s="142"/>
      <c r="L21" s="143"/>
      <c r="M21" s="141"/>
      <c r="N21" s="142"/>
      <c r="O21" s="143"/>
      <c r="P21" s="143"/>
      <c r="Q21" s="142"/>
      <c r="R21" s="141">
        <f>SUM(R17:X17)</f>
        <v>125095</v>
      </c>
      <c r="S21" s="142"/>
      <c r="T21" s="142"/>
      <c r="U21" s="143"/>
      <c r="V21" s="141"/>
      <c r="W21" s="142"/>
      <c r="X21" s="143"/>
      <c r="Y21" s="143"/>
      <c r="Z21" s="184"/>
      <c r="AA21" s="184"/>
      <c r="AB21" s="184"/>
    </row>
    <row r="22" spans="1:33" ht="30">
      <c r="A22" s="109"/>
      <c r="B22" s="178" t="s">
        <v>288</v>
      </c>
      <c r="C22" s="180"/>
      <c r="D22" s="180"/>
      <c r="E22" s="180"/>
      <c r="F22" s="184"/>
      <c r="G22" s="184"/>
      <c r="H22" s="184"/>
      <c r="I22" s="141"/>
      <c r="J22" s="141">
        <v>25400</v>
      </c>
      <c r="K22" s="142"/>
      <c r="L22" s="143"/>
      <c r="M22" s="141"/>
      <c r="N22" s="142"/>
      <c r="O22" s="143"/>
      <c r="P22" s="143"/>
      <c r="Q22" s="142"/>
      <c r="R22" s="141">
        <v>128000</v>
      </c>
      <c r="S22" s="142"/>
      <c r="T22" s="142"/>
      <c r="U22" s="143"/>
      <c r="V22" s="141"/>
      <c r="W22" s="142"/>
      <c r="X22" s="143"/>
      <c r="Y22" s="143"/>
      <c r="Z22" s="184"/>
      <c r="AA22" s="184"/>
      <c r="AB22" s="184"/>
    </row>
    <row r="23" spans="1:33" ht="18.75">
      <c r="A23" s="109"/>
      <c r="B23" s="178" t="s">
        <v>289</v>
      </c>
      <c r="C23" s="180"/>
      <c r="D23" s="180"/>
      <c r="E23" s="180"/>
      <c r="F23" s="125"/>
      <c r="G23" s="125"/>
      <c r="H23" s="125"/>
      <c r="I23" s="110"/>
      <c r="J23" s="110">
        <f>J22/J21</f>
        <v>0.67110547452969771</v>
      </c>
      <c r="K23" s="111"/>
      <c r="L23" s="112"/>
      <c r="M23" s="110"/>
      <c r="N23" s="111"/>
      <c r="O23" s="112"/>
      <c r="P23" s="112"/>
      <c r="Q23" s="111"/>
      <c r="R23" s="110">
        <f>R22/R21</f>
        <v>1.0232223510132299</v>
      </c>
      <c r="S23" s="111"/>
      <c r="T23" s="111"/>
      <c r="U23" s="112"/>
      <c r="V23" s="110"/>
      <c r="W23" s="111"/>
      <c r="X23" s="112"/>
      <c r="Y23" s="112"/>
      <c r="Z23" s="125"/>
      <c r="AA23" s="125"/>
      <c r="AB23" s="125"/>
    </row>
    <row r="24" spans="1:33" ht="18.75">
      <c r="A24" s="109"/>
      <c r="B24" s="116"/>
      <c r="C24" s="117"/>
      <c r="D24" s="117"/>
      <c r="E24" s="117"/>
      <c r="F24" s="131"/>
      <c r="G24" s="131"/>
      <c r="H24" s="131"/>
      <c r="I24" s="127"/>
      <c r="J24" s="127"/>
      <c r="K24" s="128"/>
      <c r="L24" s="129"/>
      <c r="M24" s="127"/>
      <c r="N24" s="128"/>
      <c r="O24" s="129"/>
      <c r="P24" s="129"/>
      <c r="Q24" s="128"/>
      <c r="R24" s="127"/>
      <c r="S24" s="128"/>
      <c r="T24" s="128"/>
      <c r="U24" s="129"/>
      <c r="V24" s="127"/>
      <c r="W24" s="128"/>
      <c r="X24" s="129"/>
      <c r="Y24" s="129"/>
      <c r="Z24" s="131"/>
      <c r="AA24" s="131"/>
      <c r="AB24" s="131"/>
    </row>
    <row r="25" spans="1:33" ht="18.75">
      <c r="B25" s="108" t="s">
        <v>247</v>
      </c>
      <c r="C25" s="117"/>
      <c r="D25" s="117"/>
      <c r="E25" s="117"/>
      <c r="F25" s="131"/>
      <c r="G25" s="131"/>
      <c r="H25" s="131"/>
      <c r="I25" s="127"/>
      <c r="J25" s="127"/>
      <c r="K25" s="128"/>
      <c r="L25" s="129"/>
      <c r="M25" s="127"/>
      <c r="N25" s="128"/>
      <c r="O25" s="129"/>
      <c r="P25" s="129"/>
      <c r="Q25" s="128"/>
      <c r="R25" s="127"/>
      <c r="S25" s="128"/>
      <c r="T25" s="128"/>
      <c r="U25" s="129"/>
      <c r="V25" s="127"/>
      <c r="W25" s="128"/>
      <c r="X25" s="129"/>
      <c r="Y25" s="129"/>
      <c r="Z25" s="131"/>
      <c r="AA25" s="131"/>
      <c r="AB25" s="131"/>
    </row>
    <row r="26" spans="1:33" ht="18.75">
      <c r="A26" s="109"/>
      <c r="B26" s="178" t="s">
        <v>323</v>
      </c>
      <c r="C26" s="180"/>
      <c r="D26" s="180"/>
      <c r="E26" s="180" t="s">
        <v>19</v>
      </c>
      <c r="F26" s="125"/>
      <c r="G26" s="125"/>
      <c r="H26" s="125"/>
      <c r="I26" s="110"/>
      <c r="J26" s="110"/>
      <c r="K26" s="111">
        <v>29.11</v>
      </c>
      <c r="L26" s="112">
        <v>29.11</v>
      </c>
      <c r="M26" s="110">
        <v>29.11</v>
      </c>
      <c r="N26" s="111">
        <v>29.11</v>
      </c>
      <c r="O26" s="112">
        <v>29.11</v>
      </c>
      <c r="P26" s="112"/>
      <c r="Q26" s="111"/>
      <c r="R26" s="110"/>
      <c r="S26" s="111">
        <v>29.11</v>
      </c>
      <c r="T26" s="111">
        <v>29.11</v>
      </c>
      <c r="U26" s="111">
        <v>29.11</v>
      </c>
      <c r="V26" s="110">
        <v>29.11</v>
      </c>
      <c r="W26" s="111">
        <v>29.11</v>
      </c>
      <c r="X26" s="112">
        <v>29.11</v>
      </c>
      <c r="Y26" s="112"/>
      <c r="Z26" s="125"/>
      <c r="AA26" s="125"/>
      <c r="AB26" s="125"/>
    </row>
    <row r="27" spans="1:33" ht="18.75">
      <c r="A27" s="109"/>
      <c r="B27" s="178" t="s">
        <v>96</v>
      </c>
      <c r="C27" s="180"/>
      <c r="D27" s="180"/>
      <c r="E27" s="180" t="s">
        <v>19</v>
      </c>
      <c r="F27" s="125"/>
      <c r="G27" s="125"/>
      <c r="H27" s="125"/>
      <c r="I27" s="110"/>
      <c r="J27" s="110"/>
      <c r="K27" s="111"/>
      <c r="L27" s="112"/>
      <c r="M27" s="110"/>
      <c r="N27" s="111"/>
      <c r="O27" s="112"/>
      <c r="P27" s="112"/>
      <c r="Q27" s="111" t="s">
        <v>311</v>
      </c>
      <c r="R27" s="110"/>
      <c r="S27" s="111"/>
      <c r="T27" s="111"/>
      <c r="U27" s="112"/>
      <c r="V27" s="110"/>
      <c r="W27" s="111"/>
      <c r="X27" s="112"/>
      <c r="Y27" s="112"/>
      <c r="Z27" s="125" t="s">
        <v>311</v>
      </c>
      <c r="AA27" s="125" t="s">
        <v>311</v>
      </c>
      <c r="AB27" s="125" t="s">
        <v>311</v>
      </c>
    </row>
    <row r="28" spans="1:33" ht="18.75">
      <c r="A28" s="109"/>
      <c r="B28" s="178" t="s">
        <v>266</v>
      </c>
      <c r="C28" s="180"/>
      <c r="D28" s="180"/>
      <c r="E28" s="180" t="s">
        <v>19</v>
      </c>
      <c r="F28" s="125"/>
      <c r="G28" s="125"/>
      <c r="H28" s="125"/>
      <c r="I28" s="110"/>
      <c r="J28" s="110">
        <v>0</v>
      </c>
      <c r="K28" s="111"/>
      <c r="L28" s="112"/>
      <c r="M28" s="110"/>
      <c r="N28" s="111"/>
      <c r="O28" s="112"/>
      <c r="P28" s="112"/>
      <c r="Q28" s="111"/>
      <c r="R28" s="110">
        <v>0</v>
      </c>
      <c r="S28" s="111"/>
      <c r="T28" s="111"/>
      <c r="U28" s="112"/>
      <c r="V28" s="110"/>
      <c r="W28" s="111"/>
      <c r="X28" s="112"/>
      <c r="Y28" s="112"/>
      <c r="Z28" s="125"/>
      <c r="AA28" s="125"/>
      <c r="AB28" s="125"/>
    </row>
    <row r="29" spans="1:33" ht="18.75">
      <c r="A29" s="109"/>
      <c r="B29" s="116"/>
      <c r="C29" s="117"/>
      <c r="D29" s="117"/>
      <c r="E29" s="117"/>
      <c r="F29" s="131"/>
      <c r="G29" s="131"/>
      <c r="H29" s="131"/>
      <c r="I29" s="127"/>
      <c r="J29" s="127"/>
      <c r="K29" s="128"/>
      <c r="L29" s="129"/>
      <c r="M29" s="127"/>
      <c r="N29" s="128"/>
      <c r="O29" s="129"/>
      <c r="P29" s="129"/>
      <c r="Q29" s="128"/>
      <c r="R29" s="127"/>
      <c r="S29" s="128"/>
      <c r="T29" s="128"/>
      <c r="U29" s="129"/>
      <c r="V29" s="127"/>
      <c r="W29" s="128"/>
      <c r="X29" s="129"/>
      <c r="Y29" s="129"/>
      <c r="Z29" s="131"/>
      <c r="AA29" s="131"/>
      <c r="AB29" s="131"/>
    </row>
    <row r="30" spans="1:33" ht="18.75">
      <c r="B30" s="108" t="s">
        <v>306</v>
      </c>
      <c r="C30" s="117"/>
      <c r="D30" s="117"/>
      <c r="E30" s="117"/>
      <c r="F30" s="131"/>
      <c r="G30" s="131"/>
      <c r="H30" s="131"/>
      <c r="I30" s="127"/>
      <c r="J30" s="127"/>
      <c r="K30" s="128"/>
      <c r="L30" s="129"/>
      <c r="M30" s="127"/>
      <c r="N30" s="128"/>
      <c r="O30" s="129"/>
      <c r="P30" s="129"/>
      <c r="Q30" s="128"/>
      <c r="R30" s="127"/>
      <c r="S30" s="128"/>
      <c r="T30" s="128"/>
      <c r="U30" s="129"/>
      <c r="V30" s="127"/>
      <c r="W30" s="128"/>
      <c r="X30" s="129"/>
      <c r="Y30" s="129"/>
      <c r="Z30" s="131"/>
      <c r="AA30" s="131"/>
      <c r="AB30" s="131"/>
    </row>
    <row r="31" spans="1:33" ht="18.75">
      <c r="A31" s="108"/>
      <c r="B31" s="178" t="s">
        <v>248</v>
      </c>
      <c r="C31" s="180"/>
      <c r="D31" s="180"/>
      <c r="E31" s="180" t="s">
        <v>251</v>
      </c>
      <c r="F31" s="125"/>
      <c r="G31" s="125"/>
      <c r="H31" s="125"/>
      <c r="I31" s="110"/>
      <c r="J31" s="141"/>
      <c r="K31" s="142">
        <f>((15.71/(1+((K8*1000)/3200)^1.4))+7.14)*1000</f>
        <v>22755.486941511695</v>
      </c>
      <c r="L31" s="143">
        <f>((15.71/(1+((L8*1000)/3200)^1.4))+7.14)*1000</f>
        <v>20147.301961203942</v>
      </c>
      <c r="M31" s="141">
        <f>((15.71/(1+((M8*1000)/3200)^1.4))+7.14)*1000</f>
        <v>9917.8088575737747</v>
      </c>
      <c r="N31" s="142">
        <f>((15.71/(1+((N8*1000)/3200)^1.4))+7.14)*1000</f>
        <v>8972.2028586360975</v>
      </c>
      <c r="O31" s="143">
        <f>((15.71/(1+((O8*1000)/3200)^1.4))+7.14)*1000</f>
        <v>16957.55231636708</v>
      </c>
      <c r="P31" s="143"/>
      <c r="Q31" s="142"/>
      <c r="R31" s="141"/>
      <c r="S31" s="142">
        <f t="shared" ref="S31:X31" si="6">((15.71/(1+((S8*1000)/3200)^1.4))+7.14)*1000</f>
        <v>22342.371787703389</v>
      </c>
      <c r="T31" s="142">
        <f t="shared" si="6"/>
        <v>22413.321238064749</v>
      </c>
      <c r="U31" s="143">
        <f t="shared" si="6"/>
        <v>22413.321238064749</v>
      </c>
      <c r="V31" s="141">
        <f t="shared" si="6"/>
        <v>7574.774041738734</v>
      </c>
      <c r="W31" s="142">
        <f t="shared" si="6"/>
        <v>14679.823201001884</v>
      </c>
      <c r="X31" s="143">
        <f t="shared" si="6"/>
        <v>21211.186267476151</v>
      </c>
      <c r="Y31" s="143"/>
      <c r="Z31" s="125"/>
      <c r="AA31" s="125"/>
      <c r="AB31" s="125"/>
    </row>
    <row r="32" spans="1:33" ht="18.75">
      <c r="A32" s="108"/>
      <c r="B32" s="185" t="s">
        <v>267</v>
      </c>
      <c r="C32" s="186"/>
      <c r="D32" s="186"/>
      <c r="E32" s="186" t="s">
        <v>19</v>
      </c>
      <c r="F32" s="125"/>
      <c r="G32" s="125"/>
      <c r="H32" s="125"/>
      <c r="I32" s="110"/>
      <c r="J32" s="110"/>
      <c r="K32" s="111">
        <f>((0.4757/(1+((K18/6600)^1.4)))+0.1813)*10</f>
        <v>6.485695692800447</v>
      </c>
      <c r="L32" s="112">
        <f>((0.4757/(1+((L18/6600)^1.4)))+0.1813)*10</f>
        <v>4.7505463123332792</v>
      </c>
      <c r="M32" s="110">
        <f>((0.4757/(1+((M18/6600)^1.4)))+0.1813)*10</f>
        <v>3.5815766954168153</v>
      </c>
      <c r="N32" s="111">
        <f>((0.4757/(1+((N18/6600)^1.4)))+0.1813)*10</f>
        <v>3.0818273558443501</v>
      </c>
      <c r="O32" s="112">
        <f>((0.4757/(1+((O18/6600)^1.4)))+0.1813)*10</f>
        <v>5.7190906612129364</v>
      </c>
      <c r="P32" s="112"/>
      <c r="Q32" s="111"/>
      <c r="R32" s="110"/>
      <c r="S32" s="111">
        <f t="shared" ref="S32:X32" si="7">((0.4757/(1+((S18/6600)^1.4)))+0.1813)*10</f>
        <v>6.1393702190084145</v>
      </c>
      <c r="T32" s="111">
        <f t="shared" si="7"/>
        <v>6.1964168053354616</v>
      </c>
      <c r="U32" s="112">
        <f t="shared" si="7"/>
        <v>6.1964168053354616</v>
      </c>
      <c r="V32" s="110">
        <f t="shared" si="7"/>
        <v>2.1589176109859705</v>
      </c>
      <c r="W32" s="111">
        <f t="shared" si="7"/>
        <v>5.2272080386909723</v>
      </c>
      <c r="X32" s="112">
        <f t="shared" si="7"/>
        <v>6.3770700534161682</v>
      </c>
      <c r="Y32" s="112"/>
      <c r="Z32" s="125"/>
      <c r="AA32" s="125"/>
      <c r="AB32" s="125"/>
    </row>
    <row r="33" spans="1:51" ht="18.75">
      <c r="A33" s="108"/>
      <c r="B33" s="185" t="s">
        <v>254</v>
      </c>
      <c r="C33" s="186"/>
      <c r="D33" s="186"/>
      <c r="E33" s="186" t="s">
        <v>19</v>
      </c>
      <c r="F33" s="125"/>
      <c r="G33" s="125"/>
      <c r="H33" s="125"/>
      <c r="I33" s="110"/>
      <c r="J33" s="110"/>
      <c r="K33" s="111">
        <v>0</v>
      </c>
      <c r="L33" s="112">
        <v>0</v>
      </c>
      <c r="M33" s="110">
        <v>5.5</v>
      </c>
      <c r="N33" s="111">
        <v>5.5</v>
      </c>
      <c r="O33" s="112">
        <v>5.5</v>
      </c>
      <c r="P33" s="112"/>
      <c r="Q33" s="111"/>
      <c r="R33" s="110"/>
      <c r="S33" s="111">
        <v>0</v>
      </c>
      <c r="T33" s="111">
        <v>0</v>
      </c>
      <c r="U33" s="112">
        <v>0</v>
      </c>
      <c r="V33" s="110">
        <v>5.5</v>
      </c>
      <c r="W33" s="111">
        <v>5.5</v>
      </c>
      <c r="X33" s="112">
        <v>5.5</v>
      </c>
      <c r="Y33" s="112"/>
      <c r="Z33" s="125"/>
      <c r="AA33" s="125"/>
      <c r="AB33" s="125"/>
    </row>
    <row r="34" spans="1:51" ht="18.75">
      <c r="A34" s="108"/>
      <c r="B34" s="185" t="s">
        <v>43</v>
      </c>
      <c r="C34" s="186"/>
      <c r="D34" s="186"/>
      <c r="E34" s="186" t="s">
        <v>19</v>
      </c>
      <c r="F34" s="125"/>
      <c r="G34" s="125"/>
      <c r="H34" s="125"/>
      <c r="I34" s="110"/>
      <c r="J34" s="110"/>
      <c r="K34" s="111">
        <v>0</v>
      </c>
      <c r="L34" s="112">
        <v>0</v>
      </c>
      <c r="M34" s="110">
        <v>1.4000000000000001</v>
      </c>
      <c r="N34" s="111">
        <v>1.4000000000000001</v>
      </c>
      <c r="O34" s="112">
        <v>1.4000000000000001</v>
      </c>
      <c r="P34" s="112"/>
      <c r="Q34" s="111"/>
      <c r="R34" s="110"/>
      <c r="S34" s="111">
        <v>0</v>
      </c>
      <c r="T34" s="111">
        <v>0</v>
      </c>
      <c r="U34" s="112">
        <v>0</v>
      </c>
      <c r="V34" s="110">
        <v>1.4000000000000001</v>
      </c>
      <c r="W34" s="111">
        <v>1.4000000000000001</v>
      </c>
      <c r="X34" s="112">
        <v>1.4000000000000001</v>
      </c>
      <c r="Y34" s="112"/>
      <c r="Z34" s="125"/>
      <c r="AA34" s="125"/>
      <c r="AB34" s="125"/>
    </row>
    <row r="35" spans="1:51" ht="18.75">
      <c r="A35" s="108"/>
      <c r="B35" s="185" t="s">
        <v>305</v>
      </c>
      <c r="C35" s="186"/>
      <c r="D35" s="186"/>
      <c r="E35" s="186" t="s">
        <v>19</v>
      </c>
      <c r="F35" s="125"/>
      <c r="G35" s="125"/>
      <c r="H35" s="125"/>
      <c r="I35" s="110"/>
      <c r="J35" s="110"/>
      <c r="K35" s="111">
        <v>0.04</v>
      </c>
      <c r="L35" s="112">
        <v>0.04</v>
      </c>
      <c r="M35" s="110">
        <v>0.04</v>
      </c>
      <c r="N35" s="111">
        <v>0.04</v>
      </c>
      <c r="O35" s="112">
        <v>0.04</v>
      </c>
      <c r="P35" s="112"/>
      <c r="Q35" s="111"/>
      <c r="R35" s="110"/>
      <c r="S35" s="111">
        <v>0.04</v>
      </c>
      <c r="T35" s="111">
        <v>0.04</v>
      </c>
      <c r="U35" s="112">
        <v>0.04</v>
      </c>
      <c r="V35" s="110">
        <v>0.04</v>
      </c>
      <c r="W35" s="111">
        <v>0.04</v>
      </c>
      <c r="X35" s="112">
        <v>0.04</v>
      </c>
      <c r="Y35" s="112"/>
      <c r="Z35" s="125"/>
      <c r="AA35" s="125"/>
      <c r="AB35" s="125"/>
    </row>
    <row r="36" spans="1:51" ht="18.75">
      <c r="A36" s="108"/>
      <c r="B36" s="116"/>
      <c r="C36" s="117"/>
      <c r="D36" s="117"/>
      <c r="E36" s="117"/>
      <c r="F36" s="131"/>
      <c r="G36" s="131"/>
      <c r="H36" s="131"/>
      <c r="I36" s="127"/>
      <c r="J36" s="127"/>
      <c r="K36" s="128"/>
      <c r="L36" s="129"/>
      <c r="M36" s="127"/>
      <c r="N36" s="128"/>
      <c r="O36" s="129"/>
      <c r="P36" s="129"/>
      <c r="Q36" s="128"/>
      <c r="R36" s="127"/>
      <c r="S36" s="128"/>
      <c r="T36" s="128"/>
      <c r="U36" s="129"/>
      <c r="V36" s="127"/>
      <c r="W36" s="128"/>
      <c r="X36" s="129"/>
      <c r="Y36" s="129"/>
      <c r="Z36" s="131"/>
      <c r="AA36" s="131"/>
      <c r="AB36" s="131"/>
    </row>
    <row r="37" spans="1:51" ht="18.75">
      <c r="A37" s="108"/>
      <c r="B37" s="108" t="s">
        <v>307</v>
      </c>
      <c r="C37" s="117"/>
      <c r="D37" s="117"/>
      <c r="E37" s="117"/>
      <c r="F37" s="131"/>
      <c r="G37" s="131"/>
      <c r="H37" s="131"/>
      <c r="I37" s="127"/>
      <c r="J37" s="127"/>
      <c r="K37" s="128"/>
      <c r="L37" s="129"/>
      <c r="M37" s="127"/>
      <c r="N37" s="128"/>
      <c r="O37" s="129"/>
      <c r="P37" s="129"/>
      <c r="Q37" s="128"/>
      <c r="R37" s="127"/>
      <c r="S37" s="128"/>
      <c r="T37" s="128"/>
      <c r="U37" s="129"/>
      <c r="V37" s="127"/>
      <c r="W37" s="128"/>
      <c r="X37" s="129"/>
      <c r="Y37" s="129"/>
      <c r="Z37" s="131"/>
      <c r="AA37" s="131"/>
      <c r="AB37" s="131"/>
    </row>
    <row r="38" spans="1:51" ht="18.75">
      <c r="A38" s="108"/>
      <c r="B38" s="178" t="s">
        <v>321</v>
      </c>
      <c r="C38" s="180"/>
      <c r="D38" s="180"/>
      <c r="E38" s="180" t="s">
        <v>35</v>
      </c>
      <c r="F38" s="111"/>
      <c r="G38" s="111"/>
      <c r="H38" s="111"/>
      <c r="I38" s="111"/>
      <c r="J38" s="110"/>
      <c r="K38" s="111"/>
      <c r="L38" s="112"/>
      <c r="M38" s="110"/>
      <c r="N38" s="111"/>
      <c r="O38" s="112"/>
      <c r="P38" s="112"/>
      <c r="Q38" s="111"/>
      <c r="R38" s="110"/>
      <c r="S38" s="111"/>
      <c r="T38" s="111"/>
      <c r="U38" s="112"/>
      <c r="V38" s="110"/>
      <c r="W38" s="111"/>
      <c r="X38" s="112"/>
      <c r="Y38" s="112"/>
      <c r="Z38" s="125"/>
      <c r="AA38" s="125"/>
      <c r="AB38" s="125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/>
      <c r="AT38" s="110"/>
      <c r="AU38" s="110"/>
      <c r="AV38" s="110"/>
      <c r="AW38" s="110"/>
      <c r="AX38" s="110"/>
      <c r="AY38" s="110"/>
    </row>
    <row r="39" spans="1:51" ht="18.75">
      <c r="A39" s="108"/>
      <c r="B39" s="178" t="s">
        <v>322</v>
      </c>
      <c r="C39" s="180"/>
      <c r="D39" s="180"/>
      <c r="E39" s="180"/>
      <c r="F39" s="111"/>
      <c r="G39" s="111"/>
      <c r="H39" s="111"/>
      <c r="I39" s="111"/>
      <c r="J39" s="110"/>
      <c r="K39" s="111"/>
      <c r="L39" s="112"/>
      <c r="M39" s="110"/>
      <c r="N39" s="111"/>
      <c r="O39" s="112"/>
      <c r="P39" s="112"/>
      <c r="Q39" s="111"/>
      <c r="R39" s="110"/>
      <c r="S39" s="111"/>
      <c r="T39" s="111"/>
      <c r="U39" s="112"/>
      <c r="V39" s="110"/>
      <c r="W39" s="111"/>
      <c r="X39" s="112"/>
      <c r="Y39" s="112"/>
      <c r="Z39" s="125"/>
      <c r="AA39" s="125"/>
      <c r="AB39" s="125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0"/>
      <c r="AT39" s="110"/>
      <c r="AU39" s="110"/>
      <c r="AV39" s="110"/>
      <c r="AW39" s="110"/>
      <c r="AX39" s="110"/>
      <c r="AY39" s="110"/>
    </row>
    <row r="40" spans="1:51" ht="18.75">
      <c r="A40" s="108"/>
      <c r="B40" s="178" t="s">
        <v>303</v>
      </c>
      <c r="C40" s="180" t="str">
        <f>B40</f>
        <v>LP_Strom</v>
      </c>
      <c r="D40" s="180"/>
      <c r="E40" s="180" t="s">
        <v>251</v>
      </c>
      <c r="F40" s="111">
        <v>36600</v>
      </c>
      <c r="G40" s="111">
        <v>36600</v>
      </c>
      <c r="H40" s="111">
        <v>36600</v>
      </c>
      <c r="I40" s="111">
        <v>36600</v>
      </c>
      <c r="J40" s="110"/>
      <c r="K40" s="111"/>
      <c r="L40" s="112"/>
      <c r="M40" s="110"/>
      <c r="N40" s="111"/>
      <c r="O40" s="112"/>
      <c r="P40" s="112"/>
      <c r="Q40" s="111"/>
      <c r="R40" s="110"/>
      <c r="S40" s="111"/>
      <c r="T40" s="111"/>
      <c r="U40" s="112"/>
      <c r="V40" s="110"/>
      <c r="W40" s="111"/>
      <c r="X40" s="112"/>
      <c r="Y40" s="112"/>
      <c r="Z40" s="125"/>
      <c r="AA40" s="125"/>
      <c r="AB40" s="125"/>
    </row>
    <row r="41" spans="1:51" ht="18.75">
      <c r="A41" s="108"/>
      <c r="B41" s="185" t="s">
        <v>304</v>
      </c>
      <c r="C41" s="186" t="str">
        <f t="shared" ref="C41:C50" si="8">B41</f>
        <v>AP_Strom</v>
      </c>
      <c r="D41" s="186"/>
      <c r="E41" s="186" t="s">
        <v>19</v>
      </c>
      <c r="F41" s="111">
        <v>30.6</v>
      </c>
      <c r="G41" s="111">
        <v>30.6</v>
      </c>
      <c r="H41" s="111">
        <v>30.6</v>
      </c>
      <c r="I41" s="111">
        <v>30.6</v>
      </c>
      <c r="J41" s="110"/>
      <c r="K41" s="111"/>
      <c r="L41" s="112"/>
      <c r="M41" s="110"/>
      <c r="N41" s="111"/>
      <c r="O41" s="112"/>
      <c r="P41" s="112"/>
      <c r="Q41" s="111"/>
      <c r="R41" s="110"/>
      <c r="S41" s="111"/>
      <c r="T41" s="111"/>
      <c r="U41" s="112"/>
      <c r="V41" s="110"/>
      <c r="W41" s="111"/>
      <c r="X41" s="112"/>
      <c r="Y41" s="112"/>
      <c r="Z41" s="125"/>
      <c r="AA41" s="125"/>
      <c r="AB41" s="125"/>
    </row>
    <row r="42" spans="1:51" ht="18.75">
      <c r="A42" s="108"/>
      <c r="B42" s="185" t="s">
        <v>51</v>
      </c>
      <c r="C42" s="186" t="str">
        <f t="shared" si="8"/>
        <v xml:space="preserve">EEG-Umlage </v>
      </c>
      <c r="D42" s="186"/>
      <c r="E42" s="186" t="s">
        <v>19</v>
      </c>
      <c r="F42" s="111">
        <v>63.5</v>
      </c>
      <c r="G42" s="111">
        <v>63.5</v>
      </c>
      <c r="H42" s="111">
        <v>63.5</v>
      </c>
      <c r="I42" s="111">
        <v>63.5</v>
      </c>
      <c r="J42" s="110"/>
      <c r="K42" s="111"/>
      <c r="L42" s="112"/>
      <c r="M42" s="110"/>
      <c r="N42" s="111"/>
      <c r="O42" s="112"/>
      <c r="P42" s="112"/>
      <c r="Q42" s="111"/>
      <c r="R42" s="110"/>
      <c r="S42" s="111"/>
      <c r="T42" s="111"/>
      <c r="U42" s="112"/>
      <c r="V42" s="110"/>
      <c r="W42" s="111"/>
      <c r="X42" s="112"/>
      <c r="Y42" s="112"/>
      <c r="Z42" s="125"/>
      <c r="AA42" s="125"/>
      <c r="AB42" s="125"/>
    </row>
    <row r="43" spans="1:51" ht="18.75">
      <c r="A43" s="108"/>
      <c r="B43" s="185" t="s">
        <v>42</v>
      </c>
      <c r="C43" s="186" t="str">
        <f t="shared" si="8"/>
        <v>Konzessionsabgaben</v>
      </c>
      <c r="D43" s="186"/>
      <c r="E43" s="186" t="s">
        <v>19</v>
      </c>
      <c r="F43" s="111">
        <v>13.2</v>
      </c>
      <c r="G43" s="111">
        <v>13.2</v>
      </c>
      <c r="H43" s="111">
        <v>13.2</v>
      </c>
      <c r="I43" s="111">
        <v>13.2</v>
      </c>
      <c r="J43" s="110"/>
      <c r="K43" s="111"/>
      <c r="L43" s="112"/>
      <c r="M43" s="110"/>
      <c r="N43" s="111"/>
      <c r="O43" s="112"/>
      <c r="P43" s="112"/>
      <c r="Q43" s="111"/>
      <c r="R43" s="110"/>
      <c r="S43" s="111"/>
      <c r="T43" s="111"/>
      <c r="U43" s="112"/>
      <c r="V43" s="110"/>
      <c r="W43" s="111"/>
      <c r="X43" s="112"/>
      <c r="Y43" s="112"/>
      <c r="Z43" s="125"/>
      <c r="AA43" s="125"/>
      <c r="AB43" s="125"/>
    </row>
    <row r="44" spans="1:51" ht="18.75">
      <c r="A44" s="108"/>
      <c r="B44" s="185" t="s">
        <v>50</v>
      </c>
      <c r="C44" s="186" t="str">
        <f t="shared" si="8"/>
        <v xml:space="preserve">§ 19-StromNEV-Umlage </v>
      </c>
      <c r="D44" s="186"/>
      <c r="E44" s="186" t="s">
        <v>19</v>
      </c>
      <c r="F44" s="111">
        <v>3.78</v>
      </c>
      <c r="G44" s="111">
        <v>3.78</v>
      </c>
      <c r="H44" s="111">
        <v>3.78</v>
      </c>
      <c r="I44" s="111">
        <v>3.78</v>
      </c>
      <c r="J44" s="110"/>
      <c r="K44" s="111"/>
      <c r="L44" s="112"/>
      <c r="M44" s="110"/>
      <c r="N44" s="111"/>
      <c r="O44" s="112"/>
      <c r="P44" s="112"/>
      <c r="Q44" s="111"/>
      <c r="R44" s="110"/>
      <c r="S44" s="111"/>
      <c r="T44" s="111"/>
      <c r="U44" s="112"/>
      <c r="V44" s="110"/>
      <c r="W44" s="111"/>
      <c r="X44" s="112"/>
      <c r="Y44" s="112"/>
      <c r="Z44" s="125"/>
      <c r="AA44" s="125"/>
      <c r="AB44" s="125"/>
    </row>
    <row r="45" spans="1:51" ht="18.75">
      <c r="A45" s="108"/>
      <c r="B45" s="185" t="s">
        <v>49</v>
      </c>
      <c r="C45" s="186" t="str">
        <f t="shared" si="8"/>
        <v xml:space="preserve">Stromsteuer </v>
      </c>
      <c r="D45" s="186"/>
      <c r="E45" s="186" t="s">
        <v>19</v>
      </c>
      <c r="F45" s="111">
        <v>20.499999999999996</v>
      </c>
      <c r="G45" s="111">
        <v>20.499999999999996</v>
      </c>
      <c r="H45" s="111">
        <v>20.499999999999996</v>
      </c>
      <c r="I45" s="111">
        <v>20.499999999999996</v>
      </c>
      <c r="J45" s="110"/>
      <c r="K45" s="111"/>
      <c r="L45" s="112"/>
      <c r="M45" s="110"/>
      <c r="N45" s="111"/>
      <c r="O45" s="112"/>
      <c r="P45" s="112"/>
      <c r="Q45" s="111"/>
      <c r="R45" s="110"/>
      <c r="S45" s="111"/>
      <c r="T45" s="111"/>
      <c r="U45" s="112"/>
      <c r="V45" s="110"/>
      <c r="W45" s="111"/>
      <c r="X45" s="112"/>
      <c r="Y45" s="112"/>
      <c r="Z45" s="125"/>
      <c r="AA45" s="125"/>
      <c r="AB45" s="125"/>
    </row>
    <row r="46" spans="1:51" ht="18.75">
      <c r="A46" s="108"/>
      <c r="B46" s="185" t="s">
        <v>192</v>
      </c>
      <c r="C46" s="186" t="str">
        <f t="shared" si="8"/>
        <v>CO2-Handel</v>
      </c>
      <c r="D46" s="186"/>
      <c r="E46" s="186" t="s">
        <v>19</v>
      </c>
      <c r="F46" s="111">
        <v>0</v>
      </c>
      <c r="G46" s="111">
        <v>0</v>
      </c>
      <c r="H46" s="111">
        <v>0</v>
      </c>
      <c r="I46" s="111">
        <v>0</v>
      </c>
      <c r="J46" s="110"/>
      <c r="K46" s="111"/>
      <c r="L46" s="112"/>
      <c r="M46" s="110"/>
      <c r="N46" s="111"/>
      <c r="O46" s="112"/>
      <c r="P46" s="112"/>
      <c r="Q46" s="111"/>
      <c r="R46" s="110"/>
      <c r="S46" s="111"/>
      <c r="T46" s="111"/>
      <c r="U46" s="112"/>
      <c r="V46" s="110"/>
      <c r="W46" s="111"/>
      <c r="X46" s="112"/>
      <c r="Y46" s="112"/>
      <c r="Z46" s="125"/>
      <c r="AA46" s="125"/>
      <c r="AB46" s="125"/>
    </row>
    <row r="47" spans="1:51" ht="18.75">
      <c r="A47" s="108"/>
      <c r="B47" s="185" t="s">
        <v>24</v>
      </c>
      <c r="C47" s="186" t="str">
        <f t="shared" si="8"/>
        <v>CO2-Steuer</v>
      </c>
      <c r="D47" s="186"/>
      <c r="E47" s="186" t="s">
        <v>19</v>
      </c>
      <c r="F47" s="111">
        <v>0</v>
      </c>
      <c r="G47" s="111">
        <v>0</v>
      </c>
      <c r="H47" s="111">
        <v>0</v>
      </c>
      <c r="I47" s="111">
        <v>0</v>
      </c>
      <c r="J47" s="110"/>
      <c r="K47" s="111"/>
      <c r="L47" s="112"/>
      <c r="M47" s="110"/>
      <c r="N47" s="111"/>
      <c r="O47" s="112"/>
      <c r="P47" s="112"/>
      <c r="Q47" s="111"/>
      <c r="R47" s="110"/>
      <c r="S47" s="111"/>
      <c r="T47" s="111"/>
      <c r="U47" s="112"/>
      <c r="V47" s="110"/>
      <c r="W47" s="111"/>
      <c r="X47" s="112"/>
      <c r="Y47" s="112"/>
      <c r="Z47" s="125"/>
      <c r="AA47" s="125"/>
      <c r="AB47" s="125"/>
    </row>
    <row r="48" spans="1:51" ht="18.75">
      <c r="A48" s="108"/>
      <c r="B48" s="185" t="s">
        <v>47</v>
      </c>
      <c r="C48" s="186" t="str">
        <f t="shared" si="8"/>
        <v xml:space="preserve">KWK Umlage </v>
      </c>
      <c r="D48" s="186"/>
      <c r="E48" s="186" t="s">
        <v>19</v>
      </c>
      <c r="F48" s="111">
        <v>4.45</v>
      </c>
      <c r="G48" s="111">
        <v>4.45</v>
      </c>
      <c r="H48" s="111">
        <v>4.45</v>
      </c>
      <c r="I48" s="111">
        <v>4.45</v>
      </c>
      <c r="J48" s="110"/>
      <c r="K48" s="111"/>
      <c r="L48" s="112"/>
      <c r="M48" s="110"/>
      <c r="N48" s="111"/>
      <c r="O48" s="112"/>
      <c r="P48" s="112"/>
      <c r="Q48" s="111"/>
      <c r="R48" s="110"/>
      <c r="S48" s="111"/>
      <c r="T48" s="111"/>
      <c r="U48" s="112"/>
      <c r="V48" s="110"/>
      <c r="W48" s="111"/>
      <c r="X48" s="112"/>
      <c r="Y48" s="112"/>
      <c r="Z48" s="125"/>
      <c r="AA48" s="125"/>
      <c r="AB48" s="125"/>
    </row>
    <row r="49" spans="1:28" ht="18.75">
      <c r="A49" s="108"/>
      <c r="B49" s="185" t="s">
        <v>46</v>
      </c>
      <c r="C49" s="186" t="str">
        <f t="shared" si="8"/>
        <v xml:space="preserve">Offshore-Haftungsumlage </v>
      </c>
      <c r="D49" s="186"/>
      <c r="E49" s="186" t="s">
        <v>19</v>
      </c>
      <c r="F49" s="111">
        <v>0.4</v>
      </c>
      <c r="G49" s="111">
        <v>0.4</v>
      </c>
      <c r="H49" s="111">
        <v>0.4</v>
      </c>
      <c r="I49" s="111">
        <v>0.4</v>
      </c>
      <c r="J49" s="110"/>
      <c r="K49" s="111"/>
      <c r="L49" s="112"/>
      <c r="M49" s="110"/>
      <c r="N49" s="111"/>
      <c r="O49" s="112"/>
      <c r="P49" s="112"/>
      <c r="Q49" s="111"/>
      <c r="R49" s="110"/>
      <c r="S49" s="111"/>
      <c r="T49" s="111"/>
      <c r="U49" s="112"/>
      <c r="V49" s="110"/>
      <c r="W49" s="111"/>
      <c r="X49" s="112"/>
      <c r="Y49" s="112"/>
      <c r="Z49" s="125"/>
      <c r="AA49" s="125"/>
      <c r="AB49" s="125"/>
    </row>
    <row r="50" spans="1:28" ht="18.75">
      <c r="A50" s="108"/>
      <c r="B50" s="185" t="s">
        <v>45</v>
      </c>
      <c r="C50" s="186" t="str">
        <f t="shared" si="8"/>
        <v>§ 18 Absatz 1+2 absch. L.</v>
      </c>
      <c r="D50" s="186"/>
      <c r="E50" s="186" t="s">
        <v>19</v>
      </c>
      <c r="F50" s="111">
        <v>0</v>
      </c>
      <c r="G50" s="111">
        <v>0</v>
      </c>
      <c r="H50" s="111">
        <v>0</v>
      </c>
      <c r="I50" s="111">
        <v>0</v>
      </c>
      <c r="J50" s="110"/>
      <c r="K50" s="111"/>
      <c r="L50" s="112"/>
      <c r="M50" s="110"/>
      <c r="N50" s="111"/>
      <c r="O50" s="112"/>
      <c r="P50" s="112"/>
      <c r="Q50" s="111"/>
      <c r="R50" s="110"/>
      <c r="S50" s="111"/>
      <c r="T50" s="111"/>
      <c r="U50" s="112"/>
      <c r="V50" s="110"/>
      <c r="W50" s="111"/>
      <c r="X50" s="112"/>
      <c r="Y50" s="112"/>
      <c r="Z50" s="125"/>
      <c r="AA50" s="125"/>
      <c r="AB50" s="125"/>
    </row>
    <row r="51" spans="1:28" ht="18.75">
      <c r="A51" s="108"/>
      <c r="B51" s="116"/>
      <c r="C51" s="117"/>
      <c r="D51" s="117"/>
      <c r="E51" s="117"/>
      <c r="F51" s="131"/>
      <c r="G51" s="131"/>
      <c r="H51" s="131"/>
      <c r="I51" s="127"/>
      <c r="J51" s="127"/>
      <c r="K51" s="128"/>
      <c r="L51" s="129"/>
      <c r="M51" s="127"/>
      <c r="N51" s="128"/>
      <c r="O51" s="129"/>
      <c r="P51" s="129"/>
      <c r="Q51" s="128"/>
      <c r="R51" s="127"/>
      <c r="S51" s="128"/>
      <c r="T51" s="128"/>
      <c r="U51" s="129"/>
      <c r="V51" s="127"/>
      <c r="W51" s="128"/>
      <c r="X51" s="129"/>
      <c r="Y51" s="129"/>
      <c r="Z51" s="131"/>
      <c r="AA51" s="131"/>
      <c r="AB51" s="131"/>
    </row>
    <row r="52" spans="1:28" ht="18.75">
      <c r="A52" s="108"/>
      <c r="B52" s="116"/>
      <c r="C52" s="117"/>
      <c r="D52" s="117"/>
      <c r="E52" s="117"/>
      <c r="F52" s="131"/>
      <c r="G52" s="131"/>
      <c r="H52" s="131"/>
      <c r="I52" s="127"/>
      <c r="J52" s="127"/>
      <c r="K52" s="128"/>
      <c r="L52" s="129"/>
      <c r="M52" s="127"/>
      <c r="N52" s="128"/>
      <c r="O52" s="129"/>
      <c r="P52" s="129"/>
      <c r="Q52" s="128"/>
      <c r="R52" s="127"/>
      <c r="S52" s="128"/>
      <c r="T52" s="128"/>
      <c r="U52" s="129"/>
      <c r="V52" s="127"/>
      <c r="W52" s="128"/>
      <c r="X52" s="129"/>
      <c r="Y52" s="129"/>
      <c r="Z52" s="131"/>
      <c r="AA52" s="131"/>
      <c r="AB52" s="131"/>
    </row>
    <row r="53" spans="1:28" ht="18.75">
      <c r="B53" s="108" t="s">
        <v>249</v>
      </c>
      <c r="C53" s="117"/>
      <c r="D53" s="117"/>
      <c r="E53" s="117"/>
      <c r="F53" s="131"/>
      <c r="G53" s="131"/>
      <c r="H53" s="131"/>
      <c r="I53" s="127"/>
      <c r="J53" s="127"/>
      <c r="K53" s="128"/>
      <c r="L53" s="129"/>
      <c r="M53" s="127"/>
      <c r="N53" s="128"/>
      <c r="O53" s="129"/>
      <c r="P53" s="129"/>
      <c r="Q53" s="128"/>
      <c r="R53" s="127"/>
      <c r="S53" s="128"/>
      <c r="T53" s="128"/>
      <c r="U53" s="129"/>
      <c r="V53" s="127"/>
      <c r="W53" s="128"/>
      <c r="X53" s="129"/>
      <c r="Y53" s="129"/>
      <c r="Z53" s="131"/>
      <c r="AA53" s="131"/>
      <c r="AB53" s="131"/>
    </row>
    <row r="54" spans="1:28" ht="18.75">
      <c r="A54" s="108"/>
      <c r="B54" s="168" t="s">
        <v>17</v>
      </c>
      <c r="C54" s="169" t="s">
        <v>17</v>
      </c>
      <c r="D54" s="169"/>
      <c r="E54" s="169" t="s">
        <v>19</v>
      </c>
      <c r="F54" s="173"/>
      <c r="G54" s="173"/>
      <c r="H54" s="173"/>
      <c r="I54" s="170"/>
      <c r="J54" s="170"/>
      <c r="K54" s="171">
        <v>30.763664773281782</v>
      </c>
      <c r="L54" s="172">
        <v>11.510083210272025</v>
      </c>
      <c r="M54" s="170">
        <v>0.5</v>
      </c>
      <c r="N54" s="171">
        <v>0.5</v>
      </c>
      <c r="O54" s="172">
        <v>0.5</v>
      </c>
      <c r="P54" s="172"/>
      <c r="Q54" s="171">
        <v>0.2</v>
      </c>
      <c r="R54" s="170"/>
      <c r="S54" s="171">
        <v>21.068991138637845</v>
      </c>
      <c r="T54" s="171">
        <v>21.068991138637845</v>
      </c>
      <c r="U54" s="172">
        <v>21.068991138637845</v>
      </c>
      <c r="V54" s="170">
        <v>0.5</v>
      </c>
      <c r="W54" s="171">
        <v>0.5</v>
      </c>
      <c r="X54" s="172">
        <v>0.5</v>
      </c>
      <c r="Y54" s="172"/>
      <c r="Z54" s="173">
        <v>0.2</v>
      </c>
      <c r="AA54" s="173"/>
      <c r="AB54" s="173"/>
    </row>
    <row r="55" spans="1:28" s="119" customFormat="1">
      <c r="A55" s="118"/>
      <c r="B55" s="119" t="s">
        <v>271</v>
      </c>
      <c r="C55" s="148"/>
      <c r="D55" s="148"/>
      <c r="F55" s="153"/>
      <c r="G55" s="153"/>
      <c r="H55" s="153"/>
      <c r="I55" s="150"/>
      <c r="J55" s="132"/>
      <c r="K55" s="149" t="s">
        <v>300</v>
      </c>
      <c r="L55" s="149" t="s">
        <v>300</v>
      </c>
      <c r="M55" s="150" t="s">
        <v>270</v>
      </c>
      <c r="N55" s="151" t="s">
        <v>270</v>
      </c>
      <c r="O55" s="152" t="s">
        <v>270</v>
      </c>
      <c r="P55" s="152"/>
      <c r="Q55" s="151"/>
      <c r="R55" s="150"/>
      <c r="S55" s="149" t="s">
        <v>300</v>
      </c>
      <c r="T55" s="149" t="s">
        <v>300</v>
      </c>
      <c r="U55" s="149" t="s">
        <v>300</v>
      </c>
      <c r="V55" s="150" t="s">
        <v>270</v>
      </c>
      <c r="W55" s="151" t="s">
        <v>270</v>
      </c>
      <c r="X55" s="152" t="s">
        <v>270</v>
      </c>
      <c r="Y55" s="152"/>
      <c r="Z55" s="153"/>
      <c r="AA55" s="153"/>
      <c r="AB55" s="153"/>
    </row>
    <row r="56" spans="1:28" s="119" customFormat="1" ht="12">
      <c r="A56" s="118"/>
      <c r="C56" s="148"/>
      <c r="D56" s="148"/>
      <c r="F56" s="136"/>
      <c r="G56" s="136"/>
      <c r="H56" s="136"/>
      <c r="I56" s="133"/>
      <c r="J56" s="132"/>
      <c r="K56" s="134"/>
      <c r="L56" s="135"/>
      <c r="M56" s="133"/>
      <c r="N56" s="134"/>
      <c r="O56" s="135"/>
      <c r="P56" s="135"/>
      <c r="Q56" s="134"/>
      <c r="R56" s="133"/>
      <c r="S56" s="134"/>
      <c r="T56" s="134"/>
      <c r="U56" s="135"/>
      <c r="V56" s="133"/>
      <c r="W56" s="134"/>
      <c r="X56" s="135"/>
      <c r="Y56" s="135"/>
      <c r="Z56" s="136"/>
      <c r="AA56" s="136"/>
      <c r="AB56" s="136"/>
    </row>
    <row r="57" spans="1:28" ht="18.75">
      <c r="B57" s="108" t="s">
        <v>250</v>
      </c>
      <c r="C57" s="117"/>
      <c r="D57" s="117"/>
      <c r="E57" s="117"/>
      <c r="F57" s="140"/>
      <c r="G57" s="140"/>
      <c r="H57" s="140"/>
      <c r="I57" s="139"/>
      <c r="J57" s="127"/>
      <c r="K57" s="137"/>
      <c r="L57" s="138"/>
      <c r="M57" s="139"/>
      <c r="N57" s="137"/>
      <c r="O57" s="138"/>
      <c r="P57" s="138"/>
      <c r="Q57" s="137"/>
      <c r="R57" s="139"/>
      <c r="S57" s="137"/>
      <c r="T57" s="137"/>
      <c r="U57" s="138"/>
      <c r="V57" s="139"/>
      <c r="W57" s="137"/>
      <c r="X57" s="138"/>
      <c r="Y57" s="138"/>
      <c r="Z57" s="140"/>
      <c r="AA57" s="140"/>
      <c r="AB57" s="140"/>
    </row>
    <row r="58" spans="1:28" ht="18.75">
      <c r="A58" s="109"/>
      <c r="B58" s="116" t="s">
        <v>243</v>
      </c>
      <c r="C58" s="117"/>
      <c r="D58" s="117"/>
      <c r="E58" s="117" t="s">
        <v>19</v>
      </c>
      <c r="F58" s="140"/>
      <c r="G58" s="140"/>
      <c r="H58" s="140"/>
      <c r="I58" s="139"/>
      <c r="J58" s="139" t="s">
        <v>280</v>
      </c>
      <c r="K58" s="137" t="s">
        <v>280</v>
      </c>
      <c r="L58" s="137" t="s">
        <v>280</v>
      </c>
      <c r="M58" s="139"/>
      <c r="N58" s="137"/>
      <c r="O58" s="138"/>
      <c r="P58" s="138"/>
      <c r="Q58" s="137"/>
      <c r="R58" s="139" t="s">
        <v>280</v>
      </c>
      <c r="S58" s="137" t="s">
        <v>280</v>
      </c>
      <c r="T58" s="137" t="s">
        <v>280</v>
      </c>
      <c r="U58" s="137" t="s">
        <v>280</v>
      </c>
      <c r="V58" s="139"/>
      <c r="W58" s="137"/>
      <c r="X58" s="138"/>
      <c r="Y58" s="138"/>
      <c r="Z58" s="140"/>
      <c r="AA58" s="140"/>
      <c r="AB58" s="140"/>
    </row>
    <row r="59" spans="1:28" ht="30">
      <c r="A59" s="109"/>
      <c r="B59" s="116" t="s">
        <v>269</v>
      </c>
      <c r="C59" s="117"/>
      <c r="D59" s="117"/>
      <c r="E59" s="117"/>
      <c r="F59" s="140"/>
      <c r="G59" s="140"/>
      <c r="H59" s="140"/>
      <c r="I59" s="139"/>
      <c r="J59" s="127"/>
      <c r="K59" s="137">
        <v>-80</v>
      </c>
      <c r="L59" s="138">
        <v>-44</v>
      </c>
      <c r="M59" s="139"/>
      <c r="N59" s="137"/>
      <c r="O59" s="138"/>
      <c r="P59" s="138"/>
      <c r="Q59" s="137"/>
      <c r="R59" s="139"/>
      <c r="S59" s="137">
        <v>-60</v>
      </c>
      <c r="T59" s="137">
        <v>-50</v>
      </c>
      <c r="U59" s="138">
        <v>-50</v>
      </c>
      <c r="V59" s="139"/>
      <c r="W59" s="137"/>
      <c r="X59" s="138"/>
      <c r="Y59" s="138"/>
      <c r="Z59" s="140"/>
      <c r="AA59" s="140"/>
      <c r="AB59" s="140"/>
    </row>
    <row r="60" spans="1:28" ht="30">
      <c r="A60" s="109"/>
      <c r="B60" s="168" t="s">
        <v>301</v>
      </c>
      <c r="C60" s="169"/>
      <c r="D60" s="169"/>
      <c r="E60" s="169" t="s">
        <v>19</v>
      </c>
      <c r="F60" s="173"/>
      <c r="G60" s="173"/>
      <c r="H60" s="173"/>
      <c r="I60" s="170"/>
      <c r="J60" s="170"/>
      <c r="K60" s="171">
        <f>(K59*30000)/(K15*10)</f>
        <v>-53.333333333333336</v>
      </c>
      <c r="L60" s="171">
        <f>(L59*30000)/(L15*10)</f>
        <v>-29.333333333333332</v>
      </c>
      <c r="M60" s="170"/>
      <c r="N60" s="171"/>
      <c r="O60" s="172"/>
      <c r="P60" s="172"/>
      <c r="Q60" s="171"/>
      <c r="R60" s="170"/>
      <c r="S60" s="171">
        <f>(S59*30000)/(S15*10)</f>
        <v>-40</v>
      </c>
      <c r="T60" s="171">
        <f>(T59*30000)/(T15*10)</f>
        <v>-33.333333333333336</v>
      </c>
      <c r="U60" s="171">
        <f>(U59*30000)/(U15*10)</f>
        <v>-33.333333333333336</v>
      </c>
      <c r="V60" s="170"/>
      <c r="W60" s="171"/>
      <c r="X60" s="172"/>
      <c r="Y60" s="172"/>
      <c r="Z60" s="173"/>
      <c r="AA60" s="173"/>
      <c r="AB60" s="173"/>
    </row>
    <row r="61" spans="1:28" ht="18.75">
      <c r="A61" s="109"/>
      <c r="B61" s="116"/>
      <c r="C61" s="117"/>
      <c r="D61" s="117"/>
      <c r="E61" s="117"/>
      <c r="F61" s="131"/>
      <c r="G61" s="131"/>
      <c r="H61" s="131"/>
      <c r="I61" s="127"/>
      <c r="J61" s="127"/>
      <c r="K61" s="128"/>
      <c r="L61" s="129"/>
      <c r="M61" s="127"/>
      <c r="N61" s="128"/>
      <c r="O61" s="129"/>
      <c r="P61" s="129"/>
      <c r="Q61" s="128"/>
      <c r="R61" s="127"/>
      <c r="S61" s="128"/>
      <c r="T61" s="128"/>
      <c r="U61" s="129"/>
      <c r="V61" s="127"/>
      <c r="W61" s="128"/>
      <c r="X61" s="129"/>
      <c r="Y61" s="129"/>
      <c r="Z61" s="131"/>
      <c r="AA61" s="131"/>
      <c r="AB61" s="131"/>
    </row>
    <row r="62" spans="1:28" ht="18.75">
      <c r="B62" s="108" t="s">
        <v>268</v>
      </c>
      <c r="C62" s="117"/>
      <c r="D62" s="117"/>
      <c r="E62" s="117"/>
      <c r="F62" s="131"/>
      <c r="G62" s="131"/>
      <c r="H62" s="131"/>
      <c r="I62" s="127"/>
      <c r="J62" s="127"/>
      <c r="K62" s="128"/>
      <c r="L62" s="129"/>
      <c r="M62" s="127"/>
      <c r="N62" s="128"/>
      <c r="O62" s="129"/>
      <c r="P62" s="129"/>
      <c r="Q62" s="128"/>
      <c r="R62" s="127"/>
      <c r="S62" s="128"/>
      <c r="T62" s="128"/>
      <c r="U62" s="129"/>
      <c r="V62" s="127"/>
      <c r="W62" s="128"/>
      <c r="X62" s="129"/>
      <c r="Y62" s="129"/>
      <c r="Z62" s="131"/>
      <c r="AA62" s="131"/>
      <c r="AB62" s="131"/>
    </row>
    <row r="63" spans="1:28" ht="18.75">
      <c r="A63" s="109"/>
      <c r="B63" s="158" t="s">
        <v>190</v>
      </c>
      <c r="C63" s="159" t="s">
        <v>190</v>
      </c>
      <c r="D63" s="159" t="s">
        <v>190</v>
      </c>
      <c r="E63" s="160"/>
      <c r="F63" s="164">
        <f>SUM(F41:F50)</f>
        <v>136.42999999999998</v>
      </c>
      <c r="G63" s="164">
        <f>SUM(G41:G50)</f>
        <v>136.42999999999998</v>
      </c>
      <c r="H63" s="164">
        <f>SUM(H41:H50)</f>
        <v>136.42999999999998</v>
      </c>
      <c r="I63" s="164">
        <f>SUM(I41:I50)</f>
        <v>136.42999999999998</v>
      </c>
      <c r="J63" s="161">
        <f t="shared" ref="J63:O63" si="9">SUM(J32:J35)</f>
        <v>0</v>
      </c>
      <c r="K63" s="162">
        <f t="shared" si="9"/>
        <v>6.525695692800447</v>
      </c>
      <c r="L63" s="163">
        <f t="shared" si="9"/>
        <v>4.7905463123332792</v>
      </c>
      <c r="M63" s="161">
        <f t="shared" si="9"/>
        <v>10.521576695416815</v>
      </c>
      <c r="N63" s="162">
        <f t="shared" si="9"/>
        <v>10.02182735584435</v>
      </c>
      <c r="O63" s="163">
        <f t="shared" si="9"/>
        <v>12.659090661212936</v>
      </c>
      <c r="P63" s="163"/>
      <c r="Q63" s="164">
        <f>SUM(Q41:Q50)</f>
        <v>0</v>
      </c>
      <c r="R63" s="161">
        <f t="shared" ref="R63:X63" si="10">SUM(R32:R35)</f>
        <v>0</v>
      </c>
      <c r="S63" s="162">
        <f t="shared" si="10"/>
        <v>6.1793702190084145</v>
      </c>
      <c r="T63" s="162">
        <f t="shared" si="10"/>
        <v>6.2364168053354616</v>
      </c>
      <c r="U63" s="163">
        <f t="shared" si="10"/>
        <v>6.2364168053354616</v>
      </c>
      <c r="V63" s="161">
        <f t="shared" si="10"/>
        <v>9.0989176109859695</v>
      </c>
      <c r="W63" s="162">
        <f t="shared" si="10"/>
        <v>12.167208038690971</v>
      </c>
      <c r="X63" s="163">
        <f t="shared" si="10"/>
        <v>13.317070053416169</v>
      </c>
      <c r="Y63" s="163"/>
      <c r="Z63" s="164">
        <f>SUM(Z41:Z50)</f>
        <v>0</v>
      </c>
      <c r="AA63" s="164"/>
      <c r="AB63" s="164"/>
    </row>
    <row r="64" spans="1:28" ht="18.75">
      <c r="A64" s="109"/>
      <c r="B64" s="165" t="s">
        <v>191</v>
      </c>
      <c r="C64" s="166" t="s">
        <v>191</v>
      </c>
      <c r="D64" s="166" t="s">
        <v>191</v>
      </c>
      <c r="E64" s="167"/>
      <c r="F64" s="115">
        <f>SUM(F54:F54)+F60</f>
        <v>0</v>
      </c>
      <c r="G64" s="115">
        <f>SUM(G54:G54)+G60</f>
        <v>0</v>
      </c>
      <c r="H64" s="115">
        <f>SUM(H54:H54)+H60</f>
        <v>0</v>
      </c>
      <c r="I64" s="115">
        <f>SUM(I54:I54)+I60</f>
        <v>0</v>
      </c>
      <c r="J64" s="113">
        <f>SUM(J54:J54)+J60</f>
        <v>0</v>
      </c>
      <c r="K64" s="114">
        <f t="shared" ref="K64:Z64" si="11">SUM(K54:K54)+K60</f>
        <v>-22.569668560051554</v>
      </c>
      <c r="L64" s="115">
        <f t="shared" si="11"/>
        <v>-17.823250123061307</v>
      </c>
      <c r="M64" s="113">
        <f t="shared" si="11"/>
        <v>0.5</v>
      </c>
      <c r="N64" s="114">
        <f t="shared" si="11"/>
        <v>0.5</v>
      </c>
      <c r="O64" s="115">
        <f t="shared" si="11"/>
        <v>0.5</v>
      </c>
      <c r="P64" s="115"/>
      <c r="Q64" s="115">
        <f t="shared" si="11"/>
        <v>0.2</v>
      </c>
      <c r="R64" s="113">
        <f t="shared" si="11"/>
        <v>0</v>
      </c>
      <c r="S64" s="114">
        <f t="shared" si="11"/>
        <v>-18.931008861362155</v>
      </c>
      <c r="T64" s="114">
        <f t="shared" si="11"/>
        <v>-12.264342194695491</v>
      </c>
      <c r="U64" s="115">
        <f t="shared" si="11"/>
        <v>-12.264342194695491</v>
      </c>
      <c r="V64" s="113">
        <f t="shared" si="11"/>
        <v>0.5</v>
      </c>
      <c r="W64" s="114">
        <f t="shared" si="11"/>
        <v>0.5</v>
      </c>
      <c r="X64" s="115">
        <f t="shared" si="11"/>
        <v>0.5</v>
      </c>
      <c r="Y64" s="115"/>
      <c r="Z64" s="126">
        <f t="shared" si="11"/>
        <v>0.2</v>
      </c>
      <c r="AA64" s="126"/>
      <c r="AB64" s="126"/>
    </row>
    <row r="65" spans="1:28" ht="18.75">
      <c r="A65" s="109"/>
      <c r="F65" s="131"/>
      <c r="G65" s="131"/>
      <c r="H65" s="131"/>
      <c r="I65" s="127"/>
      <c r="J65" s="127"/>
      <c r="K65" s="128"/>
      <c r="L65" s="129"/>
      <c r="M65" s="127"/>
      <c r="N65" s="128"/>
      <c r="O65" s="129"/>
      <c r="P65" s="129"/>
      <c r="Q65" s="128"/>
      <c r="R65" s="127"/>
      <c r="S65" s="128"/>
      <c r="T65" s="128"/>
      <c r="U65" s="129"/>
      <c r="V65" s="127"/>
      <c r="W65" s="128"/>
      <c r="X65" s="129"/>
      <c r="Y65" s="129"/>
      <c r="Z65" s="131"/>
      <c r="AA65" s="131"/>
      <c r="AB65" s="131"/>
    </row>
    <row r="66" spans="1:28" ht="18.75">
      <c r="A66" s="109"/>
      <c r="B66" s="108" t="s">
        <v>310</v>
      </c>
      <c r="F66" s="131"/>
      <c r="G66" s="131"/>
      <c r="H66" s="131"/>
      <c r="I66" s="127"/>
      <c r="J66" s="127"/>
      <c r="K66" s="128"/>
      <c r="L66" s="129"/>
      <c r="M66" s="127"/>
      <c r="N66" s="128"/>
      <c r="O66" s="129"/>
      <c r="P66" s="129"/>
      <c r="Q66" s="128"/>
      <c r="R66" s="127"/>
      <c r="S66" s="128"/>
      <c r="T66" s="128"/>
      <c r="U66" s="129"/>
      <c r="V66" s="127"/>
      <c r="W66" s="128"/>
      <c r="X66" s="129"/>
      <c r="Y66" s="129"/>
      <c r="Z66" s="131"/>
      <c r="AA66" s="131"/>
      <c r="AB66" s="131"/>
    </row>
    <row r="67" spans="1:28" ht="18.75">
      <c r="A67" s="109"/>
      <c r="B67" s="178" t="s">
        <v>294</v>
      </c>
      <c r="C67" s="180"/>
      <c r="D67" s="180"/>
      <c r="E67" s="180" t="s">
        <v>168</v>
      </c>
      <c r="F67" s="184"/>
      <c r="G67" s="184"/>
      <c r="H67" s="184"/>
      <c r="I67" s="141"/>
      <c r="J67" s="141"/>
      <c r="K67" s="142">
        <v>1800000</v>
      </c>
      <c r="L67" s="143">
        <v>700000</v>
      </c>
      <c r="M67" s="141">
        <v>70000</v>
      </c>
      <c r="N67" s="142">
        <v>70000</v>
      </c>
      <c r="O67" s="143">
        <v>70000</v>
      </c>
      <c r="P67" s="143"/>
      <c r="Q67" s="142">
        <f>0.08*1000000</f>
        <v>80000</v>
      </c>
      <c r="R67" s="141"/>
      <c r="S67" s="142">
        <v>970099.00240289012</v>
      </c>
      <c r="T67" s="142">
        <v>970099.00240289012</v>
      </c>
      <c r="U67" s="143">
        <v>970099.00240289012</v>
      </c>
      <c r="V67" s="141">
        <v>70000</v>
      </c>
      <c r="W67" s="142">
        <v>70000</v>
      </c>
      <c r="X67" s="143">
        <v>70000</v>
      </c>
      <c r="Y67" s="143"/>
      <c r="Z67" s="184">
        <f>0.08*1000000</f>
        <v>80000</v>
      </c>
      <c r="AA67" s="184">
        <f>0.08*1000000</f>
        <v>80000</v>
      </c>
      <c r="AB67" s="184">
        <f>0.08*1000000</f>
        <v>80000</v>
      </c>
    </row>
    <row r="68" spans="1:28" s="193" customFormat="1">
      <c r="A68" s="187"/>
      <c r="B68" s="194" t="s">
        <v>271</v>
      </c>
      <c r="C68" s="188"/>
      <c r="D68" s="188"/>
      <c r="E68" s="188"/>
      <c r="F68" s="192"/>
      <c r="G68" s="192"/>
      <c r="H68" s="192"/>
      <c r="I68" s="189"/>
      <c r="J68" s="189"/>
      <c r="K68" s="190" t="s">
        <v>300</v>
      </c>
      <c r="L68" s="191" t="s">
        <v>300</v>
      </c>
      <c r="M68" s="189" t="s">
        <v>297</v>
      </c>
      <c r="N68" s="190" t="s">
        <v>297</v>
      </c>
      <c r="O68" s="191" t="s">
        <v>297</v>
      </c>
      <c r="P68" s="191"/>
      <c r="Q68" s="190"/>
      <c r="R68" s="189"/>
      <c r="S68" s="190" t="s">
        <v>300</v>
      </c>
      <c r="T68" s="190" t="s">
        <v>300</v>
      </c>
      <c r="U68" s="191" t="s">
        <v>300</v>
      </c>
      <c r="V68" s="189" t="s">
        <v>297</v>
      </c>
      <c r="W68" s="190" t="s">
        <v>297</v>
      </c>
      <c r="X68" s="191" t="s">
        <v>297</v>
      </c>
      <c r="Y68" s="191"/>
      <c r="Z68" s="192"/>
      <c r="AA68" s="192"/>
      <c r="AB68" s="192"/>
    </row>
    <row r="69" spans="1:28" ht="18.75">
      <c r="A69" s="109"/>
      <c r="B69" s="185" t="s">
        <v>295</v>
      </c>
      <c r="C69" s="186" t="s">
        <v>293</v>
      </c>
      <c r="D69" s="186"/>
      <c r="E69" s="186" t="s">
        <v>291</v>
      </c>
      <c r="F69" s="184"/>
      <c r="G69" s="184"/>
      <c r="H69" s="184"/>
      <c r="I69" s="141"/>
      <c r="J69" s="141"/>
      <c r="K69" s="142">
        <f>K67*K6</f>
        <v>39600</v>
      </c>
      <c r="L69" s="143">
        <f>L67*L6</f>
        <v>280000</v>
      </c>
      <c r="M69" s="141">
        <f>M67*M7</f>
        <v>604800</v>
      </c>
      <c r="N69" s="142">
        <f>N67*N7</f>
        <v>856240</v>
      </c>
      <c r="O69" s="143">
        <f>O67*O7</f>
        <v>140000</v>
      </c>
      <c r="P69" s="143"/>
      <c r="Q69" s="142">
        <f>Q67*Q7</f>
        <v>160000</v>
      </c>
      <c r="R69" s="141"/>
      <c r="S69" s="142">
        <f>S67*S6</f>
        <v>97009.900240289018</v>
      </c>
      <c r="T69" s="142">
        <f>T67*T6</f>
        <v>97009.900240289018</v>
      </c>
      <c r="U69" s="143">
        <f>U67*U6</f>
        <v>97009.900240289018</v>
      </c>
      <c r="V69" s="141">
        <f t="shared" ref="V69:AB69" si="12">V67*V7</f>
        <v>2562000</v>
      </c>
      <c r="W69" s="142">
        <f t="shared" si="12"/>
        <v>213500</v>
      </c>
      <c r="X69" s="143">
        <f t="shared" si="12"/>
        <v>43400</v>
      </c>
      <c r="Y69" s="143"/>
      <c r="Z69" s="184">
        <f t="shared" si="12"/>
        <v>400000</v>
      </c>
      <c r="AA69" s="184">
        <f t="shared" si="12"/>
        <v>400000</v>
      </c>
      <c r="AB69" s="184">
        <f t="shared" si="12"/>
        <v>400000</v>
      </c>
    </row>
    <row r="70" spans="1:28" ht="30">
      <c r="A70" s="109"/>
      <c r="B70" s="185" t="s">
        <v>308</v>
      </c>
      <c r="C70" s="186"/>
      <c r="D70" s="186"/>
      <c r="E70" s="186"/>
      <c r="F70" s="184"/>
      <c r="G70" s="184"/>
      <c r="H70" s="184"/>
      <c r="I70" s="141"/>
      <c r="J70" s="141"/>
      <c r="K70" s="142">
        <f>0.06</f>
        <v>0.06</v>
      </c>
      <c r="L70" s="143">
        <f>0.06</f>
        <v>0.06</v>
      </c>
      <c r="M70" s="141">
        <f t="shared" ref="M70:AB71" si="13">0.06</f>
        <v>0.06</v>
      </c>
      <c r="N70" s="142">
        <f t="shared" si="13"/>
        <v>0.06</v>
      </c>
      <c r="O70" s="143">
        <f t="shared" si="13"/>
        <v>0.06</v>
      </c>
      <c r="P70" s="143"/>
      <c r="Q70" s="142">
        <f t="shared" si="13"/>
        <v>0.06</v>
      </c>
      <c r="R70" s="141">
        <f t="shared" si="13"/>
        <v>0.06</v>
      </c>
      <c r="S70" s="142">
        <f t="shared" si="13"/>
        <v>0.06</v>
      </c>
      <c r="T70" s="142">
        <f t="shared" si="13"/>
        <v>0.06</v>
      </c>
      <c r="U70" s="143">
        <f t="shared" si="13"/>
        <v>0.06</v>
      </c>
      <c r="V70" s="141">
        <f t="shared" si="13"/>
        <v>0.06</v>
      </c>
      <c r="W70" s="142">
        <f t="shared" si="13"/>
        <v>0.06</v>
      </c>
      <c r="X70" s="143">
        <f t="shared" si="13"/>
        <v>0.06</v>
      </c>
      <c r="Y70" s="143"/>
      <c r="Z70" s="184">
        <f t="shared" si="13"/>
        <v>0.06</v>
      </c>
      <c r="AA70" s="184">
        <f t="shared" si="13"/>
        <v>0.06</v>
      </c>
      <c r="AB70" s="184">
        <f t="shared" si="13"/>
        <v>0.06</v>
      </c>
    </row>
    <row r="71" spans="1:28" ht="18.75">
      <c r="A71" s="109"/>
      <c r="B71" s="185" t="s">
        <v>309</v>
      </c>
      <c r="C71" s="186"/>
      <c r="D71" s="186"/>
      <c r="E71" s="186"/>
      <c r="F71" s="184"/>
      <c r="G71" s="184"/>
      <c r="H71" s="184"/>
      <c r="I71" s="141"/>
      <c r="J71" s="141"/>
      <c r="K71" s="142">
        <f>0.39</f>
        <v>0.39</v>
      </c>
      <c r="L71" s="143">
        <f>0.39</f>
        <v>0.39</v>
      </c>
      <c r="M71" s="141">
        <v>0.2</v>
      </c>
      <c r="N71" s="142">
        <v>0.2</v>
      </c>
      <c r="O71" s="143">
        <v>0.2</v>
      </c>
      <c r="P71" s="143"/>
      <c r="Q71" s="142">
        <v>0.2</v>
      </c>
      <c r="R71" s="141">
        <f>0.39</f>
        <v>0.39</v>
      </c>
      <c r="S71" s="142">
        <f>0.39</f>
        <v>0.39</v>
      </c>
      <c r="T71" s="142">
        <f>0.39</f>
        <v>0.39</v>
      </c>
      <c r="U71" s="143">
        <f>0.39</f>
        <v>0.39</v>
      </c>
      <c r="V71" s="141">
        <f t="shared" si="13"/>
        <v>0.06</v>
      </c>
      <c r="W71" s="142">
        <f t="shared" si="13"/>
        <v>0.06</v>
      </c>
      <c r="X71" s="143">
        <f t="shared" si="13"/>
        <v>0.06</v>
      </c>
      <c r="Y71" s="143"/>
      <c r="Z71" s="184">
        <v>0.2</v>
      </c>
      <c r="AA71" s="184">
        <v>0.2</v>
      </c>
      <c r="AB71" s="184">
        <v>0.3</v>
      </c>
    </row>
    <row r="72" spans="1:28" ht="18.75">
      <c r="A72" s="109"/>
      <c r="B72" s="178" t="s">
        <v>296</v>
      </c>
      <c r="C72" s="180" t="s">
        <v>292</v>
      </c>
      <c r="D72" s="180"/>
      <c r="E72" s="180"/>
      <c r="F72" s="184"/>
      <c r="G72" s="184"/>
      <c r="H72" s="184"/>
      <c r="I72" s="141"/>
      <c r="J72" s="141">
        <f t="shared" ref="J72:AB72" si="14">(J71+J70)*J69+J69</f>
        <v>0</v>
      </c>
      <c r="K72" s="142">
        <f t="shared" si="14"/>
        <v>57420</v>
      </c>
      <c r="L72" s="143">
        <f t="shared" si="14"/>
        <v>406000</v>
      </c>
      <c r="M72" s="141">
        <f t="shared" si="14"/>
        <v>762048</v>
      </c>
      <c r="N72" s="142">
        <f t="shared" si="14"/>
        <v>1078862.3999999999</v>
      </c>
      <c r="O72" s="143">
        <f t="shared" si="14"/>
        <v>176400</v>
      </c>
      <c r="P72" s="143"/>
      <c r="Q72" s="142">
        <f t="shared" si="14"/>
        <v>201600</v>
      </c>
      <c r="R72" s="141">
        <f t="shared" si="14"/>
        <v>0</v>
      </c>
      <c r="S72" s="142">
        <f t="shared" si="14"/>
        <v>140664.35534841908</v>
      </c>
      <c r="T72" s="142">
        <f t="shared" si="14"/>
        <v>140664.35534841908</v>
      </c>
      <c r="U72" s="143">
        <f t="shared" si="14"/>
        <v>140664.35534841908</v>
      </c>
      <c r="V72" s="141">
        <f t="shared" si="14"/>
        <v>2869440</v>
      </c>
      <c r="W72" s="142">
        <f t="shared" si="14"/>
        <v>239120</v>
      </c>
      <c r="X72" s="143">
        <f t="shared" si="14"/>
        <v>48608</v>
      </c>
      <c r="Y72" s="143"/>
      <c r="Z72" s="184">
        <f t="shared" si="14"/>
        <v>504000</v>
      </c>
      <c r="AA72" s="184">
        <f t="shared" si="14"/>
        <v>504000</v>
      </c>
      <c r="AB72" s="184">
        <f t="shared" si="14"/>
        <v>544000</v>
      </c>
    </row>
    <row r="78" spans="1:28">
      <c r="J78" s="122" t="s">
        <v>297</v>
      </c>
      <c r="K78" t="s">
        <v>298</v>
      </c>
    </row>
    <row r="79" spans="1:28">
      <c r="J79" s="122" t="s">
        <v>300</v>
      </c>
      <c r="K79" t="s">
        <v>299</v>
      </c>
    </row>
  </sheetData>
  <mergeCells count="5">
    <mergeCell ref="AA1:AB1"/>
    <mergeCell ref="R2:U2"/>
    <mergeCell ref="V2:X2"/>
    <mergeCell ref="R1:Z1"/>
    <mergeCell ref="F1:I1"/>
  </mergeCells>
  <conditionalFormatting sqref="AE38:AY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{256795C3-E534-4BE4-A439-09D99F7F12E7}</x14:id>
        </ext>
      </extLst>
    </cfRule>
  </conditionalFormatting>
  <pageMargins left="0.7" right="0.7" top="0.78740157499999996" bottom="0.78740157499999996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6795C3-E534-4BE4-A439-09D99F7F12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AE38:AY39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9B868-CB24-4D65-8FE7-A9D052B16380}">
  <dimension ref="A1:AY79"/>
  <sheetViews>
    <sheetView showGridLines="0" zoomScale="55" zoomScaleNormal="55" workbookViewId="0">
      <pane xSplit="5" ySplit="3" topLeftCell="J4" activePane="bottomRight" state="frozen"/>
      <selection pane="topRight" activeCell="D1" sqref="D1"/>
      <selection pane="bottomLeft" activeCell="A2" sqref="A2"/>
      <selection pane="bottomRight" activeCell="A11" sqref="A11:XFD11"/>
    </sheetView>
  </sheetViews>
  <sheetFormatPr baseColWidth="10" defaultRowHeight="15"/>
  <cols>
    <col min="1" max="1" width="3.85546875" style="105" customWidth="1"/>
    <col min="2" max="2" width="30.42578125" style="106" customWidth="1"/>
    <col min="3" max="4" width="8.7109375" style="105" customWidth="1"/>
    <col min="5" max="5" width="14.42578125" style="105" customWidth="1"/>
    <col min="6" max="9" width="14.7109375" style="105" customWidth="1"/>
    <col min="10" max="28" width="9.85546875" style="105" customWidth="1"/>
    <col min="29" max="30" width="11.42578125" style="105"/>
    <col min="31" max="34" width="13.28515625" style="105" customWidth="1"/>
    <col min="35" max="40" width="9.85546875" style="105" customWidth="1"/>
    <col min="41" max="41" width="13.42578125" style="105" customWidth="1"/>
    <col min="42" max="51" width="9.85546875" style="105" customWidth="1"/>
    <col min="52" max="16384" width="11.42578125" style="105"/>
  </cols>
  <sheetData>
    <row r="1" spans="1:51" ht="18.75">
      <c r="F1" s="225" t="s">
        <v>314</v>
      </c>
      <c r="G1" s="226"/>
      <c r="H1" s="226"/>
      <c r="I1" s="227"/>
      <c r="J1" s="228" t="s">
        <v>277</v>
      </c>
      <c r="K1" s="229"/>
      <c r="L1" s="229"/>
      <c r="M1" s="229"/>
      <c r="N1" s="229"/>
      <c r="O1" s="229"/>
      <c r="P1" s="229"/>
      <c r="Q1" s="230"/>
      <c r="R1" s="222" t="s">
        <v>276</v>
      </c>
      <c r="S1" s="223"/>
      <c r="T1" s="223"/>
      <c r="U1" s="223"/>
      <c r="V1" s="223"/>
      <c r="W1" s="223"/>
      <c r="X1" s="223"/>
      <c r="Y1" s="223"/>
      <c r="Z1" s="224"/>
      <c r="AA1" s="218" t="s">
        <v>314</v>
      </c>
      <c r="AB1" s="219"/>
      <c r="AE1" s="225" t="s">
        <v>314</v>
      </c>
      <c r="AF1" s="226"/>
      <c r="AG1" s="226"/>
      <c r="AH1" s="227"/>
      <c r="AI1" s="228" t="s">
        <v>277</v>
      </c>
      <c r="AJ1" s="229"/>
      <c r="AK1" s="229"/>
      <c r="AL1" s="229"/>
      <c r="AM1" s="229"/>
      <c r="AN1" s="229"/>
      <c r="AO1" s="230"/>
      <c r="AP1" s="222" t="s">
        <v>276</v>
      </c>
      <c r="AQ1" s="223"/>
      <c r="AR1" s="223"/>
      <c r="AS1" s="223"/>
      <c r="AT1" s="223"/>
      <c r="AU1" s="223"/>
      <c r="AV1" s="223"/>
      <c r="AW1" s="224"/>
      <c r="AX1" s="218" t="s">
        <v>314</v>
      </c>
      <c r="AY1" s="219"/>
    </row>
    <row r="2" spans="1:51" ht="18.75">
      <c r="F2" s="123"/>
      <c r="G2" s="123"/>
      <c r="H2" s="123"/>
      <c r="I2" s="123"/>
      <c r="J2" s="220" t="s">
        <v>241</v>
      </c>
      <c r="K2" s="220"/>
      <c r="L2" s="220"/>
      <c r="M2" s="221" t="s">
        <v>255</v>
      </c>
      <c r="N2" s="221"/>
      <c r="O2" s="221"/>
      <c r="P2" s="201"/>
      <c r="Q2" s="123" t="s">
        <v>302</v>
      </c>
      <c r="R2" s="220" t="s">
        <v>241</v>
      </c>
      <c r="S2" s="220"/>
      <c r="T2" s="220"/>
      <c r="U2" s="220"/>
      <c r="V2" s="221" t="s">
        <v>255</v>
      </c>
      <c r="W2" s="221"/>
      <c r="X2" s="221"/>
      <c r="Y2" s="201"/>
      <c r="Z2" s="123" t="s">
        <v>302</v>
      </c>
      <c r="AA2" s="123" t="s">
        <v>312</v>
      </c>
      <c r="AB2" s="123" t="s">
        <v>316</v>
      </c>
      <c r="AE2" s="123"/>
      <c r="AF2" s="123"/>
      <c r="AG2" s="123"/>
      <c r="AH2" s="123"/>
      <c r="AI2" s="220" t="s">
        <v>241</v>
      </c>
      <c r="AJ2" s="220"/>
      <c r="AK2" s="220"/>
      <c r="AL2" s="221" t="s">
        <v>255</v>
      </c>
      <c r="AM2" s="221"/>
      <c r="AN2" s="221"/>
      <c r="AO2" s="123" t="s">
        <v>302</v>
      </c>
      <c r="AP2" s="220" t="s">
        <v>241</v>
      </c>
      <c r="AQ2" s="220"/>
      <c r="AR2" s="220"/>
      <c r="AS2" s="220"/>
      <c r="AT2" s="221" t="s">
        <v>255</v>
      </c>
      <c r="AU2" s="221"/>
      <c r="AV2" s="221"/>
      <c r="AW2" s="123" t="s">
        <v>302</v>
      </c>
      <c r="AX2" s="123" t="s">
        <v>312</v>
      </c>
      <c r="AY2" s="123" t="s">
        <v>313</v>
      </c>
    </row>
    <row r="3" spans="1:51" s="107" customFormat="1" ht="45">
      <c r="C3" s="147" t="s">
        <v>285</v>
      </c>
      <c r="D3" s="147" t="s">
        <v>286</v>
      </c>
      <c r="F3" s="124" t="s">
        <v>317</v>
      </c>
      <c r="G3" s="124" t="s">
        <v>318</v>
      </c>
      <c r="H3" s="124" t="s">
        <v>319</v>
      </c>
      <c r="I3" s="124" t="s">
        <v>320</v>
      </c>
      <c r="J3" s="103" t="s">
        <v>275</v>
      </c>
      <c r="K3" s="103" t="s">
        <v>203</v>
      </c>
      <c r="L3" s="103" t="s">
        <v>204</v>
      </c>
      <c r="M3" s="104" t="s">
        <v>227</v>
      </c>
      <c r="N3" s="104" t="s">
        <v>228</v>
      </c>
      <c r="O3" s="104" t="s">
        <v>229</v>
      </c>
      <c r="P3" s="104"/>
      <c r="Q3" s="124" t="s">
        <v>75</v>
      </c>
      <c r="R3" s="103" t="s">
        <v>242</v>
      </c>
      <c r="S3" s="103" t="s">
        <v>207</v>
      </c>
      <c r="T3" s="103" t="s">
        <v>225</v>
      </c>
      <c r="U3" s="103" t="s">
        <v>226</v>
      </c>
      <c r="V3" s="104" t="s">
        <v>273</v>
      </c>
      <c r="W3" s="104" t="s">
        <v>274</v>
      </c>
      <c r="X3" s="104" t="s">
        <v>272</v>
      </c>
      <c r="Y3" s="104"/>
      <c r="Z3" s="124" t="s">
        <v>77</v>
      </c>
      <c r="AA3" s="124" t="s">
        <v>1</v>
      </c>
      <c r="AB3" s="124" t="s">
        <v>0</v>
      </c>
      <c r="AE3" s="124" t="str">
        <f t="shared" ref="AE3:AN3" si="0">F3&amp;"."</f>
        <v>cs_to_pth_pr.</v>
      </c>
      <c r="AF3" s="124" t="str">
        <f t="shared" si="0"/>
        <v>flex_to_pth_pr.</v>
      </c>
      <c r="AG3" s="124" t="str">
        <f t="shared" si="0"/>
        <v>cs_to_pth_sch.</v>
      </c>
      <c r="AH3" s="124" t="str">
        <f t="shared" si="0"/>
        <v>flex_to_pth_sch.</v>
      </c>
      <c r="AI3" s="103" t="str">
        <f t="shared" si="0"/>
        <v>chp_pr_ee.</v>
      </c>
      <c r="AJ3" s="103" t="str">
        <f t="shared" si="0"/>
        <v>chp_pr_gas_1.</v>
      </c>
      <c r="AK3" s="103" t="str">
        <f t="shared" si="0"/>
        <v>chp_pr_gas_2.</v>
      </c>
      <c r="AL3" s="104" t="str">
        <f t="shared" si="0"/>
        <v>boiler_pr_1.</v>
      </c>
      <c r="AM3" s="104" t="str">
        <f t="shared" si="0"/>
        <v>boiler_pr_2.</v>
      </c>
      <c r="AN3" s="104" t="str">
        <f t="shared" si="0"/>
        <v>boiler_pr_3.</v>
      </c>
      <c r="AO3" s="124" t="str">
        <f t="shared" ref="AO3:AV3" si="1">Q3&amp;"."</f>
        <v>pth_pr.</v>
      </c>
      <c r="AP3" s="103" t="str">
        <f t="shared" si="1"/>
        <v>chp_pck_waste.</v>
      </c>
      <c r="AQ3" s="103" t="str">
        <f t="shared" si="1"/>
        <v>chp_sch_kuhheide.</v>
      </c>
      <c r="AR3" s="103" t="str">
        <f t="shared" si="1"/>
        <v>chp_sch_m_turbine1.</v>
      </c>
      <c r="AS3" s="103" t="str">
        <f t="shared" si="1"/>
        <v>chp_sch_m_turbine2.</v>
      </c>
      <c r="AT3" s="104" t="str">
        <f t="shared" si="1"/>
        <v>boiler_sch_1.</v>
      </c>
      <c r="AU3" s="104" t="str">
        <f t="shared" si="1"/>
        <v>boiler_sch_contract.</v>
      </c>
      <c r="AV3" s="104" t="str">
        <f t="shared" si="1"/>
        <v>boiler_sch_2.</v>
      </c>
      <c r="AW3" s="124" t="str">
        <f>Z3&amp;"."</f>
        <v>pth_sch.</v>
      </c>
      <c r="AX3" s="124" t="str">
        <f>AA3&amp;"."</f>
        <v>batt.</v>
      </c>
      <c r="AY3" s="124" t="str">
        <f>AB3&amp;"."</f>
        <v>ptg.</v>
      </c>
    </row>
    <row r="4" spans="1:51" ht="18.75">
      <c r="B4" s="108" t="s">
        <v>278</v>
      </c>
      <c r="C4" s="117"/>
      <c r="D4" s="117"/>
      <c r="E4" s="117"/>
      <c r="F4" s="130"/>
      <c r="G4" s="130"/>
      <c r="H4" s="130"/>
      <c r="I4" s="130"/>
      <c r="J4" s="127"/>
      <c r="K4" s="128"/>
      <c r="L4" s="129"/>
      <c r="M4" s="127"/>
      <c r="N4" s="128"/>
      <c r="O4" s="129"/>
      <c r="P4" s="128"/>
      <c r="Q4" s="128"/>
      <c r="R4" s="127"/>
      <c r="S4" s="128"/>
      <c r="T4" s="128"/>
      <c r="U4" s="129"/>
      <c r="V4" s="127"/>
      <c r="W4" s="128"/>
      <c r="X4" s="129"/>
      <c r="Y4" s="129"/>
      <c r="Z4" s="130"/>
      <c r="AA4" s="130"/>
      <c r="AB4" s="130"/>
      <c r="AI4" s="127"/>
      <c r="AJ4" s="128"/>
      <c r="AK4" s="129"/>
      <c r="AL4" s="127"/>
      <c r="AM4" s="128"/>
      <c r="AN4" s="129"/>
      <c r="AO4" s="128"/>
      <c r="AP4" s="127"/>
      <c r="AQ4" s="128"/>
      <c r="AR4" s="128"/>
      <c r="AS4" s="129"/>
      <c r="AT4" s="127"/>
      <c r="AU4" s="128"/>
      <c r="AV4" s="129"/>
      <c r="AW4" s="130"/>
      <c r="AX4" s="130"/>
      <c r="AY4" s="130"/>
    </row>
    <row r="5" spans="1:51" ht="18.75">
      <c r="A5" s="109"/>
      <c r="B5" s="178" t="s">
        <v>315</v>
      </c>
      <c r="C5" s="179" t="s">
        <v>281</v>
      </c>
      <c r="D5" s="179" t="s">
        <v>115</v>
      </c>
      <c r="E5" s="180"/>
      <c r="F5" s="184">
        <v>100000</v>
      </c>
      <c r="G5" s="184">
        <v>100000</v>
      </c>
      <c r="H5" s="184">
        <v>100000</v>
      </c>
      <c r="I5" s="184">
        <v>100000</v>
      </c>
      <c r="J5" s="144">
        <f>J6</f>
        <v>3.0570000000000004</v>
      </c>
      <c r="K5" s="145">
        <f>K6</f>
        <v>2.1999999999999999E-2</v>
      </c>
      <c r="L5" s="146">
        <f>L6</f>
        <v>0.4</v>
      </c>
      <c r="M5" s="144">
        <f>M7</f>
        <v>8.64</v>
      </c>
      <c r="N5" s="145">
        <f>N7</f>
        <v>12.231999999999999</v>
      </c>
      <c r="O5" s="146">
        <f>O7</f>
        <v>2</v>
      </c>
      <c r="P5" s="145"/>
      <c r="Q5" s="145">
        <f>Q7</f>
        <v>2</v>
      </c>
      <c r="R5" s="144">
        <f>R6</f>
        <v>200.13300000000001</v>
      </c>
      <c r="S5" s="145">
        <f>S6</f>
        <v>0.1</v>
      </c>
      <c r="T5" s="145">
        <f>T6</f>
        <v>0.1</v>
      </c>
      <c r="U5" s="146">
        <f>U6</f>
        <v>0.1</v>
      </c>
      <c r="V5" s="144">
        <f t="shared" ref="V5:AB5" si="2">V7</f>
        <v>36.6</v>
      </c>
      <c r="W5" s="145">
        <f t="shared" si="2"/>
        <v>3.05</v>
      </c>
      <c r="X5" s="146">
        <f t="shared" si="2"/>
        <v>0.62</v>
      </c>
      <c r="Y5" s="146"/>
      <c r="Z5" s="181">
        <f t="shared" si="2"/>
        <v>5</v>
      </c>
      <c r="AA5" s="181">
        <f t="shared" si="2"/>
        <v>5</v>
      </c>
      <c r="AB5" s="181">
        <f t="shared" si="2"/>
        <v>5</v>
      </c>
      <c r="AE5" s="197">
        <f>IFERROR(F5-Parameter_2016_SQ!F5,"kein Vergleichswert")</f>
        <v>0</v>
      </c>
      <c r="AF5" s="197">
        <f>IFERROR(G5-Parameter_2016_SQ!G5,"kein Vergleichswert")</f>
        <v>0</v>
      </c>
      <c r="AG5" s="197">
        <f>IFERROR(H5-Parameter_2016_SQ!H5,"kein Vergleichswert")</f>
        <v>0</v>
      </c>
      <c r="AH5" s="197">
        <f>IFERROR(I5-Parameter_2016_SQ!I5,"kein Vergleichswert")</f>
        <v>0</v>
      </c>
      <c r="AI5" s="197">
        <f>IFERROR(J5-Parameter_2016_SQ!J5,"kein Vergleichswert")</f>
        <v>0</v>
      </c>
      <c r="AJ5" s="197">
        <f>IFERROR(K5-Parameter_2016_SQ!K5,"kein Vergleichswert")</f>
        <v>0</v>
      </c>
      <c r="AK5" s="197">
        <f>IFERROR(L5-Parameter_2016_SQ!L5,"kein Vergleichswert")</f>
        <v>0</v>
      </c>
      <c r="AL5" s="197">
        <f>IFERROR(M5-Parameter_2016_SQ!M5,"kein Vergleichswert")</f>
        <v>0</v>
      </c>
      <c r="AM5" s="197">
        <f>IFERROR(N5-Parameter_2016_SQ!N5,"kein Vergleichswert")</f>
        <v>0</v>
      </c>
      <c r="AN5" s="197">
        <f>IFERROR(O5-Parameter_2016_SQ!O5,"kein Vergleichswert")</f>
        <v>0</v>
      </c>
      <c r="AO5" s="197">
        <f>IFERROR(Q5-Parameter_2016_SQ!Q5,"kein Vergleichswert")</f>
        <v>0</v>
      </c>
      <c r="AP5" s="197">
        <f>IFERROR(R5-Parameter_2016_SQ!R5,"kein Vergleichswert")</f>
        <v>0</v>
      </c>
      <c r="AQ5" s="197">
        <f>IFERROR(S5-Parameter_2016_SQ!S5,"kein Vergleichswert")</f>
        <v>0</v>
      </c>
      <c r="AR5" s="197">
        <f>IFERROR(T5-Parameter_2016_SQ!T5,"kein Vergleichswert")</f>
        <v>0</v>
      </c>
      <c r="AS5" s="197">
        <f>IFERROR(U5-Parameter_2016_SQ!U5,"kein Vergleichswert")</f>
        <v>0</v>
      </c>
      <c r="AT5" s="197">
        <f>IFERROR(V5-Parameter_2016_SQ!V5,"kein Vergleichswert")</f>
        <v>0</v>
      </c>
      <c r="AU5" s="197">
        <f>IFERROR(W5-Parameter_2016_SQ!W5,"kein Vergleichswert")</f>
        <v>0</v>
      </c>
      <c r="AV5" s="197">
        <f>IFERROR(X5-Parameter_2016_SQ!X5,"kein Vergleichswert")</f>
        <v>0</v>
      </c>
      <c r="AW5" s="197">
        <f>IFERROR(Z5-Parameter_2016_SQ!Z5,"kein Vergleichswert")</f>
        <v>0</v>
      </c>
      <c r="AX5" s="197">
        <f>IFERROR(AA5-Parameter_2016_SQ!AA5,"kein Vergleichswert")</f>
        <v>0</v>
      </c>
      <c r="AY5" s="197">
        <f>IFERROR(AB5-Parameter_2016_SQ!AB5,"kein Vergleichswert")</f>
        <v>0</v>
      </c>
    </row>
    <row r="6" spans="1:51" ht="18.75">
      <c r="A6" s="109"/>
      <c r="B6" s="178" t="s">
        <v>245</v>
      </c>
      <c r="C6" s="179" t="s">
        <v>281</v>
      </c>
      <c r="D6" s="157"/>
      <c r="E6" s="180" t="s">
        <v>252</v>
      </c>
      <c r="F6" s="181"/>
      <c r="G6" s="181"/>
      <c r="H6" s="181"/>
      <c r="I6" s="181"/>
      <c r="J6" s="144">
        <v>3.0570000000000004</v>
      </c>
      <c r="K6" s="145">
        <v>2.1999999999999999E-2</v>
      </c>
      <c r="L6" s="146">
        <v>0.4</v>
      </c>
      <c r="M6" s="144"/>
      <c r="N6" s="145"/>
      <c r="O6" s="146"/>
      <c r="P6" s="145"/>
      <c r="Q6" s="145"/>
      <c r="R6" s="144">
        <v>200.13300000000001</v>
      </c>
      <c r="S6" s="145">
        <v>0.1</v>
      </c>
      <c r="T6" s="145">
        <v>0.1</v>
      </c>
      <c r="U6" s="146">
        <v>0.1</v>
      </c>
      <c r="V6" s="144"/>
      <c r="W6" s="145"/>
      <c r="X6" s="146"/>
      <c r="Y6" s="146"/>
      <c r="Z6" s="181"/>
      <c r="AA6" s="181"/>
      <c r="AB6" s="181"/>
      <c r="AE6" s="197">
        <f>IFERROR(F6-Parameter_2016_SQ!F6,"kein Vergleichswert")</f>
        <v>0</v>
      </c>
      <c r="AF6" s="197">
        <f>IFERROR(G6-Parameter_2016_SQ!G6,"kein Vergleichswert")</f>
        <v>0</v>
      </c>
      <c r="AG6" s="197">
        <f>IFERROR(H6-Parameter_2016_SQ!H6,"kein Vergleichswert")</f>
        <v>0</v>
      </c>
      <c r="AH6" s="197">
        <f>IFERROR(I6-Parameter_2016_SQ!I6,"kein Vergleichswert")</f>
        <v>0</v>
      </c>
      <c r="AI6" s="197">
        <f>IFERROR(J6-Parameter_2016_SQ!J6,"kein Vergleichswert")</f>
        <v>0</v>
      </c>
      <c r="AJ6" s="197">
        <f>IFERROR(K6-Parameter_2016_SQ!K6,"kein Vergleichswert")</f>
        <v>0</v>
      </c>
      <c r="AK6" s="197">
        <f>IFERROR(L6-Parameter_2016_SQ!L6,"kein Vergleichswert")</f>
        <v>0</v>
      </c>
      <c r="AL6" s="197">
        <f>IFERROR(M6-Parameter_2016_SQ!M6,"kein Vergleichswert")</f>
        <v>0</v>
      </c>
      <c r="AM6" s="197">
        <f>IFERROR(N6-Parameter_2016_SQ!N6,"kein Vergleichswert")</f>
        <v>0</v>
      </c>
      <c r="AN6" s="197">
        <f>IFERROR(O6-Parameter_2016_SQ!O6,"kein Vergleichswert")</f>
        <v>0</v>
      </c>
      <c r="AO6" s="197">
        <f>IFERROR(Q6-Parameter_2016_SQ!Q6,"kein Vergleichswert")</f>
        <v>0</v>
      </c>
      <c r="AP6" s="197">
        <f>IFERROR(R6-Parameter_2016_SQ!R6,"kein Vergleichswert")</f>
        <v>0</v>
      </c>
      <c r="AQ6" s="197">
        <f>IFERROR(S6-Parameter_2016_SQ!S6,"kein Vergleichswert")</f>
        <v>0</v>
      </c>
      <c r="AR6" s="197">
        <f>IFERROR(T6-Parameter_2016_SQ!T6,"kein Vergleichswert")</f>
        <v>0</v>
      </c>
      <c r="AS6" s="197">
        <f>IFERROR(U6-Parameter_2016_SQ!U6,"kein Vergleichswert")</f>
        <v>0</v>
      </c>
      <c r="AT6" s="197">
        <f>IFERROR(V6-Parameter_2016_SQ!V6,"kein Vergleichswert")</f>
        <v>0</v>
      </c>
      <c r="AU6" s="197">
        <f>IFERROR(W6-Parameter_2016_SQ!W6,"kein Vergleichswert")</f>
        <v>0</v>
      </c>
      <c r="AV6" s="197">
        <f>IFERROR(X6-Parameter_2016_SQ!X6,"kein Vergleichswert")</f>
        <v>0</v>
      </c>
      <c r="AW6" s="197">
        <f>IFERROR(Z6-Parameter_2016_SQ!Z6,"kein Vergleichswert")</f>
        <v>0</v>
      </c>
      <c r="AX6" s="197">
        <f>IFERROR(AA6-Parameter_2016_SQ!AA6,"kein Vergleichswert")</f>
        <v>0</v>
      </c>
      <c r="AY6" s="197">
        <f>IFERROR(AB6-Parameter_2016_SQ!AB6,"kein Vergleichswert")</f>
        <v>0</v>
      </c>
    </row>
    <row r="7" spans="1:51" ht="18.75">
      <c r="A7" s="109"/>
      <c r="B7" s="178" t="s">
        <v>246</v>
      </c>
      <c r="C7" s="179" t="s">
        <v>282</v>
      </c>
      <c r="D7" s="179"/>
      <c r="E7" s="180" t="s">
        <v>253</v>
      </c>
      <c r="F7" s="181"/>
      <c r="G7" s="181"/>
      <c r="H7" s="181"/>
      <c r="I7" s="181"/>
      <c r="J7" s="144">
        <v>2.778</v>
      </c>
      <c r="K7" s="182">
        <v>0.05</v>
      </c>
      <c r="L7" s="146">
        <v>0.5</v>
      </c>
      <c r="M7" s="144">
        <v>8.64</v>
      </c>
      <c r="N7" s="145">
        <v>12.231999999999999</v>
      </c>
      <c r="O7" s="146">
        <v>2</v>
      </c>
      <c r="P7" s="145"/>
      <c r="Q7" s="145">
        <v>2</v>
      </c>
      <c r="R7" s="144">
        <v>18.398</v>
      </c>
      <c r="S7" s="145">
        <v>0.16200000000000001</v>
      </c>
      <c r="T7" s="145">
        <v>0.14499999999999999</v>
      </c>
      <c r="U7" s="146">
        <v>0.14499999999999999</v>
      </c>
      <c r="V7" s="144">
        <v>36.6</v>
      </c>
      <c r="W7" s="145">
        <v>3.05</v>
      </c>
      <c r="X7" s="146">
        <v>0.62</v>
      </c>
      <c r="Y7" s="146"/>
      <c r="Z7" s="181">
        <v>5</v>
      </c>
      <c r="AA7" s="181">
        <v>5</v>
      </c>
      <c r="AB7" s="181">
        <v>5</v>
      </c>
      <c r="AE7" s="197">
        <f>IFERROR(F7-Parameter_2016_SQ!F7,"kein Vergleichswert")</f>
        <v>0</v>
      </c>
      <c r="AF7" s="197">
        <f>IFERROR(G7-Parameter_2016_SQ!G7,"kein Vergleichswert")</f>
        <v>0</v>
      </c>
      <c r="AG7" s="197">
        <f>IFERROR(H7-Parameter_2016_SQ!H7,"kein Vergleichswert")</f>
        <v>0</v>
      </c>
      <c r="AH7" s="197">
        <f>IFERROR(I7-Parameter_2016_SQ!I7,"kein Vergleichswert")</f>
        <v>0</v>
      </c>
      <c r="AI7" s="197">
        <f>IFERROR(J7-Parameter_2016_SQ!J7,"kein Vergleichswert")</f>
        <v>0</v>
      </c>
      <c r="AJ7" s="197">
        <f>IFERROR(K7-Parameter_2016_SQ!K7,"kein Vergleichswert")</f>
        <v>0</v>
      </c>
      <c r="AK7" s="197">
        <f>IFERROR(L7-Parameter_2016_SQ!L7,"kein Vergleichswert")</f>
        <v>0</v>
      </c>
      <c r="AL7" s="197">
        <f>IFERROR(M7-Parameter_2016_SQ!M7,"kein Vergleichswert")</f>
        <v>0</v>
      </c>
      <c r="AM7" s="197">
        <f>IFERROR(N7-Parameter_2016_SQ!N7,"kein Vergleichswert")</f>
        <v>0</v>
      </c>
      <c r="AN7" s="197">
        <f>IFERROR(O7-Parameter_2016_SQ!O7,"kein Vergleichswert")</f>
        <v>0</v>
      </c>
      <c r="AO7" s="197">
        <f>IFERROR(Q7-Parameter_2016_SQ!Q7,"kein Vergleichswert")</f>
        <v>0</v>
      </c>
      <c r="AP7" s="197">
        <f>IFERROR(R7-Parameter_2016_SQ!R7,"kein Vergleichswert")</f>
        <v>0</v>
      </c>
      <c r="AQ7" s="197">
        <f>IFERROR(S7-Parameter_2016_SQ!S7,"kein Vergleichswert")</f>
        <v>0</v>
      </c>
      <c r="AR7" s="197">
        <f>IFERROR(T7-Parameter_2016_SQ!T7,"kein Vergleichswert")</f>
        <v>0</v>
      </c>
      <c r="AS7" s="197">
        <f>IFERROR(U7-Parameter_2016_SQ!U7,"kein Vergleichswert")</f>
        <v>0</v>
      </c>
      <c r="AT7" s="197">
        <f>IFERROR(V7-Parameter_2016_SQ!V7,"kein Vergleichswert")</f>
        <v>0</v>
      </c>
      <c r="AU7" s="197">
        <f>IFERROR(W7-Parameter_2016_SQ!W7,"kein Vergleichswert")</f>
        <v>0</v>
      </c>
      <c r="AV7" s="197">
        <f>IFERROR(X7-Parameter_2016_SQ!X7,"kein Vergleichswert")</f>
        <v>0</v>
      </c>
      <c r="AW7" s="197">
        <f>IFERROR(Z7-Parameter_2016_SQ!Z7,"kein Vergleichswert")</f>
        <v>0</v>
      </c>
      <c r="AX7" s="197">
        <f>IFERROR(AA7-Parameter_2016_SQ!AA7,"kein Vergleichswert")</f>
        <v>0</v>
      </c>
      <c r="AY7" s="197">
        <f>IFERROR(AB7-Parameter_2016_SQ!AB7,"kein Vergleichswert")</f>
        <v>0</v>
      </c>
    </row>
    <row r="8" spans="1:51" ht="18.75">
      <c r="A8" s="109"/>
      <c r="B8" s="178" t="s">
        <v>259</v>
      </c>
      <c r="C8" s="180"/>
      <c r="D8" s="180"/>
      <c r="E8" s="180" t="s">
        <v>264</v>
      </c>
      <c r="F8" s="146"/>
      <c r="G8" s="146"/>
      <c r="H8" s="146"/>
      <c r="I8" s="146"/>
      <c r="J8" s="144"/>
      <c r="K8" s="145">
        <f t="shared" ref="K8:AB8" si="3">K7/K10</f>
        <v>8.3333333333333343E-2</v>
      </c>
      <c r="L8" s="146">
        <f t="shared" si="3"/>
        <v>1.0416666666666667</v>
      </c>
      <c r="M8" s="144">
        <f t="shared" si="3"/>
        <v>9.6</v>
      </c>
      <c r="N8" s="145">
        <f t="shared" si="3"/>
        <v>13.591111111111109</v>
      </c>
      <c r="O8" s="146">
        <f t="shared" si="3"/>
        <v>2.2222222222222223</v>
      </c>
      <c r="P8" s="146"/>
      <c r="Q8" s="146">
        <f t="shared" si="3"/>
        <v>2.1052631578947367</v>
      </c>
      <c r="R8" s="144">
        <f t="shared" si="3"/>
        <v>36.795999999999999</v>
      </c>
      <c r="S8" s="145">
        <f t="shared" si="3"/>
        <v>0.28222996515679444</v>
      </c>
      <c r="T8" s="145">
        <f t="shared" si="3"/>
        <v>0.25261324041811845</v>
      </c>
      <c r="U8" s="146">
        <f t="shared" si="3"/>
        <v>0.25261324041811845</v>
      </c>
      <c r="V8" s="144">
        <f t="shared" si="3"/>
        <v>40.666666666666664</v>
      </c>
      <c r="W8" s="145">
        <f t="shared" si="3"/>
        <v>3.3888888888888884</v>
      </c>
      <c r="X8" s="146">
        <f t="shared" si="3"/>
        <v>0.68888888888888888</v>
      </c>
      <c r="Y8" s="146"/>
      <c r="Z8" s="146">
        <f t="shared" si="3"/>
        <v>5.2631578947368425</v>
      </c>
      <c r="AA8" s="146">
        <f t="shared" si="3"/>
        <v>5.2631578947368425</v>
      </c>
      <c r="AB8" s="146">
        <f t="shared" si="3"/>
        <v>6.25</v>
      </c>
      <c r="AE8" s="197">
        <f>IFERROR(F8-Parameter_2016_SQ!F8,"kein Vergleichswert")</f>
        <v>0</v>
      </c>
      <c r="AF8" s="197">
        <f>IFERROR(G8-Parameter_2016_SQ!G8,"kein Vergleichswert")</f>
        <v>0</v>
      </c>
      <c r="AG8" s="197">
        <f>IFERROR(H8-Parameter_2016_SQ!H8,"kein Vergleichswert")</f>
        <v>0</v>
      </c>
      <c r="AH8" s="197">
        <f>IFERROR(I8-Parameter_2016_SQ!I8,"kein Vergleichswert")</f>
        <v>0</v>
      </c>
      <c r="AI8" s="197">
        <f>IFERROR(J8-Parameter_2016_SQ!J8,"kein Vergleichswert")</f>
        <v>0</v>
      </c>
      <c r="AJ8" s="197">
        <f>IFERROR(K8-Parameter_2016_SQ!K8,"kein Vergleichswert")</f>
        <v>0</v>
      </c>
      <c r="AK8" s="197">
        <f>IFERROR(L8-Parameter_2016_SQ!L8,"kein Vergleichswert")</f>
        <v>0</v>
      </c>
      <c r="AL8" s="197">
        <f>IFERROR(M8-Parameter_2016_SQ!M8,"kein Vergleichswert")</f>
        <v>0</v>
      </c>
      <c r="AM8" s="197">
        <f>IFERROR(N8-Parameter_2016_SQ!N8,"kein Vergleichswert")</f>
        <v>0</v>
      </c>
      <c r="AN8" s="197">
        <f>IFERROR(O8-Parameter_2016_SQ!O8,"kein Vergleichswert")</f>
        <v>0</v>
      </c>
      <c r="AO8" s="197">
        <f>IFERROR(Q8-Parameter_2016_SQ!Q8,"kein Vergleichswert")</f>
        <v>0</v>
      </c>
      <c r="AP8" s="197">
        <f>IFERROR(R8-Parameter_2016_SQ!R8,"kein Vergleichswert")</f>
        <v>0</v>
      </c>
      <c r="AQ8" s="197">
        <f>IFERROR(S8-Parameter_2016_SQ!S8,"kein Vergleichswert")</f>
        <v>0</v>
      </c>
      <c r="AR8" s="197">
        <f>IFERROR(T8-Parameter_2016_SQ!T8,"kein Vergleichswert")</f>
        <v>0</v>
      </c>
      <c r="AS8" s="197">
        <f>IFERROR(U8-Parameter_2016_SQ!U8,"kein Vergleichswert")</f>
        <v>0</v>
      </c>
      <c r="AT8" s="197">
        <f>IFERROR(V8-Parameter_2016_SQ!V8,"kein Vergleichswert")</f>
        <v>0</v>
      </c>
      <c r="AU8" s="197">
        <f>IFERROR(W8-Parameter_2016_SQ!W8,"kein Vergleichswert")</f>
        <v>0</v>
      </c>
      <c r="AV8" s="197">
        <f>IFERROR(X8-Parameter_2016_SQ!X8,"kein Vergleichswert")</f>
        <v>0</v>
      </c>
      <c r="AW8" s="197">
        <f>IFERROR(Z8-Parameter_2016_SQ!Z8,"kein Vergleichswert")</f>
        <v>0</v>
      </c>
      <c r="AX8" s="197">
        <f>IFERROR(AA8-Parameter_2016_SQ!AA8,"kein Vergleichswert")</f>
        <v>0</v>
      </c>
      <c r="AY8" s="197">
        <f>IFERROR(AB8-Parameter_2016_SQ!AB8,"kein Vergleichswert")</f>
        <v>0</v>
      </c>
    </row>
    <row r="9" spans="1:51" ht="18.75">
      <c r="A9" s="109"/>
      <c r="B9" s="178" t="s">
        <v>257</v>
      </c>
      <c r="C9" s="179" t="s">
        <v>283</v>
      </c>
      <c r="D9" s="179"/>
      <c r="E9" s="180" t="s">
        <v>22</v>
      </c>
      <c r="F9" s="181">
        <v>1</v>
      </c>
      <c r="G9" s="181">
        <v>1</v>
      </c>
      <c r="H9" s="181">
        <v>1</v>
      </c>
      <c r="I9" s="181">
        <v>1</v>
      </c>
      <c r="J9" s="144">
        <v>0.40533333333333332</v>
      </c>
      <c r="K9" s="145">
        <v>0.29299999999999998</v>
      </c>
      <c r="L9" s="146">
        <v>0.39</v>
      </c>
      <c r="M9" s="144">
        <v>0</v>
      </c>
      <c r="N9" s="145">
        <v>0</v>
      </c>
      <c r="O9" s="146">
        <v>0</v>
      </c>
      <c r="P9" s="146"/>
      <c r="Q9" s="146">
        <v>0</v>
      </c>
      <c r="R9" s="144">
        <v>0.35</v>
      </c>
      <c r="S9" s="145">
        <v>0.34599999999999997</v>
      </c>
      <c r="T9" s="145">
        <v>0.34599999999999997</v>
      </c>
      <c r="U9" s="146">
        <v>0.34599999999999997</v>
      </c>
      <c r="V9" s="144">
        <v>0</v>
      </c>
      <c r="W9" s="145">
        <v>0</v>
      </c>
      <c r="X9" s="146">
        <v>0</v>
      </c>
      <c r="Y9" s="146"/>
      <c r="Z9" s="181"/>
      <c r="AA9" s="181"/>
      <c r="AB9" s="181"/>
      <c r="AE9" s="197">
        <f>IFERROR(F9-Parameter_2016_SQ!F9,"kein Vergleichswert")</f>
        <v>0</v>
      </c>
      <c r="AF9" s="197">
        <f>IFERROR(G9-Parameter_2016_SQ!G9,"kein Vergleichswert")</f>
        <v>0</v>
      </c>
      <c r="AG9" s="197">
        <f>IFERROR(H9-Parameter_2016_SQ!H9,"kein Vergleichswert")</f>
        <v>0</v>
      </c>
      <c r="AH9" s="197">
        <f>IFERROR(I9-Parameter_2016_SQ!I9,"kein Vergleichswert")</f>
        <v>0</v>
      </c>
      <c r="AI9" s="197">
        <f>IFERROR(J9-Parameter_2016_SQ!J9,"kein Vergleichswert")</f>
        <v>0</v>
      </c>
      <c r="AJ9" s="197">
        <f>IFERROR(K9-Parameter_2016_SQ!K9,"kein Vergleichswert")</f>
        <v>0</v>
      </c>
      <c r="AK9" s="197">
        <f>IFERROR(L9-Parameter_2016_SQ!L9,"kein Vergleichswert")</f>
        <v>0</v>
      </c>
      <c r="AL9" s="197">
        <f>IFERROR(M9-Parameter_2016_SQ!M9,"kein Vergleichswert")</f>
        <v>0</v>
      </c>
      <c r="AM9" s="197">
        <f>IFERROR(N9-Parameter_2016_SQ!N9,"kein Vergleichswert")</f>
        <v>0</v>
      </c>
      <c r="AN9" s="197">
        <f>IFERROR(O9-Parameter_2016_SQ!O9,"kein Vergleichswert")</f>
        <v>0</v>
      </c>
      <c r="AO9" s="197">
        <f>IFERROR(Q9-Parameter_2016_SQ!Q9,"kein Vergleichswert")</f>
        <v>0</v>
      </c>
      <c r="AP9" s="197">
        <f>IFERROR(R9-Parameter_2016_SQ!R9,"kein Vergleichswert")</f>
        <v>0</v>
      </c>
      <c r="AQ9" s="197">
        <f>IFERROR(S9-Parameter_2016_SQ!S9,"kein Vergleichswert")</f>
        <v>0</v>
      </c>
      <c r="AR9" s="197">
        <f>IFERROR(T9-Parameter_2016_SQ!T9,"kein Vergleichswert")</f>
        <v>0</v>
      </c>
      <c r="AS9" s="197">
        <f>IFERROR(U9-Parameter_2016_SQ!U9,"kein Vergleichswert")</f>
        <v>0</v>
      </c>
      <c r="AT9" s="197">
        <f>IFERROR(V9-Parameter_2016_SQ!V9,"kein Vergleichswert")</f>
        <v>0</v>
      </c>
      <c r="AU9" s="197">
        <f>IFERROR(W9-Parameter_2016_SQ!W9,"kein Vergleichswert")</f>
        <v>0</v>
      </c>
      <c r="AV9" s="197">
        <f>IFERROR(X9-Parameter_2016_SQ!X9,"kein Vergleichswert")</f>
        <v>0</v>
      </c>
      <c r="AW9" s="197">
        <f>IFERROR(Z9-Parameter_2016_SQ!Z9,"kein Vergleichswert")</f>
        <v>0</v>
      </c>
      <c r="AX9" s="197">
        <f>IFERROR(AA9-Parameter_2016_SQ!AA9,"kein Vergleichswert")</f>
        <v>0</v>
      </c>
      <c r="AY9" s="197">
        <f>IFERROR(AB9-Parameter_2016_SQ!AB9,"kein Vergleichswert")</f>
        <v>0</v>
      </c>
    </row>
    <row r="10" spans="1:51" ht="18.75">
      <c r="A10" s="109"/>
      <c r="B10" s="178" t="s">
        <v>258</v>
      </c>
      <c r="C10" s="179" t="s">
        <v>284</v>
      </c>
      <c r="D10" s="183" t="s">
        <v>116</v>
      </c>
      <c r="E10" s="180" t="s">
        <v>22</v>
      </c>
      <c r="F10" s="181">
        <v>1</v>
      </c>
      <c r="G10" s="181">
        <v>1</v>
      </c>
      <c r="H10" s="181">
        <v>1</v>
      </c>
      <c r="I10" s="181">
        <v>1</v>
      </c>
      <c r="J10" s="144">
        <v>0.56799999999999995</v>
      </c>
      <c r="K10" s="145">
        <v>0.6</v>
      </c>
      <c r="L10" s="146">
        <v>0.48</v>
      </c>
      <c r="M10" s="144">
        <v>0.9</v>
      </c>
      <c r="N10" s="145">
        <v>0.9</v>
      </c>
      <c r="O10" s="146">
        <v>0.9</v>
      </c>
      <c r="P10" s="145"/>
      <c r="Q10" s="145">
        <v>0.95</v>
      </c>
      <c r="R10" s="144">
        <v>0.5</v>
      </c>
      <c r="S10" s="145">
        <v>0.57399999999999995</v>
      </c>
      <c r="T10" s="145">
        <v>0.57399999999999995</v>
      </c>
      <c r="U10" s="146">
        <v>0.57399999999999995</v>
      </c>
      <c r="V10" s="144">
        <v>0.9</v>
      </c>
      <c r="W10" s="145">
        <v>0.9</v>
      </c>
      <c r="X10" s="146">
        <v>0.9</v>
      </c>
      <c r="Y10" s="146"/>
      <c r="Z10" s="181">
        <v>0.95</v>
      </c>
      <c r="AA10" s="181">
        <v>0.95</v>
      </c>
      <c r="AB10" s="181">
        <v>0.8</v>
      </c>
      <c r="AE10" s="197">
        <f>IFERROR(F10-Parameter_2016_SQ!F10,"kein Vergleichswert")</f>
        <v>0</v>
      </c>
      <c r="AF10" s="197">
        <f>IFERROR(G10-Parameter_2016_SQ!G10,"kein Vergleichswert")</f>
        <v>0</v>
      </c>
      <c r="AG10" s="197">
        <f>IFERROR(H10-Parameter_2016_SQ!H10,"kein Vergleichswert")</f>
        <v>0</v>
      </c>
      <c r="AH10" s="197">
        <f>IFERROR(I10-Parameter_2016_SQ!I10,"kein Vergleichswert")</f>
        <v>0</v>
      </c>
      <c r="AI10" s="197">
        <f>IFERROR(J10-Parameter_2016_SQ!J10,"kein Vergleichswert")</f>
        <v>0</v>
      </c>
      <c r="AJ10" s="197">
        <f>IFERROR(K10-Parameter_2016_SQ!K10,"kein Vergleichswert")</f>
        <v>0</v>
      </c>
      <c r="AK10" s="197">
        <f>IFERROR(L10-Parameter_2016_SQ!L10,"kein Vergleichswert")</f>
        <v>0</v>
      </c>
      <c r="AL10" s="197">
        <f>IFERROR(M10-Parameter_2016_SQ!M10,"kein Vergleichswert")</f>
        <v>0</v>
      </c>
      <c r="AM10" s="197">
        <f>IFERROR(N10-Parameter_2016_SQ!N10,"kein Vergleichswert")</f>
        <v>0</v>
      </c>
      <c r="AN10" s="197">
        <f>IFERROR(O10-Parameter_2016_SQ!O10,"kein Vergleichswert")</f>
        <v>0</v>
      </c>
      <c r="AO10" s="197">
        <f>IFERROR(Q10-Parameter_2016_SQ!Q10,"kein Vergleichswert")</f>
        <v>0</v>
      </c>
      <c r="AP10" s="197">
        <f>IFERROR(R10-Parameter_2016_SQ!R10,"kein Vergleichswert")</f>
        <v>0</v>
      </c>
      <c r="AQ10" s="197">
        <f>IFERROR(S10-Parameter_2016_SQ!S10,"kein Vergleichswert")</f>
        <v>0</v>
      </c>
      <c r="AR10" s="197">
        <f>IFERROR(T10-Parameter_2016_SQ!T10,"kein Vergleichswert")</f>
        <v>0</v>
      </c>
      <c r="AS10" s="197">
        <f>IFERROR(U10-Parameter_2016_SQ!U10,"kein Vergleichswert")</f>
        <v>0</v>
      </c>
      <c r="AT10" s="197">
        <f>IFERROR(V10-Parameter_2016_SQ!V10,"kein Vergleichswert")</f>
        <v>0</v>
      </c>
      <c r="AU10" s="197">
        <f>IFERROR(W10-Parameter_2016_SQ!W10,"kein Vergleichswert")</f>
        <v>0</v>
      </c>
      <c r="AV10" s="197">
        <f>IFERROR(X10-Parameter_2016_SQ!X10,"kein Vergleichswert")</f>
        <v>0</v>
      </c>
      <c r="AW10" s="197">
        <f>IFERROR(Z10-Parameter_2016_SQ!Z10,"kein Vergleichswert")</f>
        <v>0</v>
      </c>
      <c r="AX10" s="197">
        <f>IFERROR(AA10-Parameter_2016_SQ!AA10,"kein Vergleichswert")</f>
        <v>0</v>
      </c>
      <c r="AY10" s="197">
        <f>IFERROR(AB10-Parameter_2016_SQ!AB10,"kein Vergleichswert")</f>
        <v>0</v>
      </c>
    </row>
    <row r="11" spans="1:51" ht="25.5">
      <c r="A11" s="109"/>
      <c r="B11" s="178" t="s">
        <v>325</v>
      </c>
      <c r="C11" s="179"/>
      <c r="D11" s="83" t="s">
        <v>125</v>
      </c>
      <c r="E11" s="180" t="s">
        <v>326</v>
      </c>
      <c r="F11" s="181"/>
      <c r="G11" s="181"/>
      <c r="H11" s="181"/>
      <c r="I11" s="181"/>
      <c r="J11" s="144"/>
      <c r="K11" s="145"/>
      <c r="L11" s="146"/>
      <c r="M11" s="144"/>
      <c r="N11" s="145"/>
      <c r="O11" s="146"/>
      <c r="P11" s="146">
        <v>66</v>
      </c>
      <c r="Q11" s="145"/>
      <c r="R11" s="144"/>
      <c r="S11" s="145"/>
      <c r="T11" s="145"/>
      <c r="U11" s="146"/>
      <c r="V11" s="144"/>
      <c r="W11" s="145"/>
      <c r="X11" s="146"/>
      <c r="Y11" s="146">
        <v>339</v>
      </c>
      <c r="Z11" s="181"/>
      <c r="AA11" s="181"/>
      <c r="AB11" s="181"/>
      <c r="AF11" s="121"/>
      <c r="AG11" s="121"/>
    </row>
    <row r="12" spans="1:51" ht="18.75">
      <c r="A12" s="109"/>
      <c r="B12" s="178" t="s">
        <v>244</v>
      </c>
      <c r="C12" s="180" t="str">
        <f>B12</f>
        <v>Lebensdauer</v>
      </c>
      <c r="D12" s="180"/>
      <c r="E12" s="180" t="s">
        <v>106</v>
      </c>
      <c r="F12" s="184"/>
      <c r="G12" s="184"/>
      <c r="H12" s="184"/>
      <c r="I12" s="184"/>
      <c r="J12" s="141">
        <v>20</v>
      </c>
      <c r="K12" s="142">
        <v>20</v>
      </c>
      <c r="L12" s="143">
        <v>20</v>
      </c>
      <c r="M12" s="141">
        <v>20</v>
      </c>
      <c r="N12" s="142">
        <v>20</v>
      </c>
      <c r="O12" s="143">
        <v>20</v>
      </c>
      <c r="P12" s="142"/>
      <c r="Q12" s="142">
        <v>20</v>
      </c>
      <c r="R12" s="141">
        <v>20</v>
      </c>
      <c r="S12" s="142">
        <v>20</v>
      </c>
      <c r="T12" s="142">
        <v>20</v>
      </c>
      <c r="U12" s="143">
        <v>20</v>
      </c>
      <c r="V12" s="141">
        <v>20</v>
      </c>
      <c r="W12" s="142">
        <v>20</v>
      </c>
      <c r="X12" s="143">
        <v>20</v>
      </c>
      <c r="Y12" s="143"/>
      <c r="Z12" s="184">
        <v>20</v>
      </c>
      <c r="AA12" s="184">
        <v>20</v>
      </c>
      <c r="AB12" s="184">
        <v>20</v>
      </c>
      <c r="AE12" s="197">
        <f>IFERROR(F12-Parameter_2016_SQ!F12,"kein Vergleichswert")</f>
        <v>0</v>
      </c>
      <c r="AF12" s="197">
        <f>IFERROR(G12-Parameter_2016_SQ!G12,"kein Vergleichswert")</f>
        <v>0</v>
      </c>
      <c r="AG12" s="197">
        <f>IFERROR(H12-Parameter_2016_SQ!H12,"kein Vergleichswert")</f>
        <v>0</v>
      </c>
      <c r="AH12" s="197">
        <f>IFERROR(I12-Parameter_2016_SQ!I12,"kein Vergleichswert")</f>
        <v>0</v>
      </c>
      <c r="AI12" s="197">
        <f>IFERROR(J12-Parameter_2016_SQ!J12,"kein Vergleichswert")</f>
        <v>0</v>
      </c>
      <c r="AJ12" s="197">
        <f>IFERROR(K12-Parameter_2016_SQ!K12,"kein Vergleichswert")</f>
        <v>0</v>
      </c>
      <c r="AK12" s="197">
        <f>IFERROR(L12-Parameter_2016_SQ!L12,"kein Vergleichswert")</f>
        <v>0</v>
      </c>
      <c r="AL12" s="197">
        <f>IFERROR(M12-Parameter_2016_SQ!M12,"kein Vergleichswert")</f>
        <v>0</v>
      </c>
      <c r="AM12" s="197">
        <f>IFERROR(N12-Parameter_2016_SQ!N12,"kein Vergleichswert")</f>
        <v>0</v>
      </c>
      <c r="AN12" s="197">
        <f>IFERROR(O12-Parameter_2016_SQ!O12,"kein Vergleichswert")</f>
        <v>0</v>
      </c>
      <c r="AO12" s="197">
        <f>IFERROR(Q12-Parameter_2016_SQ!Q12,"kein Vergleichswert")</f>
        <v>0</v>
      </c>
      <c r="AP12" s="197">
        <f>IFERROR(R12-Parameter_2016_SQ!R12,"kein Vergleichswert")</f>
        <v>0</v>
      </c>
      <c r="AQ12" s="197">
        <f>IFERROR(S12-Parameter_2016_SQ!S12,"kein Vergleichswert")</f>
        <v>0</v>
      </c>
      <c r="AR12" s="197">
        <f>IFERROR(T12-Parameter_2016_SQ!T12,"kein Vergleichswert")</f>
        <v>0</v>
      </c>
      <c r="AS12" s="197">
        <f>IFERROR(U12-Parameter_2016_SQ!U12,"kein Vergleichswert")</f>
        <v>0</v>
      </c>
      <c r="AT12" s="197">
        <f>IFERROR(V12-Parameter_2016_SQ!V12,"kein Vergleichswert")</f>
        <v>0</v>
      </c>
      <c r="AU12" s="197">
        <f>IFERROR(W12-Parameter_2016_SQ!W12,"kein Vergleichswert")</f>
        <v>0</v>
      </c>
      <c r="AV12" s="197">
        <f>IFERROR(X12-Parameter_2016_SQ!X12,"kein Vergleichswert")</f>
        <v>0</v>
      </c>
      <c r="AW12" s="197">
        <f>IFERROR(Z12-Parameter_2016_SQ!Z12,"kein Vergleichswert")</f>
        <v>0</v>
      </c>
      <c r="AX12" s="197">
        <f>IFERROR(AA12-Parameter_2016_SQ!AA12,"kein Vergleichswert")</f>
        <v>0</v>
      </c>
      <c r="AY12" s="197">
        <f>IFERROR(AB12-Parameter_2016_SQ!AB12,"kein Vergleichswert")</f>
        <v>0</v>
      </c>
    </row>
    <row r="13" spans="1:51" ht="18.75">
      <c r="A13" s="108"/>
      <c r="B13" s="116"/>
      <c r="C13" s="117"/>
      <c r="D13" s="117"/>
      <c r="E13" s="117"/>
      <c r="F13" s="177"/>
      <c r="G13" s="177"/>
      <c r="H13" s="177"/>
      <c r="I13" s="177"/>
      <c r="J13" s="174"/>
      <c r="K13" s="175"/>
      <c r="L13" s="176"/>
      <c r="M13" s="174"/>
      <c r="N13" s="175"/>
      <c r="O13" s="176"/>
      <c r="P13" s="175"/>
      <c r="Q13" s="175"/>
      <c r="R13" s="174"/>
      <c r="S13" s="175"/>
      <c r="T13" s="175"/>
      <c r="U13" s="176"/>
      <c r="V13" s="174"/>
      <c r="W13" s="175"/>
      <c r="X13" s="176"/>
      <c r="Y13" s="176"/>
      <c r="Z13" s="177"/>
      <c r="AA13" s="177"/>
      <c r="AB13" s="177"/>
      <c r="AE13" s="197">
        <f>IFERROR(F13-Parameter_2016_SQ!F13,"kein Vergleichswert")</f>
        <v>0</v>
      </c>
      <c r="AF13" s="197">
        <f>IFERROR(G13-Parameter_2016_SQ!G13,"kein Vergleichswert")</f>
        <v>0</v>
      </c>
      <c r="AG13" s="197">
        <f>IFERROR(H13-Parameter_2016_SQ!H13,"kein Vergleichswert")</f>
        <v>0</v>
      </c>
      <c r="AH13" s="197">
        <f>IFERROR(I13-Parameter_2016_SQ!I13,"kein Vergleichswert")</f>
        <v>0</v>
      </c>
      <c r="AI13" s="197">
        <f>IFERROR(J13-Parameter_2016_SQ!J13,"kein Vergleichswert")</f>
        <v>0</v>
      </c>
      <c r="AJ13" s="197">
        <f>IFERROR(K13-Parameter_2016_SQ!K13,"kein Vergleichswert")</f>
        <v>0</v>
      </c>
      <c r="AK13" s="197">
        <f>IFERROR(L13-Parameter_2016_SQ!L13,"kein Vergleichswert")</f>
        <v>0</v>
      </c>
      <c r="AL13" s="197">
        <f>IFERROR(M13-Parameter_2016_SQ!M13,"kein Vergleichswert")</f>
        <v>0</v>
      </c>
      <c r="AM13" s="197">
        <f>IFERROR(N13-Parameter_2016_SQ!N13,"kein Vergleichswert")</f>
        <v>0</v>
      </c>
      <c r="AN13" s="197">
        <f>IFERROR(O13-Parameter_2016_SQ!O13,"kein Vergleichswert")</f>
        <v>0</v>
      </c>
      <c r="AO13" s="197">
        <f>IFERROR(Q13-Parameter_2016_SQ!Q13,"kein Vergleichswert")</f>
        <v>0</v>
      </c>
      <c r="AP13" s="197">
        <f>IFERROR(R13-Parameter_2016_SQ!R13,"kein Vergleichswert")</f>
        <v>0</v>
      </c>
      <c r="AQ13" s="197">
        <f>IFERROR(S13-Parameter_2016_SQ!S13,"kein Vergleichswert")</f>
        <v>0</v>
      </c>
      <c r="AR13" s="197">
        <f>IFERROR(T13-Parameter_2016_SQ!T13,"kein Vergleichswert")</f>
        <v>0</v>
      </c>
      <c r="AS13" s="197">
        <f>IFERROR(U13-Parameter_2016_SQ!U13,"kein Vergleichswert")</f>
        <v>0</v>
      </c>
      <c r="AT13" s="197">
        <f>IFERROR(V13-Parameter_2016_SQ!V13,"kein Vergleichswert")</f>
        <v>0</v>
      </c>
      <c r="AU13" s="197">
        <f>IFERROR(W13-Parameter_2016_SQ!W13,"kein Vergleichswert")</f>
        <v>0</v>
      </c>
      <c r="AV13" s="197">
        <f>IFERROR(X13-Parameter_2016_SQ!X13,"kein Vergleichswert")</f>
        <v>0</v>
      </c>
      <c r="AW13" s="197">
        <f>IFERROR(Z13-Parameter_2016_SQ!Z13,"kein Vergleichswert")</f>
        <v>0</v>
      </c>
      <c r="AX13" s="197">
        <f>IFERROR(AA13-Parameter_2016_SQ!AA13,"kein Vergleichswert")</f>
        <v>0</v>
      </c>
      <c r="AY13" s="197">
        <f>IFERROR(AB13-Parameter_2016_SQ!AB13,"kein Vergleichswert")</f>
        <v>0</v>
      </c>
    </row>
    <row r="14" spans="1:51" ht="18.75">
      <c r="B14" s="108" t="s">
        <v>262</v>
      </c>
      <c r="C14" s="117"/>
      <c r="D14" s="117"/>
      <c r="E14" s="117"/>
      <c r="F14" s="177"/>
      <c r="G14" s="177"/>
      <c r="H14" s="177"/>
      <c r="I14" s="177"/>
      <c r="J14" s="174"/>
      <c r="K14" s="175"/>
      <c r="L14" s="176"/>
      <c r="M14" s="174"/>
      <c r="N14" s="175"/>
      <c r="O14" s="176"/>
      <c r="P14" s="175"/>
      <c r="Q14" s="175"/>
      <c r="R14" s="174"/>
      <c r="S14" s="175"/>
      <c r="T14" s="175"/>
      <c r="U14" s="176"/>
      <c r="V14" s="174"/>
      <c r="W14" s="175"/>
      <c r="X14" s="176"/>
      <c r="Y14" s="176"/>
      <c r="Z14" s="177"/>
      <c r="AA14" s="177"/>
      <c r="AB14" s="177"/>
      <c r="AE14" s="197">
        <f>IFERROR(F14-Parameter_2016_SQ!F14,"kein Vergleichswert")</f>
        <v>0</v>
      </c>
      <c r="AF14" s="197">
        <f>IFERROR(G14-Parameter_2016_SQ!G14,"kein Vergleichswert")</f>
        <v>0</v>
      </c>
      <c r="AG14" s="197">
        <f>IFERROR(H14-Parameter_2016_SQ!H14,"kein Vergleichswert")</f>
        <v>0</v>
      </c>
      <c r="AH14" s="197">
        <f>IFERROR(I14-Parameter_2016_SQ!I14,"kein Vergleichswert")</f>
        <v>0</v>
      </c>
      <c r="AI14" s="197">
        <f>IFERROR(J14-Parameter_2016_SQ!J14,"kein Vergleichswert")</f>
        <v>0</v>
      </c>
      <c r="AJ14" s="197">
        <f>IFERROR(K14-Parameter_2016_SQ!K14,"kein Vergleichswert")</f>
        <v>0</v>
      </c>
      <c r="AK14" s="197">
        <f>IFERROR(L14-Parameter_2016_SQ!L14,"kein Vergleichswert")</f>
        <v>0</v>
      </c>
      <c r="AL14" s="197">
        <f>IFERROR(M14-Parameter_2016_SQ!M14,"kein Vergleichswert")</f>
        <v>0</v>
      </c>
      <c r="AM14" s="197">
        <f>IFERROR(N14-Parameter_2016_SQ!N14,"kein Vergleichswert")</f>
        <v>0</v>
      </c>
      <c r="AN14" s="197">
        <f>IFERROR(O14-Parameter_2016_SQ!O14,"kein Vergleichswert")</f>
        <v>0</v>
      </c>
      <c r="AO14" s="197">
        <f>IFERROR(Q14-Parameter_2016_SQ!Q14,"kein Vergleichswert")</f>
        <v>0</v>
      </c>
      <c r="AP14" s="197">
        <f>IFERROR(R14-Parameter_2016_SQ!R14,"kein Vergleichswert")</f>
        <v>0</v>
      </c>
      <c r="AQ14" s="197">
        <f>IFERROR(S14-Parameter_2016_SQ!S14,"kein Vergleichswert")</f>
        <v>0</v>
      </c>
      <c r="AR14" s="197">
        <f>IFERROR(T14-Parameter_2016_SQ!T14,"kein Vergleichswert")</f>
        <v>0</v>
      </c>
      <c r="AS14" s="197">
        <f>IFERROR(U14-Parameter_2016_SQ!U14,"kein Vergleichswert")</f>
        <v>0</v>
      </c>
      <c r="AT14" s="197">
        <f>IFERROR(V14-Parameter_2016_SQ!V14,"kein Vergleichswert")</f>
        <v>0</v>
      </c>
      <c r="AU14" s="197">
        <f>IFERROR(W14-Parameter_2016_SQ!W14,"kein Vergleichswert")</f>
        <v>0</v>
      </c>
      <c r="AV14" s="197">
        <f>IFERROR(X14-Parameter_2016_SQ!X14,"kein Vergleichswert")</f>
        <v>0</v>
      </c>
      <c r="AW14" s="197">
        <f>IFERROR(Z14-Parameter_2016_SQ!Z14,"kein Vergleichswert")</f>
        <v>0</v>
      </c>
      <c r="AX14" s="197">
        <f>IFERROR(AA14-Parameter_2016_SQ!AA14,"kein Vergleichswert")</f>
        <v>0</v>
      </c>
      <c r="AY14" s="197">
        <f>IFERROR(AB14-Parameter_2016_SQ!AB14,"kein Vergleichswert")</f>
        <v>0</v>
      </c>
    </row>
    <row r="15" spans="1:51" ht="30">
      <c r="A15" s="108"/>
      <c r="B15" s="178" t="s">
        <v>279</v>
      </c>
      <c r="C15" s="180"/>
      <c r="D15" s="180"/>
      <c r="E15" s="180" t="s">
        <v>263</v>
      </c>
      <c r="F15" s="184"/>
      <c r="G15" s="184"/>
      <c r="H15" s="184"/>
      <c r="I15" s="184"/>
      <c r="J15" s="141">
        <v>4500</v>
      </c>
      <c r="K15" s="142">
        <v>4500</v>
      </c>
      <c r="L15" s="143">
        <v>4500</v>
      </c>
      <c r="M15" s="141">
        <v>1000</v>
      </c>
      <c r="N15" s="142">
        <v>1000</v>
      </c>
      <c r="O15" s="143">
        <v>1000</v>
      </c>
      <c r="P15" s="142"/>
      <c r="Q15" s="142">
        <v>500</v>
      </c>
      <c r="R15" s="141">
        <v>4500</v>
      </c>
      <c r="S15" s="142">
        <v>4500</v>
      </c>
      <c r="T15" s="142">
        <v>4500</v>
      </c>
      <c r="U15" s="143">
        <v>4500</v>
      </c>
      <c r="V15" s="141">
        <v>1000</v>
      </c>
      <c r="W15" s="142">
        <v>1000</v>
      </c>
      <c r="X15" s="143">
        <v>1000</v>
      </c>
      <c r="Y15" s="143"/>
      <c r="Z15" s="184">
        <v>500</v>
      </c>
      <c r="AA15" s="184">
        <v>500</v>
      </c>
      <c r="AB15" s="184">
        <v>500</v>
      </c>
      <c r="AE15" s="197">
        <f>IFERROR(F15-Parameter_2016_SQ!F15,"kein Vergleichswert")</f>
        <v>0</v>
      </c>
      <c r="AF15" s="197">
        <f>IFERROR(G15-Parameter_2016_SQ!G15,"kein Vergleichswert")</f>
        <v>0</v>
      </c>
      <c r="AG15" s="197">
        <f>IFERROR(H15-Parameter_2016_SQ!H15,"kein Vergleichswert")</f>
        <v>0</v>
      </c>
      <c r="AH15" s="197">
        <f>IFERROR(I15-Parameter_2016_SQ!I15,"kein Vergleichswert")</f>
        <v>0</v>
      </c>
      <c r="AI15" s="197">
        <f>IFERROR(J15-Parameter_2016_SQ!J15,"kein Vergleichswert")</f>
        <v>0</v>
      </c>
      <c r="AJ15" s="197">
        <f>IFERROR(K15-Parameter_2016_SQ!K15,"kein Vergleichswert")</f>
        <v>0</v>
      </c>
      <c r="AK15" s="197">
        <f>IFERROR(L15-Parameter_2016_SQ!L15,"kein Vergleichswert")</f>
        <v>0</v>
      </c>
      <c r="AL15" s="197">
        <f>IFERROR(M15-Parameter_2016_SQ!M15,"kein Vergleichswert")</f>
        <v>0</v>
      </c>
      <c r="AM15" s="197">
        <f>IFERROR(N15-Parameter_2016_SQ!N15,"kein Vergleichswert")</f>
        <v>0</v>
      </c>
      <c r="AN15" s="197">
        <f>IFERROR(O15-Parameter_2016_SQ!O15,"kein Vergleichswert")</f>
        <v>0</v>
      </c>
      <c r="AO15" s="197">
        <f>IFERROR(Q15-Parameter_2016_SQ!Q15,"kein Vergleichswert")</f>
        <v>0</v>
      </c>
      <c r="AP15" s="197">
        <f>IFERROR(R15-Parameter_2016_SQ!R15,"kein Vergleichswert")</f>
        <v>0</v>
      </c>
      <c r="AQ15" s="197">
        <f>IFERROR(S15-Parameter_2016_SQ!S15,"kein Vergleichswert")</f>
        <v>0</v>
      </c>
      <c r="AR15" s="197">
        <f>IFERROR(T15-Parameter_2016_SQ!T15,"kein Vergleichswert")</f>
        <v>0</v>
      </c>
      <c r="AS15" s="197">
        <f>IFERROR(U15-Parameter_2016_SQ!U15,"kein Vergleichswert")</f>
        <v>0</v>
      </c>
      <c r="AT15" s="197">
        <f>IFERROR(V15-Parameter_2016_SQ!V15,"kein Vergleichswert")</f>
        <v>0</v>
      </c>
      <c r="AU15" s="197">
        <f>IFERROR(W15-Parameter_2016_SQ!W15,"kein Vergleichswert")</f>
        <v>0</v>
      </c>
      <c r="AV15" s="197">
        <f>IFERROR(X15-Parameter_2016_SQ!X15,"kein Vergleichswert")</f>
        <v>0</v>
      </c>
      <c r="AW15" s="197">
        <f>IFERROR(Z15-Parameter_2016_SQ!Z15,"kein Vergleichswert")</f>
        <v>0</v>
      </c>
      <c r="AX15" s="197">
        <f>IFERROR(AA15-Parameter_2016_SQ!AA15,"kein Vergleichswert")</f>
        <v>0</v>
      </c>
      <c r="AY15" s="197">
        <f>IFERROR(AB15-Parameter_2016_SQ!AB15,"kein Vergleichswert")</f>
        <v>0</v>
      </c>
    </row>
    <row r="16" spans="1:51" ht="18.75">
      <c r="A16" s="108"/>
      <c r="B16" s="178" t="s">
        <v>260</v>
      </c>
      <c r="C16" s="180"/>
      <c r="D16" s="180"/>
      <c r="E16" s="180" t="s">
        <v>265</v>
      </c>
      <c r="F16" s="143"/>
      <c r="G16" s="143"/>
      <c r="H16" s="143"/>
      <c r="I16" s="143"/>
      <c r="J16" s="141">
        <f>J17*J9</f>
        <v>5067.0720000000001</v>
      </c>
      <c r="K16" s="142">
        <f>K18*K9</f>
        <v>109.875</v>
      </c>
      <c r="L16" s="143">
        <f t="shared" ref="L16:O17" si="4">L17*L9</f>
        <v>877.5</v>
      </c>
      <c r="M16" s="141">
        <f t="shared" si="4"/>
        <v>0</v>
      </c>
      <c r="N16" s="142">
        <f t="shared" si="4"/>
        <v>0</v>
      </c>
      <c r="O16" s="143">
        <f t="shared" si="4"/>
        <v>0</v>
      </c>
      <c r="P16" s="143"/>
      <c r="Q16" s="143">
        <f>Q17*Q9</f>
        <v>0</v>
      </c>
      <c r="R16" s="141">
        <f>R18*R9</f>
        <v>57953.7</v>
      </c>
      <c r="S16" s="142">
        <f t="shared" ref="S16:X17" si="5">S17*S9</f>
        <v>252.23399999999998</v>
      </c>
      <c r="T16" s="142">
        <f t="shared" si="5"/>
        <v>225.76499999999999</v>
      </c>
      <c r="U16" s="143">
        <f t="shared" si="5"/>
        <v>225.76499999999999</v>
      </c>
      <c r="V16" s="141">
        <f t="shared" si="5"/>
        <v>0</v>
      </c>
      <c r="W16" s="142">
        <f t="shared" si="5"/>
        <v>0</v>
      </c>
      <c r="X16" s="143">
        <f t="shared" si="5"/>
        <v>0</v>
      </c>
      <c r="Y16" s="143"/>
      <c r="Z16" s="143">
        <f t="shared" ref="Z16:AB17" si="6">Z17*Z9</f>
        <v>0</v>
      </c>
      <c r="AA16" s="143">
        <f t="shared" si="6"/>
        <v>0</v>
      </c>
      <c r="AB16" s="143">
        <f t="shared" si="6"/>
        <v>0</v>
      </c>
      <c r="AE16" s="197">
        <f>IFERROR(F16-Parameter_2016_SQ!F16,"kein Vergleichswert")</f>
        <v>0</v>
      </c>
      <c r="AF16" s="197">
        <f>IFERROR(G16-Parameter_2016_SQ!G16,"kein Vergleichswert")</f>
        <v>0</v>
      </c>
      <c r="AG16" s="197">
        <f>IFERROR(H16-Parameter_2016_SQ!H16,"kein Vergleichswert")</f>
        <v>0</v>
      </c>
      <c r="AH16" s="197">
        <f>IFERROR(I16-Parameter_2016_SQ!I16,"kein Vergleichswert")</f>
        <v>0</v>
      </c>
      <c r="AI16" s="197">
        <f>IFERROR(J16-Parameter_2016_SQ!J16,"kein Vergleichswert")</f>
        <v>0</v>
      </c>
      <c r="AJ16" s="197">
        <f>IFERROR(K16-Parameter_2016_SQ!K16,"kein Vergleichswert")</f>
        <v>0</v>
      </c>
      <c r="AK16" s="197">
        <f>IFERROR(L16-Parameter_2016_SQ!L16,"kein Vergleichswert")</f>
        <v>0</v>
      </c>
      <c r="AL16" s="197">
        <f>IFERROR(M16-Parameter_2016_SQ!M16,"kein Vergleichswert")</f>
        <v>0</v>
      </c>
      <c r="AM16" s="197">
        <f>IFERROR(N16-Parameter_2016_SQ!N16,"kein Vergleichswert")</f>
        <v>0</v>
      </c>
      <c r="AN16" s="197">
        <f>IFERROR(O16-Parameter_2016_SQ!O16,"kein Vergleichswert")</f>
        <v>0</v>
      </c>
      <c r="AO16" s="197">
        <f>IFERROR(Q16-Parameter_2016_SQ!Q16,"kein Vergleichswert")</f>
        <v>0</v>
      </c>
      <c r="AP16" s="197">
        <f>IFERROR(R16-Parameter_2016_SQ!R16,"kein Vergleichswert")</f>
        <v>0</v>
      </c>
      <c r="AQ16" s="197">
        <f>IFERROR(S16-Parameter_2016_SQ!S16,"kein Vergleichswert")</f>
        <v>0</v>
      </c>
      <c r="AR16" s="197">
        <f>IFERROR(T16-Parameter_2016_SQ!T16,"kein Vergleichswert")</f>
        <v>0</v>
      </c>
      <c r="AS16" s="197">
        <f>IFERROR(U16-Parameter_2016_SQ!U16,"kein Vergleichswert")</f>
        <v>0</v>
      </c>
      <c r="AT16" s="197">
        <f>IFERROR(V16-Parameter_2016_SQ!V16,"kein Vergleichswert")</f>
        <v>0</v>
      </c>
      <c r="AU16" s="197">
        <f>IFERROR(W16-Parameter_2016_SQ!W16,"kein Vergleichswert")</f>
        <v>0</v>
      </c>
      <c r="AV16" s="197">
        <f>IFERROR(X16-Parameter_2016_SQ!X16,"kein Vergleichswert")</f>
        <v>0</v>
      </c>
      <c r="AW16" s="197">
        <f>IFERROR(Z16-Parameter_2016_SQ!Z16,"kein Vergleichswert")</f>
        <v>0</v>
      </c>
      <c r="AX16" s="197">
        <f>IFERROR(AA16-Parameter_2016_SQ!AA16,"kein Vergleichswert")</f>
        <v>0</v>
      </c>
      <c r="AY16" s="197">
        <f>IFERROR(AB16-Parameter_2016_SQ!AB16,"kein Vergleichswert")</f>
        <v>0</v>
      </c>
    </row>
    <row r="17" spans="1:51" ht="18.75">
      <c r="A17" s="108"/>
      <c r="B17" s="178" t="s">
        <v>261</v>
      </c>
      <c r="C17" s="180"/>
      <c r="D17" s="180"/>
      <c r="E17" s="180" t="s">
        <v>265</v>
      </c>
      <c r="F17" s="143"/>
      <c r="G17" s="143"/>
      <c r="H17" s="143"/>
      <c r="I17" s="143"/>
      <c r="J17" s="141">
        <f>J18*J10</f>
        <v>12501</v>
      </c>
      <c r="K17" s="142">
        <f>K18*K10</f>
        <v>225</v>
      </c>
      <c r="L17" s="143">
        <f t="shared" si="4"/>
        <v>2250</v>
      </c>
      <c r="M17" s="141">
        <f t="shared" si="4"/>
        <v>8640</v>
      </c>
      <c r="N17" s="142">
        <f t="shared" si="4"/>
        <v>12232</v>
      </c>
      <c r="O17" s="143">
        <f t="shared" si="4"/>
        <v>2000</v>
      </c>
      <c r="P17" s="143"/>
      <c r="Q17" s="143">
        <f>Q18*Q10</f>
        <v>1000.0000000000001</v>
      </c>
      <c r="R17" s="141">
        <f>R18*R10</f>
        <v>82791</v>
      </c>
      <c r="S17" s="142">
        <f t="shared" si="5"/>
        <v>729</v>
      </c>
      <c r="T17" s="142">
        <f t="shared" si="5"/>
        <v>652.5</v>
      </c>
      <c r="U17" s="143">
        <f t="shared" si="5"/>
        <v>652.5</v>
      </c>
      <c r="V17" s="141">
        <f t="shared" si="5"/>
        <v>36600</v>
      </c>
      <c r="W17" s="142">
        <f t="shared" si="5"/>
        <v>3050</v>
      </c>
      <c r="X17" s="143">
        <f t="shared" si="5"/>
        <v>620</v>
      </c>
      <c r="Y17" s="143"/>
      <c r="Z17" s="143">
        <f t="shared" si="6"/>
        <v>2500</v>
      </c>
      <c r="AA17" s="143">
        <f t="shared" si="6"/>
        <v>2500</v>
      </c>
      <c r="AB17" s="143">
        <f t="shared" si="6"/>
        <v>2500</v>
      </c>
      <c r="AE17" s="197">
        <f>IFERROR(F17-Parameter_2016_SQ!F17,"kein Vergleichswert")</f>
        <v>0</v>
      </c>
      <c r="AF17" s="197">
        <f>IFERROR(G17-Parameter_2016_SQ!G17,"kein Vergleichswert")</f>
        <v>0</v>
      </c>
      <c r="AG17" s="197">
        <f>IFERROR(H17-Parameter_2016_SQ!H17,"kein Vergleichswert")</f>
        <v>0</v>
      </c>
      <c r="AH17" s="197">
        <f>IFERROR(I17-Parameter_2016_SQ!I17,"kein Vergleichswert")</f>
        <v>0</v>
      </c>
      <c r="AI17" s="197">
        <f>IFERROR(J17-Parameter_2016_SQ!J17,"kein Vergleichswert")</f>
        <v>0</v>
      </c>
      <c r="AJ17" s="197">
        <f>IFERROR(K17-Parameter_2016_SQ!K17,"kein Vergleichswert")</f>
        <v>0</v>
      </c>
      <c r="AK17" s="197">
        <f>IFERROR(L17-Parameter_2016_SQ!L17,"kein Vergleichswert")</f>
        <v>0</v>
      </c>
      <c r="AL17" s="197">
        <f>IFERROR(M17-Parameter_2016_SQ!M17,"kein Vergleichswert")</f>
        <v>0</v>
      </c>
      <c r="AM17" s="197">
        <f>IFERROR(N17-Parameter_2016_SQ!N17,"kein Vergleichswert")</f>
        <v>0</v>
      </c>
      <c r="AN17" s="197">
        <f>IFERROR(O17-Parameter_2016_SQ!O17,"kein Vergleichswert")</f>
        <v>0</v>
      </c>
      <c r="AO17" s="197">
        <f>IFERROR(Q17-Parameter_2016_SQ!Q17,"kein Vergleichswert")</f>
        <v>0</v>
      </c>
      <c r="AP17" s="197">
        <f>IFERROR(R17-Parameter_2016_SQ!R17,"kein Vergleichswert")</f>
        <v>0</v>
      </c>
      <c r="AQ17" s="197">
        <f>IFERROR(S17-Parameter_2016_SQ!S17,"kein Vergleichswert")</f>
        <v>0</v>
      </c>
      <c r="AR17" s="197">
        <f>IFERROR(T17-Parameter_2016_SQ!T17,"kein Vergleichswert")</f>
        <v>0</v>
      </c>
      <c r="AS17" s="197">
        <f>IFERROR(U17-Parameter_2016_SQ!U17,"kein Vergleichswert")</f>
        <v>0</v>
      </c>
      <c r="AT17" s="197">
        <f>IFERROR(V17-Parameter_2016_SQ!V17,"kein Vergleichswert")</f>
        <v>0</v>
      </c>
      <c r="AU17" s="197">
        <f>IFERROR(W17-Parameter_2016_SQ!W17,"kein Vergleichswert")</f>
        <v>0</v>
      </c>
      <c r="AV17" s="197">
        <f>IFERROR(X17-Parameter_2016_SQ!X17,"kein Vergleichswert")</f>
        <v>0</v>
      </c>
      <c r="AW17" s="197">
        <f>IFERROR(Z17-Parameter_2016_SQ!Z17,"kein Vergleichswert")</f>
        <v>0</v>
      </c>
      <c r="AX17" s="197">
        <f>IFERROR(AA17-Parameter_2016_SQ!AA17,"kein Vergleichswert")</f>
        <v>0</v>
      </c>
      <c r="AY17" s="197">
        <f>IFERROR(AB17-Parameter_2016_SQ!AB17,"kein Vergleichswert")</f>
        <v>0</v>
      </c>
    </row>
    <row r="18" spans="1:51" ht="18.75">
      <c r="A18" s="109"/>
      <c r="B18" s="178" t="s">
        <v>256</v>
      </c>
      <c r="C18" s="180"/>
      <c r="D18" s="180"/>
      <c r="E18" s="180" t="s">
        <v>265</v>
      </c>
      <c r="F18" s="143"/>
      <c r="G18" s="143"/>
      <c r="H18" s="143"/>
      <c r="I18" s="143"/>
      <c r="J18" s="141">
        <f t="shared" ref="J18:AB18" si="7">J15*J7/J10</f>
        <v>22008.802816901411</v>
      </c>
      <c r="K18" s="142">
        <f>(K15*K7)/K10</f>
        <v>375</v>
      </c>
      <c r="L18" s="143">
        <f t="shared" si="7"/>
        <v>4687.5</v>
      </c>
      <c r="M18" s="141">
        <f t="shared" si="7"/>
        <v>9600</v>
      </c>
      <c r="N18" s="142">
        <f t="shared" si="7"/>
        <v>13591.111111111111</v>
      </c>
      <c r="O18" s="143">
        <f t="shared" si="7"/>
        <v>2222.2222222222222</v>
      </c>
      <c r="P18" s="143"/>
      <c r="Q18" s="143">
        <f t="shared" si="7"/>
        <v>1052.6315789473686</v>
      </c>
      <c r="R18" s="141">
        <f t="shared" si="7"/>
        <v>165582</v>
      </c>
      <c r="S18" s="142">
        <f t="shared" si="7"/>
        <v>1270.034843205575</v>
      </c>
      <c r="T18" s="142">
        <f t="shared" si="7"/>
        <v>1136.7595818815332</v>
      </c>
      <c r="U18" s="143">
        <f t="shared" si="7"/>
        <v>1136.7595818815332</v>
      </c>
      <c r="V18" s="141">
        <f t="shared" si="7"/>
        <v>40666.666666666664</v>
      </c>
      <c r="W18" s="142">
        <f t="shared" si="7"/>
        <v>3388.8888888888887</v>
      </c>
      <c r="X18" s="143">
        <f t="shared" si="7"/>
        <v>688.88888888888891</v>
      </c>
      <c r="Y18" s="143"/>
      <c r="Z18" s="143">
        <f t="shared" si="7"/>
        <v>2631.5789473684213</v>
      </c>
      <c r="AA18" s="143">
        <f t="shared" si="7"/>
        <v>2631.5789473684213</v>
      </c>
      <c r="AB18" s="143">
        <f t="shared" si="7"/>
        <v>3125</v>
      </c>
      <c r="AE18" s="197">
        <f>IFERROR(F18-Parameter_2016_SQ!F18,"kein Vergleichswert")</f>
        <v>0</v>
      </c>
      <c r="AF18" s="197">
        <f>IFERROR(G18-Parameter_2016_SQ!G18,"kein Vergleichswert")</f>
        <v>0</v>
      </c>
      <c r="AG18" s="197">
        <f>IFERROR(H18-Parameter_2016_SQ!H18,"kein Vergleichswert")</f>
        <v>0</v>
      </c>
      <c r="AH18" s="197">
        <f>IFERROR(I18-Parameter_2016_SQ!I18,"kein Vergleichswert")</f>
        <v>0</v>
      </c>
      <c r="AI18" s="197">
        <f>IFERROR(J18-Parameter_2016_SQ!J18,"kein Vergleichswert")</f>
        <v>0</v>
      </c>
      <c r="AJ18" s="197">
        <f>IFERROR(K18-Parameter_2016_SQ!K18,"kein Vergleichswert")</f>
        <v>0</v>
      </c>
      <c r="AK18" s="197">
        <f>IFERROR(L18-Parameter_2016_SQ!L18,"kein Vergleichswert")</f>
        <v>0</v>
      </c>
      <c r="AL18" s="197">
        <f>IFERROR(M18-Parameter_2016_SQ!M18,"kein Vergleichswert")</f>
        <v>0</v>
      </c>
      <c r="AM18" s="197">
        <f>IFERROR(N18-Parameter_2016_SQ!N18,"kein Vergleichswert")</f>
        <v>0</v>
      </c>
      <c r="AN18" s="197">
        <f>IFERROR(O18-Parameter_2016_SQ!O18,"kein Vergleichswert")</f>
        <v>0</v>
      </c>
      <c r="AO18" s="197">
        <f>IFERROR(Q18-Parameter_2016_SQ!Q18,"kein Vergleichswert")</f>
        <v>0</v>
      </c>
      <c r="AP18" s="197">
        <f>IFERROR(R18-Parameter_2016_SQ!R18,"kein Vergleichswert")</f>
        <v>0</v>
      </c>
      <c r="AQ18" s="197">
        <f>IFERROR(S18-Parameter_2016_SQ!S18,"kein Vergleichswert")</f>
        <v>0</v>
      </c>
      <c r="AR18" s="197">
        <f>IFERROR(T18-Parameter_2016_SQ!T18,"kein Vergleichswert")</f>
        <v>0</v>
      </c>
      <c r="AS18" s="197">
        <f>IFERROR(U18-Parameter_2016_SQ!U18,"kein Vergleichswert")</f>
        <v>0</v>
      </c>
      <c r="AT18" s="197">
        <f>IFERROR(V18-Parameter_2016_SQ!V18,"kein Vergleichswert")</f>
        <v>0</v>
      </c>
      <c r="AU18" s="197">
        <f>IFERROR(W18-Parameter_2016_SQ!W18,"kein Vergleichswert")</f>
        <v>0</v>
      </c>
      <c r="AV18" s="197">
        <f>IFERROR(X18-Parameter_2016_SQ!X18,"kein Vergleichswert")</f>
        <v>0</v>
      </c>
      <c r="AW18" s="197">
        <f>IFERROR(Z18-Parameter_2016_SQ!Z18,"kein Vergleichswert")</f>
        <v>0</v>
      </c>
      <c r="AX18" s="197">
        <f>IFERROR(AA18-Parameter_2016_SQ!AA18,"kein Vergleichswert")</f>
        <v>0</v>
      </c>
      <c r="AY18" s="197">
        <f>IFERROR(AB18-Parameter_2016_SQ!AB18,"kein Vergleichswert")</f>
        <v>0</v>
      </c>
    </row>
    <row r="19" spans="1:51" ht="18.75">
      <c r="A19" s="109"/>
      <c r="B19" s="116"/>
      <c r="C19" s="117"/>
      <c r="D19" s="117"/>
      <c r="E19" s="117"/>
      <c r="F19" s="177"/>
      <c r="G19" s="177"/>
      <c r="H19" s="177"/>
      <c r="I19" s="177"/>
      <c r="J19" s="174"/>
      <c r="K19" s="175"/>
      <c r="L19" s="176"/>
      <c r="M19" s="174"/>
      <c r="N19" s="175"/>
      <c r="O19" s="176"/>
      <c r="P19" s="175"/>
      <c r="Q19" s="175"/>
      <c r="R19" s="174"/>
      <c r="S19" s="175"/>
      <c r="T19" s="175"/>
      <c r="U19" s="176"/>
      <c r="V19" s="174"/>
      <c r="W19" s="175"/>
      <c r="X19" s="176"/>
      <c r="Y19" s="176"/>
      <c r="Z19" s="177"/>
      <c r="AA19" s="177"/>
      <c r="AB19" s="177"/>
      <c r="AE19" s="197">
        <f>IFERROR(F19-Parameter_2016_SQ!F19,"kein Vergleichswert")</f>
        <v>0</v>
      </c>
      <c r="AF19" s="197">
        <f>IFERROR(G19-Parameter_2016_SQ!G19,"kein Vergleichswert")</f>
        <v>0</v>
      </c>
      <c r="AG19" s="197">
        <f>IFERROR(H19-Parameter_2016_SQ!H19,"kein Vergleichswert")</f>
        <v>0</v>
      </c>
      <c r="AH19" s="197">
        <f>IFERROR(I19-Parameter_2016_SQ!I19,"kein Vergleichswert")</f>
        <v>0</v>
      </c>
      <c r="AI19" s="197">
        <f>IFERROR(J19-Parameter_2016_SQ!J19,"kein Vergleichswert")</f>
        <v>0</v>
      </c>
      <c r="AJ19" s="197">
        <f>IFERROR(K19-Parameter_2016_SQ!K19,"kein Vergleichswert")</f>
        <v>0</v>
      </c>
      <c r="AK19" s="197">
        <f>IFERROR(L19-Parameter_2016_SQ!L19,"kein Vergleichswert")</f>
        <v>0</v>
      </c>
      <c r="AL19" s="197">
        <f>IFERROR(M19-Parameter_2016_SQ!M19,"kein Vergleichswert")</f>
        <v>0</v>
      </c>
      <c r="AM19" s="197">
        <f>IFERROR(N19-Parameter_2016_SQ!N19,"kein Vergleichswert")</f>
        <v>0</v>
      </c>
      <c r="AN19" s="197">
        <f>IFERROR(O19-Parameter_2016_SQ!O19,"kein Vergleichswert")</f>
        <v>0</v>
      </c>
      <c r="AO19" s="197">
        <f>IFERROR(Q19-Parameter_2016_SQ!Q19,"kein Vergleichswert")</f>
        <v>0</v>
      </c>
      <c r="AP19" s="197">
        <f>IFERROR(R19-Parameter_2016_SQ!R19,"kein Vergleichswert")</f>
        <v>0</v>
      </c>
      <c r="AQ19" s="197">
        <f>IFERROR(S19-Parameter_2016_SQ!S19,"kein Vergleichswert")</f>
        <v>0</v>
      </c>
      <c r="AR19" s="197">
        <f>IFERROR(T19-Parameter_2016_SQ!T19,"kein Vergleichswert")</f>
        <v>0</v>
      </c>
      <c r="AS19" s="197">
        <f>IFERROR(U19-Parameter_2016_SQ!U19,"kein Vergleichswert")</f>
        <v>0</v>
      </c>
      <c r="AT19" s="197">
        <f>IFERROR(V19-Parameter_2016_SQ!V19,"kein Vergleichswert")</f>
        <v>0</v>
      </c>
      <c r="AU19" s="197">
        <f>IFERROR(W19-Parameter_2016_SQ!W19,"kein Vergleichswert")</f>
        <v>0</v>
      </c>
      <c r="AV19" s="197">
        <f>IFERROR(X19-Parameter_2016_SQ!X19,"kein Vergleichswert")</f>
        <v>0</v>
      </c>
      <c r="AW19" s="197">
        <f>IFERROR(Z19-Parameter_2016_SQ!Z19,"kein Vergleichswert")</f>
        <v>0</v>
      </c>
      <c r="AX19" s="197">
        <f>IFERROR(AA19-Parameter_2016_SQ!AA19,"kein Vergleichswert")</f>
        <v>0</v>
      </c>
      <c r="AY19" s="197">
        <f>IFERROR(AB19-Parameter_2016_SQ!AB19,"kein Vergleichswert")</f>
        <v>0</v>
      </c>
    </row>
    <row r="20" spans="1:51" ht="18.75">
      <c r="B20" s="108" t="s">
        <v>290</v>
      </c>
      <c r="C20" s="117"/>
      <c r="D20" s="117"/>
      <c r="E20" s="117"/>
      <c r="F20" s="131"/>
      <c r="G20" s="131"/>
      <c r="H20" s="131"/>
      <c r="I20" s="131"/>
      <c r="J20" s="127"/>
      <c r="K20" s="128"/>
      <c r="L20" s="129"/>
      <c r="M20" s="127"/>
      <c r="N20" s="128"/>
      <c r="O20" s="129"/>
      <c r="P20" s="128"/>
      <c r="Q20" s="128"/>
      <c r="R20" s="127"/>
      <c r="S20" s="128"/>
      <c r="T20" s="128"/>
      <c r="U20" s="129"/>
      <c r="V20" s="127"/>
      <c r="W20" s="128"/>
      <c r="X20" s="129"/>
      <c r="Y20" s="129"/>
      <c r="Z20" s="131"/>
      <c r="AA20" s="131"/>
      <c r="AB20" s="131"/>
      <c r="AE20" s="197">
        <f>IFERROR(F20-Parameter_2016_SQ!F20,"kein Vergleichswert")</f>
        <v>0</v>
      </c>
      <c r="AF20" s="197">
        <f>IFERROR(G20-Parameter_2016_SQ!G20,"kein Vergleichswert")</f>
        <v>0</v>
      </c>
      <c r="AG20" s="197">
        <f>IFERROR(H20-Parameter_2016_SQ!H20,"kein Vergleichswert")</f>
        <v>0</v>
      </c>
      <c r="AH20" s="197">
        <f>IFERROR(I20-Parameter_2016_SQ!I20,"kein Vergleichswert")</f>
        <v>0</v>
      </c>
      <c r="AI20" s="197">
        <f>IFERROR(J20-Parameter_2016_SQ!J20,"kein Vergleichswert")</f>
        <v>0</v>
      </c>
      <c r="AJ20" s="197">
        <f>IFERROR(K20-Parameter_2016_SQ!K20,"kein Vergleichswert")</f>
        <v>0</v>
      </c>
      <c r="AK20" s="197">
        <f>IFERROR(L20-Parameter_2016_SQ!L20,"kein Vergleichswert")</f>
        <v>0</v>
      </c>
      <c r="AL20" s="197">
        <f>IFERROR(M20-Parameter_2016_SQ!M20,"kein Vergleichswert")</f>
        <v>0</v>
      </c>
      <c r="AM20" s="197">
        <f>IFERROR(N20-Parameter_2016_SQ!N20,"kein Vergleichswert")</f>
        <v>0</v>
      </c>
      <c r="AN20" s="197">
        <f>IFERROR(O20-Parameter_2016_SQ!O20,"kein Vergleichswert")</f>
        <v>0</v>
      </c>
      <c r="AO20" s="197">
        <f>IFERROR(Q20-Parameter_2016_SQ!Q20,"kein Vergleichswert")</f>
        <v>0</v>
      </c>
      <c r="AP20" s="197">
        <f>IFERROR(R20-Parameter_2016_SQ!R20,"kein Vergleichswert")</f>
        <v>0</v>
      </c>
      <c r="AQ20" s="197">
        <f>IFERROR(S20-Parameter_2016_SQ!S20,"kein Vergleichswert")</f>
        <v>0</v>
      </c>
      <c r="AR20" s="197">
        <f>IFERROR(T20-Parameter_2016_SQ!T20,"kein Vergleichswert")</f>
        <v>0</v>
      </c>
      <c r="AS20" s="197">
        <f>IFERROR(U20-Parameter_2016_SQ!U20,"kein Vergleichswert")</f>
        <v>0</v>
      </c>
      <c r="AT20" s="197">
        <f>IFERROR(V20-Parameter_2016_SQ!V20,"kein Vergleichswert")</f>
        <v>0</v>
      </c>
      <c r="AU20" s="197">
        <f>IFERROR(W20-Parameter_2016_SQ!W20,"kein Vergleichswert")</f>
        <v>0</v>
      </c>
      <c r="AV20" s="197">
        <f>IFERROR(X20-Parameter_2016_SQ!X20,"kein Vergleichswert")</f>
        <v>0</v>
      </c>
      <c r="AW20" s="197">
        <f>IFERROR(Z20-Parameter_2016_SQ!Z20,"kein Vergleichswert")</f>
        <v>0</v>
      </c>
      <c r="AX20" s="197">
        <f>IFERROR(AA20-Parameter_2016_SQ!AA20,"kein Vergleichswert")</f>
        <v>0</v>
      </c>
      <c r="AY20" s="197">
        <f>IFERROR(AB20-Parameter_2016_SQ!AB20,"kein Vergleichswert")</f>
        <v>0</v>
      </c>
    </row>
    <row r="21" spans="1:51" ht="18.75">
      <c r="A21" s="109"/>
      <c r="B21" s="178" t="s">
        <v>287</v>
      </c>
      <c r="C21" s="180"/>
      <c r="D21" s="180"/>
      <c r="E21" s="180"/>
      <c r="F21" s="184"/>
      <c r="G21" s="184"/>
      <c r="H21" s="184"/>
      <c r="I21" s="184"/>
      <c r="J21" s="141">
        <f>SUM(J17:O17)</f>
        <v>37848</v>
      </c>
      <c r="K21" s="142"/>
      <c r="L21" s="143"/>
      <c r="M21" s="141"/>
      <c r="N21" s="142"/>
      <c r="O21" s="143"/>
      <c r="P21" s="142"/>
      <c r="Q21" s="142"/>
      <c r="R21" s="141">
        <f>SUM(R17:X17)</f>
        <v>125095</v>
      </c>
      <c r="S21" s="142"/>
      <c r="T21" s="142"/>
      <c r="U21" s="143"/>
      <c r="V21" s="141"/>
      <c r="W21" s="142"/>
      <c r="X21" s="143"/>
      <c r="Y21" s="143"/>
      <c r="Z21" s="184"/>
      <c r="AA21" s="184"/>
      <c r="AB21" s="184"/>
      <c r="AE21" s="197">
        <f>IFERROR(F21-Parameter_2016_SQ!F21,"kein Vergleichswert")</f>
        <v>0</v>
      </c>
      <c r="AF21" s="197">
        <f>IFERROR(G21-Parameter_2016_SQ!G21,"kein Vergleichswert")</f>
        <v>0</v>
      </c>
      <c r="AG21" s="197">
        <f>IFERROR(H21-Parameter_2016_SQ!H21,"kein Vergleichswert")</f>
        <v>0</v>
      </c>
      <c r="AH21" s="197">
        <f>IFERROR(I21-Parameter_2016_SQ!I21,"kein Vergleichswert")</f>
        <v>0</v>
      </c>
      <c r="AI21" s="197">
        <f>IFERROR(J21-Parameter_2016_SQ!J21,"kein Vergleichswert")</f>
        <v>0</v>
      </c>
      <c r="AJ21" s="197">
        <f>IFERROR(K21-Parameter_2016_SQ!K21,"kein Vergleichswert")</f>
        <v>0</v>
      </c>
      <c r="AK21" s="197">
        <f>IFERROR(L21-Parameter_2016_SQ!L21,"kein Vergleichswert")</f>
        <v>0</v>
      </c>
      <c r="AL21" s="197">
        <f>IFERROR(M21-Parameter_2016_SQ!M21,"kein Vergleichswert")</f>
        <v>0</v>
      </c>
      <c r="AM21" s="197">
        <f>IFERROR(N21-Parameter_2016_SQ!N21,"kein Vergleichswert")</f>
        <v>0</v>
      </c>
      <c r="AN21" s="197">
        <f>IFERROR(O21-Parameter_2016_SQ!O21,"kein Vergleichswert")</f>
        <v>0</v>
      </c>
      <c r="AO21" s="197">
        <f>IFERROR(Q21-Parameter_2016_SQ!Q21,"kein Vergleichswert")</f>
        <v>0</v>
      </c>
      <c r="AP21" s="197">
        <f>IFERROR(R21-Parameter_2016_SQ!R21,"kein Vergleichswert")</f>
        <v>0</v>
      </c>
      <c r="AQ21" s="197">
        <f>IFERROR(S21-Parameter_2016_SQ!S21,"kein Vergleichswert")</f>
        <v>0</v>
      </c>
      <c r="AR21" s="197">
        <f>IFERROR(T21-Parameter_2016_SQ!T21,"kein Vergleichswert")</f>
        <v>0</v>
      </c>
      <c r="AS21" s="197">
        <f>IFERROR(U21-Parameter_2016_SQ!U21,"kein Vergleichswert")</f>
        <v>0</v>
      </c>
      <c r="AT21" s="197">
        <f>IFERROR(V21-Parameter_2016_SQ!V21,"kein Vergleichswert")</f>
        <v>0</v>
      </c>
      <c r="AU21" s="197">
        <f>IFERROR(W21-Parameter_2016_SQ!W21,"kein Vergleichswert")</f>
        <v>0</v>
      </c>
      <c r="AV21" s="197">
        <f>IFERROR(X21-Parameter_2016_SQ!X21,"kein Vergleichswert")</f>
        <v>0</v>
      </c>
      <c r="AW21" s="197">
        <f>IFERROR(Z21-Parameter_2016_SQ!Z21,"kein Vergleichswert")</f>
        <v>0</v>
      </c>
      <c r="AX21" s="197">
        <f>IFERROR(AA21-Parameter_2016_SQ!AA21,"kein Vergleichswert")</f>
        <v>0</v>
      </c>
      <c r="AY21" s="197">
        <f>IFERROR(AB21-Parameter_2016_SQ!AB21,"kein Vergleichswert")</f>
        <v>0</v>
      </c>
    </row>
    <row r="22" spans="1:51" ht="30">
      <c r="A22" s="109"/>
      <c r="B22" s="178" t="s">
        <v>288</v>
      </c>
      <c r="C22" s="180"/>
      <c r="D22" s="180"/>
      <c r="E22" s="180"/>
      <c r="F22" s="184"/>
      <c r="G22" s="184"/>
      <c r="H22" s="184"/>
      <c r="I22" s="184"/>
      <c r="J22" s="141">
        <v>25400</v>
      </c>
      <c r="K22" s="142"/>
      <c r="L22" s="143"/>
      <c r="M22" s="141"/>
      <c r="N22" s="142"/>
      <c r="O22" s="143"/>
      <c r="P22" s="142"/>
      <c r="Q22" s="142"/>
      <c r="R22" s="141">
        <v>128000</v>
      </c>
      <c r="S22" s="142"/>
      <c r="T22" s="142"/>
      <c r="U22" s="143"/>
      <c r="V22" s="141"/>
      <c r="W22" s="142"/>
      <c r="X22" s="143"/>
      <c r="Y22" s="143"/>
      <c r="Z22" s="184"/>
      <c r="AA22" s="184"/>
      <c r="AB22" s="184"/>
      <c r="AE22" s="197">
        <f>IFERROR(F22-Parameter_2016_SQ!F22,"kein Vergleichswert")</f>
        <v>0</v>
      </c>
      <c r="AF22" s="197">
        <f>IFERROR(G22-Parameter_2016_SQ!G22,"kein Vergleichswert")</f>
        <v>0</v>
      </c>
      <c r="AG22" s="197">
        <f>IFERROR(H22-Parameter_2016_SQ!H22,"kein Vergleichswert")</f>
        <v>0</v>
      </c>
      <c r="AH22" s="197">
        <f>IFERROR(I22-Parameter_2016_SQ!I22,"kein Vergleichswert")</f>
        <v>0</v>
      </c>
      <c r="AI22" s="197">
        <f>IFERROR(J22-Parameter_2016_SQ!J22,"kein Vergleichswert")</f>
        <v>0</v>
      </c>
      <c r="AJ22" s="197">
        <f>IFERROR(K22-Parameter_2016_SQ!K22,"kein Vergleichswert")</f>
        <v>0</v>
      </c>
      <c r="AK22" s="197">
        <f>IFERROR(L22-Parameter_2016_SQ!L22,"kein Vergleichswert")</f>
        <v>0</v>
      </c>
      <c r="AL22" s="197">
        <f>IFERROR(M22-Parameter_2016_SQ!M22,"kein Vergleichswert")</f>
        <v>0</v>
      </c>
      <c r="AM22" s="197">
        <f>IFERROR(N22-Parameter_2016_SQ!N22,"kein Vergleichswert")</f>
        <v>0</v>
      </c>
      <c r="AN22" s="197">
        <f>IFERROR(O22-Parameter_2016_SQ!O22,"kein Vergleichswert")</f>
        <v>0</v>
      </c>
      <c r="AO22" s="197">
        <f>IFERROR(Q22-Parameter_2016_SQ!Q22,"kein Vergleichswert")</f>
        <v>0</v>
      </c>
      <c r="AP22" s="197">
        <f>IFERROR(R22-Parameter_2016_SQ!R22,"kein Vergleichswert")</f>
        <v>0</v>
      </c>
      <c r="AQ22" s="197">
        <f>IFERROR(S22-Parameter_2016_SQ!S22,"kein Vergleichswert")</f>
        <v>0</v>
      </c>
      <c r="AR22" s="197">
        <f>IFERROR(T22-Parameter_2016_SQ!T22,"kein Vergleichswert")</f>
        <v>0</v>
      </c>
      <c r="AS22" s="197">
        <f>IFERROR(U22-Parameter_2016_SQ!U22,"kein Vergleichswert")</f>
        <v>0</v>
      </c>
      <c r="AT22" s="197">
        <f>IFERROR(V22-Parameter_2016_SQ!V22,"kein Vergleichswert")</f>
        <v>0</v>
      </c>
      <c r="AU22" s="197">
        <f>IFERROR(W22-Parameter_2016_SQ!W22,"kein Vergleichswert")</f>
        <v>0</v>
      </c>
      <c r="AV22" s="197">
        <f>IFERROR(X22-Parameter_2016_SQ!X22,"kein Vergleichswert")</f>
        <v>0</v>
      </c>
      <c r="AW22" s="197">
        <f>IFERROR(Z22-Parameter_2016_SQ!Z22,"kein Vergleichswert")</f>
        <v>0</v>
      </c>
      <c r="AX22" s="197">
        <f>IFERROR(AA22-Parameter_2016_SQ!AA22,"kein Vergleichswert")</f>
        <v>0</v>
      </c>
      <c r="AY22" s="197">
        <f>IFERROR(AB22-Parameter_2016_SQ!AB22,"kein Vergleichswert")</f>
        <v>0</v>
      </c>
    </row>
    <row r="23" spans="1:51" ht="18.75">
      <c r="A23" s="109"/>
      <c r="B23" s="178" t="s">
        <v>289</v>
      </c>
      <c r="C23" s="180"/>
      <c r="D23" s="180"/>
      <c r="E23" s="180"/>
      <c r="F23" s="125"/>
      <c r="G23" s="125"/>
      <c r="H23" s="125"/>
      <c r="I23" s="125"/>
      <c r="J23" s="110">
        <f>J22/J21</f>
        <v>0.67110547452969771</v>
      </c>
      <c r="K23" s="111"/>
      <c r="L23" s="112"/>
      <c r="M23" s="110"/>
      <c r="N23" s="111"/>
      <c r="O23" s="112"/>
      <c r="P23" s="111"/>
      <c r="Q23" s="111"/>
      <c r="R23" s="110">
        <f>R22/R21</f>
        <v>1.0232223510132299</v>
      </c>
      <c r="S23" s="111"/>
      <c r="T23" s="111"/>
      <c r="U23" s="112"/>
      <c r="V23" s="110"/>
      <c r="W23" s="111"/>
      <c r="X23" s="112"/>
      <c r="Y23" s="112"/>
      <c r="Z23" s="125"/>
      <c r="AA23" s="125"/>
      <c r="AB23" s="125"/>
      <c r="AE23" s="197">
        <f>IFERROR(F23-Parameter_2016_SQ!F23,"kein Vergleichswert")</f>
        <v>0</v>
      </c>
      <c r="AF23" s="197">
        <f>IFERROR(G23-Parameter_2016_SQ!G23,"kein Vergleichswert")</f>
        <v>0</v>
      </c>
      <c r="AG23" s="197">
        <f>IFERROR(H23-Parameter_2016_SQ!H23,"kein Vergleichswert")</f>
        <v>0</v>
      </c>
      <c r="AH23" s="197">
        <f>IFERROR(I23-Parameter_2016_SQ!I23,"kein Vergleichswert")</f>
        <v>0</v>
      </c>
      <c r="AI23" s="197">
        <f>IFERROR(J23-Parameter_2016_SQ!J23,"kein Vergleichswert")</f>
        <v>0</v>
      </c>
      <c r="AJ23" s="197">
        <f>IFERROR(K23-Parameter_2016_SQ!K23,"kein Vergleichswert")</f>
        <v>0</v>
      </c>
      <c r="AK23" s="197">
        <f>IFERROR(L23-Parameter_2016_SQ!L23,"kein Vergleichswert")</f>
        <v>0</v>
      </c>
      <c r="AL23" s="197">
        <f>IFERROR(M23-Parameter_2016_SQ!M23,"kein Vergleichswert")</f>
        <v>0</v>
      </c>
      <c r="AM23" s="197">
        <f>IFERROR(N23-Parameter_2016_SQ!N23,"kein Vergleichswert")</f>
        <v>0</v>
      </c>
      <c r="AN23" s="197">
        <f>IFERROR(O23-Parameter_2016_SQ!O23,"kein Vergleichswert")</f>
        <v>0</v>
      </c>
      <c r="AO23" s="197">
        <f>IFERROR(Q23-Parameter_2016_SQ!Q23,"kein Vergleichswert")</f>
        <v>0</v>
      </c>
      <c r="AP23" s="197">
        <f>IFERROR(R23-Parameter_2016_SQ!R23,"kein Vergleichswert")</f>
        <v>0</v>
      </c>
      <c r="AQ23" s="197">
        <f>IFERROR(S23-Parameter_2016_SQ!S23,"kein Vergleichswert")</f>
        <v>0</v>
      </c>
      <c r="AR23" s="197">
        <f>IFERROR(T23-Parameter_2016_SQ!T23,"kein Vergleichswert")</f>
        <v>0</v>
      </c>
      <c r="AS23" s="197">
        <f>IFERROR(U23-Parameter_2016_SQ!U23,"kein Vergleichswert")</f>
        <v>0</v>
      </c>
      <c r="AT23" s="197">
        <f>IFERROR(V23-Parameter_2016_SQ!V23,"kein Vergleichswert")</f>
        <v>0</v>
      </c>
      <c r="AU23" s="197">
        <f>IFERROR(W23-Parameter_2016_SQ!W23,"kein Vergleichswert")</f>
        <v>0</v>
      </c>
      <c r="AV23" s="197">
        <f>IFERROR(X23-Parameter_2016_SQ!X23,"kein Vergleichswert")</f>
        <v>0</v>
      </c>
      <c r="AW23" s="197">
        <f>IFERROR(Z23-Parameter_2016_SQ!Z23,"kein Vergleichswert")</f>
        <v>0</v>
      </c>
      <c r="AX23" s="197">
        <f>IFERROR(AA23-Parameter_2016_SQ!AA23,"kein Vergleichswert")</f>
        <v>0</v>
      </c>
      <c r="AY23" s="197">
        <f>IFERROR(AB23-Parameter_2016_SQ!AB23,"kein Vergleichswert")</f>
        <v>0</v>
      </c>
    </row>
    <row r="24" spans="1:51" ht="18.75">
      <c r="A24" s="109"/>
      <c r="B24" s="116"/>
      <c r="C24" s="117"/>
      <c r="D24" s="117"/>
      <c r="E24" s="117"/>
      <c r="F24" s="131"/>
      <c r="G24" s="131"/>
      <c r="H24" s="131"/>
      <c r="I24" s="131"/>
      <c r="J24" s="127"/>
      <c r="K24" s="128"/>
      <c r="L24" s="129"/>
      <c r="M24" s="127"/>
      <c r="N24" s="128"/>
      <c r="O24" s="129"/>
      <c r="P24" s="128"/>
      <c r="Q24" s="128"/>
      <c r="R24" s="127"/>
      <c r="S24" s="128"/>
      <c r="T24" s="128"/>
      <c r="U24" s="129"/>
      <c r="V24" s="127"/>
      <c r="W24" s="128"/>
      <c r="X24" s="129"/>
      <c r="Y24" s="129"/>
      <c r="Z24" s="131"/>
      <c r="AA24" s="131"/>
      <c r="AB24" s="131"/>
      <c r="AE24" s="197">
        <f>IFERROR(F24-Parameter_2016_SQ!F24,"kein Vergleichswert")</f>
        <v>0</v>
      </c>
      <c r="AF24" s="197">
        <f>IFERROR(G24-Parameter_2016_SQ!G24,"kein Vergleichswert")</f>
        <v>0</v>
      </c>
      <c r="AG24" s="197">
        <f>IFERROR(H24-Parameter_2016_SQ!H24,"kein Vergleichswert")</f>
        <v>0</v>
      </c>
      <c r="AH24" s="197">
        <f>IFERROR(I24-Parameter_2016_SQ!I24,"kein Vergleichswert")</f>
        <v>0</v>
      </c>
      <c r="AI24" s="197">
        <f>IFERROR(J24-Parameter_2016_SQ!J24,"kein Vergleichswert")</f>
        <v>0</v>
      </c>
      <c r="AJ24" s="197">
        <f>IFERROR(K24-Parameter_2016_SQ!K24,"kein Vergleichswert")</f>
        <v>0</v>
      </c>
      <c r="AK24" s="197">
        <f>IFERROR(L24-Parameter_2016_SQ!L24,"kein Vergleichswert")</f>
        <v>0</v>
      </c>
      <c r="AL24" s="197">
        <f>IFERROR(M24-Parameter_2016_SQ!M24,"kein Vergleichswert")</f>
        <v>0</v>
      </c>
      <c r="AM24" s="197">
        <f>IFERROR(N24-Parameter_2016_SQ!N24,"kein Vergleichswert")</f>
        <v>0</v>
      </c>
      <c r="AN24" s="197">
        <f>IFERROR(O24-Parameter_2016_SQ!O24,"kein Vergleichswert")</f>
        <v>0</v>
      </c>
      <c r="AO24" s="197">
        <f>IFERROR(Q24-Parameter_2016_SQ!Q24,"kein Vergleichswert")</f>
        <v>0</v>
      </c>
      <c r="AP24" s="197">
        <f>IFERROR(R24-Parameter_2016_SQ!R24,"kein Vergleichswert")</f>
        <v>0</v>
      </c>
      <c r="AQ24" s="197">
        <f>IFERROR(S24-Parameter_2016_SQ!S24,"kein Vergleichswert")</f>
        <v>0</v>
      </c>
      <c r="AR24" s="197">
        <f>IFERROR(T24-Parameter_2016_SQ!T24,"kein Vergleichswert")</f>
        <v>0</v>
      </c>
      <c r="AS24" s="197">
        <f>IFERROR(U24-Parameter_2016_SQ!U24,"kein Vergleichswert")</f>
        <v>0</v>
      </c>
      <c r="AT24" s="197">
        <f>IFERROR(V24-Parameter_2016_SQ!V24,"kein Vergleichswert")</f>
        <v>0</v>
      </c>
      <c r="AU24" s="197">
        <f>IFERROR(W24-Parameter_2016_SQ!W24,"kein Vergleichswert")</f>
        <v>0</v>
      </c>
      <c r="AV24" s="197">
        <f>IFERROR(X24-Parameter_2016_SQ!X24,"kein Vergleichswert")</f>
        <v>0</v>
      </c>
      <c r="AW24" s="197">
        <f>IFERROR(Z24-Parameter_2016_SQ!Z24,"kein Vergleichswert")</f>
        <v>0</v>
      </c>
      <c r="AX24" s="197">
        <f>IFERROR(AA24-Parameter_2016_SQ!AA24,"kein Vergleichswert")</f>
        <v>0</v>
      </c>
      <c r="AY24" s="197">
        <f>IFERROR(AB24-Parameter_2016_SQ!AB24,"kein Vergleichswert")</f>
        <v>0</v>
      </c>
    </row>
    <row r="25" spans="1:51" ht="18.75">
      <c r="B25" s="108" t="s">
        <v>247</v>
      </c>
      <c r="C25" s="117"/>
      <c r="D25" s="117"/>
      <c r="E25" s="117"/>
      <c r="F25" s="131"/>
      <c r="G25" s="131"/>
      <c r="H25" s="131"/>
      <c r="I25" s="131"/>
      <c r="J25" s="127"/>
      <c r="K25" s="128"/>
      <c r="L25" s="129"/>
      <c r="M25" s="127"/>
      <c r="N25" s="128"/>
      <c r="O25" s="129"/>
      <c r="P25" s="128"/>
      <c r="Q25" s="128"/>
      <c r="R25" s="127"/>
      <c r="S25" s="128"/>
      <c r="T25" s="128"/>
      <c r="U25" s="129"/>
      <c r="V25" s="127"/>
      <c r="W25" s="128"/>
      <c r="X25" s="129"/>
      <c r="Y25" s="129"/>
      <c r="Z25" s="131"/>
      <c r="AA25" s="131"/>
      <c r="AB25" s="131"/>
      <c r="AE25" s="197">
        <f>IFERROR(F25-Parameter_2016_SQ!F25,"kein Vergleichswert")</f>
        <v>0</v>
      </c>
      <c r="AF25" s="197">
        <f>IFERROR(G25-Parameter_2016_SQ!G25,"kein Vergleichswert")</f>
        <v>0</v>
      </c>
      <c r="AG25" s="197">
        <f>IFERROR(H25-Parameter_2016_SQ!H25,"kein Vergleichswert")</f>
        <v>0</v>
      </c>
      <c r="AH25" s="197">
        <f>IFERROR(I25-Parameter_2016_SQ!I25,"kein Vergleichswert")</f>
        <v>0</v>
      </c>
      <c r="AI25" s="197">
        <f>IFERROR(J25-Parameter_2016_SQ!J25,"kein Vergleichswert")</f>
        <v>0</v>
      </c>
      <c r="AJ25" s="197">
        <f>IFERROR(K25-Parameter_2016_SQ!K25,"kein Vergleichswert")</f>
        <v>0</v>
      </c>
      <c r="AK25" s="197">
        <f>IFERROR(L25-Parameter_2016_SQ!L25,"kein Vergleichswert")</f>
        <v>0</v>
      </c>
      <c r="AL25" s="197">
        <f>IFERROR(M25-Parameter_2016_SQ!M25,"kein Vergleichswert")</f>
        <v>0</v>
      </c>
      <c r="AM25" s="197">
        <f>IFERROR(N25-Parameter_2016_SQ!N25,"kein Vergleichswert")</f>
        <v>0</v>
      </c>
      <c r="AN25" s="197">
        <f>IFERROR(O25-Parameter_2016_SQ!O25,"kein Vergleichswert")</f>
        <v>0</v>
      </c>
      <c r="AO25" s="197">
        <f>IFERROR(Q25-Parameter_2016_SQ!Q25,"kein Vergleichswert")</f>
        <v>0</v>
      </c>
      <c r="AP25" s="197">
        <f>IFERROR(R25-Parameter_2016_SQ!R25,"kein Vergleichswert")</f>
        <v>0</v>
      </c>
      <c r="AQ25" s="197">
        <f>IFERROR(S25-Parameter_2016_SQ!S25,"kein Vergleichswert")</f>
        <v>0</v>
      </c>
      <c r="AR25" s="197">
        <f>IFERROR(T25-Parameter_2016_SQ!T25,"kein Vergleichswert")</f>
        <v>0</v>
      </c>
      <c r="AS25" s="197">
        <f>IFERROR(U25-Parameter_2016_SQ!U25,"kein Vergleichswert")</f>
        <v>0</v>
      </c>
      <c r="AT25" s="197">
        <f>IFERROR(V25-Parameter_2016_SQ!V25,"kein Vergleichswert")</f>
        <v>0</v>
      </c>
      <c r="AU25" s="197">
        <f>IFERROR(W25-Parameter_2016_SQ!W25,"kein Vergleichswert")</f>
        <v>0</v>
      </c>
      <c r="AV25" s="197">
        <f>IFERROR(X25-Parameter_2016_SQ!X25,"kein Vergleichswert")</f>
        <v>0</v>
      </c>
      <c r="AW25" s="197">
        <f>IFERROR(Z25-Parameter_2016_SQ!Z25,"kein Vergleichswert")</f>
        <v>0</v>
      </c>
      <c r="AX25" s="197">
        <f>IFERROR(AA25-Parameter_2016_SQ!AA25,"kein Vergleichswert")</f>
        <v>0</v>
      </c>
      <c r="AY25" s="197">
        <f>IFERROR(AB25-Parameter_2016_SQ!AB25,"kein Vergleichswert")</f>
        <v>0</v>
      </c>
    </row>
    <row r="26" spans="1:51" ht="18.75">
      <c r="A26" s="109"/>
      <c r="B26" s="178" t="s">
        <v>323</v>
      </c>
      <c r="C26" s="180"/>
      <c r="D26" s="180"/>
      <c r="E26" s="180" t="s">
        <v>19</v>
      </c>
      <c r="F26" s="125"/>
      <c r="G26" s="125"/>
      <c r="H26" s="125"/>
      <c r="I26" s="125"/>
      <c r="J26" s="110"/>
      <c r="K26" s="111">
        <v>29.11</v>
      </c>
      <c r="L26" s="112">
        <v>29.11</v>
      </c>
      <c r="M26" s="110">
        <v>29.11</v>
      </c>
      <c r="N26" s="111">
        <v>29.11</v>
      </c>
      <c r="O26" s="112">
        <v>29.11</v>
      </c>
      <c r="P26" s="111"/>
      <c r="Q26" s="111"/>
      <c r="R26" s="110"/>
      <c r="S26" s="111">
        <v>29.11</v>
      </c>
      <c r="T26" s="111">
        <v>29.11</v>
      </c>
      <c r="U26" s="111">
        <v>29.11</v>
      </c>
      <c r="V26" s="110">
        <v>29.11</v>
      </c>
      <c r="W26" s="111">
        <v>29.11</v>
      </c>
      <c r="X26" s="112">
        <v>29.11</v>
      </c>
      <c r="Y26" s="112"/>
      <c r="Z26" s="125"/>
      <c r="AA26" s="125"/>
      <c r="AB26" s="125"/>
      <c r="AE26" s="197">
        <f>IFERROR(F26-Parameter_2016_SQ!F26,"kein Vergleichswert")</f>
        <v>0</v>
      </c>
      <c r="AF26" s="197">
        <f>IFERROR(G26-Parameter_2016_SQ!G26,"kein Vergleichswert")</f>
        <v>0</v>
      </c>
      <c r="AG26" s="197">
        <f>IFERROR(H26-Parameter_2016_SQ!H26,"kein Vergleichswert")</f>
        <v>0</v>
      </c>
      <c r="AH26" s="197">
        <f>IFERROR(I26-Parameter_2016_SQ!I26,"kein Vergleichswert")</f>
        <v>0</v>
      </c>
      <c r="AI26" s="197">
        <f>IFERROR(J26-Parameter_2016_SQ!J26,"kein Vergleichswert")</f>
        <v>0</v>
      </c>
      <c r="AJ26" s="197">
        <f>IFERROR(K26-Parameter_2016_SQ!K26,"kein Vergleichswert")</f>
        <v>0</v>
      </c>
      <c r="AK26" s="197">
        <f>IFERROR(L26-Parameter_2016_SQ!L26,"kein Vergleichswert")</f>
        <v>0</v>
      </c>
      <c r="AL26" s="197">
        <f>IFERROR(M26-Parameter_2016_SQ!M26,"kein Vergleichswert")</f>
        <v>0</v>
      </c>
      <c r="AM26" s="197">
        <f>IFERROR(N26-Parameter_2016_SQ!N26,"kein Vergleichswert")</f>
        <v>0</v>
      </c>
      <c r="AN26" s="197">
        <f>IFERROR(O26-Parameter_2016_SQ!O26,"kein Vergleichswert")</f>
        <v>0</v>
      </c>
      <c r="AO26" s="197">
        <f>IFERROR(Q26-Parameter_2016_SQ!Q26,"kein Vergleichswert")</f>
        <v>0</v>
      </c>
      <c r="AP26" s="197">
        <f>IFERROR(R26-Parameter_2016_SQ!R26,"kein Vergleichswert")</f>
        <v>0</v>
      </c>
      <c r="AQ26" s="197">
        <f>IFERROR(S26-Parameter_2016_SQ!S26,"kein Vergleichswert")</f>
        <v>0</v>
      </c>
      <c r="AR26" s="197">
        <f>IFERROR(T26-Parameter_2016_SQ!T26,"kein Vergleichswert")</f>
        <v>0</v>
      </c>
      <c r="AS26" s="197">
        <f>IFERROR(U26-Parameter_2016_SQ!U26,"kein Vergleichswert")</f>
        <v>0</v>
      </c>
      <c r="AT26" s="197">
        <f>IFERROR(V26-Parameter_2016_SQ!V26,"kein Vergleichswert")</f>
        <v>0</v>
      </c>
      <c r="AU26" s="197">
        <f>IFERROR(W26-Parameter_2016_SQ!W26,"kein Vergleichswert")</f>
        <v>0</v>
      </c>
      <c r="AV26" s="197">
        <f>IFERROR(X26-Parameter_2016_SQ!X26,"kein Vergleichswert")</f>
        <v>0</v>
      </c>
      <c r="AW26" s="197">
        <f>IFERROR(Z26-Parameter_2016_SQ!Z26,"kein Vergleichswert")</f>
        <v>0</v>
      </c>
      <c r="AX26" s="197">
        <f>IFERROR(AA26-Parameter_2016_SQ!AA26,"kein Vergleichswert")</f>
        <v>0</v>
      </c>
      <c r="AY26" s="197">
        <f>IFERROR(AB26-Parameter_2016_SQ!AB26,"kein Vergleichswert")</f>
        <v>0</v>
      </c>
    </row>
    <row r="27" spans="1:51" ht="18.75">
      <c r="A27" s="109"/>
      <c r="B27" s="178" t="s">
        <v>96</v>
      </c>
      <c r="C27" s="180"/>
      <c r="D27" s="180"/>
      <c r="E27" s="180" t="s">
        <v>19</v>
      </c>
      <c r="F27" s="125"/>
      <c r="G27" s="125"/>
      <c r="H27" s="125"/>
      <c r="I27" s="125"/>
      <c r="J27" s="110"/>
      <c r="K27" s="111"/>
      <c r="L27" s="112"/>
      <c r="M27" s="110"/>
      <c r="N27" s="111"/>
      <c r="O27" s="112"/>
      <c r="P27" s="111"/>
      <c r="Q27" s="111" t="s">
        <v>311</v>
      </c>
      <c r="R27" s="110"/>
      <c r="S27" s="111"/>
      <c r="T27" s="111"/>
      <c r="U27" s="112"/>
      <c r="V27" s="110"/>
      <c r="W27" s="111"/>
      <c r="X27" s="112"/>
      <c r="Y27" s="112"/>
      <c r="Z27" s="125" t="s">
        <v>311</v>
      </c>
      <c r="AA27" s="125" t="s">
        <v>311</v>
      </c>
      <c r="AB27" s="125" t="s">
        <v>311</v>
      </c>
      <c r="AE27" s="197">
        <f>IFERROR(F27-Parameter_2016_SQ!F27,"kein Vergleichswert")</f>
        <v>0</v>
      </c>
      <c r="AF27" s="197">
        <f>IFERROR(G27-Parameter_2016_SQ!G27,"kein Vergleichswert")</f>
        <v>0</v>
      </c>
      <c r="AG27" s="197">
        <f>IFERROR(H27-Parameter_2016_SQ!H27,"kein Vergleichswert")</f>
        <v>0</v>
      </c>
      <c r="AH27" s="197">
        <f>IFERROR(I27-Parameter_2016_SQ!I27,"kein Vergleichswert")</f>
        <v>0</v>
      </c>
      <c r="AI27" s="197">
        <f>IFERROR(J27-Parameter_2016_SQ!J27,"kein Vergleichswert")</f>
        <v>0</v>
      </c>
      <c r="AJ27" s="197">
        <f>IFERROR(K27-Parameter_2016_SQ!K27,"kein Vergleichswert")</f>
        <v>0</v>
      </c>
      <c r="AK27" s="197">
        <f>IFERROR(L27-Parameter_2016_SQ!L27,"kein Vergleichswert")</f>
        <v>0</v>
      </c>
      <c r="AL27" s="197">
        <f>IFERROR(M27-Parameter_2016_SQ!M27,"kein Vergleichswert")</f>
        <v>0</v>
      </c>
      <c r="AM27" s="197">
        <f>IFERROR(N27-Parameter_2016_SQ!N27,"kein Vergleichswert")</f>
        <v>0</v>
      </c>
      <c r="AN27" s="197">
        <f>IFERROR(O27-Parameter_2016_SQ!O27,"kein Vergleichswert")</f>
        <v>0</v>
      </c>
      <c r="AO27" s="197" t="str">
        <f>IFERROR(Q27-Parameter_2016_SQ!Q27,"kein Vergleichswert")</f>
        <v>kein Vergleichswert</v>
      </c>
      <c r="AP27" s="197">
        <f>IFERROR(R27-Parameter_2016_SQ!R27,"kein Vergleichswert")</f>
        <v>0</v>
      </c>
      <c r="AQ27" s="197">
        <f>IFERROR(S27-Parameter_2016_SQ!S27,"kein Vergleichswert")</f>
        <v>0</v>
      </c>
      <c r="AR27" s="197">
        <f>IFERROR(T27-Parameter_2016_SQ!T27,"kein Vergleichswert")</f>
        <v>0</v>
      </c>
      <c r="AS27" s="197">
        <f>IFERROR(U27-Parameter_2016_SQ!U27,"kein Vergleichswert")</f>
        <v>0</v>
      </c>
      <c r="AT27" s="197">
        <f>IFERROR(V27-Parameter_2016_SQ!V27,"kein Vergleichswert")</f>
        <v>0</v>
      </c>
      <c r="AU27" s="197">
        <f>IFERROR(W27-Parameter_2016_SQ!W27,"kein Vergleichswert")</f>
        <v>0</v>
      </c>
      <c r="AV27" s="197">
        <f>IFERROR(X27-Parameter_2016_SQ!X27,"kein Vergleichswert")</f>
        <v>0</v>
      </c>
      <c r="AW27" s="197" t="str">
        <f>IFERROR(Z27-Parameter_2016_SQ!Z27,"kein Vergleichswert")</f>
        <v>kein Vergleichswert</v>
      </c>
      <c r="AX27" s="197" t="str">
        <f>IFERROR(AA27-Parameter_2016_SQ!AA27,"kein Vergleichswert")</f>
        <v>kein Vergleichswert</v>
      </c>
      <c r="AY27" s="197" t="str">
        <f>IFERROR(AB27-Parameter_2016_SQ!AB27,"kein Vergleichswert")</f>
        <v>kein Vergleichswert</v>
      </c>
    </row>
    <row r="28" spans="1:51" ht="18.75">
      <c r="A28" s="109"/>
      <c r="B28" s="178" t="s">
        <v>266</v>
      </c>
      <c r="C28" s="180"/>
      <c r="D28" s="180"/>
      <c r="E28" s="180" t="s">
        <v>19</v>
      </c>
      <c r="F28" s="125"/>
      <c r="G28" s="125"/>
      <c r="H28" s="125"/>
      <c r="I28" s="125"/>
      <c r="J28" s="110">
        <v>0</v>
      </c>
      <c r="K28" s="111"/>
      <c r="L28" s="112"/>
      <c r="M28" s="110"/>
      <c r="N28" s="111"/>
      <c r="O28" s="112"/>
      <c r="P28" s="111"/>
      <c r="Q28" s="111"/>
      <c r="R28" s="110">
        <v>0</v>
      </c>
      <c r="S28" s="111"/>
      <c r="T28" s="111"/>
      <c r="U28" s="112"/>
      <c r="V28" s="110"/>
      <c r="W28" s="111"/>
      <c r="X28" s="112"/>
      <c r="Y28" s="112"/>
      <c r="Z28" s="125"/>
      <c r="AA28" s="125"/>
      <c r="AB28" s="125"/>
      <c r="AE28" s="197">
        <f>IFERROR(F28-Parameter_2016_SQ!F28,"kein Vergleichswert")</f>
        <v>0</v>
      </c>
      <c r="AF28" s="197">
        <f>IFERROR(G28-Parameter_2016_SQ!G28,"kein Vergleichswert")</f>
        <v>0</v>
      </c>
      <c r="AG28" s="197">
        <f>IFERROR(H28-Parameter_2016_SQ!H28,"kein Vergleichswert")</f>
        <v>0</v>
      </c>
      <c r="AH28" s="197">
        <f>IFERROR(I28-Parameter_2016_SQ!I28,"kein Vergleichswert")</f>
        <v>0</v>
      </c>
      <c r="AI28" s="197">
        <f>IFERROR(J28-Parameter_2016_SQ!J28,"kein Vergleichswert")</f>
        <v>0</v>
      </c>
      <c r="AJ28" s="197">
        <f>IFERROR(K28-Parameter_2016_SQ!K28,"kein Vergleichswert")</f>
        <v>0</v>
      </c>
      <c r="AK28" s="197">
        <f>IFERROR(L28-Parameter_2016_SQ!L28,"kein Vergleichswert")</f>
        <v>0</v>
      </c>
      <c r="AL28" s="197">
        <f>IFERROR(M28-Parameter_2016_SQ!M28,"kein Vergleichswert")</f>
        <v>0</v>
      </c>
      <c r="AM28" s="197">
        <f>IFERROR(N28-Parameter_2016_SQ!N28,"kein Vergleichswert")</f>
        <v>0</v>
      </c>
      <c r="AN28" s="197">
        <f>IFERROR(O28-Parameter_2016_SQ!O28,"kein Vergleichswert")</f>
        <v>0</v>
      </c>
      <c r="AO28" s="197">
        <f>IFERROR(Q28-Parameter_2016_SQ!Q28,"kein Vergleichswert")</f>
        <v>0</v>
      </c>
      <c r="AP28" s="197">
        <f>IFERROR(R28-Parameter_2016_SQ!R28,"kein Vergleichswert")</f>
        <v>0</v>
      </c>
      <c r="AQ28" s="197">
        <f>IFERROR(S28-Parameter_2016_SQ!S28,"kein Vergleichswert")</f>
        <v>0</v>
      </c>
      <c r="AR28" s="197">
        <f>IFERROR(T28-Parameter_2016_SQ!T28,"kein Vergleichswert")</f>
        <v>0</v>
      </c>
      <c r="AS28" s="197">
        <f>IFERROR(U28-Parameter_2016_SQ!U28,"kein Vergleichswert")</f>
        <v>0</v>
      </c>
      <c r="AT28" s="197">
        <f>IFERROR(V28-Parameter_2016_SQ!V28,"kein Vergleichswert")</f>
        <v>0</v>
      </c>
      <c r="AU28" s="197">
        <f>IFERROR(W28-Parameter_2016_SQ!W28,"kein Vergleichswert")</f>
        <v>0</v>
      </c>
      <c r="AV28" s="197">
        <f>IFERROR(X28-Parameter_2016_SQ!X28,"kein Vergleichswert")</f>
        <v>0</v>
      </c>
      <c r="AW28" s="197">
        <f>IFERROR(Z28-Parameter_2016_SQ!Z28,"kein Vergleichswert")</f>
        <v>0</v>
      </c>
      <c r="AX28" s="197">
        <f>IFERROR(AA28-Parameter_2016_SQ!AA28,"kein Vergleichswert")</f>
        <v>0</v>
      </c>
      <c r="AY28" s="197">
        <f>IFERROR(AB28-Parameter_2016_SQ!AB28,"kein Vergleichswert")</f>
        <v>0</v>
      </c>
    </row>
    <row r="29" spans="1:51" ht="18.75">
      <c r="A29" s="109"/>
      <c r="B29" s="116"/>
      <c r="C29" s="117"/>
      <c r="D29" s="117"/>
      <c r="E29" s="117"/>
      <c r="F29" s="131"/>
      <c r="G29" s="131"/>
      <c r="H29" s="131"/>
      <c r="I29" s="131"/>
      <c r="J29" s="127"/>
      <c r="K29" s="128"/>
      <c r="L29" s="129"/>
      <c r="M29" s="127"/>
      <c r="N29" s="128"/>
      <c r="O29" s="129"/>
      <c r="P29" s="128"/>
      <c r="Q29" s="128"/>
      <c r="R29" s="127"/>
      <c r="S29" s="128"/>
      <c r="T29" s="128"/>
      <c r="U29" s="129"/>
      <c r="V29" s="127"/>
      <c r="W29" s="128"/>
      <c r="X29" s="129"/>
      <c r="Y29" s="129"/>
      <c r="Z29" s="131"/>
      <c r="AA29" s="131"/>
      <c r="AB29" s="131"/>
      <c r="AE29" s="197">
        <f>IFERROR(F29-Parameter_2016_SQ!F29,"kein Vergleichswert")</f>
        <v>0</v>
      </c>
      <c r="AF29" s="197">
        <f>IFERROR(G29-Parameter_2016_SQ!G29,"kein Vergleichswert")</f>
        <v>0</v>
      </c>
      <c r="AG29" s="197">
        <f>IFERROR(H29-Parameter_2016_SQ!H29,"kein Vergleichswert")</f>
        <v>0</v>
      </c>
      <c r="AH29" s="197">
        <f>IFERROR(I29-Parameter_2016_SQ!I29,"kein Vergleichswert")</f>
        <v>0</v>
      </c>
      <c r="AI29" s="197">
        <f>IFERROR(J29-Parameter_2016_SQ!J29,"kein Vergleichswert")</f>
        <v>0</v>
      </c>
      <c r="AJ29" s="197">
        <f>IFERROR(K29-Parameter_2016_SQ!K29,"kein Vergleichswert")</f>
        <v>0</v>
      </c>
      <c r="AK29" s="197">
        <f>IFERROR(L29-Parameter_2016_SQ!L29,"kein Vergleichswert")</f>
        <v>0</v>
      </c>
      <c r="AL29" s="197">
        <f>IFERROR(M29-Parameter_2016_SQ!M29,"kein Vergleichswert")</f>
        <v>0</v>
      </c>
      <c r="AM29" s="197">
        <f>IFERROR(N29-Parameter_2016_SQ!N29,"kein Vergleichswert")</f>
        <v>0</v>
      </c>
      <c r="AN29" s="197">
        <f>IFERROR(O29-Parameter_2016_SQ!O29,"kein Vergleichswert")</f>
        <v>0</v>
      </c>
      <c r="AO29" s="197">
        <f>IFERROR(Q29-Parameter_2016_SQ!Q29,"kein Vergleichswert")</f>
        <v>0</v>
      </c>
      <c r="AP29" s="197">
        <f>IFERROR(R29-Parameter_2016_SQ!R29,"kein Vergleichswert")</f>
        <v>0</v>
      </c>
      <c r="AQ29" s="197">
        <f>IFERROR(S29-Parameter_2016_SQ!S29,"kein Vergleichswert")</f>
        <v>0</v>
      </c>
      <c r="AR29" s="197">
        <f>IFERROR(T29-Parameter_2016_SQ!T29,"kein Vergleichswert")</f>
        <v>0</v>
      </c>
      <c r="AS29" s="197">
        <f>IFERROR(U29-Parameter_2016_SQ!U29,"kein Vergleichswert")</f>
        <v>0</v>
      </c>
      <c r="AT29" s="197">
        <f>IFERROR(V29-Parameter_2016_SQ!V29,"kein Vergleichswert")</f>
        <v>0</v>
      </c>
      <c r="AU29" s="197">
        <f>IFERROR(W29-Parameter_2016_SQ!W29,"kein Vergleichswert")</f>
        <v>0</v>
      </c>
      <c r="AV29" s="197">
        <f>IFERROR(X29-Parameter_2016_SQ!X29,"kein Vergleichswert")</f>
        <v>0</v>
      </c>
      <c r="AW29" s="197">
        <f>IFERROR(Z29-Parameter_2016_SQ!Z29,"kein Vergleichswert")</f>
        <v>0</v>
      </c>
      <c r="AX29" s="197">
        <f>IFERROR(AA29-Parameter_2016_SQ!AA29,"kein Vergleichswert")</f>
        <v>0</v>
      </c>
      <c r="AY29" s="197">
        <f>IFERROR(AB29-Parameter_2016_SQ!AB29,"kein Vergleichswert")</f>
        <v>0</v>
      </c>
    </row>
    <row r="30" spans="1:51" ht="18.75">
      <c r="B30" s="108" t="s">
        <v>306</v>
      </c>
      <c r="C30" s="117"/>
      <c r="D30" s="117"/>
      <c r="E30" s="117"/>
      <c r="F30" s="131"/>
      <c r="G30" s="131"/>
      <c r="H30" s="131"/>
      <c r="I30" s="131"/>
      <c r="J30" s="127"/>
      <c r="K30" s="128"/>
      <c r="L30" s="129"/>
      <c r="M30" s="127"/>
      <c r="N30" s="128"/>
      <c r="O30" s="129"/>
      <c r="P30" s="128"/>
      <c r="Q30" s="128"/>
      <c r="R30" s="127"/>
      <c r="S30" s="128"/>
      <c r="T30" s="128"/>
      <c r="U30" s="129"/>
      <c r="V30" s="127"/>
      <c r="W30" s="128"/>
      <c r="X30" s="129"/>
      <c r="Y30" s="129"/>
      <c r="Z30" s="131"/>
      <c r="AA30" s="131"/>
      <c r="AB30" s="131"/>
      <c r="AE30" s="197">
        <f>IFERROR(F30-Parameter_2016_SQ!F30,"kein Vergleichswert")</f>
        <v>0</v>
      </c>
      <c r="AF30" s="197">
        <f>IFERROR(G30-Parameter_2016_SQ!G30,"kein Vergleichswert")</f>
        <v>0</v>
      </c>
      <c r="AG30" s="197">
        <f>IFERROR(H30-Parameter_2016_SQ!H30,"kein Vergleichswert")</f>
        <v>0</v>
      </c>
      <c r="AH30" s="197">
        <f>IFERROR(I30-Parameter_2016_SQ!I30,"kein Vergleichswert")</f>
        <v>0</v>
      </c>
      <c r="AI30" s="197">
        <f>IFERROR(J30-Parameter_2016_SQ!J30,"kein Vergleichswert")</f>
        <v>0</v>
      </c>
      <c r="AJ30" s="197">
        <f>IFERROR(K30-Parameter_2016_SQ!K30,"kein Vergleichswert")</f>
        <v>0</v>
      </c>
      <c r="AK30" s="197">
        <f>IFERROR(L30-Parameter_2016_SQ!L30,"kein Vergleichswert")</f>
        <v>0</v>
      </c>
      <c r="AL30" s="197">
        <f>IFERROR(M30-Parameter_2016_SQ!M30,"kein Vergleichswert")</f>
        <v>0</v>
      </c>
      <c r="AM30" s="197">
        <f>IFERROR(N30-Parameter_2016_SQ!N30,"kein Vergleichswert")</f>
        <v>0</v>
      </c>
      <c r="AN30" s="197">
        <f>IFERROR(O30-Parameter_2016_SQ!O30,"kein Vergleichswert")</f>
        <v>0</v>
      </c>
      <c r="AO30" s="197">
        <f>IFERROR(Q30-Parameter_2016_SQ!Q30,"kein Vergleichswert")</f>
        <v>0</v>
      </c>
      <c r="AP30" s="197">
        <f>IFERROR(R30-Parameter_2016_SQ!R30,"kein Vergleichswert")</f>
        <v>0</v>
      </c>
      <c r="AQ30" s="197">
        <f>IFERROR(S30-Parameter_2016_SQ!S30,"kein Vergleichswert")</f>
        <v>0</v>
      </c>
      <c r="AR30" s="197">
        <f>IFERROR(T30-Parameter_2016_SQ!T30,"kein Vergleichswert")</f>
        <v>0</v>
      </c>
      <c r="AS30" s="197">
        <f>IFERROR(U30-Parameter_2016_SQ!U30,"kein Vergleichswert")</f>
        <v>0</v>
      </c>
      <c r="AT30" s="197">
        <f>IFERROR(V30-Parameter_2016_SQ!V30,"kein Vergleichswert")</f>
        <v>0</v>
      </c>
      <c r="AU30" s="197">
        <f>IFERROR(W30-Parameter_2016_SQ!W30,"kein Vergleichswert")</f>
        <v>0</v>
      </c>
      <c r="AV30" s="197">
        <f>IFERROR(X30-Parameter_2016_SQ!X30,"kein Vergleichswert")</f>
        <v>0</v>
      </c>
      <c r="AW30" s="197">
        <f>IFERROR(Z30-Parameter_2016_SQ!Z30,"kein Vergleichswert")</f>
        <v>0</v>
      </c>
      <c r="AX30" s="197">
        <f>IFERROR(AA30-Parameter_2016_SQ!AA30,"kein Vergleichswert")</f>
        <v>0</v>
      </c>
      <c r="AY30" s="197">
        <f>IFERROR(AB30-Parameter_2016_SQ!AB30,"kein Vergleichswert")</f>
        <v>0</v>
      </c>
    </row>
    <row r="31" spans="1:51" ht="18.75">
      <c r="A31" s="108"/>
      <c r="B31" s="178" t="s">
        <v>248</v>
      </c>
      <c r="C31" s="180"/>
      <c r="D31" s="180"/>
      <c r="E31" s="180" t="s">
        <v>251</v>
      </c>
      <c r="F31" s="125"/>
      <c r="G31" s="125"/>
      <c r="H31" s="125"/>
      <c r="I31" s="125"/>
      <c r="J31" s="141"/>
      <c r="K31" s="142">
        <f>((15.71/(1+((K8*1000)/3200)^1.4))+7.14)*1000</f>
        <v>22755.486941511695</v>
      </c>
      <c r="L31" s="143">
        <f>((15.71/(1+((L8*1000)/3200)^1.4))+7.14)*1000</f>
        <v>20147.301961203942</v>
      </c>
      <c r="M31" s="141">
        <f>((15.71/(1+((M8*1000)/3200)^1.4))+7.14)*1000</f>
        <v>9917.8088575737747</v>
      </c>
      <c r="N31" s="142">
        <f>((15.71/(1+((N8*1000)/3200)^1.4))+7.14)*1000</f>
        <v>8972.2028586360975</v>
      </c>
      <c r="O31" s="143">
        <f>((15.71/(1+((O8*1000)/3200)^1.4))+7.14)*1000</f>
        <v>16957.55231636708</v>
      </c>
      <c r="P31" s="142"/>
      <c r="Q31" s="142"/>
      <c r="R31" s="141"/>
      <c r="S31" s="142">
        <f t="shared" ref="S31:X31" si="8">((15.71/(1+((S8*1000)/3200)^1.4))+7.14)*1000</f>
        <v>22342.371787703389</v>
      </c>
      <c r="T31" s="142">
        <f t="shared" si="8"/>
        <v>22413.321238064749</v>
      </c>
      <c r="U31" s="143">
        <f t="shared" si="8"/>
        <v>22413.321238064749</v>
      </c>
      <c r="V31" s="141">
        <f t="shared" si="8"/>
        <v>7574.774041738734</v>
      </c>
      <c r="W31" s="142">
        <f t="shared" si="8"/>
        <v>14679.823201001884</v>
      </c>
      <c r="X31" s="143">
        <f t="shared" si="8"/>
        <v>21211.186267476151</v>
      </c>
      <c r="Y31" s="143"/>
      <c r="Z31" s="125"/>
      <c r="AA31" s="125"/>
      <c r="AB31" s="125"/>
      <c r="AE31" s="197">
        <f>IFERROR(F31-Parameter_2016_SQ!F31,"kein Vergleichswert")</f>
        <v>0</v>
      </c>
      <c r="AF31" s="197">
        <f>IFERROR(G31-Parameter_2016_SQ!G31,"kein Vergleichswert")</f>
        <v>0</v>
      </c>
      <c r="AG31" s="197">
        <f>IFERROR(H31-Parameter_2016_SQ!H31,"kein Vergleichswert")</f>
        <v>0</v>
      </c>
      <c r="AH31" s="197">
        <f>IFERROR(I31-Parameter_2016_SQ!I31,"kein Vergleichswert")</f>
        <v>0</v>
      </c>
      <c r="AI31" s="197">
        <f>IFERROR(J31-Parameter_2016_SQ!J31,"kein Vergleichswert")</f>
        <v>0</v>
      </c>
      <c r="AJ31" s="197">
        <f>IFERROR(K31-Parameter_2016_SQ!K31,"kein Vergleichswert")</f>
        <v>0</v>
      </c>
      <c r="AK31" s="197">
        <f>IFERROR(L31-Parameter_2016_SQ!L31,"kein Vergleichswert")</f>
        <v>0</v>
      </c>
      <c r="AL31" s="197">
        <f>IFERROR(M31-Parameter_2016_SQ!M31,"kein Vergleichswert")</f>
        <v>0</v>
      </c>
      <c r="AM31" s="197">
        <f>IFERROR(N31-Parameter_2016_SQ!N31,"kein Vergleichswert")</f>
        <v>0</v>
      </c>
      <c r="AN31" s="197">
        <f>IFERROR(O31-Parameter_2016_SQ!O31,"kein Vergleichswert")</f>
        <v>0</v>
      </c>
      <c r="AO31" s="197">
        <f>IFERROR(Q31-Parameter_2016_SQ!Q31,"kein Vergleichswert")</f>
        <v>0</v>
      </c>
      <c r="AP31" s="197">
        <f>IFERROR(R31-Parameter_2016_SQ!R31,"kein Vergleichswert")</f>
        <v>0</v>
      </c>
      <c r="AQ31" s="197">
        <f>IFERROR(S31-Parameter_2016_SQ!S31,"kein Vergleichswert")</f>
        <v>0</v>
      </c>
      <c r="AR31" s="197">
        <f>IFERROR(T31-Parameter_2016_SQ!T31,"kein Vergleichswert")</f>
        <v>0</v>
      </c>
      <c r="AS31" s="197">
        <f>IFERROR(U31-Parameter_2016_SQ!U31,"kein Vergleichswert")</f>
        <v>0</v>
      </c>
      <c r="AT31" s="197">
        <f>IFERROR(V31-Parameter_2016_SQ!V31,"kein Vergleichswert")</f>
        <v>0</v>
      </c>
      <c r="AU31" s="197">
        <f>IFERROR(W31-Parameter_2016_SQ!W31,"kein Vergleichswert")</f>
        <v>0</v>
      </c>
      <c r="AV31" s="197">
        <f>IFERROR(X31-Parameter_2016_SQ!X31,"kein Vergleichswert")</f>
        <v>0</v>
      </c>
      <c r="AW31" s="197">
        <f>IFERROR(Z31-Parameter_2016_SQ!Z31,"kein Vergleichswert")</f>
        <v>0</v>
      </c>
      <c r="AX31" s="197">
        <f>IFERROR(AA31-Parameter_2016_SQ!AA31,"kein Vergleichswert")</f>
        <v>0</v>
      </c>
      <c r="AY31" s="197">
        <f>IFERROR(AB31-Parameter_2016_SQ!AB31,"kein Vergleichswert")</f>
        <v>0</v>
      </c>
    </row>
    <row r="32" spans="1:51" ht="18.75">
      <c r="A32" s="108"/>
      <c r="B32" s="185" t="s">
        <v>267</v>
      </c>
      <c r="C32" s="186"/>
      <c r="D32" s="186"/>
      <c r="E32" s="186" t="s">
        <v>19</v>
      </c>
      <c r="F32" s="125"/>
      <c r="G32" s="125"/>
      <c r="H32" s="125"/>
      <c r="I32" s="125"/>
      <c r="J32" s="110"/>
      <c r="K32" s="111">
        <f>((0.4757/(1+((K18/6600)^1.4)))+0.1813)*10</f>
        <v>6.485695692800447</v>
      </c>
      <c r="L32" s="112">
        <f>((0.4757/(1+((L18/6600)^1.4)))+0.1813)*10</f>
        <v>4.7505463123332792</v>
      </c>
      <c r="M32" s="110">
        <f>((0.4757/(1+((M18/6600)^1.4)))+0.1813)*10</f>
        <v>3.5815766954168153</v>
      </c>
      <c r="N32" s="111">
        <f>((0.4757/(1+((N18/6600)^1.4)))+0.1813)*10</f>
        <v>3.0818273558443501</v>
      </c>
      <c r="O32" s="112">
        <f>((0.4757/(1+((O18/6600)^1.4)))+0.1813)*10</f>
        <v>5.7190906612129364</v>
      </c>
      <c r="P32" s="111"/>
      <c r="Q32" s="111"/>
      <c r="R32" s="110"/>
      <c r="S32" s="111">
        <f t="shared" ref="S32:X32" si="9">((0.4757/(1+((S18/6600)^1.4)))+0.1813)*10</f>
        <v>6.1393702190084145</v>
      </c>
      <c r="T32" s="111">
        <f t="shared" si="9"/>
        <v>6.1964168053354616</v>
      </c>
      <c r="U32" s="112">
        <f t="shared" si="9"/>
        <v>6.1964168053354616</v>
      </c>
      <c r="V32" s="110">
        <f t="shared" si="9"/>
        <v>2.1589176109859705</v>
      </c>
      <c r="W32" s="111">
        <f t="shared" si="9"/>
        <v>5.2272080386909723</v>
      </c>
      <c r="X32" s="112">
        <f t="shared" si="9"/>
        <v>6.3770700534161682</v>
      </c>
      <c r="Y32" s="112"/>
      <c r="Z32" s="125"/>
      <c r="AA32" s="125"/>
      <c r="AB32" s="125"/>
      <c r="AE32" s="197">
        <f>IFERROR(F32-Parameter_2016_SQ!F32,"kein Vergleichswert")</f>
        <v>0</v>
      </c>
      <c r="AF32" s="197">
        <f>IFERROR(G32-Parameter_2016_SQ!G32,"kein Vergleichswert")</f>
        <v>0</v>
      </c>
      <c r="AG32" s="197">
        <f>IFERROR(H32-Parameter_2016_SQ!H32,"kein Vergleichswert")</f>
        <v>0</v>
      </c>
      <c r="AH32" s="197">
        <f>IFERROR(I32-Parameter_2016_SQ!I32,"kein Vergleichswert")</f>
        <v>0</v>
      </c>
      <c r="AI32" s="197">
        <f>IFERROR(J32-Parameter_2016_SQ!J32,"kein Vergleichswert")</f>
        <v>0</v>
      </c>
      <c r="AJ32" s="197">
        <f>IFERROR(K32-Parameter_2016_SQ!K32,"kein Vergleichswert")</f>
        <v>0</v>
      </c>
      <c r="AK32" s="197">
        <f>IFERROR(L32-Parameter_2016_SQ!L32,"kein Vergleichswert")</f>
        <v>0</v>
      </c>
      <c r="AL32" s="197">
        <f>IFERROR(M32-Parameter_2016_SQ!M32,"kein Vergleichswert")</f>
        <v>0</v>
      </c>
      <c r="AM32" s="197">
        <f>IFERROR(N32-Parameter_2016_SQ!N32,"kein Vergleichswert")</f>
        <v>0</v>
      </c>
      <c r="AN32" s="197">
        <f>IFERROR(O32-Parameter_2016_SQ!O32,"kein Vergleichswert")</f>
        <v>0</v>
      </c>
      <c r="AO32" s="197">
        <f>IFERROR(Q32-Parameter_2016_SQ!Q32,"kein Vergleichswert")</f>
        <v>0</v>
      </c>
      <c r="AP32" s="197">
        <f>IFERROR(R32-Parameter_2016_SQ!R32,"kein Vergleichswert")</f>
        <v>0</v>
      </c>
      <c r="AQ32" s="197">
        <f>IFERROR(S32-Parameter_2016_SQ!S32,"kein Vergleichswert")</f>
        <v>0</v>
      </c>
      <c r="AR32" s="197">
        <f>IFERROR(T32-Parameter_2016_SQ!T32,"kein Vergleichswert")</f>
        <v>0</v>
      </c>
      <c r="AS32" s="197">
        <f>IFERROR(U32-Parameter_2016_SQ!U32,"kein Vergleichswert")</f>
        <v>0</v>
      </c>
      <c r="AT32" s="197">
        <f>IFERROR(V32-Parameter_2016_SQ!V32,"kein Vergleichswert")</f>
        <v>0</v>
      </c>
      <c r="AU32" s="197">
        <f>IFERROR(W32-Parameter_2016_SQ!W32,"kein Vergleichswert")</f>
        <v>0</v>
      </c>
      <c r="AV32" s="197">
        <f>IFERROR(X32-Parameter_2016_SQ!X32,"kein Vergleichswert")</f>
        <v>0</v>
      </c>
      <c r="AW32" s="197">
        <f>IFERROR(Z32-Parameter_2016_SQ!Z32,"kein Vergleichswert")</f>
        <v>0</v>
      </c>
      <c r="AX32" s="197">
        <f>IFERROR(AA32-Parameter_2016_SQ!AA32,"kein Vergleichswert")</f>
        <v>0</v>
      </c>
      <c r="AY32" s="197">
        <f>IFERROR(AB32-Parameter_2016_SQ!AB32,"kein Vergleichswert")</f>
        <v>0</v>
      </c>
    </row>
    <row r="33" spans="1:51" ht="18.75">
      <c r="A33" s="108"/>
      <c r="B33" s="185" t="s">
        <v>254</v>
      </c>
      <c r="C33" s="186"/>
      <c r="D33" s="186"/>
      <c r="E33" s="186" t="s">
        <v>19</v>
      </c>
      <c r="F33" s="125"/>
      <c r="G33" s="125"/>
      <c r="H33" s="125"/>
      <c r="I33" s="125"/>
      <c r="J33" s="110"/>
      <c r="K33" s="111">
        <v>0</v>
      </c>
      <c r="L33" s="112">
        <v>0</v>
      </c>
      <c r="M33" s="110">
        <v>5.5</v>
      </c>
      <c r="N33" s="111">
        <v>5.5</v>
      </c>
      <c r="O33" s="112">
        <v>5.5</v>
      </c>
      <c r="P33" s="111"/>
      <c r="Q33" s="111"/>
      <c r="R33" s="110"/>
      <c r="S33" s="111">
        <v>0</v>
      </c>
      <c r="T33" s="111">
        <v>0</v>
      </c>
      <c r="U33" s="112">
        <v>0</v>
      </c>
      <c r="V33" s="110">
        <v>5.5</v>
      </c>
      <c r="W33" s="111">
        <v>5.5</v>
      </c>
      <c r="X33" s="112">
        <v>5.5</v>
      </c>
      <c r="Y33" s="112"/>
      <c r="Z33" s="125"/>
      <c r="AA33" s="125"/>
      <c r="AB33" s="125"/>
      <c r="AE33" s="197">
        <f>IFERROR(F33-Parameter_2016_SQ!F33,"kein Vergleichswert")</f>
        <v>0</v>
      </c>
      <c r="AF33" s="197">
        <f>IFERROR(G33-Parameter_2016_SQ!G33,"kein Vergleichswert")</f>
        <v>0</v>
      </c>
      <c r="AG33" s="197">
        <f>IFERROR(H33-Parameter_2016_SQ!H33,"kein Vergleichswert")</f>
        <v>0</v>
      </c>
      <c r="AH33" s="197">
        <f>IFERROR(I33-Parameter_2016_SQ!I33,"kein Vergleichswert")</f>
        <v>0</v>
      </c>
      <c r="AI33" s="197">
        <f>IFERROR(J33-Parameter_2016_SQ!J33,"kein Vergleichswert")</f>
        <v>0</v>
      </c>
      <c r="AJ33" s="197">
        <f>IFERROR(K33-Parameter_2016_SQ!K33,"kein Vergleichswert")</f>
        <v>0</v>
      </c>
      <c r="AK33" s="197">
        <f>IFERROR(L33-Parameter_2016_SQ!L33,"kein Vergleichswert")</f>
        <v>0</v>
      </c>
      <c r="AL33" s="197">
        <f>IFERROR(M33-Parameter_2016_SQ!M33,"kein Vergleichswert")</f>
        <v>0</v>
      </c>
      <c r="AM33" s="197">
        <f>IFERROR(N33-Parameter_2016_SQ!N33,"kein Vergleichswert")</f>
        <v>0</v>
      </c>
      <c r="AN33" s="197">
        <f>IFERROR(O33-Parameter_2016_SQ!O33,"kein Vergleichswert")</f>
        <v>0</v>
      </c>
      <c r="AO33" s="197">
        <f>IFERROR(Q33-Parameter_2016_SQ!Q33,"kein Vergleichswert")</f>
        <v>0</v>
      </c>
      <c r="AP33" s="197">
        <f>IFERROR(R33-Parameter_2016_SQ!R33,"kein Vergleichswert")</f>
        <v>0</v>
      </c>
      <c r="AQ33" s="197">
        <f>IFERROR(S33-Parameter_2016_SQ!S33,"kein Vergleichswert")</f>
        <v>0</v>
      </c>
      <c r="AR33" s="197">
        <f>IFERROR(T33-Parameter_2016_SQ!T33,"kein Vergleichswert")</f>
        <v>0</v>
      </c>
      <c r="AS33" s="197">
        <f>IFERROR(U33-Parameter_2016_SQ!U33,"kein Vergleichswert")</f>
        <v>0</v>
      </c>
      <c r="AT33" s="197">
        <f>IFERROR(V33-Parameter_2016_SQ!V33,"kein Vergleichswert")</f>
        <v>0</v>
      </c>
      <c r="AU33" s="197">
        <f>IFERROR(W33-Parameter_2016_SQ!W33,"kein Vergleichswert")</f>
        <v>0</v>
      </c>
      <c r="AV33" s="197">
        <f>IFERROR(X33-Parameter_2016_SQ!X33,"kein Vergleichswert")</f>
        <v>0</v>
      </c>
      <c r="AW33" s="197">
        <f>IFERROR(Z33-Parameter_2016_SQ!Z33,"kein Vergleichswert")</f>
        <v>0</v>
      </c>
      <c r="AX33" s="197">
        <f>IFERROR(AA33-Parameter_2016_SQ!AA33,"kein Vergleichswert")</f>
        <v>0</v>
      </c>
      <c r="AY33" s="197">
        <f>IFERROR(AB33-Parameter_2016_SQ!AB33,"kein Vergleichswert")</f>
        <v>0</v>
      </c>
    </row>
    <row r="34" spans="1:51" ht="18.75">
      <c r="A34" s="108"/>
      <c r="B34" s="185" t="s">
        <v>43</v>
      </c>
      <c r="C34" s="186"/>
      <c r="D34" s="186"/>
      <c r="E34" s="186" t="s">
        <v>19</v>
      </c>
      <c r="F34" s="125"/>
      <c r="G34" s="125"/>
      <c r="H34" s="125"/>
      <c r="I34" s="125"/>
      <c r="J34" s="110"/>
      <c r="K34" s="111">
        <v>0</v>
      </c>
      <c r="L34" s="112">
        <v>0</v>
      </c>
      <c r="M34" s="110">
        <v>1.4000000000000001</v>
      </c>
      <c r="N34" s="111">
        <v>1.4000000000000001</v>
      </c>
      <c r="O34" s="112">
        <v>1.4000000000000001</v>
      </c>
      <c r="P34" s="111"/>
      <c r="Q34" s="111"/>
      <c r="R34" s="110"/>
      <c r="S34" s="111">
        <v>0</v>
      </c>
      <c r="T34" s="111">
        <v>0</v>
      </c>
      <c r="U34" s="112">
        <v>0</v>
      </c>
      <c r="V34" s="110">
        <v>1.4000000000000001</v>
      </c>
      <c r="W34" s="111">
        <v>1.4000000000000001</v>
      </c>
      <c r="X34" s="112">
        <v>1.4000000000000001</v>
      </c>
      <c r="Y34" s="112"/>
      <c r="Z34" s="125"/>
      <c r="AA34" s="125"/>
      <c r="AB34" s="125"/>
      <c r="AE34" s="197">
        <f>IFERROR(F34-Parameter_2016_SQ!F34,"kein Vergleichswert")</f>
        <v>0</v>
      </c>
      <c r="AF34" s="197">
        <f>IFERROR(G34-Parameter_2016_SQ!G34,"kein Vergleichswert")</f>
        <v>0</v>
      </c>
      <c r="AG34" s="197">
        <f>IFERROR(H34-Parameter_2016_SQ!H34,"kein Vergleichswert")</f>
        <v>0</v>
      </c>
      <c r="AH34" s="197">
        <f>IFERROR(I34-Parameter_2016_SQ!I34,"kein Vergleichswert")</f>
        <v>0</v>
      </c>
      <c r="AI34" s="197">
        <f>IFERROR(J34-Parameter_2016_SQ!J34,"kein Vergleichswert")</f>
        <v>0</v>
      </c>
      <c r="AJ34" s="197">
        <f>IFERROR(K34-Parameter_2016_SQ!K34,"kein Vergleichswert")</f>
        <v>0</v>
      </c>
      <c r="AK34" s="197">
        <f>IFERROR(L34-Parameter_2016_SQ!L34,"kein Vergleichswert")</f>
        <v>0</v>
      </c>
      <c r="AL34" s="197">
        <f>IFERROR(M34-Parameter_2016_SQ!M34,"kein Vergleichswert")</f>
        <v>0</v>
      </c>
      <c r="AM34" s="197">
        <f>IFERROR(N34-Parameter_2016_SQ!N34,"kein Vergleichswert")</f>
        <v>0</v>
      </c>
      <c r="AN34" s="197">
        <f>IFERROR(O34-Parameter_2016_SQ!O34,"kein Vergleichswert")</f>
        <v>0</v>
      </c>
      <c r="AO34" s="197">
        <f>IFERROR(Q34-Parameter_2016_SQ!Q34,"kein Vergleichswert")</f>
        <v>0</v>
      </c>
      <c r="AP34" s="197">
        <f>IFERROR(R34-Parameter_2016_SQ!R34,"kein Vergleichswert")</f>
        <v>0</v>
      </c>
      <c r="AQ34" s="197">
        <f>IFERROR(S34-Parameter_2016_SQ!S34,"kein Vergleichswert")</f>
        <v>0</v>
      </c>
      <c r="AR34" s="197">
        <f>IFERROR(T34-Parameter_2016_SQ!T34,"kein Vergleichswert")</f>
        <v>0</v>
      </c>
      <c r="AS34" s="197">
        <f>IFERROR(U34-Parameter_2016_SQ!U34,"kein Vergleichswert")</f>
        <v>0</v>
      </c>
      <c r="AT34" s="197">
        <f>IFERROR(V34-Parameter_2016_SQ!V34,"kein Vergleichswert")</f>
        <v>0</v>
      </c>
      <c r="AU34" s="197">
        <f>IFERROR(W34-Parameter_2016_SQ!W34,"kein Vergleichswert")</f>
        <v>0</v>
      </c>
      <c r="AV34" s="197">
        <f>IFERROR(X34-Parameter_2016_SQ!X34,"kein Vergleichswert")</f>
        <v>0</v>
      </c>
      <c r="AW34" s="197">
        <f>IFERROR(Z34-Parameter_2016_SQ!Z34,"kein Vergleichswert")</f>
        <v>0</v>
      </c>
      <c r="AX34" s="197">
        <f>IFERROR(AA34-Parameter_2016_SQ!AA34,"kein Vergleichswert")</f>
        <v>0</v>
      </c>
      <c r="AY34" s="197">
        <f>IFERROR(AB34-Parameter_2016_SQ!AB34,"kein Vergleichswert")</f>
        <v>0</v>
      </c>
    </row>
    <row r="35" spans="1:51" ht="18.75">
      <c r="A35" s="108"/>
      <c r="B35" s="185" t="s">
        <v>305</v>
      </c>
      <c r="C35" s="186"/>
      <c r="D35" s="186"/>
      <c r="E35" s="186" t="s">
        <v>19</v>
      </c>
      <c r="F35" s="125"/>
      <c r="G35" s="125"/>
      <c r="H35" s="125"/>
      <c r="I35" s="125"/>
      <c r="J35" s="110"/>
      <c r="K35" s="111">
        <v>0.04</v>
      </c>
      <c r="L35" s="112">
        <v>0.04</v>
      </c>
      <c r="M35" s="110">
        <v>0.04</v>
      </c>
      <c r="N35" s="111">
        <v>0.04</v>
      </c>
      <c r="O35" s="112">
        <v>0.04</v>
      </c>
      <c r="P35" s="111"/>
      <c r="Q35" s="111"/>
      <c r="R35" s="110"/>
      <c r="S35" s="111">
        <v>0.04</v>
      </c>
      <c r="T35" s="111">
        <v>0.04</v>
      </c>
      <c r="U35" s="112">
        <v>0.04</v>
      </c>
      <c r="V35" s="110">
        <v>0.04</v>
      </c>
      <c r="W35" s="111">
        <v>0.04</v>
      </c>
      <c r="X35" s="112">
        <v>0.04</v>
      </c>
      <c r="Y35" s="112"/>
      <c r="Z35" s="125"/>
      <c r="AA35" s="125"/>
      <c r="AB35" s="125"/>
      <c r="AE35" s="197">
        <f>IFERROR(F35-Parameter_2016_SQ!F35,"kein Vergleichswert")</f>
        <v>0</v>
      </c>
      <c r="AF35" s="197">
        <f>IFERROR(G35-Parameter_2016_SQ!G35,"kein Vergleichswert")</f>
        <v>0</v>
      </c>
      <c r="AG35" s="197">
        <f>IFERROR(H35-Parameter_2016_SQ!H35,"kein Vergleichswert")</f>
        <v>0</v>
      </c>
      <c r="AH35" s="197">
        <f>IFERROR(I35-Parameter_2016_SQ!I35,"kein Vergleichswert")</f>
        <v>0</v>
      </c>
      <c r="AI35" s="197">
        <f>IFERROR(J35-Parameter_2016_SQ!J35,"kein Vergleichswert")</f>
        <v>0</v>
      </c>
      <c r="AJ35" s="197">
        <f>IFERROR(K35-Parameter_2016_SQ!K35,"kein Vergleichswert")</f>
        <v>0</v>
      </c>
      <c r="AK35" s="197">
        <f>IFERROR(L35-Parameter_2016_SQ!L35,"kein Vergleichswert")</f>
        <v>0</v>
      </c>
      <c r="AL35" s="197">
        <f>IFERROR(M35-Parameter_2016_SQ!M35,"kein Vergleichswert")</f>
        <v>0</v>
      </c>
      <c r="AM35" s="197">
        <f>IFERROR(N35-Parameter_2016_SQ!N35,"kein Vergleichswert")</f>
        <v>0</v>
      </c>
      <c r="AN35" s="197">
        <f>IFERROR(O35-Parameter_2016_SQ!O35,"kein Vergleichswert")</f>
        <v>0</v>
      </c>
      <c r="AO35" s="197">
        <f>IFERROR(Q35-Parameter_2016_SQ!Q35,"kein Vergleichswert")</f>
        <v>0</v>
      </c>
      <c r="AP35" s="197">
        <f>IFERROR(R35-Parameter_2016_SQ!R35,"kein Vergleichswert")</f>
        <v>0</v>
      </c>
      <c r="AQ35" s="197">
        <f>IFERROR(S35-Parameter_2016_SQ!S35,"kein Vergleichswert")</f>
        <v>0</v>
      </c>
      <c r="AR35" s="197">
        <f>IFERROR(T35-Parameter_2016_SQ!T35,"kein Vergleichswert")</f>
        <v>0</v>
      </c>
      <c r="AS35" s="197">
        <f>IFERROR(U35-Parameter_2016_SQ!U35,"kein Vergleichswert")</f>
        <v>0</v>
      </c>
      <c r="AT35" s="197">
        <f>IFERROR(V35-Parameter_2016_SQ!V35,"kein Vergleichswert")</f>
        <v>0</v>
      </c>
      <c r="AU35" s="197">
        <f>IFERROR(W35-Parameter_2016_SQ!W35,"kein Vergleichswert")</f>
        <v>0</v>
      </c>
      <c r="AV35" s="197">
        <f>IFERROR(X35-Parameter_2016_SQ!X35,"kein Vergleichswert")</f>
        <v>0</v>
      </c>
      <c r="AW35" s="197">
        <f>IFERROR(Z35-Parameter_2016_SQ!Z35,"kein Vergleichswert")</f>
        <v>0</v>
      </c>
      <c r="AX35" s="197">
        <f>IFERROR(AA35-Parameter_2016_SQ!AA35,"kein Vergleichswert")</f>
        <v>0</v>
      </c>
      <c r="AY35" s="197">
        <f>IFERROR(AB35-Parameter_2016_SQ!AB35,"kein Vergleichswert")</f>
        <v>0</v>
      </c>
    </row>
    <row r="36" spans="1:51" ht="18.75">
      <c r="A36" s="108"/>
      <c r="B36" s="116"/>
      <c r="C36" s="117"/>
      <c r="D36" s="117"/>
      <c r="E36" s="117"/>
      <c r="F36" s="131"/>
      <c r="G36" s="131"/>
      <c r="H36" s="131"/>
      <c r="I36" s="131"/>
      <c r="J36" s="127"/>
      <c r="K36" s="128"/>
      <c r="L36" s="129"/>
      <c r="M36" s="127"/>
      <c r="N36" s="128"/>
      <c r="O36" s="129"/>
      <c r="P36" s="128"/>
      <c r="Q36" s="128"/>
      <c r="R36" s="127"/>
      <c r="S36" s="128"/>
      <c r="T36" s="128"/>
      <c r="U36" s="129"/>
      <c r="V36" s="127"/>
      <c r="W36" s="128"/>
      <c r="X36" s="129"/>
      <c r="Y36" s="129"/>
      <c r="Z36" s="131"/>
      <c r="AA36" s="131"/>
      <c r="AB36" s="131"/>
      <c r="AE36" s="197">
        <f>IFERROR(F36-Parameter_2016_SQ!F36,"kein Vergleichswert")</f>
        <v>0</v>
      </c>
      <c r="AF36" s="197">
        <f>IFERROR(G36-Parameter_2016_SQ!G36,"kein Vergleichswert")</f>
        <v>0</v>
      </c>
      <c r="AG36" s="197">
        <f>IFERROR(H36-Parameter_2016_SQ!H36,"kein Vergleichswert")</f>
        <v>0</v>
      </c>
      <c r="AH36" s="197">
        <f>IFERROR(I36-Parameter_2016_SQ!I36,"kein Vergleichswert")</f>
        <v>0</v>
      </c>
      <c r="AI36" s="197">
        <f>IFERROR(J36-Parameter_2016_SQ!J36,"kein Vergleichswert")</f>
        <v>0</v>
      </c>
      <c r="AJ36" s="197">
        <f>IFERROR(K36-Parameter_2016_SQ!K36,"kein Vergleichswert")</f>
        <v>0</v>
      </c>
      <c r="AK36" s="197">
        <f>IFERROR(L36-Parameter_2016_SQ!L36,"kein Vergleichswert")</f>
        <v>0</v>
      </c>
      <c r="AL36" s="197">
        <f>IFERROR(M36-Parameter_2016_SQ!M36,"kein Vergleichswert")</f>
        <v>0</v>
      </c>
      <c r="AM36" s="197">
        <f>IFERROR(N36-Parameter_2016_SQ!N36,"kein Vergleichswert")</f>
        <v>0</v>
      </c>
      <c r="AN36" s="197">
        <f>IFERROR(O36-Parameter_2016_SQ!O36,"kein Vergleichswert")</f>
        <v>0</v>
      </c>
      <c r="AO36" s="197">
        <f>IFERROR(Q36-Parameter_2016_SQ!Q36,"kein Vergleichswert")</f>
        <v>0</v>
      </c>
      <c r="AP36" s="197">
        <f>IFERROR(R36-Parameter_2016_SQ!R36,"kein Vergleichswert")</f>
        <v>0</v>
      </c>
      <c r="AQ36" s="197">
        <f>IFERROR(S36-Parameter_2016_SQ!S36,"kein Vergleichswert")</f>
        <v>0</v>
      </c>
      <c r="AR36" s="197">
        <f>IFERROR(T36-Parameter_2016_SQ!T36,"kein Vergleichswert")</f>
        <v>0</v>
      </c>
      <c r="AS36" s="197">
        <f>IFERROR(U36-Parameter_2016_SQ!U36,"kein Vergleichswert")</f>
        <v>0</v>
      </c>
      <c r="AT36" s="197">
        <f>IFERROR(V36-Parameter_2016_SQ!V36,"kein Vergleichswert")</f>
        <v>0</v>
      </c>
      <c r="AU36" s="197">
        <f>IFERROR(W36-Parameter_2016_SQ!W36,"kein Vergleichswert")</f>
        <v>0</v>
      </c>
      <c r="AV36" s="197">
        <f>IFERROR(X36-Parameter_2016_SQ!X36,"kein Vergleichswert")</f>
        <v>0</v>
      </c>
      <c r="AW36" s="197">
        <f>IFERROR(Z36-Parameter_2016_SQ!Z36,"kein Vergleichswert")</f>
        <v>0</v>
      </c>
      <c r="AX36" s="197">
        <f>IFERROR(AA36-Parameter_2016_SQ!AA36,"kein Vergleichswert")</f>
        <v>0</v>
      </c>
      <c r="AY36" s="197">
        <f>IFERROR(AB36-Parameter_2016_SQ!AB36,"kein Vergleichswert")</f>
        <v>0</v>
      </c>
    </row>
    <row r="37" spans="1:51" ht="18.75">
      <c r="A37" s="108"/>
      <c r="B37" s="108" t="s">
        <v>307</v>
      </c>
      <c r="C37" s="117"/>
      <c r="D37" s="117"/>
      <c r="E37" s="117"/>
      <c r="F37" s="131"/>
      <c r="G37" s="131"/>
      <c r="H37" s="131"/>
      <c r="I37" s="131"/>
      <c r="J37" s="127"/>
      <c r="K37" s="128"/>
      <c r="L37" s="129"/>
      <c r="M37" s="127"/>
      <c r="N37" s="128"/>
      <c r="O37" s="129"/>
      <c r="P37" s="128"/>
      <c r="Q37" s="128"/>
      <c r="R37" s="127"/>
      <c r="S37" s="128"/>
      <c r="T37" s="128"/>
      <c r="U37" s="129"/>
      <c r="V37" s="127"/>
      <c r="W37" s="128"/>
      <c r="X37" s="129"/>
      <c r="Y37" s="129"/>
      <c r="Z37" s="131"/>
      <c r="AA37" s="131"/>
      <c r="AB37" s="131"/>
      <c r="AE37" s="197">
        <f>IFERROR(F37-Parameter_2016_SQ!F37,"kein Vergleichswert")</f>
        <v>0</v>
      </c>
      <c r="AF37" s="197">
        <f>IFERROR(G37-Parameter_2016_SQ!G37,"kein Vergleichswert")</f>
        <v>0</v>
      </c>
      <c r="AG37" s="197">
        <f>IFERROR(H37-Parameter_2016_SQ!H37,"kein Vergleichswert")</f>
        <v>0</v>
      </c>
      <c r="AH37" s="197">
        <f>IFERROR(I37-Parameter_2016_SQ!I37,"kein Vergleichswert")</f>
        <v>0</v>
      </c>
      <c r="AI37" s="197">
        <f>IFERROR(J37-Parameter_2016_SQ!J37,"kein Vergleichswert")</f>
        <v>0</v>
      </c>
      <c r="AJ37" s="197">
        <f>IFERROR(K37-Parameter_2016_SQ!K37,"kein Vergleichswert")</f>
        <v>0</v>
      </c>
      <c r="AK37" s="197">
        <f>IFERROR(L37-Parameter_2016_SQ!L37,"kein Vergleichswert")</f>
        <v>0</v>
      </c>
      <c r="AL37" s="197">
        <f>IFERROR(M37-Parameter_2016_SQ!M37,"kein Vergleichswert")</f>
        <v>0</v>
      </c>
      <c r="AM37" s="197">
        <f>IFERROR(N37-Parameter_2016_SQ!N37,"kein Vergleichswert")</f>
        <v>0</v>
      </c>
      <c r="AN37" s="197">
        <f>IFERROR(O37-Parameter_2016_SQ!O37,"kein Vergleichswert")</f>
        <v>0</v>
      </c>
      <c r="AO37" s="197">
        <f>IFERROR(Q37-Parameter_2016_SQ!Q37,"kein Vergleichswert")</f>
        <v>0</v>
      </c>
      <c r="AP37" s="197">
        <f>IFERROR(R37-Parameter_2016_SQ!R37,"kein Vergleichswert")</f>
        <v>0</v>
      </c>
      <c r="AQ37" s="197">
        <f>IFERROR(S37-Parameter_2016_SQ!S37,"kein Vergleichswert")</f>
        <v>0</v>
      </c>
      <c r="AR37" s="197">
        <f>IFERROR(T37-Parameter_2016_SQ!T37,"kein Vergleichswert")</f>
        <v>0</v>
      </c>
      <c r="AS37" s="197">
        <f>IFERROR(U37-Parameter_2016_SQ!U37,"kein Vergleichswert")</f>
        <v>0</v>
      </c>
      <c r="AT37" s="197">
        <f>IFERROR(V37-Parameter_2016_SQ!V37,"kein Vergleichswert")</f>
        <v>0</v>
      </c>
      <c r="AU37" s="197">
        <f>IFERROR(W37-Parameter_2016_SQ!W37,"kein Vergleichswert")</f>
        <v>0</v>
      </c>
      <c r="AV37" s="197">
        <f>IFERROR(X37-Parameter_2016_SQ!X37,"kein Vergleichswert")</f>
        <v>0</v>
      </c>
      <c r="AW37" s="197">
        <f>IFERROR(Z37-Parameter_2016_SQ!Z37,"kein Vergleichswert")</f>
        <v>0</v>
      </c>
      <c r="AX37" s="197">
        <f>IFERROR(AA37-Parameter_2016_SQ!AA37,"kein Vergleichswert")</f>
        <v>0</v>
      </c>
      <c r="AY37" s="197">
        <f>IFERROR(AB37-Parameter_2016_SQ!AB37,"kein Vergleichswert")</f>
        <v>0</v>
      </c>
    </row>
    <row r="38" spans="1:51" ht="18.75">
      <c r="A38" s="108"/>
      <c r="B38" s="178" t="s">
        <v>321</v>
      </c>
      <c r="C38" s="180"/>
      <c r="D38" s="180"/>
      <c r="E38" s="180" t="s">
        <v>35</v>
      </c>
      <c r="F38" s="111">
        <v>0</v>
      </c>
      <c r="G38" s="111">
        <v>0</v>
      </c>
      <c r="H38" s="111">
        <v>0</v>
      </c>
      <c r="I38" s="111">
        <v>0</v>
      </c>
      <c r="J38" s="110"/>
      <c r="K38" s="111"/>
      <c r="L38" s="112"/>
      <c r="M38" s="110"/>
      <c r="N38" s="111"/>
      <c r="O38" s="112"/>
      <c r="P38" s="111"/>
      <c r="Q38" s="111"/>
      <c r="R38" s="110"/>
      <c r="S38" s="111"/>
      <c r="T38" s="111"/>
      <c r="U38" s="112"/>
      <c r="V38" s="110"/>
      <c r="W38" s="111"/>
      <c r="X38" s="112"/>
      <c r="Y38" s="112"/>
      <c r="Z38" s="125"/>
      <c r="AA38" s="125"/>
      <c r="AB38" s="125"/>
      <c r="AE38" s="197">
        <f>IFERROR(F38-Parameter_2016_SQ!F38,"kein Vergleichswert")</f>
        <v>0</v>
      </c>
      <c r="AF38" s="197">
        <f>IFERROR(G38-Parameter_2016_SQ!G38,"kein Vergleichswert")</f>
        <v>0</v>
      </c>
      <c r="AG38" s="197">
        <f>IFERROR(H38-Parameter_2016_SQ!H38,"kein Vergleichswert")</f>
        <v>0</v>
      </c>
      <c r="AH38" s="197">
        <f>IFERROR(I38-Parameter_2016_SQ!I38,"kein Vergleichswert")</f>
        <v>0</v>
      </c>
      <c r="AI38" s="197">
        <f>IFERROR(J38-Parameter_2016_SQ!J38,"kein Vergleichswert")</f>
        <v>0</v>
      </c>
      <c r="AJ38" s="197">
        <f>IFERROR(K38-Parameter_2016_SQ!K38,"kein Vergleichswert")</f>
        <v>0</v>
      </c>
      <c r="AK38" s="197">
        <f>IFERROR(L38-Parameter_2016_SQ!L38,"kein Vergleichswert")</f>
        <v>0</v>
      </c>
      <c r="AL38" s="197">
        <f>IFERROR(M38-Parameter_2016_SQ!M38,"kein Vergleichswert")</f>
        <v>0</v>
      </c>
      <c r="AM38" s="197">
        <f>IFERROR(N38-Parameter_2016_SQ!N38,"kein Vergleichswert")</f>
        <v>0</v>
      </c>
      <c r="AN38" s="197">
        <f>IFERROR(O38-Parameter_2016_SQ!O38,"kein Vergleichswert")</f>
        <v>0</v>
      </c>
      <c r="AO38" s="197">
        <f>IFERROR(Q38-Parameter_2016_SQ!Q38,"kein Vergleichswert")</f>
        <v>0</v>
      </c>
      <c r="AP38" s="197">
        <f>IFERROR(R38-Parameter_2016_SQ!R38,"kein Vergleichswert")</f>
        <v>0</v>
      </c>
      <c r="AQ38" s="197">
        <f>IFERROR(S38-Parameter_2016_SQ!S38,"kein Vergleichswert")</f>
        <v>0</v>
      </c>
      <c r="AR38" s="197">
        <f>IFERROR(T38-Parameter_2016_SQ!T38,"kein Vergleichswert")</f>
        <v>0</v>
      </c>
      <c r="AS38" s="197">
        <f>IFERROR(U38-Parameter_2016_SQ!U38,"kein Vergleichswert")</f>
        <v>0</v>
      </c>
      <c r="AT38" s="197">
        <f>IFERROR(V38-Parameter_2016_SQ!V38,"kein Vergleichswert")</f>
        <v>0</v>
      </c>
      <c r="AU38" s="197">
        <f>IFERROR(W38-Parameter_2016_SQ!W38,"kein Vergleichswert")</f>
        <v>0</v>
      </c>
      <c r="AV38" s="197">
        <f>IFERROR(X38-Parameter_2016_SQ!X38,"kein Vergleichswert")</f>
        <v>0</v>
      </c>
      <c r="AW38" s="197">
        <f>IFERROR(Z38-Parameter_2016_SQ!Z38,"kein Vergleichswert")</f>
        <v>0</v>
      </c>
      <c r="AX38" s="197">
        <f>IFERROR(AA38-Parameter_2016_SQ!AA38,"kein Vergleichswert")</f>
        <v>0</v>
      </c>
      <c r="AY38" s="197">
        <f>IFERROR(AB38-Parameter_2016_SQ!AB38,"kein Vergleichswert")</f>
        <v>0</v>
      </c>
    </row>
    <row r="39" spans="1:51" ht="18.75">
      <c r="A39" s="108"/>
      <c r="B39" s="178" t="s">
        <v>322</v>
      </c>
      <c r="C39" s="180"/>
      <c r="D39" s="180"/>
      <c r="E39" s="180"/>
      <c r="F39" s="111">
        <v>0</v>
      </c>
      <c r="G39" s="111">
        <v>0</v>
      </c>
      <c r="H39" s="111">
        <v>0</v>
      </c>
      <c r="I39" s="111">
        <v>0</v>
      </c>
      <c r="J39" s="110"/>
      <c r="K39" s="111"/>
      <c r="L39" s="112"/>
      <c r="M39" s="110"/>
      <c r="N39" s="111"/>
      <c r="O39" s="112"/>
      <c r="P39" s="111"/>
      <c r="Q39" s="111"/>
      <c r="R39" s="110"/>
      <c r="S39" s="111"/>
      <c r="T39" s="111"/>
      <c r="U39" s="112"/>
      <c r="V39" s="110"/>
      <c r="W39" s="111"/>
      <c r="X39" s="112"/>
      <c r="Y39" s="112"/>
      <c r="Z39" s="125"/>
      <c r="AA39" s="125"/>
      <c r="AB39" s="125"/>
      <c r="AE39" s="197">
        <f>IFERROR(F39-Parameter_2016_SQ!F39,"kein Vergleichswert")</f>
        <v>0</v>
      </c>
      <c r="AF39" s="197">
        <f>IFERROR(G39-Parameter_2016_SQ!G39,"kein Vergleichswert")</f>
        <v>0</v>
      </c>
      <c r="AG39" s="197">
        <f>IFERROR(H39-Parameter_2016_SQ!H39,"kein Vergleichswert")</f>
        <v>0</v>
      </c>
      <c r="AH39" s="197">
        <f>IFERROR(I39-Parameter_2016_SQ!I39,"kein Vergleichswert")</f>
        <v>0</v>
      </c>
      <c r="AI39" s="197">
        <f>IFERROR(J39-Parameter_2016_SQ!J39,"kein Vergleichswert")</f>
        <v>0</v>
      </c>
      <c r="AJ39" s="197">
        <f>IFERROR(K39-Parameter_2016_SQ!K39,"kein Vergleichswert")</f>
        <v>0</v>
      </c>
      <c r="AK39" s="197">
        <f>IFERROR(L39-Parameter_2016_SQ!L39,"kein Vergleichswert")</f>
        <v>0</v>
      </c>
      <c r="AL39" s="197">
        <f>IFERROR(M39-Parameter_2016_SQ!M39,"kein Vergleichswert")</f>
        <v>0</v>
      </c>
      <c r="AM39" s="197">
        <f>IFERROR(N39-Parameter_2016_SQ!N39,"kein Vergleichswert")</f>
        <v>0</v>
      </c>
      <c r="AN39" s="197">
        <f>IFERROR(O39-Parameter_2016_SQ!O39,"kein Vergleichswert")</f>
        <v>0</v>
      </c>
      <c r="AO39" s="197">
        <f>IFERROR(Q39-Parameter_2016_SQ!Q39,"kein Vergleichswert")</f>
        <v>0</v>
      </c>
      <c r="AP39" s="197">
        <f>IFERROR(R39-Parameter_2016_SQ!R39,"kein Vergleichswert")</f>
        <v>0</v>
      </c>
      <c r="AQ39" s="197">
        <f>IFERROR(S39-Parameter_2016_SQ!S39,"kein Vergleichswert")</f>
        <v>0</v>
      </c>
      <c r="AR39" s="197">
        <f>IFERROR(T39-Parameter_2016_SQ!T39,"kein Vergleichswert")</f>
        <v>0</v>
      </c>
      <c r="AS39" s="197">
        <f>IFERROR(U39-Parameter_2016_SQ!U39,"kein Vergleichswert")</f>
        <v>0</v>
      </c>
      <c r="AT39" s="197">
        <f>IFERROR(V39-Parameter_2016_SQ!V39,"kein Vergleichswert")</f>
        <v>0</v>
      </c>
      <c r="AU39" s="197">
        <f>IFERROR(W39-Parameter_2016_SQ!W39,"kein Vergleichswert")</f>
        <v>0</v>
      </c>
      <c r="AV39" s="197">
        <f>IFERROR(X39-Parameter_2016_SQ!X39,"kein Vergleichswert")</f>
        <v>0</v>
      </c>
      <c r="AW39" s="197">
        <f>IFERROR(Z39-Parameter_2016_SQ!Z39,"kein Vergleichswert")</f>
        <v>0</v>
      </c>
      <c r="AX39" s="197">
        <f>IFERROR(AA39-Parameter_2016_SQ!AA39,"kein Vergleichswert")</f>
        <v>0</v>
      </c>
      <c r="AY39" s="197">
        <f>IFERROR(AB39-Parameter_2016_SQ!AB39,"kein Vergleichswert")</f>
        <v>0</v>
      </c>
    </row>
    <row r="40" spans="1:51" ht="18.75">
      <c r="A40" s="108"/>
      <c r="B40" s="178" t="s">
        <v>303</v>
      </c>
      <c r="C40" s="180" t="str">
        <f>B40</f>
        <v>LP_Strom</v>
      </c>
      <c r="D40" s="180"/>
      <c r="E40" s="180" t="s">
        <v>251</v>
      </c>
      <c r="F40" s="111">
        <v>36600</v>
      </c>
      <c r="G40" s="111">
        <v>0</v>
      </c>
      <c r="H40" s="111">
        <v>36600</v>
      </c>
      <c r="I40" s="111">
        <v>0</v>
      </c>
      <c r="J40" s="110"/>
      <c r="K40" s="111"/>
      <c r="L40" s="112"/>
      <c r="M40" s="110"/>
      <c r="N40" s="111"/>
      <c r="O40" s="112"/>
      <c r="P40" s="111"/>
      <c r="Q40" s="111"/>
      <c r="R40" s="110"/>
      <c r="S40" s="111"/>
      <c r="T40" s="111"/>
      <c r="U40" s="112"/>
      <c r="V40" s="110"/>
      <c r="W40" s="111"/>
      <c r="X40" s="112"/>
      <c r="Y40" s="112"/>
      <c r="Z40" s="125"/>
      <c r="AA40" s="125"/>
      <c r="AB40" s="125"/>
      <c r="AE40" s="197">
        <f>IFERROR(F40-Parameter_2016_SQ!F40,"kein Vergleichswert")</f>
        <v>0</v>
      </c>
      <c r="AF40" s="197">
        <f>IFERROR(G40-Parameter_2016_SQ!G40,"kein Vergleichswert")</f>
        <v>-36600</v>
      </c>
      <c r="AG40" s="197">
        <f>IFERROR(H40-Parameter_2016_SQ!H40,"kein Vergleichswert")</f>
        <v>0</v>
      </c>
      <c r="AH40" s="197">
        <f>IFERROR(I40-Parameter_2016_SQ!I40,"kein Vergleichswert")</f>
        <v>-36600</v>
      </c>
      <c r="AI40" s="197">
        <f>IFERROR(J40-Parameter_2016_SQ!J40,"kein Vergleichswert")</f>
        <v>0</v>
      </c>
      <c r="AJ40" s="197">
        <f>IFERROR(K40-Parameter_2016_SQ!K40,"kein Vergleichswert")</f>
        <v>0</v>
      </c>
      <c r="AK40" s="197">
        <f>IFERROR(L40-Parameter_2016_SQ!L40,"kein Vergleichswert")</f>
        <v>0</v>
      </c>
      <c r="AL40" s="197">
        <f>IFERROR(M40-Parameter_2016_SQ!M40,"kein Vergleichswert")</f>
        <v>0</v>
      </c>
      <c r="AM40" s="197">
        <f>IFERROR(N40-Parameter_2016_SQ!N40,"kein Vergleichswert")</f>
        <v>0</v>
      </c>
      <c r="AN40" s="197">
        <f>IFERROR(O40-Parameter_2016_SQ!O40,"kein Vergleichswert")</f>
        <v>0</v>
      </c>
      <c r="AO40" s="197">
        <f>IFERROR(Q40-Parameter_2016_SQ!Q40,"kein Vergleichswert")</f>
        <v>0</v>
      </c>
      <c r="AP40" s="197">
        <f>IFERROR(R40-Parameter_2016_SQ!R40,"kein Vergleichswert")</f>
        <v>0</v>
      </c>
      <c r="AQ40" s="197">
        <f>IFERROR(S40-Parameter_2016_SQ!S40,"kein Vergleichswert")</f>
        <v>0</v>
      </c>
      <c r="AR40" s="197">
        <f>IFERROR(T40-Parameter_2016_SQ!T40,"kein Vergleichswert")</f>
        <v>0</v>
      </c>
      <c r="AS40" s="197">
        <f>IFERROR(U40-Parameter_2016_SQ!U40,"kein Vergleichswert")</f>
        <v>0</v>
      </c>
      <c r="AT40" s="197">
        <f>IFERROR(V40-Parameter_2016_SQ!V40,"kein Vergleichswert")</f>
        <v>0</v>
      </c>
      <c r="AU40" s="197">
        <f>IFERROR(W40-Parameter_2016_SQ!W40,"kein Vergleichswert")</f>
        <v>0</v>
      </c>
      <c r="AV40" s="197">
        <f>IFERROR(X40-Parameter_2016_SQ!X40,"kein Vergleichswert")</f>
        <v>0</v>
      </c>
      <c r="AW40" s="197">
        <f>IFERROR(Z40-Parameter_2016_SQ!Z40,"kein Vergleichswert")</f>
        <v>0</v>
      </c>
      <c r="AX40" s="197">
        <f>IFERROR(AA40-Parameter_2016_SQ!AA40,"kein Vergleichswert")</f>
        <v>0</v>
      </c>
      <c r="AY40" s="197">
        <f>IFERROR(AB40-Parameter_2016_SQ!AB40,"kein Vergleichswert")</f>
        <v>0</v>
      </c>
    </row>
    <row r="41" spans="1:51" ht="18.75">
      <c r="A41" s="108"/>
      <c r="B41" s="185" t="s">
        <v>304</v>
      </c>
      <c r="C41" s="186" t="str">
        <f t="shared" ref="C41:C50" si="10">B41</f>
        <v>AP_Strom</v>
      </c>
      <c r="D41" s="186"/>
      <c r="E41" s="186" t="s">
        <v>19</v>
      </c>
      <c r="F41" s="111">
        <v>30.6</v>
      </c>
      <c r="G41" s="111">
        <v>0</v>
      </c>
      <c r="H41" s="111">
        <v>30.6</v>
      </c>
      <c r="I41" s="111">
        <v>0</v>
      </c>
      <c r="J41" s="110"/>
      <c r="K41" s="111"/>
      <c r="L41" s="112"/>
      <c r="M41" s="110"/>
      <c r="N41" s="111"/>
      <c r="O41" s="112"/>
      <c r="P41" s="111"/>
      <c r="Q41" s="111"/>
      <c r="R41" s="110"/>
      <c r="S41" s="111"/>
      <c r="T41" s="111"/>
      <c r="U41" s="112"/>
      <c r="V41" s="110"/>
      <c r="W41" s="111"/>
      <c r="X41" s="112"/>
      <c r="Y41" s="112"/>
      <c r="Z41" s="125"/>
      <c r="AA41" s="125"/>
      <c r="AB41" s="125"/>
      <c r="AE41" s="197">
        <f>IFERROR(F41-Parameter_2016_SQ!F41,"kein Vergleichswert")</f>
        <v>0</v>
      </c>
      <c r="AF41" s="197">
        <f>IFERROR(G41-Parameter_2016_SQ!G41,"kein Vergleichswert")</f>
        <v>-30.6</v>
      </c>
      <c r="AG41" s="197">
        <f>IFERROR(H41-Parameter_2016_SQ!H41,"kein Vergleichswert")</f>
        <v>0</v>
      </c>
      <c r="AH41" s="197">
        <f>IFERROR(I41-Parameter_2016_SQ!I41,"kein Vergleichswert")</f>
        <v>-30.6</v>
      </c>
      <c r="AI41" s="197">
        <f>IFERROR(J41-Parameter_2016_SQ!J41,"kein Vergleichswert")</f>
        <v>0</v>
      </c>
      <c r="AJ41" s="197">
        <f>IFERROR(K41-Parameter_2016_SQ!K41,"kein Vergleichswert")</f>
        <v>0</v>
      </c>
      <c r="AK41" s="197">
        <f>IFERROR(L41-Parameter_2016_SQ!L41,"kein Vergleichswert")</f>
        <v>0</v>
      </c>
      <c r="AL41" s="197">
        <f>IFERROR(M41-Parameter_2016_SQ!M41,"kein Vergleichswert")</f>
        <v>0</v>
      </c>
      <c r="AM41" s="197">
        <f>IFERROR(N41-Parameter_2016_SQ!N41,"kein Vergleichswert")</f>
        <v>0</v>
      </c>
      <c r="AN41" s="197">
        <f>IFERROR(O41-Parameter_2016_SQ!O41,"kein Vergleichswert")</f>
        <v>0</v>
      </c>
      <c r="AO41" s="197">
        <f>IFERROR(Q41-Parameter_2016_SQ!Q41,"kein Vergleichswert")</f>
        <v>0</v>
      </c>
      <c r="AP41" s="197">
        <f>IFERROR(R41-Parameter_2016_SQ!R41,"kein Vergleichswert")</f>
        <v>0</v>
      </c>
      <c r="AQ41" s="197">
        <f>IFERROR(S41-Parameter_2016_SQ!S41,"kein Vergleichswert")</f>
        <v>0</v>
      </c>
      <c r="AR41" s="197">
        <f>IFERROR(T41-Parameter_2016_SQ!T41,"kein Vergleichswert")</f>
        <v>0</v>
      </c>
      <c r="AS41" s="197">
        <f>IFERROR(U41-Parameter_2016_SQ!U41,"kein Vergleichswert")</f>
        <v>0</v>
      </c>
      <c r="AT41" s="197">
        <f>IFERROR(V41-Parameter_2016_SQ!V41,"kein Vergleichswert")</f>
        <v>0</v>
      </c>
      <c r="AU41" s="197">
        <f>IFERROR(W41-Parameter_2016_SQ!W41,"kein Vergleichswert")</f>
        <v>0</v>
      </c>
      <c r="AV41" s="197">
        <f>IFERROR(X41-Parameter_2016_SQ!X41,"kein Vergleichswert")</f>
        <v>0</v>
      </c>
      <c r="AW41" s="197">
        <f>IFERROR(Z41-Parameter_2016_SQ!Z41,"kein Vergleichswert")</f>
        <v>0</v>
      </c>
      <c r="AX41" s="197">
        <f>IFERROR(AA41-Parameter_2016_SQ!AA41,"kein Vergleichswert")</f>
        <v>0</v>
      </c>
      <c r="AY41" s="197">
        <f>IFERROR(AB41-Parameter_2016_SQ!AB41,"kein Vergleichswert")</f>
        <v>0</v>
      </c>
    </row>
    <row r="42" spans="1:51" ht="18.75">
      <c r="A42" s="108"/>
      <c r="B42" s="185" t="s">
        <v>51</v>
      </c>
      <c r="C42" s="186" t="str">
        <f t="shared" si="10"/>
        <v xml:space="preserve">EEG-Umlage </v>
      </c>
      <c r="D42" s="186"/>
      <c r="E42" s="186" t="s">
        <v>19</v>
      </c>
      <c r="F42" s="111">
        <v>63.5</v>
      </c>
      <c r="G42" s="111">
        <f>0.4*Parameter_2016_SQ!F42</f>
        <v>25.400000000000002</v>
      </c>
      <c r="H42" s="111">
        <v>63.5</v>
      </c>
      <c r="I42" s="111">
        <f>0.4*Parameter_2016_SQ!H42</f>
        <v>25.400000000000002</v>
      </c>
      <c r="J42" s="110"/>
      <c r="K42" s="111"/>
      <c r="L42" s="112"/>
      <c r="M42" s="110"/>
      <c r="N42" s="111"/>
      <c r="O42" s="112"/>
      <c r="P42" s="111"/>
      <c r="Q42" s="111"/>
      <c r="R42" s="110"/>
      <c r="S42" s="111"/>
      <c r="T42" s="111"/>
      <c r="U42" s="112"/>
      <c r="V42" s="110"/>
      <c r="W42" s="111"/>
      <c r="X42" s="112"/>
      <c r="Y42" s="112"/>
      <c r="Z42" s="125"/>
      <c r="AA42" s="125"/>
      <c r="AB42" s="125"/>
      <c r="AE42" s="197">
        <f>IFERROR(F42-Parameter_2016_SQ!F42,"kein Vergleichswert")</f>
        <v>0</v>
      </c>
      <c r="AF42" s="197">
        <f>IFERROR(G42-Parameter_2016_SQ!G42,"kein Vergleichswert")</f>
        <v>-38.099999999999994</v>
      </c>
      <c r="AG42" s="197">
        <f>IFERROR(H42-Parameter_2016_SQ!H42,"kein Vergleichswert")</f>
        <v>0</v>
      </c>
      <c r="AH42" s="197">
        <f>IFERROR(I42-Parameter_2016_SQ!I42,"kein Vergleichswert")</f>
        <v>-38.099999999999994</v>
      </c>
      <c r="AI42" s="197">
        <f>IFERROR(J42-Parameter_2016_SQ!J42,"kein Vergleichswert")</f>
        <v>0</v>
      </c>
      <c r="AJ42" s="197">
        <f>IFERROR(K42-Parameter_2016_SQ!K42,"kein Vergleichswert")</f>
        <v>0</v>
      </c>
      <c r="AK42" s="197">
        <f>IFERROR(L42-Parameter_2016_SQ!L42,"kein Vergleichswert")</f>
        <v>0</v>
      </c>
      <c r="AL42" s="197">
        <f>IFERROR(M42-Parameter_2016_SQ!M42,"kein Vergleichswert")</f>
        <v>0</v>
      </c>
      <c r="AM42" s="197">
        <f>IFERROR(N42-Parameter_2016_SQ!N42,"kein Vergleichswert")</f>
        <v>0</v>
      </c>
      <c r="AN42" s="197">
        <f>IFERROR(O42-Parameter_2016_SQ!O42,"kein Vergleichswert")</f>
        <v>0</v>
      </c>
      <c r="AO42" s="197">
        <f>IFERROR(Q42-Parameter_2016_SQ!Q42,"kein Vergleichswert")</f>
        <v>0</v>
      </c>
      <c r="AP42" s="197">
        <f>IFERROR(R42-Parameter_2016_SQ!R42,"kein Vergleichswert")</f>
        <v>0</v>
      </c>
      <c r="AQ42" s="197">
        <f>IFERROR(S42-Parameter_2016_SQ!S42,"kein Vergleichswert")</f>
        <v>0</v>
      </c>
      <c r="AR42" s="197">
        <f>IFERROR(T42-Parameter_2016_SQ!T42,"kein Vergleichswert")</f>
        <v>0</v>
      </c>
      <c r="AS42" s="197">
        <f>IFERROR(U42-Parameter_2016_SQ!U42,"kein Vergleichswert")</f>
        <v>0</v>
      </c>
      <c r="AT42" s="197">
        <f>IFERROR(V42-Parameter_2016_SQ!V42,"kein Vergleichswert")</f>
        <v>0</v>
      </c>
      <c r="AU42" s="197">
        <f>IFERROR(W42-Parameter_2016_SQ!W42,"kein Vergleichswert")</f>
        <v>0</v>
      </c>
      <c r="AV42" s="197">
        <f>IFERROR(X42-Parameter_2016_SQ!X42,"kein Vergleichswert")</f>
        <v>0</v>
      </c>
      <c r="AW42" s="197">
        <f>IFERROR(Z42-Parameter_2016_SQ!Z42,"kein Vergleichswert")</f>
        <v>0</v>
      </c>
      <c r="AX42" s="197">
        <f>IFERROR(AA42-Parameter_2016_SQ!AA42,"kein Vergleichswert")</f>
        <v>0</v>
      </c>
      <c r="AY42" s="197">
        <f>IFERROR(AB42-Parameter_2016_SQ!AB42,"kein Vergleichswert")</f>
        <v>0</v>
      </c>
    </row>
    <row r="43" spans="1:51" ht="18.75">
      <c r="A43" s="108"/>
      <c r="B43" s="185" t="s">
        <v>42</v>
      </c>
      <c r="C43" s="186" t="str">
        <f t="shared" si="10"/>
        <v>Konzessionsabgaben</v>
      </c>
      <c r="D43" s="186"/>
      <c r="E43" s="186" t="s">
        <v>19</v>
      </c>
      <c r="F43" s="111">
        <v>13.2</v>
      </c>
      <c r="G43" s="111">
        <v>13.2</v>
      </c>
      <c r="H43" s="111">
        <v>13.2</v>
      </c>
      <c r="I43" s="111">
        <v>13.2</v>
      </c>
      <c r="J43" s="110"/>
      <c r="K43" s="111"/>
      <c r="L43" s="112"/>
      <c r="M43" s="110"/>
      <c r="N43" s="111"/>
      <c r="O43" s="112"/>
      <c r="P43" s="111"/>
      <c r="Q43" s="111"/>
      <c r="R43" s="110"/>
      <c r="S43" s="111"/>
      <c r="T43" s="111"/>
      <c r="U43" s="112"/>
      <c r="V43" s="110"/>
      <c r="W43" s="111"/>
      <c r="X43" s="112"/>
      <c r="Y43" s="112"/>
      <c r="Z43" s="125"/>
      <c r="AA43" s="125"/>
      <c r="AB43" s="125"/>
      <c r="AE43" s="197">
        <f>IFERROR(F43-Parameter_2016_SQ!F43,"kein Vergleichswert")</f>
        <v>0</v>
      </c>
      <c r="AF43" s="197">
        <f>IFERROR(G43-Parameter_2016_SQ!G43,"kein Vergleichswert")</f>
        <v>0</v>
      </c>
      <c r="AG43" s="197">
        <f>IFERROR(H43-Parameter_2016_SQ!H43,"kein Vergleichswert")</f>
        <v>0</v>
      </c>
      <c r="AH43" s="197">
        <f>IFERROR(I43-Parameter_2016_SQ!I43,"kein Vergleichswert")</f>
        <v>0</v>
      </c>
      <c r="AI43" s="197">
        <f>IFERROR(J43-Parameter_2016_SQ!J43,"kein Vergleichswert")</f>
        <v>0</v>
      </c>
      <c r="AJ43" s="197">
        <f>IFERROR(K43-Parameter_2016_SQ!K43,"kein Vergleichswert")</f>
        <v>0</v>
      </c>
      <c r="AK43" s="197">
        <f>IFERROR(L43-Parameter_2016_SQ!L43,"kein Vergleichswert")</f>
        <v>0</v>
      </c>
      <c r="AL43" s="197">
        <f>IFERROR(M43-Parameter_2016_SQ!M43,"kein Vergleichswert")</f>
        <v>0</v>
      </c>
      <c r="AM43" s="197">
        <f>IFERROR(N43-Parameter_2016_SQ!N43,"kein Vergleichswert")</f>
        <v>0</v>
      </c>
      <c r="AN43" s="197">
        <f>IFERROR(O43-Parameter_2016_SQ!O43,"kein Vergleichswert")</f>
        <v>0</v>
      </c>
      <c r="AO43" s="197">
        <f>IFERROR(Q43-Parameter_2016_SQ!Q43,"kein Vergleichswert")</f>
        <v>0</v>
      </c>
      <c r="AP43" s="197">
        <f>IFERROR(R43-Parameter_2016_SQ!R43,"kein Vergleichswert")</f>
        <v>0</v>
      </c>
      <c r="AQ43" s="197">
        <f>IFERROR(S43-Parameter_2016_SQ!S43,"kein Vergleichswert")</f>
        <v>0</v>
      </c>
      <c r="AR43" s="197">
        <f>IFERROR(T43-Parameter_2016_SQ!T43,"kein Vergleichswert")</f>
        <v>0</v>
      </c>
      <c r="AS43" s="197">
        <f>IFERROR(U43-Parameter_2016_SQ!U43,"kein Vergleichswert")</f>
        <v>0</v>
      </c>
      <c r="AT43" s="197">
        <f>IFERROR(V43-Parameter_2016_SQ!V43,"kein Vergleichswert")</f>
        <v>0</v>
      </c>
      <c r="AU43" s="197">
        <f>IFERROR(W43-Parameter_2016_SQ!W43,"kein Vergleichswert")</f>
        <v>0</v>
      </c>
      <c r="AV43" s="197">
        <f>IFERROR(X43-Parameter_2016_SQ!X43,"kein Vergleichswert")</f>
        <v>0</v>
      </c>
      <c r="AW43" s="197">
        <f>IFERROR(Z43-Parameter_2016_SQ!Z43,"kein Vergleichswert")</f>
        <v>0</v>
      </c>
      <c r="AX43" s="197">
        <f>IFERROR(AA43-Parameter_2016_SQ!AA43,"kein Vergleichswert")</f>
        <v>0</v>
      </c>
      <c r="AY43" s="197">
        <f>IFERROR(AB43-Parameter_2016_SQ!AB43,"kein Vergleichswert")</f>
        <v>0</v>
      </c>
    </row>
    <row r="44" spans="1:51" ht="18.75">
      <c r="A44" s="108"/>
      <c r="B44" s="185" t="s">
        <v>50</v>
      </c>
      <c r="C44" s="186" t="str">
        <f t="shared" si="10"/>
        <v xml:space="preserve">§ 19-StromNEV-Umlage </v>
      </c>
      <c r="D44" s="186"/>
      <c r="E44" s="186" t="s">
        <v>19</v>
      </c>
      <c r="F44" s="111">
        <v>3.78</v>
      </c>
      <c r="G44" s="111">
        <v>0</v>
      </c>
      <c r="H44" s="111">
        <v>3.78</v>
      </c>
      <c r="I44" s="111">
        <v>0</v>
      </c>
      <c r="J44" s="110"/>
      <c r="K44" s="111"/>
      <c r="L44" s="112"/>
      <c r="M44" s="110"/>
      <c r="N44" s="111"/>
      <c r="O44" s="112"/>
      <c r="P44" s="111"/>
      <c r="Q44" s="111"/>
      <c r="R44" s="110"/>
      <c r="S44" s="111"/>
      <c r="T44" s="111"/>
      <c r="U44" s="112"/>
      <c r="V44" s="110"/>
      <c r="W44" s="111"/>
      <c r="X44" s="112"/>
      <c r="Y44" s="112"/>
      <c r="Z44" s="125"/>
      <c r="AA44" s="125"/>
      <c r="AB44" s="125"/>
      <c r="AE44" s="197">
        <f>IFERROR(F44-Parameter_2016_SQ!F44,"kein Vergleichswert")</f>
        <v>0</v>
      </c>
      <c r="AF44" s="197">
        <f>IFERROR(G44-Parameter_2016_SQ!G44,"kein Vergleichswert")</f>
        <v>-3.78</v>
      </c>
      <c r="AG44" s="197">
        <f>IFERROR(H44-Parameter_2016_SQ!H44,"kein Vergleichswert")</f>
        <v>0</v>
      </c>
      <c r="AH44" s="197">
        <f>IFERROR(I44-Parameter_2016_SQ!I44,"kein Vergleichswert")</f>
        <v>-3.78</v>
      </c>
      <c r="AI44" s="197">
        <f>IFERROR(J44-Parameter_2016_SQ!J44,"kein Vergleichswert")</f>
        <v>0</v>
      </c>
      <c r="AJ44" s="197">
        <f>IFERROR(K44-Parameter_2016_SQ!K44,"kein Vergleichswert")</f>
        <v>0</v>
      </c>
      <c r="AK44" s="197">
        <f>IFERROR(L44-Parameter_2016_SQ!L44,"kein Vergleichswert")</f>
        <v>0</v>
      </c>
      <c r="AL44" s="197">
        <f>IFERROR(M44-Parameter_2016_SQ!M44,"kein Vergleichswert")</f>
        <v>0</v>
      </c>
      <c r="AM44" s="197">
        <f>IFERROR(N44-Parameter_2016_SQ!N44,"kein Vergleichswert")</f>
        <v>0</v>
      </c>
      <c r="AN44" s="197">
        <f>IFERROR(O44-Parameter_2016_SQ!O44,"kein Vergleichswert")</f>
        <v>0</v>
      </c>
      <c r="AO44" s="197">
        <f>IFERROR(Q44-Parameter_2016_SQ!Q44,"kein Vergleichswert")</f>
        <v>0</v>
      </c>
      <c r="AP44" s="197">
        <f>IFERROR(R44-Parameter_2016_SQ!R44,"kein Vergleichswert")</f>
        <v>0</v>
      </c>
      <c r="AQ44" s="197">
        <f>IFERROR(S44-Parameter_2016_SQ!S44,"kein Vergleichswert")</f>
        <v>0</v>
      </c>
      <c r="AR44" s="197">
        <f>IFERROR(T44-Parameter_2016_SQ!T44,"kein Vergleichswert")</f>
        <v>0</v>
      </c>
      <c r="AS44" s="197">
        <f>IFERROR(U44-Parameter_2016_SQ!U44,"kein Vergleichswert")</f>
        <v>0</v>
      </c>
      <c r="AT44" s="197">
        <f>IFERROR(V44-Parameter_2016_SQ!V44,"kein Vergleichswert")</f>
        <v>0</v>
      </c>
      <c r="AU44" s="197">
        <f>IFERROR(W44-Parameter_2016_SQ!W44,"kein Vergleichswert")</f>
        <v>0</v>
      </c>
      <c r="AV44" s="197">
        <f>IFERROR(X44-Parameter_2016_SQ!X44,"kein Vergleichswert")</f>
        <v>0</v>
      </c>
      <c r="AW44" s="197">
        <f>IFERROR(Z44-Parameter_2016_SQ!Z44,"kein Vergleichswert")</f>
        <v>0</v>
      </c>
      <c r="AX44" s="197">
        <f>IFERROR(AA44-Parameter_2016_SQ!AA44,"kein Vergleichswert")</f>
        <v>0</v>
      </c>
      <c r="AY44" s="197">
        <f>IFERROR(AB44-Parameter_2016_SQ!AB44,"kein Vergleichswert")</f>
        <v>0</v>
      </c>
    </row>
    <row r="45" spans="1:51" ht="18.75">
      <c r="A45" s="108"/>
      <c r="B45" s="185" t="s">
        <v>49</v>
      </c>
      <c r="C45" s="186" t="str">
        <f t="shared" si="10"/>
        <v xml:space="preserve">Stromsteuer </v>
      </c>
      <c r="D45" s="186"/>
      <c r="E45" s="186" t="s">
        <v>19</v>
      </c>
      <c r="F45" s="111">
        <v>20.499999999999996</v>
      </c>
      <c r="G45" s="111">
        <v>20.499999999999996</v>
      </c>
      <c r="H45" s="111">
        <v>20.499999999999996</v>
      </c>
      <c r="I45" s="111">
        <v>20.499999999999996</v>
      </c>
      <c r="J45" s="110"/>
      <c r="K45" s="111"/>
      <c r="L45" s="112"/>
      <c r="M45" s="110"/>
      <c r="N45" s="111"/>
      <c r="O45" s="112"/>
      <c r="P45" s="111"/>
      <c r="Q45" s="111"/>
      <c r="R45" s="110"/>
      <c r="S45" s="111"/>
      <c r="T45" s="111"/>
      <c r="U45" s="112"/>
      <c r="V45" s="110"/>
      <c r="W45" s="111"/>
      <c r="X45" s="112"/>
      <c r="Y45" s="112"/>
      <c r="Z45" s="125"/>
      <c r="AA45" s="125"/>
      <c r="AB45" s="125"/>
      <c r="AE45" s="197">
        <f>IFERROR(F45-Parameter_2016_SQ!F45,"kein Vergleichswert")</f>
        <v>0</v>
      </c>
      <c r="AF45" s="197">
        <f>IFERROR(G45-Parameter_2016_SQ!G45,"kein Vergleichswert")</f>
        <v>0</v>
      </c>
      <c r="AG45" s="197">
        <f>IFERROR(H45-Parameter_2016_SQ!H45,"kein Vergleichswert")</f>
        <v>0</v>
      </c>
      <c r="AH45" s="197">
        <f>IFERROR(I45-Parameter_2016_SQ!I45,"kein Vergleichswert")</f>
        <v>0</v>
      </c>
      <c r="AI45" s="197">
        <f>IFERROR(J45-Parameter_2016_SQ!J45,"kein Vergleichswert")</f>
        <v>0</v>
      </c>
      <c r="AJ45" s="197">
        <f>IFERROR(K45-Parameter_2016_SQ!K45,"kein Vergleichswert")</f>
        <v>0</v>
      </c>
      <c r="AK45" s="197">
        <f>IFERROR(L45-Parameter_2016_SQ!L45,"kein Vergleichswert")</f>
        <v>0</v>
      </c>
      <c r="AL45" s="197">
        <f>IFERROR(M45-Parameter_2016_SQ!M45,"kein Vergleichswert")</f>
        <v>0</v>
      </c>
      <c r="AM45" s="197">
        <f>IFERROR(N45-Parameter_2016_SQ!N45,"kein Vergleichswert")</f>
        <v>0</v>
      </c>
      <c r="AN45" s="197">
        <f>IFERROR(O45-Parameter_2016_SQ!O45,"kein Vergleichswert")</f>
        <v>0</v>
      </c>
      <c r="AO45" s="197">
        <f>IFERROR(Q45-Parameter_2016_SQ!Q45,"kein Vergleichswert")</f>
        <v>0</v>
      </c>
      <c r="AP45" s="197">
        <f>IFERROR(R45-Parameter_2016_SQ!R45,"kein Vergleichswert")</f>
        <v>0</v>
      </c>
      <c r="AQ45" s="197">
        <f>IFERROR(S45-Parameter_2016_SQ!S45,"kein Vergleichswert")</f>
        <v>0</v>
      </c>
      <c r="AR45" s="197">
        <f>IFERROR(T45-Parameter_2016_SQ!T45,"kein Vergleichswert")</f>
        <v>0</v>
      </c>
      <c r="AS45" s="197">
        <f>IFERROR(U45-Parameter_2016_SQ!U45,"kein Vergleichswert")</f>
        <v>0</v>
      </c>
      <c r="AT45" s="197">
        <f>IFERROR(V45-Parameter_2016_SQ!V45,"kein Vergleichswert")</f>
        <v>0</v>
      </c>
      <c r="AU45" s="197">
        <f>IFERROR(W45-Parameter_2016_SQ!W45,"kein Vergleichswert")</f>
        <v>0</v>
      </c>
      <c r="AV45" s="197">
        <f>IFERROR(X45-Parameter_2016_SQ!X45,"kein Vergleichswert")</f>
        <v>0</v>
      </c>
      <c r="AW45" s="197">
        <f>IFERROR(Z45-Parameter_2016_SQ!Z45,"kein Vergleichswert")</f>
        <v>0</v>
      </c>
      <c r="AX45" s="197">
        <f>IFERROR(AA45-Parameter_2016_SQ!AA45,"kein Vergleichswert")</f>
        <v>0</v>
      </c>
      <c r="AY45" s="197">
        <f>IFERROR(AB45-Parameter_2016_SQ!AB45,"kein Vergleichswert")</f>
        <v>0</v>
      </c>
    </row>
    <row r="46" spans="1:51" ht="18.75">
      <c r="A46" s="108"/>
      <c r="B46" s="185" t="s">
        <v>192</v>
      </c>
      <c r="C46" s="186" t="str">
        <f t="shared" si="10"/>
        <v>CO2-Handel</v>
      </c>
      <c r="D46" s="186"/>
      <c r="E46" s="186" t="s">
        <v>19</v>
      </c>
      <c r="F46" s="111">
        <v>0</v>
      </c>
      <c r="G46" s="111">
        <v>0</v>
      </c>
      <c r="H46" s="111">
        <v>0</v>
      </c>
      <c r="I46" s="111">
        <v>0</v>
      </c>
      <c r="J46" s="110"/>
      <c r="K46" s="111"/>
      <c r="L46" s="112"/>
      <c r="M46" s="110"/>
      <c r="N46" s="111"/>
      <c r="O46" s="112"/>
      <c r="P46" s="111"/>
      <c r="Q46" s="111"/>
      <c r="R46" s="110"/>
      <c r="S46" s="111"/>
      <c r="T46" s="111"/>
      <c r="U46" s="112"/>
      <c r="V46" s="110"/>
      <c r="W46" s="111"/>
      <c r="X46" s="112"/>
      <c r="Y46" s="112"/>
      <c r="Z46" s="125"/>
      <c r="AA46" s="125"/>
      <c r="AB46" s="125"/>
      <c r="AE46" s="197">
        <f>IFERROR(F46-Parameter_2016_SQ!F46,"kein Vergleichswert")</f>
        <v>0</v>
      </c>
      <c r="AF46" s="197">
        <f>IFERROR(G46-Parameter_2016_SQ!G46,"kein Vergleichswert")</f>
        <v>0</v>
      </c>
      <c r="AG46" s="197">
        <f>IFERROR(H46-Parameter_2016_SQ!H46,"kein Vergleichswert")</f>
        <v>0</v>
      </c>
      <c r="AH46" s="197">
        <f>IFERROR(I46-Parameter_2016_SQ!I46,"kein Vergleichswert")</f>
        <v>0</v>
      </c>
      <c r="AI46" s="197">
        <f>IFERROR(J46-Parameter_2016_SQ!J46,"kein Vergleichswert")</f>
        <v>0</v>
      </c>
      <c r="AJ46" s="197">
        <f>IFERROR(K46-Parameter_2016_SQ!K46,"kein Vergleichswert")</f>
        <v>0</v>
      </c>
      <c r="AK46" s="197">
        <f>IFERROR(L46-Parameter_2016_SQ!L46,"kein Vergleichswert")</f>
        <v>0</v>
      </c>
      <c r="AL46" s="197">
        <f>IFERROR(M46-Parameter_2016_SQ!M46,"kein Vergleichswert")</f>
        <v>0</v>
      </c>
      <c r="AM46" s="197">
        <f>IFERROR(N46-Parameter_2016_SQ!N46,"kein Vergleichswert")</f>
        <v>0</v>
      </c>
      <c r="AN46" s="197">
        <f>IFERROR(O46-Parameter_2016_SQ!O46,"kein Vergleichswert")</f>
        <v>0</v>
      </c>
      <c r="AO46" s="197">
        <f>IFERROR(Q46-Parameter_2016_SQ!Q46,"kein Vergleichswert")</f>
        <v>0</v>
      </c>
      <c r="AP46" s="197">
        <f>IFERROR(R46-Parameter_2016_SQ!R46,"kein Vergleichswert")</f>
        <v>0</v>
      </c>
      <c r="AQ46" s="197">
        <f>IFERROR(S46-Parameter_2016_SQ!S46,"kein Vergleichswert")</f>
        <v>0</v>
      </c>
      <c r="AR46" s="197">
        <f>IFERROR(T46-Parameter_2016_SQ!T46,"kein Vergleichswert")</f>
        <v>0</v>
      </c>
      <c r="AS46" s="197">
        <f>IFERROR(U46-Parameter_2016_SQ!U46,"kein Vergleichswert")</f>
        <v>0</v>
      </c>
      <c r="AT46" s="197">
        <f>IFERROR(V46-Parameter_2016_SQ!V46,"kein Vergleichswert")</f>
        <v>0</v>
      </c>
      <c r="AU46" s="197">
        <f>IFERROR(W46-Parameter_2016_SQ!W46,"kein Vergleichswert")</f>
        <v>0</v>
      </c>
      <c r="AV46" s="197">
        <f>IFERROR(X46-Parameter_2016_SQ!X46,"kein Vergleichswert")</f>
        <v>0</v>
      </c>
      <c r="AW46" s="197">
        <f>IFERROR(Z46-Parameter_2016_SQ!Z46,"kein Vergleichswert")</f>
        <v>0</v>
      </c>
      <c r="AX46" s="197">
        <f>IFERROR(AA46-Parameter_2016_SQ!AA46,"kein Vergleichswert")</f>
        <v>0</v>
      </c>
      <c r="AY46" s="197">
        <f>IFERROR(AB46-Parameter_2016_SQ!AB46,"kein Vergleichswert")</f>
        <v>0</v>
      </c>
    </row>
    <row r="47" spans="1:51" ht="18.75">
      <c r="A47" s="108"/>
      <c r="B47" s="185" t="s">
        <v>24</v>
      </c>
      <c r="C47" s="186" t="str">
        <f t="shared" si="10"/>
        <v>CO2-Steuer</v>
      </c>
      <c r="D47" s="186"/>
      <c r="E47" s="186" t="s">
        <v>19</v>
      </c>
      <c r="F47" s="111">
        <v>0</v>
      </c>
      <c r="G47" s="111">
        <v>0</v>
      </c>
      <c r="H47" s="111">
        <v>0</v>
      </c>
      <c r="I47" s="111">
        <v>0</v>
      </c>
      <c r="J47" s="110"/>
      <c r="K47" s="111"/>
      <c r="L47" s="112"/>
      <c r="M47" s="110"/>
      <c r="N47" s="111"/>
      <c r="O47" s="112"/>
      <c r="P47" s="111"/>
      <c r="Q47" s="111"/>
      <c r="R47" s="110"/>
      <c r="S47" s="111"/>
      <c r="T47" s="111"/>
      <c r="U47" s="112"/>
      <c r="V47" s="110"/>
      <c r="W47" s="111"/>
      <c r="X47" s="112"/>
      <c r="Y47" s="112"/>
      <c r="Z47" s="125"/>
      <c r="AA47" s="125"/>
      <c r="AB47" s="125"/>
      <c r="AE47" s="197">
        <f>IFERROR(F47-Parameter_2016_SQ!F47,"kein Vergleichswert")</f>
        <v>0</v>
      </c>
      <c r="AF47" s="197">
        <f>IFERROR(G47-Parameter_2016_SQ!G47,"kein Vergleichswert")</f>
        <v>0</v>
      </c>
      <c r="AG47" s="197">
        <f>IFERROR(H47-Parameter_2016_SQ!H47,"kein Vergleichswert")</f>
        <v>0</v>
      </c>
      <c r="AH47" s="197">
        <f>IFERROR(I47-Parameter_2016_SQ!I47,"kein Vergleichswert")</f>
        <v>0</v>
      </c>
      <c r="AI47" s="197">
        <f>IFERROR(J47-Parameter_2016_SQ!J47,"kein Vergleichswert")</f>
        <v>0</v>
      </c>
      <c r="AJ47" s="197">
        <f>IFERROR(K47-Parameter_2016_SQ!K47,"kein Vergleichswert")</f>
        <v>0</v>
      </c>
      <c r="AK47" s="197">
        <f>IFERROR(L47-Parameter_2016_SQ!L47,"kein Vergleichswert")</f>
        <v>0</v>
      </c>
      <c r="AL47" s="197">
        <f>IFERROR(M47-Parameter_2016_SQ!M47,"kein Vergleichswert")</f>
        <v>0</v>
      </c>
      <c r="AM47" s="197">
        <f>IFERROR(N47-Parameter_2016_SQ!N47,"kein Vergleichswert")</f>
        <v>0</v>
      </c>
      <c r="AN47" s="197">
        <f>IFERROR(O47-Parameter_2016_SQ!O47,"kein Vergleichswert")</f>
        <v>0</v>
      </c>
      <c r="AO47" s="197">
        <f>IFERROR(Q47-Parameter_2016_SQ!Q47,"kein Vergleichswert")</f>
        <v>0</v>
      </c>
      <c r="AP47" s="197">
        <f>IFERROR(R47-Parameter_2016_SQ!R47,"kein Vergleichswert")</f>
        <v>0</v>
      </c>
      <c r="AQ47" s="197">
        <f>IFERROR(S47-Parameter_2016_SQ!S47,"kein Vergleichswert")</f>
        <v>0</v>
      </c>
      <c r="AR47" s="197">
        <f>IFERROR(T47-Parameter_2016_SQ!T47,"kein Vergleichswert")</f>
        <v>0</v>
      </c>
      <c r="AS47" s="197">
        <f>IFERROR(U47-Parameter_2016_SQ!U47,"kein Vergleichswert")</f>
        <v>0</v>
      </c>
      <c r="AT47" s="197">
        <f>IFERROR(V47-Parameter_2016_SQ!V47,"kein Vergleichswert")</f>
        <v>0</v>
      </c>
      <c r="AU47" s="197">
        <f>IFERROR(W47-Parameter_2016_SQ!W47,"kein Vergleichswert")</f>
        <v>0</v>
      </c>
      <c r="AV47" s="197">
        <f>IFERROR(X47-Parameter_2016_SQ!X47,"kein Vergleichswert")</f>
        <v>0</v>
      </c>
      <c r="AW47" s="197">
        <f>IFERROR(Z47-Parameter_2016_SQ!Z47,"kein Vergleichswert")</f>
        <v>0</v>
      </c>
      <c r="AX47" s="197">
        <f>IFERROR(AA47-Parameter_2016_SQ!AA47,"kein Vergleichswert")</f>
        <v>0</v>
      </c>
      <c r="AY47" s="197">
        <f>IFERROR(AB47-Parameter_2016_SQ!AB47,"kein Vergleichswert")</f>
        <v>0</v>
      </c>
    </row>
    <row r="48" spans="1:51" ht="18.75">
      <c r="A48" s="108"/>
      <c r="B48" s="185" t="s">
        <v>47</v>
      </c>
      <c r="C48" s="186" t="str">
        <f t="shared" si="10"/>
        <v xml:space="preserve">KWK Umlage </v>
      </c>
      <c r="D48" s="186"/>
      <c r="E48" s="186" t="s">
        <v>19</v>
      </c>
      <c r="F48" s="111">
        <v>4.45</v>
      </c>
      <c r="G48" s="111">
        <v>0</v>
      </c>
      <c r="H48" s="111">
        <v>4.45</v>
      </c>
      <c r="I48" s="111">
        <v>0</v>
      </c>
      <c r="J48" s="110"/>
      <c r="K48" s="111"/>
      <c r="L48" s="112"/>
      <c r="M48" s="110"/>
      <c r="N48" s="111"/>
      <c r="O48" s="112"/>
      <c r="P48" s="111"/>
      <c r="Q48" s="111"/>
      <c r="R48" s="110"/>
      <c r="S48" s="111"/>
      <c r="T48" s="111"/>
      <c r="U48" s="112"/>
      <c r="V48" s="110"/>
      <c r="W48" s="111"/>
      <c r="X48" s="112"/>
      <c r="Y48" s="112"/>
      <c r="Z48" s="125"/>
      <c r="AA48" s="125"/>
      <c r="AB48" s="125"/>
      <c r="AE48" s="197">
        <f>IFERROR(F48-Parameter_2016_SQ!F48,"kein Vergleichswert")</f>
        <v>0</v>
      </c>
      <c r="AF48" s="197">
        <f>IFERROR(G48-Parameter_2016_SQ!G48,"kein Vergleichswert")</f>
        <v>-4.45</v>
      </c>
      <c r="AG48" s="197">
        <f>IFERROR(H48-Parameter_2016_SQ!H48,"kein Vergleichswert")</f>
        <v>0</v>
      </c>
      <c r="AH48" s="197">
        <f>IFERROR(I48-Parameter_2016_SQ!I48,"kein Vergleichswert")</f>
        <v>-4.45</v>
      </c>
      <c r="AI48" s="197">
        <f>IFERROR(J48-Parameter_2016_SQ!J48,"kein Vergleichswert")</f>
        <v>0</v>
      </c>
      <c r="AJ48" s="197">
        <f>IFERROR(K48-Parameter_2016_SQ!K48,"kein Vergleichswert")</f>
        <v>0</v>
      </c>
      <c r="AK48" s="197">
        <f>IFERROR(L48-Parameter_2016_SQ!L48,"kein Vergleichswert")</f>
        <v>0</v>
      </c>
      <c r="AL48" s="197">
        <f>IFERROR(M48-Parameter_2016_SQ!M48,"kein Vergleichswert")</f>
        <v>0</v>
      </c>
      <c r="AM48" s="197">
        <f>IFERROR(N48-Parameter_2016_SQ!N48,"kein Vergleichswert")</f>
        <v>0</v>
      </c>
      <c r="AN48" s="197">
        <f>IFERROR(O48-Parameter_2016_SQ!O48,"kein Vergleichswert")</f>
        <v>0</v>
      </c>
      <c r="AO48" s="197">
        <f>IFERROR(Q48-Parameter_2016_SQ!Q48,"kein Vergleichswert")</f>
        <v>0</v>
      </c>
      <c r="AP48" s="197">
        <f>IFERROR(R48-Parameter_2016_SQ!R48,"kein Vergleichswert")</f>
        <v>0</v>
      </c>
      <c r="AQ48" s="197">
        <f>IFERROR(S48-Parameter_2016_SQ!S48,"kein Vergleichswert")</f>
        <v>0</v>
      </c>
      <c r="AR48" s="197">
        <f>IFERROR(T48-Parameter_2016_SQ!T48,"kein Vergleichswert")</f>
        <v>0</v>
      </c>
      <c r="AS48" s="197">
        <f>IFERROR(U48-Parameter_2016_SQ!U48,"kein Vergleichswert")</f>
        <v>0</v>
      </c>
      <c r="AT48" s="197">
        <f>IFERROR(V48-Parameter_2016_SQ!V48,"kein Vergleichswert")</f>
        <v>0</v>
      </c>
      <c r="AU48" s="197">
        <f>IFERROR(W48-Parameter_2016_SQ!W48,"kein Vergleichswert")</f>
        <v>0</v>
      </c>
      <c r="AV48" s="197">
        <f>IFERROR(X48-Parameter_2016_SQ!X48,"kein Vergleichswert")</f>
        <v>0</v>
      </c>
      <c r="AW48" s="197">
        <f>IFERROR(Z48-Parameter_2016_SQ!Z48,"kein Vergleichswert")</f>
        <v>0</v>
      </c>
      <c r="AX48" s="197">
        <f>IFERROR(AA48-Parameter_2016_SQ!AA48,"kein Vergleichswert")</f>
        <v>0</v>
      </c>
      <c r="AY48" s="197">
        <f>IFERROR(AB48-Parameter_2016_SQ!AB48,"kein Vergleichswert")</f>
        <v>0</v>
      </c>
    </row>
    <row r="49" spans="1:51" ht="18.75">
      <c r="A49" s="108"/>
      <c r="B49" s="185" t="s">
        <v>46</v>
      </c>
      <c r="C49" s="186" t="str">
        <f t="shared" si="10"/>
        <v xml:space="preserve">Offshore-Haftungsumlage </v>
      </c>
      <c r="D49" s="186"/>
      <c r="E49" s="186" t="s">
        <v>19</v>
      </c>
      <c r="F49" s="111">
        <v>0.4</v>
      </c>
      <c r="G49" s="111">
        <v>0</v>
      </c>
      <c r="H49" s="111">
        <v>0.4</v>
      </c>
      <c r="I49" s="111">
        <v>0</v>
      </c>
      <c r="J49" s="110"/>
      <c r="K49" s="111"/>
      <c r="L49" s="112"/>
      <c r="M49" s="110"/>
      <c r="N49" s="111"/>
      <c r="O49" s="112"/>
      <c r="P49" s="111"/>
      <c r="Q49" s="111"/>
      <c r="R49" s="110"/>
      <c r="S49" s="111"/>
      <c r="T49" s="111"/>
      <c r="U49" s="112"/>
      <c r="V49" s="110"/>
      <c r="W49" s="111"/>
      <c r="X49" s="112"/>
      <c r="Y49" s="112"/>
      <c r="Z49" s="125"/>
      <c r="AA49" s="125"/>
      <c r="AB49" s="125"/>
      <c r="AE49" s="197">
        <f>IFERROR(F49-Parameter_2016_SQ!F49,"kein Vergleichswert")</f>
        <v>0</v>
      </c>
      <c r="AF49" s="197">
        <f>IFERROR(G49-Parameter_2016_SQ!G49,"kein Vergleichswert")</f>
        <v>-0.4</v>
      </c>
      <c r="AG49" s="197">
        <f>IFERROR(H49-Parameter_2016_SQ!H49,"kein Vergleichswert")</f>
        <v>0</v>
      </c>
      <c r="AH49" s="197">
        <f>IFERROR(I49-Parameter_2016_SQ!I49,"kein Vergleichswert")</f>
        <v>-0.4</v>
      </c>
      <c r="AI49" s="197">
        <f>IFERROR(J49-Parameter_2016_SQ!J49,"kein Vergleichswert")</f>
        <v>0</v>
      </c>
      <c r="AJ49" s="197">
        <f>IFERROR(K49-Parameter_2016_SQ!K49,"kein Vergleichswert")</f>
        <v>0</v>
      </c>
      <c r="AK49" s="197">
        <f>IFERROR(L49-Parameter_2016_SQ!L49,"kein Vergleichswert")</f>
        <v>0</v>
      </c>
      <c r="AL49" s="197">
        <f>IFERROR(M49-Parameter_2016_SQ!M49,"kein Vergleichswert")</f>
        <v>0</v>
      </c>
      <c r="AM49" s="197">
        <f>IFERROR(N49-Parameter_2016_SQ!N49,"kein Vergleichswert")</f>
        <v>0</v>
      </c>
      <c r="AN49" s="197">
        <f>IFERROR(O49-Parameter_2016_SQ!O49,"kein Vergleichswert")</f>
        <v>0</v>
      </c>
      <c r="AO49" s="197">
        <f>IFERROR(Q49-Parameter_2016_SQ!Q49,"kein Vergleichswert")</f>
        <v>0</v>
      </c>
      <c r="AP49" s="197">
        <f>IFERROR(R49-Parameter_2016_SQ!R49,"kein Vergleichswert")</f>
        <v>0</v>
      </c>
      <c r="AQ49" s="197">
        <f>IFERROR(S49-Parameter_2016_SQ!S49,"kein Vergleichswert")</f>
        <v>0</v>
      </c>
      <c r="AR49" s="197">
        <f>IFERROR(T49-Parameter_2016_SQ!T49,"kein Vergleichswert")</f>
        <v>0</v>
      </c>
      <c r="AS49" s="197">
        <f>IFERROR(U49-Parameter_2016_SQ!U49,"kein Vergleichswert")</f>
        <v>0</v>
      </c>
      <c r="AT49" s="197">
        <f>IFERROR(V49-Parameter_2016_SQ!V49,"kein Vergleichswert")</f>
        <v>0</v>
      </c>
      <c r="AU49" s="197">
        <f>IFERROR(W49-Parameter_2016_SQ!W49,"kein Vergleichswert")</f>
        <v>0</v>
      </c>
      <c r="AV49" s="197">
        <f>IFERROR(X49-Parameter_2016_SQ!X49,"kein Vergleichswert")</f>
        <v>0</v>
      </c>
      <c r="AW49" s="197">
        <f>IFERROR(Z49-Parameter_2016_SQ!Z49,"kein Vergleichswert")</f>
        <v>0</v>
      </c>
      <c r="AX49" s="197">
        <f>IFERROR(AA49-Parameter_2016_SQ!AA49,"kein Vergleichswert")</f>
        <v>0</v>
      </c>
      <c r="AY49" s="197">
        <f>IFERROR(AB49-Parameter_2016_SQ!AB49,"kein Vergleichswert")</f>
        <v>0</v>
      </c>
    </row>
    <row r="50" spans="1:51" ht="18.75">
      <c r="A50" s="108"/>
      <c r="B50" s="185" t="s">
        <v>45</v>
      </c>
      <c r="C50" s="186" t="str">
        <f t="shared" si="10"/>
        <v>§ 18 Absatz 1+2 absch. L.</v>
      </c>
      <c r="D50" s="186"/>
      <c r="E50" s="186" t="s">
        <v>19</v>
      </c>
      <c r="F50" s="111">
        <v>0</v>
      </c>
      <c r="G50" s="111">
        <v>0</v>
      </c>
      <c r="H50" s="111">
        <v>0</v>
      </c>
      <c r="I50" s="111">
        <v>0</v>
      </c>
      <c r="J50" s="110"/>
      <c r="K50" s="111"/>
      <c r="L50" s="112"/>
      <c r="M50" s="110"/>
      <c r="N50" s="111"/>
      <c r="O50" s="112"/>
      <c r="P50" s="111"/>
      <c r="Q50" s="111"/>
      <c r="R50" s="110"/>
      <c r="S50" s="111"/>
      <c r="T50" s="111"/>
      <c r="U50" s="112"/>
      <c r="V50" s="110"/>
      <c r="W50" s="111"/>
      <c r="X50" s="112"/>
      <c r="Y50" s="112"/>
      <c r="Z50" s="125"/>
      <c r="AA50" s="125"/>
      <c r="AB50" s="125"/>
      <c r="AE50" s="197">
        <f>IFERROR(F50-Parameter_2016_SQ!F50,"kein Vergleichswert")</f>
        <v>0</v>
      </c>
      <c r="AF50" s="197">
        <f>IFERROR(G50-Parameter_2016_SQ!G50,"kein Vergleichswert")</f>
        <v>0</v>
      </c>
      <c r="AG50" s="197">
        <f>IFERROR(H50-Parameter_2016_SQ!H50,"kein Vergleichswert")</f>
        <v>0</v>
      </c>
      <c r="AH50" s="197">
        <f>IFERROR(I50-Parameter_2016_SQ!I50,"kein Vergleichswert")</f>
        <v>0</v>
      </c>
      <c r="AI50" s="197">
        <f>IFERROR(J50-Parameter_2016_SQ!J50,"kein Vergleichswert")</f>
        <v>0</v>
      </c>
      <c r="AJ50" s="197">
        <f>IFERROR(K50-Parameter_2016_SQ!K50,"kein Vergleichswert")</f>
        <v>0</v>
      </c>
      <c r="AK50" s="197">
        <f>IFERROR(L50-Parameter_2016_SQ!L50,"kein Vergleichswert")</f>
        <v>0</v>
      </c>
      <c r="AL50" s="197">
        <f>IFERROR(M50-Parameter_2016_SQ!M50,"kein Vergleichswert")</f>
        <v>0</v>
      </c>
      <c r="AM50" s="197">
        <f>IFERROR(N50-Parameter_2016_SQ!N50,"kein Vergleichswert")</f>
        <v>0</v>
      </c>
      <c r="AN50" s="197">
        <f>IFERROR(O50-Parameter_2016_SQ!O50,"kein Vergleichswert")</f>
        <v>0</v>
      </c>
      <c r="AO50" s="197">
        <f>IFERROR(Q50-Parameter_2016_SQ!Q50,"kein Vergleichswert")</f>
        <v>0</v>
      </c>
      <c r="AP50" s="197">
        <f>IFERROR(R50-Parameter_2016_SQ!R50,"kein Vergleichswert")</f>
        <v>0</v>
      </c>
      <c r="AQ50" s="197">
        <f>IFERROR(S50-Parameter_2016_SQ!S50,"kein Vergleichswert")</f>
        <v>0</v>
      </c>
      <c r="AR50" s="197">
        <f>IFERROR(T50-Parameter_2016_SQ!T50,"kein Vergleichswert")</f>
        <v>0</v>
      </c>
      <c r="AS50" s="197">
        <f>IFERROR(U50-Parameter_2016_SQ!U50,"kein Vergleichswert")</f>
        <v>0</v>
      </c>
      <c r="AT50" s="197">
        <f>IFERROR(V50-Parameter_2016_SQ!V50,"kein Vergleichswert")</f>
        <v>0</v>
      </c>
      <c r="AU50" s="197">
        <f>IFERROR(W50-Parameter_2016_SQ!W50,"kein Vergleichswert")</f>
        <v>0</v>
      </c>
      <c r="AV50" s="197">
        <f>IFERROR(X50-Parameter_2016_SQ!X50,"kein Vergleichswert")</f>
        <v>0</v>
      </c>
      <c r="AW50" s="197">
        <f>IFERROR(Z50-Parameter_2016_SQ!Z50,"kein Vergleichswert")</f>
        <v>0</v>
      </c>
      <c r="AX50" s="197">
        <f>IFERROR(AA50-Parameter_2016_SQ!AA50,"kein Vergleichswert")</f>
        <v>0</v>
      </c>
      <c r="AY50" s="197">
        <f>IFERROR(AB50-Parameter_2016_SQ!AB50,"kein Vergleichswert")</f>
        <v>0</v>
      </c>
    </row>
    <row r="51" spans="1:51" ht="18.75">
      <c r="A51" s="108"/>
      <c r="B51" s="116"/>
      <c r="C51" s="117"/>
      <c r="D51" s="117"/>
      <c r="E51" s="117"/>
      <c r="F51" s="131"/>
      <c r="G51" s="131"/>
      <c r="H51" s="131"/>
      <c r="I51" s="131"/>
      <c r="J51" s="127"/>
      <c r="K51" s="128"/>
      <c r="L51" s="129"/>
      <c r="M51" s="127"/>
      <c r="N51" s="128"/>
      <c r="O51" s="129"/>
      <c r="P51" s="128"/>
      <c r="Q51" s="128"/>
      <c r="R51" s="127"/>
      <c r="S51" s="128"/>
      <c r="T51" s="128"/>
      <c r="U51" s="129"/>
      <c r="V51" s="127"/>
      <c r="W51" s="128"/>
      <c r="X51" s="129"/>
      <c r="Y51" s="129"/>
      <c r="Z51" s="131"/>
      <c r="AA51" s="131"/>
      <c r="AB51" s="131"/>
      <c r="AE51" s="197">
        <f>IFERROR(F51-Parameter_2016_SQ!F51,"kein Vergleichswert")</f>
        <v>0</v>
      </c>
      <c r="AF51" s="197">
        <f>IFERROR(G51-Parameter_2016_SQ!G51,"kein Vergleichswert")</f>
        <v>0</v>
      </c>
      <c r="AG51" s="197">
        <f>IFERROR(H51-Parameter_2016_SQ!H51,"kein Vergleichswert")</f>
        <v>0</v>
      </c>
      <c r="AH51" s="197">
        <f>IFERROR(I51-Parameter_2016_SQ!I51,"kein Vergleichswert")</f>
        <v>0</v>
      </c>
      <c r="AI51" s="197">
        <f>IFERROR(J51-Parameter_2016_SQ!J51,"kein Vergleichswert")</f>
        <v>0</v>
      </c>
      <c r="AJ51" s="197">
        <f>IFERROR(K51-Parameter_2016_SQ!K51,"kein Vergleichswert")</f>
        <v>0</v>
      </c>
      <c r="AK51" s="197">
        <f>IFERROR(L51-Parameter_2016_SQ!L51,"kein Vergleichswert")</f>
        <v>0</v>
      </c>
      <c r="AL51" s="197">
        <f>IFERROR(M51-Parameter_2016_SQ!M51,"kein Vergleichswert")</f>
        <v>0</v>
      </c>
      <c r="AM51" s="197">
        <f>IFERROR(N51-Parameter_2016_SQ!N51,"kein Vergleichswert")</f>
        <v>0</v>
      </c>
      <c r="AN51" s="197">
        <f>IFERROR(O51-Parameter_2016_SQ!O51,"kein Vergleichswert")</f>
        <v>0</v>
      </c>
      <c r="AO51" s="197">
        <f>IFERROR(Q51-Parameter_2016_SQ!Q51,"kein Vergleichswert")</f>
        <v>0</v>
      </c>
      <c r="AP51" s="197">
        <f>IFERROR(R51-Parameter_2016_SQ!R51,"kein Vergleichswert")</f>
        <v>0</v>
      </c>
      <c r="AQ51" s="197">
        <f>IFERROR(S51-Parameter_2016_SQ!S51,"kein Vergleichswert")</f>
        <v>0</v>
      </c>
      <c r="AR51" s="197">
        <f>IFERROR(T51-Parameter_2016_SQ!T51,"kein Vergleichswert")</f>
        <v>0</v>
      </c>
      <c r="AS51" s="197">
        <f>IFERROR(U51-Parameter_2016_SQ!U51,"kein Vergleichswert")</f>
        <v>0</v>
      </c>
      <c r="AT51" s="197">
        <f>IFERROR(V51-Parameter_2016_SQ!V51,"kein Vergleichswert")</f>
        <v>0</v>
      </c>
      <c r="AU51" s="197">
        <f>IFERROR(W51-Parameter_2016_SQ!W51,"kein Vergleichswert")</f>
        <v>0</v>
      </c>
      <c r="AV51" s="197">
        <f>IFERROR(X51-Parameter_2016_SQ!X51,"kein Vergleichswert")</f>
        <v>0</v>
      </c>
      <c r="AW51" s="197">
        <f>IFERROR(Z51-Parameter_2016_SQ!Z51,"kein Vergleichswert")</f>
        <v>0</v>
      </c>
      <c r="AX51" s="197">
        <f>IFERROR(AA51-Parameter_2016_SQ!AA51,"kein Vergleichswert")</f>
        <v>0</v>
      </c>
      <c r="AY51" s="197">
        <f>IFERROR(AB51-Parameter_2016_SQ!AB51,"kein Vergleichswert")</f>
        <v>0</v>
      </c>
    </row>
    <row r="52" spans="1:51" ht="18.75">
      <c r="A52" s="108"/>
      <c r="B52" s="116"/>
      <c r="C52" s="117"/>
      <c r="D52" s="117"/>
      <c r="E52" s="117"/>
      <c r="F52" s="131"/>
      <c r="G52" s="131"/>
      <c r="H52" s="131"/>
      <c r="I52" s="131"/>
      <c r="J52" s="127"/>
      <c r="K52" s="128"/>
      <c r="L52" s="129"/>
      <c r="M52" s="127"/>
      <c r="N52" s="128"/>
      <c r="O52" s="129"/>
      <c r="P52" s="128"/>
      <c r="Q52" s="128"/>
      <c r="R52" s="127"/>
      <c r="S52" s="128"/>
      <c r="T52" s="128"/>
      <c r="U52" s="129"/>
      <c r="V52" s="127"/>
      <c r="W52" s="128"/>
      <c r="X52" s="129"/>
      <c r="Y52" s="129"/>
      <c r="Z52" s="131"/>
      <c r="AA52" s="131"/>
      <c r="AB52" s="131"/>
      <c r="AE52" s="197">
        <f>IFERROR(F52-Parameter_2016_SQ!F52,"kein Vergleichswert")</f>
        <v>0</v>
      </c>
      <c r="AF52" s="197">
        <f>IFERROR(G52-Parameter_2016_SQ!G52,"kein Vergleichswert")</f>
        <v>0</v>
      </c>
      <c r="AG52" s="197">
        <f>IFERROR(H52-Parameter_2016_SQ!H52,"kein Vergleichswert")</f>
        <v>0</v>
      </c>
      <c r="AH52" s="197">
        <f>IFERROR(I52-Parameter_2016_SQ!I52,"kein Vergleichswert")</f>
        <v>0</v>
      </c>
      <c r="AI52" s="197">
        <f>IFERROR(J52-Parameter_2016_SQ!J52,"kein Vergleichswert")</f>
        <v>0</v>
      </c>
      <c r="AJ52" s="197">
        <f>IFERROR(K52-Parameter_2016_SQ!K52,"kein Vergleichswert")</f>
        <v>0</v>
      </c>
      <c r="AK52" s="197">
        <f>IFERROR(L52-Parameter_2016_SQ!L52,"kein Vergleichswert")</f>
        <v>0</v>
      </c>
      <c r="AL52" s="197">
        <f>IFERROR(M52-Parameter_2016_SQ!M52,"kein Vergleichswert")</f>
        <v>0</v>
      </c>
      <c r="AM52" s="197">
        <f>IFERROR(N52-Parameter_2016_SQ!N52,"kein Vergleichswert")</f>
        <v>0</v>
      </c>
      <c r="AN52" s="197">
        <f>IFERROR(O52-Parameter_2016_SQ!O52,"kein Vergleichswert")</f>
        <v>0</v>
      </c>
      <c r="AO52" s="197">
        <f>IFERROR(Q52-Parameter_2016_SQ!Q52,"kein Vergleichswert")</f>
        <v>0</v>
      </c>
      <c r="AP52" s="197">
        <f>IFERROR(R52-Parameter_2016_SQ!R52,"kein Vergleichswert")</f>
        <v>0</v>
      </c>
      <c r="AQ52" s="197">
        <f>IFERROR(S52-Parameter_2016_SQ!S52,"kein Vergleichswert")</f>
        <v>0</v>
      </c>
      <c r="AR52" s="197">
        <f>IFERROR(T52-Parameter_2016_SQ!T52,"kein Vergleichswert")</f>
        <v>0</v>
      </c>
      <c r="AS52" s="197">
        <f>IFERROR(U52-Parameter_2016_SQ!U52,"kein Vergleichswert")</f>
        <v>0</v>
      </c>
      <c r="AT52" s="197">
        <f>IFERROR(V52-Parameter_2016_SQ!V52,"kein Vergleichswert")</f>
        <v>0</v>
      </c>
      <c r="AU52" s="197">
        <f>IFERROR(W52-Parameter_2016_SQ!W52,"kein Vergleichswert")</f>
        <v>0</v>
      </c>
      <c r="AV52" s="197">
        <f>IFERROR(X52-Parameter_2016_SQ!X52,"kein Vergleichswert")</f>
        <v>0</v>
      </c>
      <c r="AW52" s="197">
        <f>IFERROR(Z52-Parameter_2016_SQ!Z52,"kein Vergleichswert")</f>
        <v>0</v>
      </c>
      <c r="AX52" s="197">
        <f>IFERROR(AA52-Parameter_2016_SQ!AA52,"kein Vergleichswert")</f>
        <v>0</v>
      </c>
      <c r="AY52" s="197">
        <f>IFERROR(AB52-Parameter_2016_SQ!AB52,"kein Vergleichswert")</f>
        <v>0</v>
      </c>
    </row>
    <row r="53" spans="1:51" ht="18.75">
      <c r="B53" s="108" t="s">
        <v>249</v>
      </c>
      <c r="C53" s="117"/>
      <c r="D53" s="117"/>
      <c r="E53" s="117"/>
      <c r="F53" s="131"/>
      <c r="G53" s="131"/>
      <c r="H53" s="131"/>
      <c r="I53" s="131"/>
      <c r="J53" s="127"/>
      <c r="K53" s="128"/>
      <c r="L53" s="129"/>
      <c r="M53" s="127"/>
      <c r="N53" s="128"/>
      <c r="O53" s="129"/>
      <c r="P53" s="128"/>
      <c r="Q53" s="128"/>
      <c r="R53" s="127"/>
      <c r="S53" s="128"/>
      <c r="T53" s="128"/>
      <c r="U53" s="129"/>
      <c r="V53" s="127"/>
      <c r="W53" s="128"/>
      <c r="X53" s="129"/>
      <c r="Y53" s="129"/>
      <c r="Z53" s="131"/>
      <c r="AA53" s="131"/>
      <c r="AB53" s="131"/>
      <c r="AE53" s="197">
        <f>IFERROR(F53-Parameter_2016_SQ!F53,"kein Vergleichswert")</f>
        <v>0</v>
      </c>
      <c r="AF53" s="197">
        <f>IFERROR(G53-Parameter_2016_SQ!G53,"kein Vergleichswert")</f>
        <v>0</v>
      </c>
      <c r="AG53" s="197">
        <f>IFERROR(H53-Parameter_2016_SQ!H53,"kein Vergleichswert")</f>
        <v>0</v>
      </c>
      <c r="AH53" s="197">
        <f>IFERROR(I53-Parameter_2016_SQ!I53,"kein Vergleichswert")</f>
        <v>0</v>
      </c>
      <c r="AI53" s="197">
        <f>IFERROR(J53-Parameter_2016_SQ!J53,"kein Vergleichswert")</f>
        <v>0</v>
      </c>
      <c r="AJ53" s="197">
        <f>IFERROR(K53-Parameter_2016_SQ!K53,"kein Vergleichswert")</f>
        <v>0</v>
      </c>
      <c r="AK53" s="197">
        <f>IFERROR(L53-Parameter_2016_SQ!L53,"kein Vergleichswert")</f>
        <v>0</v>
      </c>
      <c r="AL53" s="197">
        <f>IFERROR(M53-Parameter_2016_SQ!M53,"kein Vergleichswert")</f>
        <v>0</v>
      </c>
      <c r="AM53" s="197">
        <f>IFERROR(N53-Parameter_2016_SQ!N53,"kein Vergleichswert")</f>
        <v>0</v>
      </c>
      <c r="AN53" s="197">
        <f>IFERROR(O53-Parameter_2016_SQ!O53,"kein Vergleichswert")</f>
        <v>0</v>
      </c>
      <c r="AO53" s="197">
        <f>IFERROR(Q53-Parameter_2016_SQ!Q53,"kein Vergleichswert")</f>
        <v>0</v>
      </c>
      <c r="AP53" s="197">
        <f>IFERROR(R53-Parameter_2016_SQ!R53,"kein Vergleichswert")</f>
        <v>0</v>
      </c>
      <c r="AQ53" s="197">
        <f>IFERROR(S53-Parameter_2016_SQ!S53,"kein Vergleichswert")</f>
        <v>0</v>
      </c>
      <c r="AR53" s="197">
        <f>IFERROR(T53-Parameter_2016_SQ!T53,"kein Vergleichswert")</f>
        <v>0</v>
      </c>
      <c r="AS53" s="197">
        <f>IFERROR(U53-Parameter_2016_SQ!U53,"kein Vergleichswert")</f>
        <v>0</v>
      </c>
      <c r="AT53" s="197">
        <f>IFERROR(V53-Parameter_2016_SQ!V53,"kein Vergleichswert")</f>
        <v>0</v>
      </c>
      <c r="AU53" s="197">
        <f>IFERROR(W53-Parameter_2016_SQ!W53,"kein Vergleichswert")</f>
        <v>0</v>
      </c>
      <c r="AV53" s="197">
        <f>IFERROR(X53-Parameter_2016_SQ!X53,"kein Vergleichswert")</f>
        <v>0</v>
      </c>
      <c r="AW53" s="197">
        <f>IFERROR(Z53-Parameter_2016_SQ!Z53,"kein Vergleichswert")</f>
        <v>0</v>
      </c>
      <c r="AX53" s="197">
        <f>IFERROR(AA53-Parameter_2016_SQ!AA53,"kein Vergleichswert")</f>
        <v>0</v>
      </c>
      <c r="AY53" s="197">
        <f>IFERROR(AB53-Parameter_2016_SQ!AB53,"kein Vergleichswert")</f>
        <v>0</v>
      </c>
    </row>
    <row r="54" spans="1:51" ht="18.75">
      <c r="A54" s="108"/>
      <c r="B54" s="168" t="s">
        <v>17</v>
      </c>
      <c r="C54" s="169" t="s">
        <v>17</v>
      </c>
      <c r="D54" s="169"/>
      <c r="E54" s="169" t="s">
        <v>19</v>
      </c>
      <c r="F54" s="173"/>
      <c r="G54" s="173"/>
      <c r="H54" s="173"/>
      <c r="I54" s="173"/>
      <c r="J54" s="170"/>
      <c r="K54" s="171">
        <v>30.763664773281782</v>
      </c>
      <c r="L54" s="172">
        <v>11.510083210272025</v>
      </c>
      <c r="M54" s="170">
        <v>0.5</v>
      </c>
      <c r="N54" s="171">
        <v>0.5</v>
      </c>
      <c r="O54" s="172">
        <v>0.5</v>
      </c>
      <c r="P54" s="171"/>
      <c r="Q54" s="171">
        <v>0.2</v>
      </c>
      <c r="R54" s="170"/>
      <c r="S54" s="171">
        <v>21.068991138637845</v>
      </c>
      <c r="T54" s="171">
        <v>21.068991138637845</v>
      </c>
      <c r="U54" s="172">
        <v>21.068991138637845</v>
      </c>
      <c r="V54" s="170">
        <v>0.5</v>
      </c>
      <c r="W54" s="171">
        <v>0.5</v>
      </c>
      <c r="X54" s="172">
        <v>0.5</v>
      </c>
      <c r="Y54" s="172"/>
      <c r="Z54" s="173">
        <v>0.2</v>
      </c>
      <c r="AA54" s="173"/>
      <c r="AB54" s="173"/>
      <c r="AE54" s="197">
        <f>IFERROR(F54-Parameter_2016_SQ!F54,"kein Vergleichswert")</f>
        <v>0</v>
      </c>
      <c r="AF54" s="197">
        <f>IFERROR(G54-Parameter_2016_SQ!G54,"kein Vergleichswert")</f>
        <v>0</v>
      </c>
      <c r="AG54" s="197">
        <f>IFERROR(H54-Parameter_2016_SQ!H54,"kein Vergleichswert")</f>
        <v>0</v>
      </c>
      <c r="AH54" s="197">
        <f>IFERROR(I54-Parameter_2016_SQ!I54,"kein Vergleichswert")</f>
        <v>0</v>
      </c>
      <c r="AI54" s="197">
        <f>IFERROR(J54-Parameter_2016_SQ!J54,"kein Vergleichswert")</f>
        <v>0</v>
      </c>
      <c r="AJ54" s="197">
        <f>IFERROR(K54-Parameter_2016_SQ!K54,"kein Vergleichswert")</f>
        <v>0</v>
      </c>
      <c r="AK54" s="197">
        <f>IFERROR(L54-Parameter_2016_SQ!L54,"kein Vergleichswert")</f>
        <v>0</v>
      </c>
      <c r="AL54" s="197">
        <f>IFERROR(M54-Parameter_2016_SQ!M54,"kein Vergleichswert")</f>
        <v>0</v>
      </c>
      <c r="AM54" s="197">
        <f>IFERROR(N54-Parameter_2016_SQ!N54,"kein Vergleichswert")</f>
        <v>0</v>
      </c>
      <c r="AN54" s="197">
        <f>IFERROR(O54-Parameter_2016_SQ!O54,"kein Vergleichswert")</f>
        <v>0</v>
      </c>
      <c r="AO54" s="197">
        <f>IFERROR(Q54-Parameter_2016_SQ!Q54,"kein Vergleichswert")</f>
        <v>0</v>
      </c>
      <c r="AP54" s="197">
        <f>IFERROR(R54-Parameter_2016_SQ!R54,"kein Vergleichswert")</f>
        <v>0</v>
      </c>
      <c r="AQ54" s="197">
        <f>IFERROR(S54-Parameter_2016_SQ!S54,"kein Vergleichswert")</f>
        <v>0</v>
      </c>
      <c r="AR54" s="197">
        <f>IFERROR(T54-Parameter_2016_SQ!T54,"kein Vergleichswert")</f>
        <v>0</v>
      </c>
      <c r="AS54" s="197">
        <f>IFERROR(U54-Parameter_2016_SQ!U54,"kein Vergleichswert")</f>
        <v>0</v>
      </c>
      <c r="AT54" s="197">
        <f>IFERROR(V54-Parameter_2016_SQ!V54,"kein Vergleichswert")</f>
        <v>0</v>
      </c>
      <c r="AU54" s="197">
        <f>IFERROR(W54-Parameter_2016_SQ!W54,"kein Vergleichswert")</f>
        <v>0</v>
      </c>
      <c r="AV54" s="197">
        <f>IFERROR(X54-Parameter_2016_SQ!X54,"kein Vergleichswert")</f>
        <v>0</v>
      </c>
      <c r="AW54" s="197">
        <f>IFERROR(Z54-Parameter_2016_SQ!Z54,"kein Vergleichswert")</f>
        <v>0</v>
      </c>
      <c r="AX54" s="197">
        <f>IFERROR(AA54-Parameter_2016_SQ!AA54,"kein Vergleichswert")</f>
        <v>0</v>
      </c>
      <c r="AY54" s="197">
        <f>IFERROR(AB54-Parameter_2016_SQ!AB54,"kein Vergleichswert")</f>
        <v>0</v>
      </c>
    </row>
    <row r="55" spans="1:51" s="119" customFormat="1">
      <c r="A55" s="118"/>
      <c r="B55" s="119" t="s">
        <v>271</v>
      </c>
      <c r="C55" s="148"/>
      <c r="D55" s="148"/>
      <c r="F55" s="153"/>
      <c r="G55" s="153"/>
      <c r="H55" s="153"/>
      <c r="I55" s="153"/>
      <c r="J55" s="132"/>
      <c r="K55" s="149" t="s">
        <v>300</v>
      </c>
      <c r="L55" s="149" t="s">
        <v>300</v>
      </c>
      <c r="M55" s="150" t="s">
        <v>270</v>
      </c>
      <c r="N55" s="151" t="s">
        <v>270</v>
      </c>
      <c r="O55" s="152" t="s">
        <v>270</v>
      </c>
      <c r="P55" s="151"/>
      <c r="Q55" s="151"/>
      <c r="R55" s="150"/>
      <c r="S55" s="149" t="s">
        <v>300</v>
      </c>
      <c r="T55" s="149" t="s">
        <v>300</v>
      </c>
      <c r="U55" s="149" t="s">
        <v>300</v>
      </c>
      <c r="V55" s="150" t="s">
        <v>270</v>
      </c>
      <c r="W55" s="151" t="s">
        <v>270</v>
      </c>
      <c r="X55" s="152" t="s">
        <v>270</v>
      </c>
      <c r="Y55" s="152"/>
      <c r="Z55" s="153"/>
      <c r="AA55" s="153"/>
      <c r="AB55" s="153"/>
      <c r="AE55" s="197">
        <f>IFERROR(F55-Parameter_2016_SQ!F55,"kein Vergleichswert")</f>
        <v>0</v>
      </c>
      <c r="AF55" s="197">
        <f>IFERROR(G55-Parameter_2016_SQ!G55,"kein Vergleichswert")</f>
        <v>0</v>
      </c>
      <c r="AG55" s="197">
        <f>IFERROR(H55-Parameter_2016_SQ!H55,"kein Vergleichswert")</f>
        <v>0</v>
      </c>
      <c r="AH55" s="197">
        <f>IFERROR(I55-Parameter_2016_SQ!I55,"kein Vergleichswert")</f>
        <v>0</v>
      </c>
      <c r="AI55" s="197">
        <f>IFERROR(J55-Parameter_2016_SQ!J55,"kein Vergleichswert")</f>
        <v>0</v>
      </c>
      <c r="AJ55" s="197" t="str">
        <f>IFERROR(K55-Parameter_2016_SQ!K55,"kein Vergleichswert")</f>
        <v>kein Vergleichswert</v>
      </c>
      <c r="AK55" s="197" t="str">
        <f>IFERROR(L55-Parameter_2016_SQ!L55,"kein Vergleichswert")</f>
        <v>kein Vergleichswert</v>
      </c>
      <c r="AL55" s="197" t="str">
        <f>IFERROR(M55-Parameter_2016_SQ!M55,"kein Vergleichswert")</f>
        <v>kein Vergleichswert</v>
      </c>
      <c r="AM55" s="197" t="str">
        <f>IFERROR(N55-Parameter_2016_SQ!N55,"kein Vergleichswert")</f>
        <v>kein Vergleichswert</v>
      </c>
      <c r="AN55" s="197" t="str">
        <f>IFERROR(O55-Parameter_2016_SQ!O55,"kein Vergleichswert")</f>
        <v>kein Vergleichswert</v>
      </c>
      <c r="AO55" s="197">
        <f>IFERROR(Q55-Parameter_2016_SQ!Q55,"kein Vergleichswert")</f>
        <v>0</v>
      </c>
      <c r="AP55" s="197">
        <f>IFERROR(R55-Parameter_2016_SQ!R55,"kein Vergleichswert")</f>
        <v>0</v>
      </c>
      <c r="AQ55" s="197" t="str">
        <f>IFERROR(S55-Parameter_2016_SQ!S55,"kein Vergleichswert")</f>
        <v>kein Vergleichswert</v>
      </c>
      <c r="AR55" s="197" t="str">
        <f>IFERROR(T55-Parameter_2016_SQ!T55,"kein Vergleichswert")</f>
        <v>kein Vergleichswert</v>
      </c>
      <c r="AS55" s="197" t="str">
        <f>IFERROR(U55-Parameter_2016_SQ!U55,"kein Vergleichswert")</f>
        <v>kein Vergleichswert</v>
      </c>
      <c r="AT55" s="197" t="str">
        <f>IFERROR(V55-Parameter_2016_SQ!V55,"kein Vergleichswert")</f>
        <v>kein Vergleichswert</v>
      </c>
      <c r="AU55" s="197" t="str">
        <f>IFERROR(W55-Parameter_2016_SQ!W55,"kein Vergleichswert")</f>
        <v>kein Vergleichswert</v>
      </c>
      <c r="AV55" s="197" t="str">
        <f>IFERROR(X55-Parameter_2016_SQ!X55,"kein Vergleichswert")</f>
        <v>kein Vergleichswert</v>
      </c>
      <c r="AW55" s="197">
        <f>IFERROR(Z55-Parameter_2016_SQ!Z55,"kein Vergleichswert")</f>
        <v>0</v>
      </c>
      <c r="AX55" s="197">
        <f>IFERROR(AA55-Parameter_2016_SQ!AA55,"kein Vergleichswert")</f>
        <v>0</v>
      </c>
      <c r="AY55" s="197">
        <f>IFERROR(AB55-Parameter_2016_SQ!AB55,"kein Vergleichswert")</f>
        <v>0</v>
      </c>
    </row>
    <row r="56" spans="1:51" s="119" customFormat="1">
      <c r="A56" s="118"/>
      <c r="C56" s="148"/>
      <c r="D56" s="148"/>
      <c r="F56" s="136"/>
      <c r="G56" s="136"/>
      <c r="H56" s="136"/>
      <c r="I56" s="136"/>
      <c r="J56" s="132"/>
      <c r="K56" s="134"/>
      <c r="L56" s="135"/>
      <c r="M56" s="133"/>
      <c r="N56" s="134"/>
      <c r="O56" s="135"/>
      <c r="P56" s="134"/>
      <c r="Q56" s="134"/>
      <c r="R56" s="133"/>
      <c r="S56" s="134"/>
      <c r="T56" s="134"/>
      <c r="U56" s="135"/>
      <c r="V56" s="133"/>
      <c r="W56" s="134"/>
      <c r="X56" s="135"/>
      <c r="Y56" s="135"/>
      <c r="Z56" s="136"/>
      <c r="AA56" s="136"/>
      <c r="AB56" s="136"/>
      <c r="AE56" s="197">
        <f>IFERROR(F56-Parameter_2016_SQ!F56,"kein Vergleichswert")</f>
        <v>0</v>
      </c>
      <c r="AF56" s="197">
        <f>IFERROR(G56-Parameter_2016_SQ!G56,"kein Vergleichswert")</f>
        <v>0</v>
      </c>
      <c r="AG56" s="197">
        <f>IFERROR(H56-Parameter_2016_SQ!H56,"kein Vergleichswert")</f>
        <v>0</v>
      </c>
      <c r="AH56" s="197">
        <f>IFERROR(I56-Parameter_2016_SQ!I56,"kein Vergleichswert")</f>
        <v>0</v>
      </c>
      <c r="AI56" s="197">
        <f>IFERROR(J56-Parameter_2016_SQ!J56,"kein Vergleichswert")</f>
        <v>0</v>
      </c>
      <c r="AJ56" s="197">
        <f>IFERROR(K56-Parameter_2016_SQ!K56,"kein Vergleichswert")</f>
        <v>0</v>
      </c>
      <c r="AK56" s="197">
        <f>IFERROR(L56-Parameter_2016_SQ!L56,"kein Vergleichswert")</f>
        <v>0</v>
      </c>
      <c r="AL56" s="197">
        <f>IFERROR(M56-Parameter_2016_SQ!M56,"kein Vergleichswert")</f>
        <v>0</v>
      </c>
      <c r="AM56" s="197">
        <f>IFERROR(N56-Parameter_2016_SQ!N56,"kein Vergleichswert")</f>
        <v>0</v>
      </c>
      <c r="AN56" s="197">
        <f>IFERROR(O56-Parameter_2016_SQ!O56,"kein Vergleichswert")</f>
        <v>0</v>
      </c>
      <c r="AO56" s="197">
        <f>IFERROR(Q56-Parameter_2016_SQ!Q56,"kein Vergleichswert")</f>
        <v>0</v>
      </c>
      <c r="AP56" s="197">
        <f>IFERROR(R56-Parameter_2016_SQ!R56,"kein Vergleichswert")</f>
        <v>0</v>
      </c>
      <c r="AQ56" s="197">
        <f>IFERROR(S56-Parameter_2016_SQ!S56,"kein Vergleichswert")</f>
        <v>0</v>
      </c>
      <c r="AR56" s="197">
        <f>IFERROR(T56-Parameter_2016_SQ!T56,"kein Vergleichswert")</f>
        <v>0</v>
      </c>
      <c r="AS56" s="197">
        <f>IFERROR(U56-Parameter_2016_SQ!U56,"kein Vergleichswert")</f>
        <v>0</v>
      </c>
      <c r="AT56" s="197">
        <f>IFERROR(V56-Parameter_2016_SQ!V56,"kein Vergleichswert")</f>
        <v>0</v>
      </c>
      <c r="AU56" s="197">
        <f>IFERROR(W56-Parameter_2016_SQ!W56,"kein Vergleichswert")</f>
        <v>0</v>
      </c>
      <c r="AV56" s="197">
        <f>IFERROR(X56-Parameter_2016_SQ!X56,"kein Vergleichswert")</f>
        <v>0</v>
      </c>
      <c r="AW56" s="197">
        <f>IFERROR(Z56-Parameter_2016_SQ!Z56,"kein Vergleichswert")</f>
        <v>0</v>
      </c>
      <c r="AX56" s="197">
        <f>IFERROR(AA56-Parameter_2016_SQ!AA56,"kein Vergleichswert")</f>
        <v>0</v>
      </c>
      <c r="AY56" s="197">
        <f>IFERROR(AB56-Parameter_2016_SQ!AB56,"kein Vergleichswert")</f>
        <v>0</v>
      </c>
    </row>
    <row r="57" spans="1:51" ht="18.75">
      <c r="B57" s="108" t="s">
        <v>250</v>
      </c>
      <c r="C57" s="117"/>
      <c r="D57" s="117"/>
      <c r="E57" s="117"/>
      <c r="F57" s="140"/>
      <c r="G57" s="140"/>
      <c r="H57" s="140"/>
      <c r="I57" s="140"/>
      <c r="J57" s="127"/>
      <c r="K57" s="137"/>
      <c r="L57" s="138"/>
      <c r="M57" s="139"/>
      <c r="N57" s="137"/>
      <c r="O57" s="138"/>
      <c r="P57" s="137"/>
      <c r="Q57" s="137"/>
      <c r="R57" s="139"/>
      <c r="S57" s="137"/>
      <c r="T57" s="137"/>
      <c r="U57" s="138"/>
      <c r="V57" s="139"/>
      <c r="W57" s="137"/>
      <c r="X57" s="138"/>
      <c r="Y57" s="138"/>
      <c r="Z57" s="140"/>
      <c r="AA57" s="140"/>
      <c r="AB57" s="140"/>
      <c r="AE57" s="197">
        <f>IFERROR(F57-Parameter_2016_SQ!F57,"kein Vergleichswert")</f>
        <v>0</v>
      </c>
      <c r="AF57" s="197">
        <f>IFERROR(G57-Parameter_2016_SQ!G57,"kein Vergleichswert")</f>
        <v>0</v>
      </c>
      <c r="AG57" s="197">
        <f>IFERROR(H57-Parameter_2016_SQ!H57,"kein Vergleichswert")</f>
        <v>0</v>
      </c>
      <c r="AH57" s="197">
        <f>IFERROR(I57-Parameter_2016_SQ!I57,"kein Vergleichswert")</f>
        <v>0</v>
      </c>
      <c r="AI57" s="197">
        <f>IFERROR(J57-Parameter_2016_SQ!J57,"kein Vergleichswert")</f>
        <v>0</v>
      </c>
      <c r="AJ57" s="197">
        <f>IFERROR(K57-Parameter_2016_SQ!K57,"kein Vergleichswert")</f>
        <v>0</v>
      </c>
      <c r="AK57" s="197">
        <f>IFERROR(L57-Parameter_2016_SQ!L57,"kein Vergleichswert")</f>
        <v>0</v>
      </c>
      <c r="AL57" s="197">
        <f>IFERROR(M57-Parameter_2016_SQ!M57,"kein Vergleichswert")</f>
        <v>0</v>
      </c>
      <c r="AM57" s="197">
        <f>IFERROR(N57-Parameter_2016_SQ!N57,"kein Vergleichswert")</f>
        <v>0</v>
      </c>
      <c r="AN57" s="197">
        <f>IFERROR(O57-Parameter_2016_SQ!O57,"kein Vergleichswert")</f>
        <v>0</v>
      </c>
      <c r="AO57" s="197">
        <f>IFERROR(Q57-Parameter_2016_SQ!Q57,"kein Vergleichswert")</f>
        <v>0</v>
      </c>
      <c r="AP57" s="197">
        <f>IFERROR(R57-Parameter_2016_SQ!R57,"kein Vergleichswert")</f>
        <v>0</v>
      </c>
      <c r="AQ57" s="197">
        <f>IFERROR(S57-Parameter_2016_SQ!S57,"kein Vergleichswert")</f>
        <v>0</v>
      </c>
      <c r="AR57" s="197">
        <f>IFERROR(T57-Parameter_2016_SQ!T57,"kein Vergleichswert")</f>
        <v>0</v>
      </c>
      <c r="AS57" s="197">
        <f>IFERROR(U57-Parameter_2016_SQ!U57,"kein Vergleichswert")</f>
        <v>0</v>
      </c>
      <c r="AT57" s="197">
        <f>IFERROR(V57-Parameter_2016_SQ!V57,"kein Vergleichswert")</f>
        <v>0</v>
      </c>
      <c r="AU57" s="197">
        <f>IFERROR(W57-Parameter_2016_SQ!W57,"kein Vergleichswert")</f>
        <v>0</v>
      </c>
      <c r="AV57" s="197">
        <f>IFERROR(X57-Parameter_2016_SQ!X57,"kein Vergleichswert")</f>
        <v>0</v>
      </c>
      <c r="AW57" s="197">
        <f>IFERROR(Z57-Parameter_2016_SQ!Z57,"kein Vergleichswert")</f>
        <v>0</v>
      </c>
      <c r="AX57" s="197">
        <f>IFERROR(AA57-Parameter_2016_SQ!AA57,"kein Vergleichswert")</f>
        <v>0</v>
      </c>
      <c r="AY57" s="197">
        <f>IFERROR(AB57-Parameter_2016_SQ!AB57,"kein Vergleichswert")</f>
        <v>0</v>
      </c>
    </row>
    <row r="58" spans="1:51" ht="18.75">
      <c r="A58" s="109"/>
      <c r="B58" s="116" t="s">
        <v>243</v>
      </c>
      <c r="C58" s="117"/>
      <c r="D58" s="117"/>
      <c r="E58" s="117" t="s">
        <v>19</v>
      </c>
      <c r="F58" s="140"/>
      <c r="G58" s="140"/>
      <c r="H58" s="140"/>
      <c r="I58" s="140"/>
      <c r="J58" s="137" t="s">
        <v>280</v>
      </c>
      <c r="K58" s="137" t="s">
        <v>280</v>
      </c>
      <c r="L58" s="137" t="s">
        <v>280</v>
      </c>
      <c r="M58" s="139"/>
      <c r="N58" s="137"/>
      <c r="O58" s="138"/>
      <c r="P58" s="137"/>
      <c r="Q58" s="137"/>
      <c r="R58" s="139" t="s">
        <v>280</v>
      </c>
      <c r="S58" s="137" t="s">
        <v>280</v>
      </c>
      <c r="T58" s="137" t="s">
        <v>280</v>
      </c>
      <c r="U58" s="137" t="s">
        <v>280</v>
      </c>
      <c r="V58" s="139"/>
      <c r="W58" s="137"/>
      <c r="X58" s="138"/>
      <c r="Y58" s="138"/>
      <c r="Z58" s="140"/>
      <c r="AA58" s="140"/>
      <c r="AB58" s="140"/>
      <c r="AE58" s="197">
        <f>IFERROR(F58-Parameter_2016_SQ!F58,"kein Vergleichswert")</f>
        <v>0</v>
      </c>
      <c r="AF58" s="197">
        <f>IFERROR(G58-Parameter_2016_SQ!G58,"kein Vergleichswert")</f>
        <v>0</v>
      </c>
      <c r="AG58" s="197">
        <f>IFERROR(H58-Parameter_2016_SQ!H58,"kein Vergleichswert")</f>
        <v>0</v>
      </c>
      <c r="AH58" s="197">
        <f>IFERROR(I58-Parameter_2016_SQ!I58,"kein Vergleichswert")</f>
        <v>0</v>
      </c>
      <c r="AI58" s="197" t="str">
        <f>IFERROR(J58-Parameter_2016_SQ!J58,"kein Vergleichswert")</f>
        <v>kein Vergleichswert</v>
      </c>
      <c r="AJ58" s="197" t="str">
        <f>IFERROR(K58-Parameter_2016_SQ!K58,"kein Vergleichswert")</f>
        <v>kein Vergleichswert</v>
      </c>
      <c r="AK58" s="197" t="str">
        <f>IFERROR(L58-Parameter_2016_SQ!L58,"kein Vergleichswert")</f>
        <v>kein Vergleichswert</v>
      </c>
      <c r="AL58" s="197">
        <f>IFERROR(M58-Parameter_2016_SQ!M58,"kein Vergleichswert")</f>
        <v>0</v>
      </c>
      <c r="AM58" s="197">
        <f>IFERROR(N58-Parameter_2016_SQ!N58,"kein Vergleichswert")</f>
        <v>0</v>
      </c>
      <c r="AN58" s="197">
        <f>IFERROR(O58-Parameter_2016_SQ!O58,"kein Vergleichswert")</f>
        <v>0</v>
      </c>
      <c r="AO58" s="197">
        <f>IFERROR(Q58-Parameter_2016_SQ!Q58,"kein Vergleichswert")</f>
        <v>0</v>
      </c>
      <c r="AP58" s="197" t="str">
        <f>IFERROR(R58-Parameter_2016_SQ!R58,"kein Vergleichswert")</f>
        <v>kein Vergleichswert</v>
      </c>
      <c r="AQ58" s="197" t="str">
        <f>IFERROR(S58-Parameter_2016_SQ!S58,"kein Vergleichswert")</f>
        <v>kein Vergleichswert</v>
      </c>
      <c r="AR58" s="197" t="str">
        <f>IFERROR(T58-Parameter_2016_SQ!T58,"kein Vergleichswert")</f>
        <v>kein Vergleichswert</v>
      </c>
      <c r="AS58" s="197" t="str">
        <f>IFERROR(U58-Parameter_2016_SQ!U58,"kein Vergleichswert")</f>
        <v>kein Vergleichswert</v>
      </c>
      <c r="AT58" s="197">
        <f>IFERROR(V58-Parameter_2016_SQ!V58,"kein Vergleichswert")</f>
        <v>0</v>
      </c>
      <c r="AU58" s="197">
        <f>IFERROR(W58-Parameter_2016_SQ!W58,"kein Vergleichswert")</f>
        <v>0</v>
      </c>
      <c r="AV58" s="197">
        <f>IFERROR(X58-Parameter_2016_SQ!X58,"kein Vergleichswert")</f>
        <v>0</v>
      </c>
      <c r="AW58" s="197">
        <f>IFERROR(Z58-Parameter_2016_SQ!Z58,"kein Vergleichswert")</f>
        <v>0</v>
      </c>
      <c r="AX58" s="197">
        <f>IFERROR(AA58-Parameter_2016_SQ!AA58,"kein Vergleichswert")</f>
        <v>0</v>
      </c>
      <c r="AY58" s="197">
        <f>IFERROR(AB58-Parameter_2016_SQ!AB58,"kein Vergleichswert")</f>
        <v>0</v>
      </c>
    </row>
    <row r="59" spans="1:51" ht="30">
      <c r="A59" s="109"/>
      <c r="B59" s="116" t="s">
        <v>269</v>
      </c>
      <c r="C59" s="117"/>
      <c r="D59" s="117"/>
      <c r="E59" s="117"/>
      <c r="F59" s="140"/>
      <c r="G59" s="140"/>
      <c r="H59" s="140"/>
      <c r="I59" s="140"/>
      <c r="J59" s="127"/>
      <c r="K59" s="137">
        <v>-80</v>
      </c>
      <c r="L59" s="138">
        <v>-44</v>
      </c>
      <c r="M59" s="139"/>
      <c r="N59" s="137"/>
      <c r="O59" s="138"/>
      <c r="P59" s="137"/>
      <c r="Q59" s="137"/>
      <c r="R59" s="139"/>
      <c r="S59" s="137">
        <v>-60</v>
      </c>
      <c r="T59" s="137">
        <v>-50</v>
      </c>
      <c r="U59" s="138">
        <v>-50</v>
      </c>
      <c r="V59" s="139"/>
      <c r="W59" s="137"/>
      <c r="X59" s="138"/>
      <c r="Y59" s="138"/>
      <c r="Z59" s="140"/>
      <c r="AA59" s="140"/>
      <c r="AB59" s="140"/>
      <c r="AE59" s="197">
        <f>IFERROR(F59-Parameter_2016_SQ!F59,"kein Vergleichswert")</f>
        <v>0</v>
      </c>
      <c r="AF59" s="197">
        <f>IFERROR(G59-Parameter_2016_SQ!G59,"kein Vergleichswert")</f>
        <v>0</v>
      </c>
      <c r="AG59" s="197">
        <f>IFERROR(H59-Parameter_2016_SQ!H59,"kein Vergleichswert")</f>
        <v>0</v>
      </c>
      <c r="AH59" s="197">
        <f>IFERROR(I59-Parameter_2016_SQ!I59,"kein Vergleichswert")</f>
        <v>0</v>
      </c>
      <c r="AI59" s="197">
        <f>IFERROR(J59-Parameter_2016_SQ!J59,"kein Vergleichswert")</f>
        <v>0</v>
      </c>
      <c r="AJ59" s="197">
        <f>IFERROR(K59-Parameter_2016_SQ!K59,"kein Vergleichswert")</f>
        <v>0</v>
      </c>
      <c r="AK59" s="197">
        <f>IFERROR(L59-Parameter_2016_SQ!L59,"kein Vergleichswert")</f>
        <v>0</v>
      </c>
      <c r="AL59" s="197">
        <f>IFERROR(M59-Parameter_2016_SQ!M59,"kein Vergleichswert")</f>
        <v>0</v>
      </c>
      <c r="AM59" s="197">
        <f>IFERROR(N59-Parameter_2016_SQ!N59,"kein Vergleichswert")</f>
        <v>0</v>
      </c>
      <c r="AN59" s="197">
        <f>IFERROR(O59-Parameter_2016_SQ!O59,"kein Vergleichswert")</f>
        <v>0</v>
      </c>
      <c r="AO59" s="197">
        <f>IFERROR(Q59-Parameter_2016_SQ!Q59,"kein Vergleichswert")</f>
        <v>0</v>
      </c>
      <c r="AP59" s="197">
        <f>IFERROR(R59-Parameter_2016_SQ!R59,"kein Vergleichswert")</f>
        <v>0</v>
      </c>
      <c r="AQ59" s="197">
        <f>IFERROR(S59-Parameter_2016_SQ!S59,"kein Vergleichswert")</f>
        <v>0</v>
      </c>
      <c r="AR59" s="197">
        <f>IFERROR(T59-Parameter_2016_SQ!T59,"kein Vergleichswert")</f>
        <v>0</v>
      </c>
      <c r="AS59" s="197">
        <f>IFERROR(U59-Parameter_2016_SQ!U59,"kein Vergleichswert")</f>
        <v>0</v>
      </c>
      <c r="AT59" s="197">
        <f>IFERROR(V59-Parameter_2016_SQ!V59,"kein Vergleichswert")</f>
        <v>0</v>
      </c>
      <c r="AU59" s="197">
        <f>IFERROR(W59-Parameter_2016_SQ!W59,"kein Vergleichswert")</f>
        <v>0</v>
      </c>
      <c r="AV59" s="197">
        <f>IFERROR(X59-Parameter_2016_SQ!X59,"kein Vergleichswert")</f>
        <v>0</v>
      </c>
      <c r="AW59" s="197">
        <f>IFERROR(Z59-Parameter_2016_SQ!Z59,"kein Vergleichswert")</f>
        <v>0</v>
      </c>
      <c r="AX59" s="197">
        <f>IFERROR(AA59-Parameter_2016_SQ!AA59,"kein Vergleichswert")</f>
        <v>0</v>
      </c>
      <c r="AY59" s="197">
        <f>IFERROR(AB59-Parameter_2016_SQ!AB59,"kein Vergleichswert")</f>
        <v>0</v>
      </c>
    </row>
    <row r="60" spans="1:51" ht="30">
      <c r="A60" s="109"/>
      <c r="B60" s="168" t="s">
        <v>301</v>
      </c>
      <c r="C60" s="169"/>
      <c r="D60" s="169"/>
      <c r="E60" s="169" t="s">
        <v>19</v>
      </c>
      <c r="F60" s="173"/>
      <c r="G60" s="173"/>
      <c r="H60" s="173"/>
      <c r="I60" s="173"/>
      <c r="J60" s="170"/>
      <c r="K60" s="171">
        <f>(K59*30000)/(K15*10)</f>
        <v>-53.333333333333336</v>
      </c>
      <c r="L60" s="171">
        <f>(L59*30000)/(L15*10)</f>
        <v>-29.333333333333332</v>
      </c>
      <c r="M60" s="170"/>
      <c r="N60" s="171"/>
      <c r="O60" s="172"/>
      <c r="P60" s="171"/>
      <c r="Q60" s="171"/>
      <c r="R60" s="170"/>
      <c r="S60" s="171">
        <f>(S59*30000)/(S15*10)</f>
        <v>-40</v>
      </c>
      <c r="T60" s="171">
        <f>(T59*30000)/(T15*10)</f>
        <v>-33.333333333333336</v>
      </c>
      <c r="U60" s="171">
        <f>(U59*30000)/(U15*10)</f>
        <v>-33.333333333333336</v>
      </c>
      <c r="V60" s="170"/>
      <c r="W60" s="171"/>
      <c r="X60" s="172"/>
      <c r="Y60" s="172"/>
      <c r="Z60" s="173"/>
      <c r="AA60" s="173"/>
      <c r="AB60" s="173"/>
      <c r="AE60" s="197">
        <f>IFERROR(F60-Parameter_2016_SQ!F60,"kein Vergleichswert")</f>
        <v>0</v>
      </c>
      <c r="AF60" s="197">
        <f>IFERROR(G60-Parameter_2016_SQ!G60,"kein Vergleichswert")</f>
        <v>0</v>
      </c>
      <c r="AG60" s="197">
        <f>IFERROR(H60-Parameter_2016_SQ!H60,"kein Vergleichswert")</f>
        <v>0</v>
      </c>
      <c r="AH60" s="197">
        <f>IFERROR(I60-Parameter_2016_SQ!I60,"kein Vergleichswert")</f>
        <v>0</v>
      </c>
      <c r="AI60" s="197">
        <f>IFERROR(J60-Parameter_2016_SQ!J60,"kein Vergleichswert")</f>
        <v>0</v>
      </c>
      <c r="AJ60" s="197">
        <f>IFERROR(K60-Parameter_2016_SQ!K60,"kein Vergleichswert")</f>
        <v>0</v>
      </c>
      <c r="AK60" s="197">
        <f>IFERROR(L60-Parameter_2016_SQ!L60,"kein Vergleichswert")</f>
        <v>0</v>
      </c>
      <c r="AL60" s="197">
        <f>IFERROR(M60-Parameter_2016_SQ!M60,"kein Vergleichswert")</f>
        <v>0</v>
      </c>
      <c r="AM60" s="197">
        <f>IFERROR(N60-Parameter_2016_SQ!N60,"kein Vergleichswert")</f>
        <v>0</v>
      </c>
      <c r="AN60" s="197">
        <f>IFERROR(O60-Parameter_2016_SQ!O60,"kein Vergleichswert")</f>
        <v>0</v>
      </c>
      <c r="AO60" s="197">
        <f>IFERROR(Q60-Parameter_2016_SQ!Q60,"kein Vergleichswert")</f>
        <v>0</v>
      </c>
      <c r="AP60" s="197">
        <f>IFERROR(R60-Parameter_2016_SQ!R60,"kein Vergleichswert")</f>
        <v>0</v>
      </c>
      <c r="AQ60" s="197">
        <f>IFERROR(S60-Parameter_2016_SQ!S60,"kein Vergleichswert")</f>
        <v>0</v>
      </c>
      <c r="AR60" s="197">
        <f>IFERROR(T60-Parameter_2016_SQ!T60,"kein Vergleichswert")</f>
        <v>0</v>
      </c>
      <c r="AS60" s="197">
        <f>IFERROR(U60-Parameter_2016_SQ!U60,"kein Vergleichswert")</f>
        <v>0</v>
      </c>
      <c r="AT60" s="197">
        <f>IFERROR(V60-Parameter_2016_SQ!V60,"kein Vergleichswert")</f>
        <v>0</v>
      </c>
      <c r="AU60" s="197">
        <f>IFERROR(W60-Parameter_2016_SQ!W60,"kein Vergleichswert")</f>
        <v>0</v>
      </c>
      <c r="AV60" s="197">
        <f>IFERROR(X60-Parameter_2016_SQ!X60,"kein Vergleichswert")</f>
        <v>0</v>
      </c>
      <c r="AW60" s="197">
        <f>IFERROR(Z60-Parameter_2016_SQ!Z60,"kein Vergleichswert")</f>
        <v>0</v>
      </c>
      <c r="AX60" s="197">
        <f>IFERROR(AA60-Parameter_2016_SQ!AA60,"kein Vergleichswert")</f>
        <v>0</v>
      </c>
      <c r="AY60" s="197">
        <f>IFERROR(AB60-Parameter_2016_SQ!AB60,"kein Vergleichswert")</f>
        <v>0</v>
      </c>
    </row>
    <row r="61" spans="1:51" ht="18.75">
      <c r="A61" s="109"/>
      <c r="B61" s="116"/>
      <c r="C61" s="117"/>
      <c r="D61" s="117"/>
      <c r="E61" s="117"/>
      <c r="F61" s="131"/>
      <c r="G61" s="131"/>
      <c r="H61" s="131"/>
      <c r="I61" s="131"/>
      <c r="J61" s="127"/>
      <c r="K61" s="128"/>
      <c r="L61" s="129"/>
      <c r="M61" s="127"/>
      <c r="N61" s="128"/>
      <c r="O61" s="129"/>
      <c r="P61" s="128"/>
      <c r="Q61" s="128"/>
      <c r="R61" s="127"/>
      <c r="S61" s="128"/>
      <c r="T61" s="128"/>
      <c r="U61" s="129"/>
      <c r="V61" s="127"/>
      <c r="W61" s="128"/>
      <c r="X61" s="129"/>
      <c r="Y61" s="129"/>
      <c r="Z61" s="131"/>
      <c r="AA61" s="131"/>
      <c r="AB61" s="131"/>
      <c r="AE61" s="197">
        <f>IFERROR(F61-Parameter_2016_SQ!F61,"kein Vergleichswert")</f>
        <v>0</v>
      </c>
      <c r="AF61" s="197">
        <f>IFERROR(G61-Parameter_2016_SQ!G61,"kein Vergleichswert")</f>
        <v>0</v>
      </c>
      <c r="AG61" s="197">
        <f>IFERROR(H61-Parameter_2016_SQ!H61,"kein Vergleichswert")</f>
        <v>0</v>
      </c>
      <c r="AH61" s="197">
        <f>IFERROR(I61-Parameter_2016_SQ!I61,"kein Vergleichswert")</f>
        <v>0</v>
      </c>
      <c r="AI61" s="197">
        <f>IFERROR(J61-Parameter_2016_SQ!J61,"kein Vergleichswert")</f>
        <v>0</v>
      </c>
      <c r="AJ61" s="197">
        <f>IFERROR(K61-Parameter_2016_SQ!K61,"kein Vergleichswert")</f>
        <v>0</v>
      </c>
      <c r="AK61" s="197">
        <f>IFERROR(L61-Parameter_2016_SQ!L61,"kein Vergleichswert")</f>
        <v>0</v>
      </c>
      <c r="AL61" s="197">
        <f>IFERROR(M61-Parameter_2016_SQ!M61,"kein Vergleichswert")</f>
        <v>0</v>
      </c>
      <c r="AM61" s="197">
        <f>IFERROR(N61-Parameter_2016_SQ!N61,"kein Vergleichswert")</f>
        <v>0</v>
      </c>
      <c r="AN61" s="197">
        <f>IFERROR(O61-Parameter_2016_SQ!O61,"kein Vergleichswert")</f>
        <v>0</v>
      </c>
      <c r="AO61" s="197">
        <f>IFERROR(Q61-Parameter_2016_SQ!Q61,"kein Vergleichswert")</f>
        <v>0</v>
      </c>
      <c r="AP61" s="197">
        <f>IFERROR(R61-Parameter_2016_SQ!R61,"kein Vergleichswert")</f>
        <v>0</v>
      </c>
      <c r="AQ61" s="197">
        <f>IFERROR(S61-Parameter_2016_SQ!S61,"kein Vergleichswert")</f>
        <v>0</v>
      </c>
      <c r="AR61" s="197">
        <f>IFERROR(T61-Parameter_2016_SQ!T61,"kein Vergleichswert")</f>
        <v>0</v>
      </c>
      <c r="AS61" s="197">
        <f>IFERROR(U61-Parameter_2016_SQ!U61,"kein Vergleichswert")</f>
        <v>0</v>
      </c>
      <c r="AT61" s="197">
        <f>IFERROR(V61-Parameter_2016_SQ!V61,"kein Vergleichswert")</f>
        <v>0</v>
      </c>
      <c r="AU61" s="197">
        <f>IFERROR(W61-Parameter_2016_SQ!W61,"kein Vergleichswert")</f>
        <v>0</v>
      </c>
      <c r="AV61" s="197">
        <f>IFERROR(X61-Parameter_2016_SQ!X61,"kein Vergleichswert")</f>
        <v>0</v>
      </c>
      <c r="AW61" s="197">
        <f>IFERROR(Z61-Parameter_2016_SQ!Z61,"kein Vergleichswert")</f>
        <v>0</v>
      </c>
      <c r="AX61" s="197">
        <f>IFERROR(AA61-Parameter_2016_SQ!AA61,"kein Vergleichswert")</f>
        <v>0</v>
      </c>
      <c r="AY61" s="197">
        <f>IFERROR(AB61-Parameter_2016_SQ!AB61,"kein Vergleichswert")</f>
        <v>0</v>
      </c>
    </row>
    <row r="62" spans="1:51" ht="18.75">
      <c r="B62" s="108" t="s">
        <v>268</v>
      </c>
      <c r="C62" s="117"/>
      <c r="D62" s="117"/>
      <c r="E62" s="117"/>
      <c r="F62" s="131"/>
      <c r="G62" s="131"/>
      <c r="H62" s="131"/>
      <c r="I62" s="131"/>
      <c r="J62" s="127"/>
      <c r="K62" s="128"/>
      <c r="L62" s="129"/>
      <c r="M62" s="127"/>
      <c r="N62" s="128"/>
      <c r="O62" s="129"/>
      <c r="P62" s="128"/>
      <c r="Q62" s="128"/>
      <c r="R62" s="127"/>
      <c r="S62" s="128"/>
      <c r="T62" s="128"/>
      <c r="U62" s="129"/>
      <c r="V62" s="127"/>
      <c r="W62" s="128"/>
      <c r="X62" s="129"/>
      <c r="Y62" s="129"/>
      <c r="Z62" s="131"/>
      <c r="AA62" s="131"/>
      <c r="AB62" s="131"/>
      <c r="AE62" s="197">
        <f>IFERROR(F62-Parameter_2016_SQ!F62,"kein Vergleichswert")</f>
        <v>0</v>
      </c>
      <c r="AF62" s="197">
        <f>IFERROR(G62-Parameter_2016_SQ!G62,"kein Vergleichswert")</f>
        <v>0</v>
      </c>
      <c r="AG62" s="197">
        <f>IFERROR(H62-Parameter_2016_SQ!H62,"kein Vergleichswert")</f>
        <v>0</v>
      </c>
      <c r="AH62" s="197">
        <f>IFERROR(I62-Parameter_2016_SQ!I62,"kein Vergleichswert")</f>
        <v>0</v>
      </c>
      <c r="AI62" s="197">
        <f>IFERROR(J62-Parameter_2016_SQ!J62,"kein Vergleichswert")</f>
        <v>0</v>
      </c>
      <c r="AJ62" s="197">
        <f>IFERROR(K62-Parameter_2016_SQ!K62,"kein Vergleichswert")</f>
        <v>0</v>
      </c>
      <c r="AK62" s="197">
        <f>IFERROR(L62-Parameter_2016_SQ!L62,"kein Vergleichswert")</f>
        <v>0</v>
      </c>
      <c r="AL62" s="197">
        <f>IFERROR(M62-Parameter_2016_SQ!M62,"kein Vergleichswert")</f>
        <v>0</v>
      </c>
      <c r="AM62" s="197">
        <f>IFERROR(N62-Parameter_2016_SQ!N62,"kein Vergleichswert")</f>
        <v>0</v>
      </c>
      <c r="AN62" s="197">
        <f>IFERROR(O62-Parameter_2016_SQ!O62,"kein Vergleichswert")</f>
        <v>0</v>
      </c>
      <c r="AO62" s="197">
        <f>IFERROR(Q62-Parameter_2016_SQ!Q62,"kein Vergleichswert")</f>
        <v>0</v>
      </c>
      <c r="AP62" s="197">
        <f>IFERROR(R62-Parameter_2016_SQ!R62,"kein Vergleichswert")</f>
        <v>0</v>
      </c>
      <c r="AQ62" s="197">
        <f>IFERROR(S62-Parameter_2016_SQ!S62,"kein Vergleichswert")</f>
        <v>0</v>
      </c>
      <c r="AR62" s="197">
        <f>IFERROR(T62-Parameter_2016_SQ!T62,"kein Vergleichswert")</f>
        <v>0</v>
      </c>
      <c r="AS62" s="197">
        <f>IFERROR(U62-Parameter_2016_SQ!U62,"kein Vergleichswert")</f>
        <v>0</v>
      </c>
      <c r="AT62" s="197">
        <f>IFERROR(V62-Parameter_2016_SQ!V62,"kein Vergleichswert")</f>
        <v>0</v>
      </c>
      <c r="AU62" s="197">
        <f>IFERROR(W62-Parameter_2016_SQ!W62,"kein Vergleichswert")</f>
        <v>0</v>
      </c>
      <c r="AV62" s="197">
        <f>IFERROR(X62-Parameter_2016_SQ!X62,"kein Vergleichswert")</f>
        <v>0</v>
      </c>
      <c r="AW62" s="197">
        <f>IFERROR(Z62-Parameter_2016_SQ!Z62,"kein Vergleichswert")</f>
        <v>0</v>
      </c>
      <c r="AX62" s="197">
        <f>IFERROR(AA62-Parameter_2016_SQ!AA62,"kein Vergleichswert")</f>
        <v>0</v>
      </c>
      <c r="AY62" s="197">
        <f>IFERROR(AB62-Parameter_2016_SQ!AB62,"kein Vergleichswert")</f>
        <v>0</v>
      </c>
    </row>
    <row r="63" spans="1:51" ht="18.75">
      <c r="A63" s="109"/>
      <c r="B63" s="158" t="s">
        <v>190</v>
      </c>
      <c r="C63" s="159" t="s">
        <v>190</v>
      </c>
      <c r="D63" s="159" t="s">
        <v>190</v>
      </c>
      <c r="E63" s="160"/>
      <c r="F63" s="164">
        <f>SUM(F41:F50)</f>
        <v>136.42999999999998</v>
      </c>
      <c r="G63" s="164">
        <f>SUM(G41:G50)</f>
        <v>59.099999999999994</v>
      </c>
      <c r="H63" s="164">
        <f>SUM(H41:H50)</f>
        <v>136.42999999999998</v>
      </c>
      <c r="I63" s="164">
        <f>SUM(I41:I50)</f>
        <v>59.099999999999994</v>
      </c>
      <c r="J63" s="161">
        <f t="shared" ref="J63:O63" si="11">SUM(J32:J35)</f>
        <v>0</v>
      </c>
      <c r="K63" s="162">
        <f t="shared" si="11"/>
        <v>6.525695692800447</v>
      </c>
      <c r="L63" s="163">
        <f t="shared" si="11"/>
        <v>4.7905463123332792</v>
      </c>
      <c r="M63" s="161">
        <f t="shared" si="11"/>
        <v>10.521576695416815</v>
      </c>
      <c r="N63" s="162">
        <f t="shared" si="11"/>
        <v>10.02182735584435</v>
      </c>
      <c r="O63" s="163">
        <f t="shared" si="11"/>
        <v>12.659090661212936</v>
      </c>
      <c r="P63" s="163"/>
      <c r="Q63" s="164">
        <f>SUM(Q41:Q50)</f>
        <v>0</v>
      </c>
      <c r="R63" s="161">
        <f t="shared" ref="R63:X63" si="12">SUM(R32:R35)</f>
        <v>0</v>
      </c>
      <c r="S63" s="162">
        <f t="shared" si="12"/>
        <v>6.1793702190084145</v>
      </c>
      <c r="T63" s="162">
        <f t="shared" si="12"/>
        <v>6.2364168053354616</v>
      </c>
      <c r="U63" s="163">
        <f t="shared" si="12"/>
        <v>6.2364168053354616</v>
      </c>
      <c r="V63" s="161">
        <f t="shared" si="12"/>
        <v>9.0989176109859695</v>
      </c>
      <c r="W63" s="162">
        <f t="shared" si="12"/>
        <v>12.167208038690971</v>
      </c>
      <c r="X63" s="163">
        <f t="shared" si="12"/>
        <v>13.317070053416169</v>
      </c>
      <c r="Y63" s="163"/>
      <c r="Z63" s="164">
        <f>SUM(Z41:Z50)</f>
        <v>0</v>
      </c>
      <c r="AA63" s="164"/>
      <c r="AB63" s="164"/>
      <c r="AE63" s="197">
        <f>IFERROR(F63-Parameter_2016_SQ!F63,"kein Vergleichswert")</f>
        <v>0</v>
      </c>
      <c r="AF63" s="197">
        <f>IFERROR(G63-Parameter_2016_SQ!G63,"kein Vergleichswert")</f>
        <v>-77.329999999999984</v>
      </c>
      <c r="AG63" s="197">
        <f>IFERROR(H63-Parameter_2016_SQ!H63,"kein Vergleichswert")</f>
        <v>0</v>
      </c>
      <c r="AH63" s="197">
        <f>IFERROR(I63-Parameter_2016_SQ!I63,"kein Vergleichswert")</f>
        <v>-77.329999999999984</v>
      </c>
      <c r="AI63" s="197">
        <f>IFERROR(J63-Parameter_2016_SQ!J63,"kein Vergleichswert")</f>
        <v>0</v>
      </c>
      <c r="AJ63" s="197">
        <f>IFERROR(K63-Parameter_2016_SQ!K63,"kein Vergleichswert")</f>
        <v>0</v>
      </c>
      <c r="AK63" s="197">
        <f>IFERROR(L63-Parameter_2016_SQ!L63,"kein Vergleichswert")</f>
        <v>0</v>
      </c>
      <c r="AL63" s="197">
        <f>IFERROR(M63-Parameter_2016_SQ!M63,"kein Vergleichswert")</f>
        <v>0</v>
      </c>
      <c r="AM63" s="197">
        <f>IFERROR(N63-Parameter_2016_SQ!N63,"kein Vergleichswert")</f>
        <v>0</v>
      </c>
      <c r="AN63" s="197">
        <f>IFERROR(O63-Parameter_2016_SQ!O63,"kein Vergleichswert")</f>
        <v>0</v>
      </c>
      <c r="AO63" s="197">
        <f>IFERROR(Q63-Parameter_2016_SQ!Q63,"kein Vergleichswert")</f>
        <v>0</v>
      </c>
      <c r="AP63" s="197">
        <f>IFERROR(R63-Parameter_2016_SQ!R63,"kein Vergleichswert")</f>
        <v>0</v>
      </c>
      <c r="AQ63" s="197">
        <f>IFERROR(S63-Parameter_2016_SQ!S63,"kein Vergleichswert")</f>
        <v>0</v>
      </c>
      <c r="AR63" s="197">
        <f>IFERROR(T63-Parameter_2016_SQ!T63,"kein Vergleichswert")</f>
        <v>0</v>
      </c>
      <c r="AS63" s="197">
        <f>IFERROR(U63-Parameter_2016_SQ!U63,"kein Vergleichswert")</f>
        <v>0</v>
      </c>
      <c r="AT63" s="197">
        <f>IFERROR(V63-Parameter_2016_SQ!V63,"kein Vergleichswert")</f>
        <v>0</v>
      </c>
      <c r="AU63" s="197">
        <f>IFERROR(W63-Parameter_2016_SQ!W63,"kein Vergleichswert")</f>
        <v>0</v>
      </c>
      <c r="AV63" s="197">
        <f>IFERROR(X63-Parameter_2016_SQ!X63,"kein Vergleichswert")</f>
        <v>0</v>
      </c>
      <c r="AW63" s="197">
        <f>IFERROR(Z63-Parameter_2016_SQ!Z63,"kein Vergleichswert")</f>
        <v>0</v>
      </c>
      <c r="AX63" s="197">
        <f>IFERROR(AA63-Parameter_2016_SQ!AA63,"kein Vergleichswert")</f>
        <v>0</v>
      </c>
      <c r="AY63" s="197">
        <f>IFERROR(AB63-Parameter_2016_SQ!AB63,"kein Vergleichswert")</f>
        <v>0</v>
      </c>
    </row>
    <row r="64" spans="1:51" ht="18.75">
      <c r="A64" s="109"/>
      <c r="B64" s="165" t="s">
        <v>191</v>
      </c>
      <c r="C64" s="166" t="s">
        <v>191</v>
      </c>
      <c r="D64" s="166" t="s">
        <v>191</v>
      </c>
      <c r="E64" s="167"/>
      <c r="F64" s="115">
        <f>SUM(F54:F54)+F60</f>
        <v>0</v>
      </c>
      <c r="G64" s="115">
        <f>SUM(G54:G54)+G60</f>
        <v>0</v>
      </c>
      <c r="H64" s="115">
        <f>SUM(H54:H54)+H60</f>
        <v>0</v>
      </c>
      <c r="I64" s="115">
        <f>SUM(I54:I54)+I60</f>
        <v>0</v>
      </c>
      <c r="J64" s="113">
        <f t="shared" ref="J64:Z64" si="13">SUM(J54:J54)+J60</f>
        <v>0</v>
      </c>
      <c r="K64" s="114">
        <f t="shared" si="13"/>
        <v>-22.569668560051554</v>
      </c>
      <c r="L64" s="115">
        <f t="shared" si="13"/>
        <v>-17.823250123061307</v>
      </c>
      <c r="M64" s="113">
        <f t="shared" si="13"/>
        <v>0.5</v>
      </c>
      <c r="N64" s="114">
        <f t="shared" si="13"/>
        <v>0.5</v>
      </c>
      <c r="O64" s="115">
        <f t="shared" si="13"/>
        <v>0.5</v>
      </c>
      <c r="P64" s="115"/>
      <c r="Q64" s="115">
        <f t="shared" si="13"/>
        <v>0.2</v>
      </c>
      <c r="R64" s="113">
        <f t="shared" si="13"/>
        <v>0</v>
      </c>
      <c r="S64" s="114">
        <f t="shared" si="13"/>
        <v>-18.931008861362155</v>
      </c>
      <c r="T64" s="114">
        <f t="shared" si="13"/>
        <v>-12.264342194695491</v>
      </c>
      <c r="U64" s="115">
        <f t="shared" si="13"/>
        <v>-12.264342194695491</v>
      </c>
      <c r="V64" s="113">
        <f t="shared" si="13"/>
        <v>0.5</v>
      </c>
      <c r="W64" s="114">
        <f t="shared" si="13"/>
        <v>0.5</v>
      </c>
      <c r="X64" s="115">
        <f t="shared" si="13"/>
        <v>0.5</v>
      </c>
      <c r="Y64" s="115"/>
      <c r="Z64" s="126">
        <f t="shared" si="13"/>
        <v>0.2</v>
      </c>
      <c r="AA64" s="126"/>
      <c r="AB64" s="126"/>
      <c r="AE64" s="197">
        <f>IFERROR(F64-Parameter_2016_SQ!F64,"kein Vergleichswert")</f>
        <v>0</v>
      </c>
      <c r="AF64" s="197">
        <f>IFERROR(G64-Parameter_2016_SQ!G64,"kein Vergleichswert")</f>
        <v>0</v>
      </c>
      <c r="AG64" s="197">
        <f>IFERROR(H64-Parameter_2016_SQ!H64,"kein Vergleichswert")</f>
        <v>0</v>
      </c>
      <c r="AH64" s="197">
        <f>IFERROR(I64-Parameter_2016_SQ!I64,"kein Vergleichswert")</f>
        <v>0</v>
      </c>
      <c r="AI64" s="197">
        <f>IFERROR(J64-Parameter_2016_SQ!J64,"kein Vergleichswert")</f>
        <v>0</v>
      </c>
      <c r="AJ64" s="197">
        <f>IFERROR(K64-Parameter_2016_SQ!K64,"kein Vergleichswert")</f>
        <v>0</v>
      </c>
      <c r="AK64" s="197">
        <f>IFERROR(L64-Parameter_2016_SQ!L64,"kein Vergleichswert")</f>
        <v>0</v>
      </c>
      <c r="AL64" s="197">
        <f>IFERROR(M64-Parameter_2016_SQ!M64,"kein Vergleichswert")</f>
        <v>0</v>
      </c>
      <c r="AM64" s="197">
        <f>IFERROR(N64-Parameter_2016_SQ!N64,"kein Vergleichswert")</f>
        <v>0</v>
      </c>
      <c r="AN64" s="197">
        <f>IFERROR(O64-Parameter_2016_SQ!O64,"kein Vergleichswert")</f>
        <v>0</v>
      </c>
      <c r="AO64" s="197">
        <f>IFERROR(Q64-Parameter_2016_SQ!Q64,"kein Vergleichswert")</f>
        <v>0</v>
      </c>
      <c r="AP64" s="197">
        <f>IFERROR(R64-Parameter_2016_SQ!R64,"kein Vergleichswert")</f>
        <v>0</v>
      </c>
      <c r="AQ64" s="197">
        <f>IFERROR(S64-Parameter_2016_SQ!S64,"kein Vergleichswert")</f>
        <v>0</v>
      </c>
      <c r="AR64" s="197">
        <f>IFERROR(T64-Parameter_2016_SQ!T64,"kein Vergleichswert")</f>
        <v>0</v>
      </c>
      <c r="AS64" s="197">
        <f>IFERROR(U64-Parameter_2016_SQ!U64,"kein Vergleichswert")</f>
        <v>0</v>
      </c>
      <c r="AT64" s="197">
        <f>IFERROR(V64-Parameter_2016_SQ!V64,"kein Vergleichswert")</f>
        <v>0</v>
      </c>
      <c r="AU64" s="197">
        <f>IFERROR(W64-Parameter_2016_SQ!W64,"kein Vergleichswert")</f>
        <v>0</v>
      </c>
      <c r="AV64" s="197">
        <f>IFERROR(X64-Parameter_2016_SQ!X64,"kein Vergleichswert")</f>
        <v>0</v>
      </c>
      <c r="AW64" s="197">
        <f>IFERROR(Z64-Parameter_2016_SQ!Z64,"kein Vergleichswert")</f>
        <v>0</v>
      </c>
      <c r="AX64" s="197">
        <f>IFERROR(AA64-Parameter_2016_SQ!AA64,"kein Vergleichswert")</f>
        <v>0</v>
      </c>
      <c r="AY64" s="197">
        <f>IFERROR(AB64-Parameter_2016_SQ!AB64,"kein Vergleichswert")</f>
        <v>0</v>
      </c>
    </row>
    <row r="65" spans="1:51" ht="18.75">
      <c r="A65" s="109"/>
      <c r="F65" s="131"/>
      <c r="G65" s="131"/>
      <c r="H65" s="131"/>
      <c r="I65" s="131"/>
      <c r="J65" s="127"/>
      <c r="K65" s="128"/>
      <c r="L65" s="129"/>
      <c r="M65" s="127"/>
      <c r="N65" s="128"/>
      <c r="O65" s="129"/>
      <c r="P65" s="128"/>
      <c r="Q65" s="128"/>
      <c r="R65" s="127"/>
      <c r="S65" s="128"/>
      <c r="T65" s="128"/>
      <c r="U65" s="129"/>
      <c r="V65" s="127"/>
      <c r="W65" s="128"/>
      <c r="X65" s="129"/>
      <c r="Y65" s="129"/>
      <c r="Z65" s="131"/>
      <c r="AA65" s="131"/>
      <c r="AB65" s="131"/>
      <c r="AE65" s="197">
        <f>IFERROR(F65-Parameter_2016_SQ!F65,"kein Vergleichswert")</f>
        <v>0</v>
      </c>
      <c r="AF65" s="197">
        <f>IFERROR(G65-Parameter_2016_SQ!G65,"kein Vergleichswert")</f>
        <v>0</v>
      </c>
      <c r="AG65" s="197">
        <f>IFERROR(H65-Parameter_2016_SQ!H65,"kein Vergleichswert")</f>
        <v>0</v>
      </c>
      <c r="AH65" s="197">
        <f>IFERROR(I65-Parameter_2016_SQ!I65,"kein Vergleichswert")</f>
        <v>0</v>
      </c>
      <c r="AI65" s="197">
        <f>IFERROR(J65-Parameter_2016_SQ!J65,"kein Vergleichswert")</f>
        <v>0</v>
      </c>
      <c r="AJ65" s="197">
        <f>IFERROR(K65-Parameter_2016_SQ!K65,"kein Vergleichswert")</f>
        <v>0</v>
      </c>
      <c r="AK65" s="197">
        <f>IFERROR(L65-Parameter_2016_SQ!L65,"kein Vergleichswert")</f>
        <v>0</v>
      </c>
      <c r="AL65" s="197">
        <f>IFERROR(M65-Parameter_2016_SQ!M65,"kein Vergleichswert")</f>
        <v>0</v>
      </c>
      <c r="AM65" s="197">
        <f>IFERROR(N65-Parameter_2016_SQ!N65,"kein Vergleichswert")</f>
        <v>0</v>
      </c>
      <c r="AN65" s="197">
        <f>IFERROR(O65-Parameter_2016_SQ!O65,"kein Vergleichswert")</f>
        <v>0</v>
      </c>
      <c r="AO65" s="197">
        <f>IFERROR(Q65-Parameter_2016_SQ!Q65,"kein Vergleichswert")</f>
        <v>0</v>
      </c>
      <c r="AP65" s="197">
        <f>IFERROR(R65-Parameter_2016_SQ!R65,"kein Vergleichswert")</f>
        <v>0</v>
      </c>
      <c r="AQ65" s="197">
        <f>IFERROR(S65-Parameter_2016_SQ!S65,"kein Vergleichswert")</f>
        <v>0</v>
      </c>
      <c r="AR65" s="197">
        <f>IFERROR(T65-Parameter_2016_SQ!T65,"kein Vergleichswert")</f>
        <v>0</v>
      </c>
      <c r="AS65" s="197">
        <f>IFERROR(U65-Parameter_2016_SQ!U65,"kein Vergleichswert")</f>
        <v>0</v>
      </c>
      <c r="AT65" s="197">
        <f>IFERROR(V65-Parameter_2016_SQ!V65,"kein Vergleichswert")</f>
        <v>0</v>
      </c>
      <c r="AU65" s="197">
        <f>IFERROR(W65-Parameter_2016_SQ!W65,"kein Vergleichswert")</f>
        <v>0</v>
      </c>
      <c r="AV65" s="197">
        <f>IFERROR(X65-Parameter_2016_SQ!X65,"kein Vergleichswert")</f>
        <v>0</v>
      </c>
      <c r="AW65" s="197">
        <f>IFERROR(Z65-Parameter_2016_SQ!Z65,"kein Vergleichswert")</f>
        <v>0</v>
      </c>
      <c r="AX65" s="197">
        <f>IFERROR(AA65-Parameter_2016_SQ!AA65,"kein Vergleichswert")</f>
        <v>0</v>
      </c>
      <c r="AY65" s="197">
        <f>IFERROR(AB65-Parameter_2016_SQ!AB65,"kein Vergleichswert")</f>
        <v>0</v>
      </c>
    </row>
    <row r="66" spans="1:51" ht="18.75">
      <c r="A66" s="109"/>
      <c r="B66" s="108" t="s">
        <v>310</v>
      </c>
      <c r="F66" s="131"/>
      <c r="G66" s="131"/>
      <c r="H66" s="131"/>
      <c r="I66" s="131"/>
      <c r="J66" s="127"/>
      <c r="K66" s="128"/>
      <c r="L66" s="129"/>
      <c r="M66" s="127"/>
      <c r="N66" s="128"/>
      <c r="O66" s="129"/>
      <c r="P66" s="128"/>
      <c r="Q66" s="128"/>
      <c r="R66" s="127"/>
      <c r="S66" s="128"/>
      <c r="T66" s="128"/>
      <c r="U66" s="129"/>
      <c r="V66" s="127"/>
      <c r="W66" s="128"/>
      <c r="X66" s="129"/>
      <c r="Y66" s="129"/>
      <c r="Z66" s="131"/>
      <c r="AA66" s="131"/>
      <c r="AB66" s="131"/>
      <c r="AE66" s="197">
        <f>IFERROR(F66-Parameter_2016_SQ!F66,"kein Vergleichswert")</f>
        <v>0</v>
      </c>
      <c r="AF66" s="197">
        <f>IFERROR(G66-Parameter_2016_SQ!G66,"kein Vergleichswert")</f>
        <v>0</v>
      </c>
      <c r="AG66" s="197">
        <f>IFERROR(H66-Parameter_2016_SQ!H66,"kein Vergleichswert")</f>
        <v>0</v>
      </c>
      <c r="AH66" s="197">
        <f>IFERROR(I66-Parameter_2016_SQ!I66,"kein Vergleichswert")</f>
        <v>0</v>
      </c>
      <c r="AI66" s="197">
        <f>IFERROR(J66-Parameter_2016_SQ!J66,"kein Vergleichswert")</f>
        <v>0</v>
      </c>
      <c r="AJ66" s="197">
        <f>IFERROR(K66-Parameter_2016_SQ!K66,"kein Vergleichswert")</f>
        <v>0</v>
      </c>
      <c r="AK66" s="197">
        <f>IFERROR(L66-Parameter_2016_SQ!L66,"kein Vergleichswert")</f>
        <v>0</v>
      </c>
      <c r="AL66" s="197">
        <f>IFERROR(M66-Parameter_2016_SQ!M66,"kein Vergleichswert")</f>
        <v>0</v>
      </c>
      <c r="AM66" s="197">
        <f>IFERROR(N66-Parameter_2016_SQ!N66,"kein Vergleichswert")</f>
        <v>0</v>
      </c>
      <c r="AN66" s="197">
        <f>IFERROR(O66-Parameter_2016_SQ!O66,"kein Vergleichswert")</f>
        <v>0</v>
      </c>
      <c r="AO66" s="197">
        <f>IFERROR(Q66-Parameter_2016_SQ!Q66,"kein Vergleichswert")</f>
        <v>0</v>
      </c>
      <c r="AP66" s="197">
        <f>IFERROR(R66-Parameter_2016_SQ!R66,"kein Vergleichswert")</f>
        <v>0</v>
      </c>
      <c r="AQ66" s="197">
        <f>IFERROR(S66-Parameter_2016_SQ!S66,"kein Vergleichswert")</f>
        <v>0</v>
      </c>
      <c r="AR66" s="197">
        <f>IFERROR(T66-Parameter_2016_SQ!T66,"kein Vergleichswert")</f>
        <v>0</v>
      </c>
      <c r="AS66" s="197">
        <f>IFERROR(U66-Parameter_2016_SQ!U66,"kein Vergleichswert")</f>
        <v>0</v>
      </c>
      <c r="AT66" s="197">
        <f>IFERROR(V66-Parameter_2016_SQ!V66,"kein Vergleichswert")</f>
        <v>0</v>
      </c>
      <c r="AU66" s="197">
        <f>IFERROR(W66-Parameter_2016_SQ!W66,"kein Vergleichswert")</f>
        <v>0</v>
      </c>
      <c r="AV66" s="197">
        <f>IFERROR(X66-Parameter_2016_SQ!X66,"kein Vergleichswert")</f>
        <v>0</v>
      </c>
      <c r="AW66" s="197">
        <f>IFERROR(Z66-Parameter_2016_SQ!Z66,"kein Vergleichswert")</f>
        <v>0</v>
      </c>
      <c r="AX66" s="197">
        <f>IFERROR(AA66-Parameter_2016_SQ!AA66,"kein Vergleichswert")</f>
        <v>0</v>
      </c>
      <c r="AY66" s="197">
        <f>IFERROR(AB66-Parameter_2016_SQ!AB66,"kein Vergleichswert")</f>
        <v>0</v>
      </c>
    </row>
    <row r="67" spans="1:51" ht="18.75">
      <c r="A67" s="109"/>
      <c r="B67" s="178" t="s">
        <v>294</v>
      </c>
      <c r="C67" s="180"/>
      <c r="D67" s="180"/>
      <c r="E67" s="180" t="s">
        <v>168</v>
      </c>
      <c r="F67" s="184"/>
      <c r="G67" s="184"/>
      <c r="H67" s="184"/>
      <c r="I67" s="184"/>
      <c r="J67" s="141"/>
      <c r="K67" s="142">
        <v>1800000</v>
      </c>
      <c r="L67" s="143">
        <v>700000</v>
      </c>
      <c r="M67" s="141">
        <v>70000</v>
      </c>
      <c r="N67" s="142">
        <v>70000</v>
      </c>
      <c r="O67" s="143">
        <v>70000</v>
      </c>
      <c r="P67" s="142"/>
      <c r="Q67" s="142">
        <f>0.08*1000000</f>
        <v>80000</v>
      </c>
      <c r="R67" s="141"/>
      <c r="S67" s="142">
        <v>970099.00240289012</v>
      </c>
      <c r="T67" s="142">
        <v>970099.00240289012</v>
      </c>
      <c r="U67" s="143">
        <v>970099.00240289012</v>
      </c>
      <c r="V67" s="141">
        <v>70000</v>
      </c>
      <c r="W67" s="142">
        <v>70000</v>
      </c>
      <c r="X67" s="143">
        <v>70000</v>
      </c>
      <c r="Y67" s="143"/>
      <c r="Z67" s="184">
        <f>0.08*1000000</f>
        <v>80000</v>
      </c>
      <c r="AA67" s="184">
        <f>0.08*1000000</f>
        <v>80000</v>
      </c>
      <c r="AB67" s="184">
        <f>0.08*1000000</f>
        <v>80000</v>
      </c>
      <c r="AE67" s="197">
        <f>IFERROR(F67-Parameter_2016_SQ!F67,"kein Vergleichswert")</f>
        <v>0</v>
      </c>
      <c r="AF67" s="197">
        <f>IFERROR(G67-Parameter_2016_SQ!G67,"kein Vergleichswert")</f>
        <v>0</v>
      </c>
      <c r="AG67" s="197">
        <f>IFERROR(H67-Parameter_2016_SQ!H67,"kein Vergleichswert")</f>
        <v>0</v>
      </c>
      <c r="AH67" s="197">
        <f>IFERROR(I67-Parameter_2016_SQ!I67,"kein Vergleichswert")</f>
        <v>0</v>
      </c>
      <c r="AI67" s="197">
        <f>IFERROR(J67-Parameter_2016_SQ!J67,"kein Vergleichswert")</f>
        <v>0</v>
      </c>
      <c r="AJ67" s="197">
        <f>IFERROR(K67-Parameter_2016_SQ!K67,"kein Vergleichswert")</f>
        <v>0</v>
      </c>
      <c r="AK67" s="197">
        <f>IFERROR(L67-Parameter_2016_SQ!L67,"kein Vergleichswert")</f>
        <v>0</v>
      </c>
      <c r="AL67" s="197">
        <f>IFERROR(M67-Parameter_2016_SQ!M67,"kein Vergleichswert")</f>
        <v>0</v>
      </c>
      <c r="AM67" s="197">
        <f>IFERROR(N67-Parameter_2016_SQ!N67,"kein Vergleichswert")</f>
        <v>0</v>
      </c>
      <c r="AN67" s="197">
        <f>IFERROR(O67-Parameter_2016_SQ!O67,"kein Vergleichswert")</f>
        <v>0</v>
      </c>
      <c r="AO67" s="197">
        <f>IFERROR(Q67-Parameter_2016_SQ!Q67,"kein Vergleichswert")</f>
        <v>0</v>
      </c>
      <c r="AP67" s="197">
        <f>IFERROR(R67-Parameter_2016_SQ!R67,"kein Vergleichswert")</f>
        <v>0</v>
      </c>
      <c r="AQ67" s="197">
        <f>IFERROR(S67-Parameter_2016_SQ!S67,"kein Vergleichswert")</f>
        <v>0</v>
      </c>
      <c r="AR67" s="197">
        <f>IFERROR(T67-Parameter_2016_SQ!T67,"kein Vergleichswert")</f>
        <v>0</v>
      </c>
      <c r="AS67" s="197">
        <f>IFERROR(U67-Parameter_2016_SQ!U67,"kein Vergleichswert")</f>
        <v>0</v>
      </c>
      <c r="AT67" s="197">
        <f>IFERROR(V67-Parameter_2016_SQ!V67,"kein Vergleichswert")</f>
        <v>0</v>
      </c>
      <c r="AU67" s="197">
        <f>IFERROR(W67-Parameter_2016_SQ!W67,"kein Vergleichswert")</f>
        <v>0</v>
      </c>
      <c r="AV67" s="197">
        <f>IFERROR(X67-Parameter_2016_SQ!X67,"kein Vergleichswert")</f>
        <v>0</v>
      </c>
      <c r="AW67" s="197">
        <f>IFERROR(Z67-Parameter_2016_SQ!Z67,"kein Vergleichswert")</f>
        <v>0</v>
      </c>
      <c r="AX67" s="197">
        <f>IFERROR(AA67-Parameter_2016_SQ!AA67,"kein Vergleichswert")</f>
        <v>0</v>
      </c>
      <c r="AY67" s="197">
        <f>IFERROR(AB67-Parameter_2016_SQ!AB67,"kein Vergleichswert")</f>
        <v>0</v>
      </c>
    </row>
    <row r="68" spans="1:51" s="193" customFormat="1">
      <c r="A68" s="187"/>
      <c r="B68" s="194" t="s">
        <v>271</v>
      </c>
      <c r="C68" s="188"/>
      <c r="D68" s="188"/>
      <c r="E68" s="188"/>
      <c r="F68" s="192"/>
      <c r="G68" s="192"/>
      <c r="H68" s="192"/>
      <c r="I68" s="192"/>
      <c r="J68" s="189"/>
      <c r="K68" s="190" t="s">
        <v>300</v>
      </c>
      <c r="L68" s="191" t="s">
        <v>300</v>
      </c>
      <c r="M68" s="189" t="s">
        <v>297</v>
      </c>
      <c r="N68" s="190" t="s">
        <v>297</v>
      </c>
      <c r="O68" s="191" t="s">
        <v>297</v>
      </c>
      <c r="P68" s="190"/>
      <c r="Q68" s="190"/>
      <c r="R68" s="189"/>
      <c r="S68" s="190" t="s">
        <v>300</v>
      </c>
      <c r="T68" s="190" t="s">
        <v>300</v>
      </c>
      <c r="U68" s="191" t="s">
        <v>300</v>
      </c>
      <c r="V68" s="189" t="s">
        <v>297</v>
      </c>
      <c r="W68" s="190" t="s">
        <v>297</v>
      </c>
      <c r="X68" s="191" t="s">
        <v>297</v>
      </c>
      <c r="Y68" s="191"/>
      <c r="Z68" s="192"/>
      <c r="AA68" s="192"/>
      <c r="AB68" s="192"/>
      <c r="AE68" s="197">
        <f>IFERROR(F68-Parameter_2016_SQ!F68,"kein Vergleichswert")</f>
        <v>0</v>
      </c>
      <c r="AF68" s="197">
        <f>IFERROR(G68-Parameter_2016_SQ!G68,"kein Vergleichswert")</f>
        <v>0</v>
      </c>
      <c r="AG68" s="197">
        <f>IFERROR(H68-Parameter_2016_SQ!H68,"kein Vergleichswert")</f>
        <v>0</v>
      </c>
      <c r="AH68" s="197">
        <f>IFERROR(I68-Parameter_2016_SQ!I68,"kein Vergleichswert")</f>
        <v>0</v>
      </c>
      <c r="AI68" s="197">
        <f>IFERROR(J68-Parameter_2016_SQ!J68,"kein Vergleichswert")</f>
        <v>0</v>
      </c>
      <c r="AJ68" s="197" t="str">
        <f>IFERROR(K68-Parameter_2016_SQ!K68,"kein Vergleichswert")</f>
        <v>kein Vergleichswert</v>
      </c>
      <c r="AK68" s="197" t="str">
        <f>IFERROR(L68-Parameter_2016_SQ!L68,"kein Vergleichswert")</f>
        <v>kein Vergleichswert</v>
      </c>
      <c r="AL68" s="197" t="str">
        <f>IFERROR(M68-Parameter_2016_SQ!M68,"kein Vergleichswert")</f>
        <v>kein Vergleichswert</v>
      </c>
      <c r="AM68" s="197" t="str">
        <f>IFERROR(N68-Parameter_2016_SQ!N68,"kein Vergleichswert")</f>
        <v>kein Vergleichswert</v>
      </c>
      <c r="AN68" s="197" t="str">
        <f>IFERROR(O68-Parameter_2016_SQ!O68,"kein Vergleichswert")</f>
        <v>kein Vergleichswert</v>
      </c>
      <c r="AO68" s="197">
        <f>IFERROR(Q68-Parameter_2016_SQ!Q68,"kein Vergleichswert")</f>
        <v>0</v>
      </c>
      <c r="AP68" s="197">
        <f>IFERROR(R68-Parameter_2016_SQ!R68,"kein Vergleichswert")</f>
        <v>0</v>
      </c>
      <c r="AQ68" s="197" t="str">
        <f>IFERROR(S68-Parameter_2016_SQ!S68,"kein Vergleichswert")</f>
        <v>kein Vergleichswert</v>
      </c>
      <c r="AR68" s="197" t="str">
        <f>IFERROR(T68-Parameter_2016_SQ!T68,"kein Vergleichswert")</f>
        <v>kein Vergleichswert</v>
      </c>
      <c r="AS68" s="197" t="str">
        <f>IFERROR(U68-Parameter_2016_SQ!U68,"kein Vergleichswert")</f>
        <v>kein Vergleichswert</v>
      </c>
      <c r="AT68" s="197" t="str">
        <f>IFERROR(V68-Parameter_2016_SQ!V68,"kein Vergleichswert")</f>
        <v>kein Vergleichswert</v>
      </c>
      <c r="AU68" s="197" t="str">
        <f>IFERROR(W68-Parameter_2016_SQ!W68,"kein Vergleichswert")</f>
        <v>kein Vergleichswert</v>
      </c>
      <c r="AV68" s="197" t="str">
        <f>IFERROR(X68-Parameter_2016_SQ!X68,"kein Vergleichswert")</f>
        <v>kein Vergleichswert</v>
      </c>
      <c r="AW68" s="197">
        <f>IFERROR(Z68-Parameter_2016_SQ!Z68,"kein Vergleichswert")</f>
        <v>0</v>
      </c>
      <c r="AX68" s="197">
        <f>IFERROR(AA68-Parameter_2016_SQ!AA68,"kein Vergleichswert")</f>
        <v>0</v>
      </c>
      <c r="AY68" s="197">
        <f>IFERROR(AB68-Parameter_2016_SQ!AB68,"kein Vergleichswert")</f>
        <v>0</v>
      </c>
    </row>
    <row r="69" spans="1:51" ht="18.75">
      <c r="A69" s="109"/>
      <c r="B69" s="185" t="s">
        <v>295</v>
      </c>
      <c r="C69" s="186" t="s">
        <v>293</v>
      </c>
      <c r="D69" s="186"/>
      <c r="E69" s="186" t="s">
        <v>291</v>
      </c>
      <c r="F69" s="184"/>
      <c r="G69" s="184"/>
      <c r="H69" s="184"/>
      <c r="I69" s="184"/>
      <c r="J69" s="141"/>
      <c r="K69" s="142">
        <f>K67*K6</f>
        <v>39600</v>
      </c>
      <c r="L69" s="143">
        <f>L67*L6</f>
        <v>280000</v>
      </c>
      <c r="M69" s="141">
        <f>M67*M7</f>
        <v>604800</v>
      </c>
      <c r="N69" s="142">
        <f>N67*N7</f>
        <v>856240</v>
      </c>
      <c r="O69" s="143">
        <f>O67*O7</f>
        <v>140000</v>
      </c>
      <c r="P69" s="142"/>
      <c r="Q69" s="142">
        <f>Q67*Q7</f>
        <v>160000</v>
      </c>
      <c r="R69" s="141"/>
      <c r="S69" s="142">
        <f>S67*S6</f>
        <v>97009.900240289018</v>
      </c>
      <c r="T69" s="142">
        <f>T67*T6</f>
        <v>97009.900240289018</v>
      </c>
      <c r="U69" s="143">
        <f>U67*U6</f>
        <v>97009.900240289018</v>
      </c>
      <c r="V69" s="141">
        <f t="shared" ref="V69:AB69" si="14">V67*V7</f>
        <v>2562000</v>
      </c>
      <c r="W69" s="142">
        <f t="shared" si="14"/>
        <v>213500</v>
      </c>
      <c r="X69" s="143">
        <f t="shared" si="14"/>
        <v>43400</v>
      </c>
      <c r="Y69" s="143"/>
      <c r="Z69" s="184">
        <f t="shared" si="14"/>
        <v>400000</v>
      </c>
      <c r="AA69" s="184">
        <f t="shared" si="14"/>
        <v>400000</v>
      </c>
      <c r="AB69" s="184">
        <f t="shared" si="14"/>
        <v>400000</v>
      </c>
      <c r="AE69" s="197">
        <f>IFERROR(F69-Parameter_2016_SQ!F69,"kein Vergleichswert")</f>
        <v>0</v>
      </c>
      <c r="AF69" s="197">
        <f>IFERROR(G69-Parameter_2016_SQ!G69,"kein Vergleichswert")</f>
        <v>0</v>
      </c>
      <c r="AG69" s="197">
        <f>IFERROR(H69-Parameter_2016_SQ!H69,"kein Vergleichswert")</f>
        <v>0</v>
      </c>
      <c r="AH69" s="197">
        <f>IFERROR(I69-Parameter_2016_SQ!I69,"kein Vergleichswert")</f>
        <v>0</v>
      </c>
      <c r="AI69" s="197">
        <f>IFERROR(J69-Parameter_2016_SQ!J69,"kein Vergleichswert")</f>
        <v>0</v>
      </c>
      <c r="AJ69" s="197">
        <f>IFERROR(K69-Parameter_2016_SQ!K69,"kein Vergleichswert")</f>
        <v>0</v>
      </c>
      <c r="AK69" s="197">
        <f>IFERROR(L69-Parameter_2016_SQ!L69,"kein Vergleichswert")</f>
        <v>0</v>
      </c>
      <c r="AL69" s="197">
        <f>IFERROR(M69-Parameter_2016_SQ!M69,"kein Vergleichswert")</f>
        <v>0</v>
      </c>
      <c r="AM69" s="197">
        <f>IFERROR(N69-Parameter_2016_SQ!N69,"kein Vergleichswert")</f>
        <v>0</v>
      </c>
      <c r="AN69" s="197">
        <f>IFERROR(O69-Parameter_2016_SQ!O69,"kein Vergleichswert")</f>
        <v>0</v>
      </c>
      <c r="AO69" s="197">
        <f>IFERROR(Q69-Parameter_2016_SQ!Q69,"kein Vergleichswert")</f>
        <v>0</v>
      </c>
      <c r="AP69" s="197">
        <f>IFERROR(R69-Parameter_2016_SQ!R69,"kein Vergleichswert")</f>
        <v>0</v>
      </c>
      <c r="AQ69" s="197">
        <f>IFERROR(S69-Parameter_2016_SQ!S69,"kein Vergleichswert")</f>
        <v>0</v>
      </c>
      <c r="AR69" s="197">
        <f>IFERROR(T69-Parameter_2016_SQ!T69,"kein Vergleichswert")</f>
        <v>0</v>
      </c>
      <c r="AS69" s="197">
        <f>IFERROR(U69-Parameter_2016_SQ!U69,"kein Vergleichswert")</f>
        <v>0</v>
      </c>
      <c r="AT69" s="197">
        <f>IFERROR(V69-Parameter_2016_SQ!V69,"kein Vergleichswert")</f>
        <v>0</v>
      </c>
      <c r="AU69" s="197">
        <f>IFERROR(W69-Parameter_2016_SQ!W69,"kein Vergleichswert")</f>
        <v>0</v>
      </c>
      <c r="AV69" s="197">
        <f>IFERROR(X69-Parameter_2016_SQ!X69,"kein Vergleichswert")</f>
        <v>0</v>
      </c>
      <c r="AW69" s="197">
        <f>IFERROR(Z69-Parameter_2016_SQ!Z69,"kein Vergleichswert")</f>
        <v>0</v>
      </c>
      <c r="AX69" s="197">
        <f>IFERROR(AA69-Parameter_2016_SQ!AA69,"kein Vergleichswert")</f>
        <v>0</v>
      </c>
      <c r="AY69" s="197">
        <f>IFERROR(AB69-Parameter_2016_SQ!AB69,"kein Vergleichswert")</f>
        <v>0</v>
      </c>
    </row>
    <row r="70" spans="1:51" ht="30">
      <c r="A70" s="109"/>
      <c r="B70" s="185" t="s">
        <v>308</v>
      </c>
      <c r="C70" s="186"/>
      <c r="D70" s="186"/>
      <c r="E70" s="186"/>
      <c r="F70" s="184"/>
      <c r="G70" s="184"/>
      <c r="H70" s="184"/>
      <c r="I70" s="184"/>
      <c r="J70" s="141"/>
      <c r="K70" s="142">
        <f>0.06</f>
        <v>0.06</v>
      </c>
      <c r="L70" s="143">
        <f>0.06</f>
        <v>0.06</v>
      </c>
      <c r="M70" s="141">
        <f t="shared" ref="M70:AB71" si="15">0.06</f>
        <v>0.06</v>
      </c>
      <c r="N70" s="142">
        <f t="shared" si="15"/>
        <v>0.06</v>
      </c>
      <c r="O70" s="143">
        <f t="shared" si="15"/>
        <v>0.06</v>
      </c>
      <c r="P70" s="142"/>
      <c r="Q70" s="142">
        <f t="shared" si="15"/>
        <v>0.06</v>
      </c>
      <c r="R70" s="141">
        <f t="shared" si="15"/>
        <v>0.06</v>
      </c>
      <c r="S70" s="142">
        <f t="shared" si="15"/>
        <v>0.06</v>
      </c>
      <c r="T70" s="142">
        <f t="shared" si="15"/>
        <v>0.06</v>
      </c>
      <c r="U70" s="143">
        <f t="shared" si="15"/>
        <v>0.06</v>
      </c>
      <c r="V70" s="141">
        <f t="shared" si="15"/>
        <v>0.06</v>
      </c>
      <c r="W70" s="142">
        <f t="shared" si="15"/>
        <v>0.06</v>
      </c>
      <c r="X70" s="143">
        <f t="shared" si="15"/>
        <v>0.06</v>
      </c>
      <c r="Y70" s="143"/>
      <c r="Z70" s="184">
        <f t="shared" si="15"/>
        <v>0.06</v>
      </c>
      <c r="AA70" s="184">
        <f t="shared" si="15"/>
        <v>0.06</v>
      </c>
      <c r="AB70" s="184">
        <f t="shared" si="15"/>
        <v>0.06</v>
      </c>
      <c r="AE70" s="197">
        <f>IFERROR(F70-Parameter_2016_SQ!F70,"kein Vergleichswert")</f>
        <v>0</v>
      </c>
      <c r="AF70" s="197">
        <f>IFERROR(G70-Parameter_2016_SQ!G70,"kein Vergleichswert")</f>
        <v>0</v>
      </c>
      <c r="AG70" s="197">
        <f>IFERROR(H70-Parameter_2016_SQ!H70,"kein Vergleichswert")</f>
        <v>0</v>
      </c>
      <c r="AH70" s="197">
        <f>IFERROR(I70-Parameter_2016_SQ!I70,"kein Vergleichswert")</f>
        <v>0</v>
      </c>
      <c r="AI70" s="197">
        <f>IFERROR(J70-Parameter_2016_SQ!J70,"kein Vergleichswert")</f>
        <v>0</v>
      </c>
      <c r="AJ70" s="197">
        <f>IFERROR(K70-Parameter_2016_SQ!K70,"kein Vergleichswert")</f>
        <v>0</v>
      </c>
      <c r="AK70" s="197">
        <f>IFERROR(L70-Parameter_2016_SQ!L70,"kein Vergleichswert")</f>
        <v>0</v>
      </c>
      <c r="AL70" s="197">
        <f>IFERROR(M70-Parameter_2016_SQ!M70,"kein Vergleichswert")</f>
        <v>0</v>
      </c>
      <c r="AM70" s="197">
        <f>IFERROR(N70-Parameter_2016_SQ!N70,"kein Vergleichswert")</f>
        <v>0</v>
      </c>
      <c r="AN70" s="197">
        <f>IFERROR(O70-Parameter_2016_SQ!O70,"kein Vergleichswert")</f>
        <v>0</v>
      </c>
      <c r="AO70" s="197">
        <f>IFERROR(Q70-Parameter_2016_SQ!Q70,"kein Vergleichswert")</f>
        <v>0</v>
      </c>
      <c r="AP70" s="197">
        <f>IFERROR(R70-Parameter_2016_SQ!R70,"kein Vergleichswert")</f>
        <v>0</v>
      </c>
      <c r="AQ70" s="197">
        <f>IFERROR(S70-Parameter_2016_SQ!S70,"kein Vergleichswert")</f>
        <v>0</v>
      </c>
      <c r="AR70" s="197">
        <f>IFERROR(T70-Parameter_2016_SQ!T70,"kein Vergleichswert")</f>
        <v>0</v>
      </c>
      <c r="AS70" s="197">
        <f>IFERROR(U70-Parameter_2016_SQ!U70,"kein Vergleichswert")</f>
        <v>0</v>
      </c>
      <c r="AT70" s="197">
        <f>IFERROR(V70-Parameter_2016_SQ!V70,"kein Vergleichswert")</f>
        <v>0</v>
      </c>
      <c r="AU70" s="197">
        <f>IFERROR(W70-Parameter_2016_SQ!W70,"kein Vergleichswert")</f>
        <v>0</v>
      </c>
      <c r="AV70" s="197">
        <f>IFERROR(X70-Parameter_2016_SQ!X70,"kein Vergleichswert")</f>
        <v>0</v>
      </c>
      <c r="AW70" s="197">
        <f>IFERROR(Z70-Parameter_2016_SQ!Z70,"kein Vergleichswert")</f>
        <v>0</v>
      </c>
      <c r="AX70" s="197">
        <f>IFERROR(AA70-Parameter_2016_SQ!AA70,"kein Vergleichswert")</f>
        <v>0</v>
      </c>
      <c r="AY70" s="197">
        <f>IFERROR(AB70-Parameter_2016_SQ!AB70,"kein Vergleichswert")</f>
        <v>0</v>
      </c>
    </row>
    <row r="71" spans="1:51" ht="18.75">
      <c r="A71" s="109"/>
      <c r="B71" s="185" t="s">
        <v>309</v>
      </c>
      <c r="C71" s="186"/>
      <c r="D71" s="186"/>
      <c r="E71" s="186"/>
      <c r="F71" s="184"/>
      <c r="G71" s="184"/>
      <c r="H71" s="184"/>
      <c r="I71" s="184"/>
      <c r="J71" s="141"/>
      <c r="K71" s="142">
        <f>0.39</f>
        <v>0.39</v>
      </c>
      <c r="L71" s="143">
        <f>0.39</f>
        <v>0.39</v>
      </c>
      <c r="M71" s="141">
        <v>0.2</v>
      </c>
      <c r="N71" s="142">
        <v>0.2</v>
      </c>
      <c r="O71" s="143">
        <v>0.2</v>
      </c>
      <c r="P71" s="142"/>
      <c r="Q71" s="142">
        <v>0.2</v>
      </c>
      <c r="R71" s="141">
        <f>0.39</f>
        <v>0.39</v>
      </c>
      <c r="S71" s="142">
        <f>0.39</f>
        <v>0.39</v>
      </c>
      <c r="T71" s="142">
        <f>0.39</f>
        <v>0.39</v>
      </c>
      <c r="U71" s="143">
        <f>0.39</f>
        <v>0.39</v>
      </c>
      <c r="V71" s="141">
        <f t="shared" si="15"/>
        <v>0.06</v>
      </c>
      <c r="W71" s="142">
        <f t="shared" si="15"/>
        <v>0.06</v>
      </c>
      <c r="X71" s="143">
        <f t="shared" si="15"/>
        <v>0.06</v>
      </c>
      <c r="Y71" s="143"/>
      <c r="Z71" s="184">
        <v>0.2</v>
      </c>
      <c r="AA71" s="184">
        <v>0.2</v>
      </c>
      <c r="AB71" s="184">
        <v>0.3</v>
      </c>
      <c r="AE71" s="197">
        <f>IFERROR(F71-Parameter_2016_SQ!F71,"kein Vergleichswert")</f>
        <v>0</v>
      </c>
      <c r="AF71" s="197">
        <f>IFERROR(G71-Parameter_2016_SQ!G71,"kein Vergleichswert")</f>
        <v>0</v>
      </c>
      <c r="AG71" s="197">
        <f>IFERROR(H71-Parameter_2016_SQ!H71,"kein Vergleichswert")</f>
        <v>0</v>
      </c>
      <c r="AH71" s="197">
        <f>IFERROR(I71-Parameter_2016_SQ!I71,"kein Vergleichswert")</f>
        <v>0</v>
      </c>
      <c r="AI71" s="197">
        <f>IFERROR(J71-Parameter_2016_SQ!J71,"kein Vergleichswert")</f>
        <v>0</v>
      </c>
      <c r="AJ71" s="197">
        <f>IFERROR(K71-Parameter_2016_SQ!K71,"kein Vergleichswert")</f>
        <v>0</v>
      </c>
      <c r="AK71" s="197">
        <f>IFERROR(L71-Parameter_2016_SQ!L71,"kein Vergleichswert")</f>
        <v>0</v>
      </c>
      <c r="AL71" s="197">
        <f>IFERROR(M71-Parameter_2016_SQ!M71,"kein Vergleichswert")</f>
        <v>0</v>
      </c>
      <c r="AM71" s="197">
        <f>IFERROR(N71-Parameter_2016_SQ!N71,"kein Vergleichswert")</f>
        <v>0</v>
      </c>
      <c r="AN71" s="197">
        <f>IFERROR(O71-Parameter_2016_SQ!O71,"kein Vergleichswert")</f>
        <v>0</v>
      </c>
      <c r="AO71" s="197">
        <f>IFERROR(Q71-Parameter_2016_SQ!Q71,"kein Vergleichswert")</f>
        <v>0</v>
      </c>
      <c r="AP71" s="197">
        <f>IFERROR(R71-Parameter_2016_SQ!R71,"kein Vergleichswert")</f>
        <v>0</v>
      </c>
      <c r="AQ71" s="197">
        <f>IFERROR(S71-Parameter_2016_SQ!S71,"kein Vergleichswert")</f>
        <v>0</v>
      </c>
      <c r="AR71" s="197">
        <f>IFERROR(T71-Parameter_2016_SQ!T71,"kein Vergleichswert")</f>
        <v>0</v>
      </c>
      <c r="AS71" s="197">
        <f>IFERROR(U71-Parameter_2016_SQ!U71,"kein Vergleichswert")</f>
        <v>0</v>
      </c>
      <c r="AT71" s="197">
        <f>IFERROR(V71-Parameter_2016_SQ!V71,"kein Vergleichswert")</f>
        <v>0</v>
      </c>
      <c r="AU71" s="197">
        <f>IFERROR(W71-Parameter_2016_SQ!W71,"kein Vergleichswert")</f>
        <v>0</v>
      </c>
      <c r="AV71" s="197">
        <f>IFERROR(X71-Parameter_2016_SQ!X71,"kein Vergleichswert")</f>
        <v>0</v>
      </c>
      <c r="AW71" s="197">
        <f>IFERROR(Z71-Parameter_2016_SQ!Z71,"kein Vergleichswert")</f>
        <v>0</v>
      </c>
      <c r="AX71" s="197">
        <f>IFERROR(AA71-Parameter_2016_SQ!AA71,"kein Vergleichswert")</f>
        <v>0</v>
      </c>
      <c r="AY71" s="197">
        <f>IFERROR(AB71-Parameter_2016_SQ!AB71,"kein Vergleichswert")</f>
        <v>0</v>
      </c>
    </row>
    <row r="72" spans="1:51" ht="18.75">
      <c r="A72" s="109"/>
      <c r="B72" s="178" t="s">
        <v>296</v>
      </c>
      <c r="C72" s="180" t="s">
        <v>292</v>
      </c>
      <c r="D72" s="180"/>
      <c r="E72" s="180"/>
      <c r="F72" s="184"/>
      <c r="G72" s="184"/>
      <c r="H72" s="184"/>
      <c r="I72" s="184"/>
      <c r="J72" s="141">
        <f t="shared" ref="J72:AB72" si="16">(J71+J70)*J69+J69</f>
        <v>0</v>
      </c>
      <c r="K72" s="142">
        <f t="shared" si="16"/>
        <v>57420</v>
      </c>
      <c r="L72" s="143">
        <f t="shared" si="16"/>
        <v>406000</v>
      </c>
      <c r="M72" s="141">
        <f t="shared" si="16"/>
        <v>762048</v>
      </c>
      <c r="N72" s="142">
        <f t="shared" si="16"/>
        <v>1078862.3999999999</v>
      </c>
      <c r="O72" s="143">
        <f t="shared" si="16"/>
        <v>176400</v>
      </c>
      <c r="P72" s="142"/>
      <c r="Q72" s="142">
        <f t="shared" si="16"/>
        <v>201600</v>
      </c>
      <c r="R72" s="141">
        <f t="shared" si="16"/>
        <v>0</v>
      </c>
      <c r="S72" s="142">
        <f t="shared" si="16"/>
        <v>140664.35534841908</v>
      </c>
      <c r="T72" s="142">
        <f t="shared" si="16"/>
        <v>140664.35534841908</v>
      </c>
      <c r="U72" s="143">
        <f t="shared" si="16"/>
        <v>140664.35534841908</v>
      </c>
      <c r="V72" s="141">
        <f t="shared" si="16"/>
        <v>2869440</v>
      </c>
      <c r="W72" s="142">
        <f t="shared" si="16"/>
        <v>239120</v>
      </c>
      <c r="X72" s="143">
        <f t="shared" si="16"/>
        <v>48608</v>
      </c>
      <c r="Y72" s="143"/>
      <c r="Z72" s="184">
        <f t="shared" si="16"/>
        <v>504000</v>
      </c>
      <c r="AA72" s="184">
        <f t="shared" si="16"/>
        <v>504000</v>
      </c>
      <c r="AB72" s="184">
        <f t="shared" si="16"/>
        <v>544000</v>
      </c>
      <c r="AE72" s="197">
        <f>IFERROR(F72-Parameter_2016_SQ!F72,"kein Vergleichswert")</f>
        <v>0</v>
      </c>
      <c r="AF72" s="197">
        <f>IFERROR(G72-Parameter_2016_SQ!G72,"kein Vergleichswert")</f>
        <v>0</v>
      </c>
      <c r="AG72" s="197">
        <f>IFERROR(H72-Parameter_2016_SQ!H72,"kein Vergleichswert")</f>
        <v>0</v>
      </c>
      <c r="AH72" s="197">
        <f>IFERROR(I72-Parameter_2016_SQ!I72,"kein Vergleichswert")</f>
        <v>0</v>
      </c>
      <c r="AI72" s="197">
        <f>IFERROR(J72-Parameter_2016_SQ!J72,"kein Vergleichswert")</f>
        <v>0</v>
      </c>
      <c r="AJ72" s="197">
        <f>IFERROR(K72-Parameter_2016_SQ!K72,"kein Vergleichswert")</f>
        <v>0</v>
      </c>
      <c r="AK72" s="197">
        <f>IFERROR(L72-Parameter_2016_SQ!L72,"kein Vergleichswert")</f>
        <v>0</v>
      </c>
      <c r="AL72" s="197">
        <f>IFERROR(M72-Parameter_2016_SQ!M72,"kein Vergleichswert")</f>
        <v>0</v>
      </c>
      <c r="AM72" s="197">
        <f>IFERROR(N72-Parameter_2016_SQ!N72,"kein Vergleichswert")</f>
        <v>0</v>
      </c>
      <c r="AN72" s="197">
        <f>IFERROR(O72-Parameter_2016_SQ!O72,"kein Vergleichswert")</f>
        <v>0</v>
      </c>
      <c r="AO72" s="197">
        <f>IFERROR(Q72-Parameter_2016_SQ!Q72,"kein Vergleichswert")</f>
        <v>0</v>
      </c>
      <c r="AP72" s="197">
        <f>IFERROR(R72-Parameter_2016_SQ!R72,"kein Vergleichswert")</f>
        <v>0</v>
      </c>
      <c r="AQ72" s="197">
        <f>IFERROR(S72-Parameter_2016_SQ!S72,"kein Vergleichswert")</f>
        <v>0</v>
      </c>
      <c r="AR72" s="197">
        <f>IFERROR(T72-Parameter_2016_SQ!T72,"kein Vergleichswert")</f>
        <v>0</v>
      </c>
      <c r="AS72" s="197">
        <f>IFERROR(U72-Parameter_2016_SQ!U72,"kein Vergleichswert")</f>
        <v>0</v>
      </c>
      <c r="AT72" s="197">
        <f>IFERROR(V72-Parameter_2016_SQ!V72,"kein Vergleichswert")</f>
        <v>0</v>
      </c>
      <c r="AU72" s="197">
        <f>IFERROR(W72-Parameter_2016_SQ!W72,"kein Vergleichswert")</f>
        <v>0</v>
      </c>
      <c r="AV72" s="197">
        <f>IFERROR(X72-Parameter_2016_SQ!X72,"kein Vergleichswert")</f>
        <v>0</v>
      </c>
      <c r="AW72" s="197">
        <f>IFERROR(Z72-Parameter_2016_SQ!Z72,"kein Vergleichswert")</f>
        <v>0</v>
      </c>
      <c r="AX72" s="197">
        <f>IFERROR(AA72-Parameter_2016_SQ!AA72,"kein Vergleichswert")</f>
        <v>0</v>
      </c>
      <c r="AY72" s="197">
        <f>IFERROR(AB72-Parameter_2016_SQ!AB72,"kein Vergleichswert")</f>
        <v>0</v>
      </c>
    </row>
    <row r="78" spans="1:51">
      <c r="J78" s="122" t="s">
        <v>297</v>
      </c>
      <c r="K78" t="s">
        <v>298</v>
      </c>
      <c r="AI78" s="122" t="s">
        <v>297</v>
      </c>
      <c r="AJ78" t="s">
        <v>298</v>
      </c>
    </row>
    <row r="79" spans="1:51">
      <c r="J79" s="122" t="s">
        <v>300</v>
      </c>
      <c r="K79" t="s">
        <v>299</v>
      </c>
      <c r="AI79" s="122" t="s">
        <v>300</v>
      </c>
      <c r="AJ79" t="s">
        <v>299</v>
      </c>
    </row>
  </sheetData>
  <mergeCells count="16">
    <mergeCell ref="F1:I1"/>
    <mergeCell ref="AI1:AO1"/>
    <mergeCell ref="AP1:AW1"/>
    <mergeCell ref="AX1:AY1"/>
    <mergeCell ref="AI2:AK2"/>
    <mergeCell ref="AL2:AN2"/>
    <mergeCell ref="AP2:AS2"/>
    <mergeCell ref="AT2:AV2"/>
    <mergeCell ref="J1:Q1"/>
    <mergeCell ref="R1:Z1"/>
    <mergeCell ref="AA1:AB1"/>
    <mergeCell ref="J2:L2"/>
    <mergeCell ref="M2:O2"/>
    <mergeCell ref="R2:U2"/>
    <mergeCell ref="V2:X2"/>
    <mergeCell ref="AE1:AH1"/>
  </mergeCells>
  <conditionalFormatting sqref="AE5:AY10 AE12:AY72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EF02C-A34A-44B5-BC01-17EDAA97F703}">
  <dimension ref="A1:AY79"/>
  <sheetViews>
    <sheetView showGridLines="0" tabSelected="1" zoomScale="70" zoomScaleNormal="70" workbookViewId="0">
      <pane xSplit="5" ySplit="3" topLeftCell="F7" activePane="bottomRight" state="frozen"/>
      <selection pane="topRight" activeCell="D1" sqref="D1"/>
      <selection pane="bottomLeft" activeCell="A2" sqref="A2"/>
      <selection pane="bottomRight" activeCell="Y7" sqref="Y7"/>
    </sheetView>
  </sheetViews>
  <sheetFormatPr baseColWidth="10" defaultRowHeight="15"/>
  <cols>
    <col min="1" max="1" width="3.85546875" style="105" customWidth="1"/>
    <col min="2" max="2" width="30.42578125" style="106" customWidth="1"/>
    <col min="3" max="4" width="8.7109375" style="105" customWidth="1"/>
    <col min="5" max="5" width="14.42578125" style="105" customWidth="1"/>
    <col min="6" max="9" width="11.140625" style="105" customWidth="1"/>
    <col min="10" max="28" width="9.85546875" style="105" customWidth="1"/>
    <col min="29" max="30" width="11.42578125" style="105"/>
    <col min="31" max="31" width="13.5703125" style="105" customWidth="1"/>
    <col min="32" max="34" width="11.42578125" style="105"/>
    <col min="35" max="40" width="9.85546875" style="105" customWidth="1"/>
    <col min="41" max="41" width="13.42578125" style="105" customWidth="1"/>
    <col min="42" max="51" width="9.85546875" style="105" customWidth="1"/>
    <col min="52" max="16384" width="11.42578125" style="105"/>
  </cols>
  <sheetData>
    <row r="1" spans="1:51" ht="18.75">
      <c r="F1" s="198" t="s">
        <v>314</v>
      </c>
      <c r="G1" s="199"/>
      <c r="H1" s="199"/>
      <c r="I1" s="200"/>
      <c r="J1" s="228" t="s">
        <v>277</v>
      </c>
      <c r="K1" s="229"/>
      <c r="L1" s="229"/>
      <c r="M1" s="229"/>
      <c r="N1" s="229"/>
      <c r="O1" s="229"/>
      <c r="P1" s="229"/>
      <c r="Q1" s="230"/>
      <c r="R1" s="222" t="s">
        <v>276</v>
      </c>
      <c r="S1" s="223"/>
      <c r="T1" s="223"/>
      <c r="U1" s="223"/>
      <c r="V1" s="223"/>
      <c r="W1" s="223"/>
      <c r="X1" s="223"/>
      <c r="Y1" s="223"/>
      <c r="Z1" s="224"/>
      <c r="AA1" s="218" t="s">
        <v>314</v>
      </c>
      <c r="AB1" s="219"/>
      <c r="AE1" s="225" t="s">
        <v>314</v>
      </c>
      <c r="AF1" s="226"/>
      <c r="AG1" s="226"/>
      <c r="AH1" s="227"/>
      <c r="AI1" s="228" t="s">
        <v>277</v>
      </c>
      <c r="AJ1" s="229"/>
      <c r="AK1" s="229"/>
      <c r="AL1" s="229"/>
      <c r="AM1" s="229"/>
      <c r="AN1" s="229"/>
      <c r="AO1" s="230"/>
      <c r="AP1" s="222" t="s">
        <v>276</v>
      </c>
      <c r="AQ1" s="223"/>
      <c r="AR1" s="223"/>
      <c r="AS1" s="223"/>
      <c r="AT1" s="223"/>
      <c r="AU1" s="223"/>
      <c r="AV1" s="223"/>
      <c r="AW1" s="224"/>
      <c r="AX1" s="218" t="s">
        <v>314</v>
      </c>
      <c r="AY1" s="219"/>
    </row>
    <row r="2" spans="1:51" ht="18.75">
      <c r="F2" s="123"/>
      <c r="G2" s="123"/>
      <c r="H2" s="123"/>
      <c r="I2" s="123"/>
      <c r="J2" s="234" t="s">
        <v>241</v>
      </c>
      <c r="K2" s="235"/>
      <c r="L2" s="236"/>
      <c r="M2" s="231" t="s">
        <v>255</v>
      </c>
      <c r="N2" s="232"/>
      <c r="O2" s="233"/>
      <c r="P2" s="202"/>
      <c r="Q2" s="123" t="s">
        <v>302</v>
      </c>
      <c r="R2" s="234" t="s">
        <v>241</v>
      </c>
      <c r="S2" s="235"/>
      <c r="T2" s="235"/>
      <c r="U2" s="236"/>
      <c r="V2" s="231" t="s">
        <v>255</v>
      </c>
      <c r="W2" s="232"/>
      <c r="X2" s="233"/>
      <c r="Y2" s="202"/>
      <c r="Z2" s="123" t="s">
        <v>302</v>
      </c>
      <c r="AA2" s="123" t="s">
        <v>312</v>
      </c>
      <c r="AB2" s="123" t="s">
        <v>316</v>
      </c>
      <c r="AE2" s="123"/>
      <c r="AF2" s="123"/>
      <c r="AG2" s="123"/>
      <c r="AH2" s="123"/>
      <c r="AI2" s="220" t="s">
        <v>241</v>
      </c>
      <c r="AJ2" s="220"/>
      <c r="AK2" s="220"/>
      <c r="AL2" s="221" t="s">
        <v>255</v>
      </c>
      <c r="AM2" s="221"/>
      <c r="AN2" s="221"/>
      <c r="AO2" s="123" t="s">
        <v>302</v>
      </c>
      <c r="AP2" s="220" t="s">
        <v>241</v>
      </c>
      <c r="AQ2" s="220"/>
      <c r="AR2" s="220"/>
      <c r="AS2" s="220"/>
      <c r="AT2" s="221" t="s">
        <v>255</v>
      </c>
      <c r="AU2" s="221"/>
      <c r="AV2" s="221"/>
      <c r="AW2" s="123" t="s">
        <v>302</v>
      </c>
      <c r="AX2" s="123" t="s">
        <v>312</v>
      </c>
      <c r="AY2" s="123" t="s">
        <v>313</v>
      </c>
    </row>
    <row r="3" spans="1:51" s="107" customFormat="1" ht="45">
      <c r="C3" s="147" t="s">
        <v>285</v>
      </c>
      <c r="D3" s="147" t="s">
        <v>286</v>
      </c>
      <c r="F3" s="124" t="s">
        <v>317</v>
      </c>
      <c r="G3" s="124" t="s">
        <v>318</v>
      </c>
      <c r="H3" s="124" t="s">
        <v>319</v>
      </c>
      <c r="I3" s="124" t="s">
        <v>320</v>
      </c>
      <c r="J3" s="103" t="s">
        <v>275</v>
      </c>
      <c r="K3" s="103" t="s">
        <v>203</v>
      </c>
      <c r="L3" s="103" t="s">
        <v>204</v>
      </c>
      <c r="M3" s="104" t="s">
        <v>227</v>
      </c>
      <c r="N3" s="104" t="s">
        <v>228</v>
      </c>
      <c r="O3" s="104" t="s">
        <v>229</v>
      </c>
      <c r="P3" s="104" t="s">
        <v>57</v>
      </c>
      <c r="Q3" s="124" t="s">
        <v>75</v>
      </c>
      <c r="R3" s="103" t="s">
        <v>242</v>
      </c>
      <c r="S3" s="103" t="s">
        <v>207</v>
      </c>
      <c r="T3" s="103" t="s">
        <v>225</v>
      </c>
      <c r="U3" s="103" t="s">
        <v>226</v>
      </c>
      <c r="V3" s="104" t="s">
        <v>273</v>
      </c>
      <c r="W3" s="104" t="s">
        <v>274</v>
      </c>
      <c r="X3" s="104" t="s">
        <v>272</v>
      </c>
      <c r="Y3" s="104" t="s">
        <v>56</v>
      </c>
      <c r="Z3" s="124" t="s">
        <v>77</v>
      </c>
      <c r="AA3" s="124" t="s">
        <v>1</v>
      </c>
      <c r="AB3" s="124" t="s">
        <v>0</v>
      </c>
      <c r="AE3" s="124" t="str">
        <f t="shared" ref="AE3:AN3" si="0">F3&amp;"."</f>
        <v>cs_to_pth_pr.</v>
      </c>
      <c r="AF3" s="124" t="str">
        <f t="shared" si="0"/>
        <v>flex_to_pth_pr.</v>
      </c>
      <c r="AG3" s="124" t="str">
        <f t="shared" si="0"/>
        <v>cs_to_pth_sch.</v>
      </c>
      <c r="AH3" s="124" t="str">
        <f t="shared" si="0"/>
        <v>flex_to_pth_sch.</v>
      </c>
      <c r="AI3" s="103" t="str">
        <f t="shared" si="0"/>
        <v>chp_pr_ee.</v>
      </c>
      <c r="AJ3" s="103" t="str">
        <f t="shared" si="0"/>
        <v>chp_pr_gas_1.</v>
      </c>
      <c r="AK3" s="103" t="str">
        <f t="shared" si="0"/>
        <v>chp_pr_gas_2.</v>
      </c>
      <c r="AL3" s="104" t="str">
        <f t="shared" si="0"/>
        <v>boiler_pr_1.</v>
      </c>
      <c r="AM3" s="104" t="str">
        <f t="shared" si="0"/>
        <v>boiler_pr_2.</v>
      </c>
      <c r="AN3" s="104" t="str">
        <f t="shared" si="0"/>
        <v>boiler_pr_3.</v>
      </c>
      <c r="AO3" s="124" t="str">
        <f t="shared" ref="AO3:AV3" si="1">Q3&amp;"."</f>
        <v>pth_pr.</v>
      </c>
      <c r="AP3" s="103" t="str">
        <f t="shared" si="1"/>
        <v>chp_pck_waste.</v>
      </c>
      <c r="AQ3" s="103" t="str">
        <f t="shared" si="1"/>
        <v>chp_sch_kuhheide.</v>
      </c>
      <c r="AR3" s="103" t="str">
        <f t="shared" si="1"/>
        <v>chp_sch_m_turbine1.</v>
      </c>
      <c r="AS3" s="103" t="str">
        <f t="shared" si="1"/>
        <v>chp_sch_m_turbine2.</v>
      </c>
      <c r="AT3" s="104" t="str">
        <f t="shared" si="1"/>
        <v>boiler_sch_1.</v>
      </c>
      <c r="AU3" s="104" t="str">
        <f t="shared" si="1"/>
        <v>boiler_sch_contract.</v>
      </c>
      <c r="AV3" s="104" t="str">
        <f t="shared" si="1"/>
        <v>boiler_sch_2.</v>
      </c>
      <c r="AW3" s="124" t="str">
        <f>Z3&amp;"."</f>
        <v>pth_sch.</v>
      </c>
      <c r="AX3" s="124" t="str">
        <f>AA3&amp;"."</f>
        <v>batt.</v>
      </c>
      <c r="AY3" s="124" t="str">
        <f>AB3&amp;"."</f>
        <v>ptg.</v>
      </c>
    </row>
    <row r="4" spans="1:51" ht="18.75">
      <c r="B4" s="108" t="s">
        <v>278</v>
      </c>
      <c r="C4" s="117"/>
      <c r="D4" s="117"/>
      <c r="E4" s="117"/>
      <c r="F4" s="130"/>
      <c r="G4" s="130"/>
      <c r="H4" s="130"/>
      <c r="I4" s="130"/>
      <c r="J4" s="127"/>
      <c r="K4" s="128"/>
      <c r="L4" s="129"/>
      <c r="M4" s="127"/>
      <c r="N4" s="128"/>
      <c r="O4" s="129"/>
      <c r="P4" s="128"/>
      <c r="Q4" s="128"/>
      <c r="R4" s="127"/>
      <c r="S4" s="128"/>
      <c r="T4" s="128"/>
      <c r="U4" s="129"/>
      <c r="V4" s="127"/>
      <c r="W4" s="128"/>
      <c r="X4" s="129"/>
      <c r="Y4" s="129"/>
      <c r="Z4" s="130"/>
      <c r="AA4" s="130"/>
      <c r="AB4" s="130"/>
      <c r="AI4" s="127"/>
      <c r="AJ4" s="128"/>
      <c r="AK4" s="129"/>
      <c r="AL4" s="127"/>
      <c r="AM4" s="128"/>
      <c r="AN4" s="129"/>
      <c r="AO4" s="128"/>
      <c r="AP4" s="127"/>
      <c r="AQ4" s="128"/>
      <c r="AR4" s="128"/>
      <c r="AS4" s="129"/>
      <c r="AT4" s="127"/>
      <c r="AU4" s="128"/>
      <c r="AV4" s="129"/>
      <c r="AW4" s="130"/>
      <c r="AX4" s="130"/>
      <c r="AY4" s="130"/>
    </row>
    <row r="5" spans="1:51" ht="18.75">
      <c r="A5" s="109"/>
      <c r="B5" s="178" t="s">
        <v>315</v>
      </c>
      <c r="C5" s="179" t="s">
        <v>281</v>
      </c>
      <c r="D5" s="179" t="s">
        <v>115</v>
      </c>
      <c r="E5" s="180"/>
      <c r="F5" s="184">
        <v>100000</v>
      </c>
      <c r="G5" s="184">
        <v>100000</v>
      </c>
      <c r="H5" s="184">
        <v>100000</v>
      </c>
      <c r="I5" s="184">
        <v>100000</v>
      </c>
      <c r="J5" s="144">
        <f>J6</f>
        <v>3.0570000000000004</v>
      </c>
      <c r="K5" s="145">
        <f>K6</f>
        <v>2.1999999999999999E-2</v>
      </c>
      <c r="L5" s="146">
        <f>L6</f>
        <v>0.4</v>
      </c>
      <c r="M5" s="144">
        <f>M7</f>
        <v>8.64</v>
      </c>
      <c r="N5" s="145">
        <f>N7</f>
        <v>12.231999999999999</v>
      </c>
      <c r="O5" s="146">
        <f>O7</f>
        <v>2</v>
      </c>
      <c r="P5" s="145"/>
      <c r="Q5" s="145">
        <f>Q7</f>
        <v>2</v>
      </c>
      <c r="R5" s="144">
        <f>R6</f>
        <v>200.13300000000001</v>
      </c>
      <c r="S5" s="145">
        <f>S6</f>
        <v>0.1</v>
      </c>
      <c r="T5" s="145">
        <f>T6</f>
        <v>0.1</v>
      </c>
      <c r="U5" s="146">
        <f>U6</f>
        <v>0.1</v>
      </c>
      <c r="V5" s="144">
        <f t="shared" ref="V5:AB5" si="2">V7</f>
        <v>36.6</v>
      </c>
      <c r="W5" s="145">
        <f t="shared" si="2"/>
        <v>3.05</v>
      </c>
      <c r="X5" s="146">
        <f t="shared" si="2"/>
        <v>0.62</v>
      </c>
      <c r="Y5" s="146"/>
      <c r="Z5" s="181">
        <f t="shared" si="2"/>
        <v>5</v>
      </c>
      <c r="AA5" s="181">
        <f t="shared" si="2"/>
        <v>5</v>
      </c>
      <c r="AB5" s="181">
        <f t="shared" si="2"/>
        <v>5</v>
      </c>
      <c r="AE5" s="197">
        <f>IFERROR(F5-Parameter_2016_SQ!F5,"kein Vergleichswert")</f>
        <v>0</v>
      </c>
      <c r="AF5" s="197">
        <f>IFERROR(G5-Parameter_2016_SQ!G5,"kein Vergleichswert")</f>
        <v>0</v>
      </c>
      <c r="AG5" s="197">
        <f>IFERROR(H5-Parameter_2016_SQ!H5,"kein Vergleichswert")</f>
        <v>0</v>
      </c>
      <c r="AH5" s="197">
        <f>IFERROR(I5-Parameter_2016_SQ!I5,"kein Vergleichswert")</f>
        <v>0</v>
      </c>
      <c r="AI5" s="197">
        <f>IFERROR(J5-Parameter_2016_SQ!J5,"kein Vergleichswert")</f>
        <v>0</v>
      </c>
      <c r="AJ5" s="197">
        <f>IFERROR(K5-Parameter_2016_SQ!K5,"kein Vergleichswert")</f>
        <v>0</v>
      </c>
      <c r="AK5" s="197">
        <f>IFERROR(L5-Parameter_2016_SQ!L5,"kein Vergleichswert")</f>
        <v>0</v>
      </c>
      <c r="AL5" s="197">
        <f>IFERROR(M5-Parameter_2016_SQ!M5,"kein Vergleichswert")</f>
        <v>0</v>
      </c>
      <c r="AM5" s="197">
        <f>IFERROR(N5-Parameter_2016_SQ!N5,"kein Vergleichswert")</f>
        <v>0</v>
      </c>
      <c r="AN5" s="197">
        <f>IFERROR(O5-Parameter_2016_SQ!O5,"kein Vergleichswert")</f>
        <v>0</v>
      </c>
      <c r="AO5" s="197">
        <f>IFERROR(Q5-Parameter_2016_SQ!Q5,"kein Vergleichswert")</f>
        <v>0</v>
      </c>
      <c r="AP5" s="197">
        <f>IFERROR(R5-Parameter_2016_SQ!R5,"kein Vergleichswert")</f>
        <v>0</v>
      </c>
      <c r="AQ5" s="197">
        <f>IFERROR(S5-Parameter_2016_SQ!S5,"kein Vergleichswert")</f>
        <v>0</v>
      </c>
      <c r="AR5" s="197">
        <f>IFERROR(T5-Parameter_2016_SQ!T5,"kein Vergleichswert")</f>
        <v>0</v>
      </c>
      <c r="AS5" s="197">
        <f>IFERROR(U5-Parameter_2016_SQ!U5,"kein Vergleichswert")</f>
        <v>0</v>
      </c>
      <c r="AT5" s="197">
        <f>IFERROR(V5-Parameter_2016_SQ!V5,"kein Vergleichswert")</f>
        <v>0</v>
      </c>
      <c r="AU5" s="197">
        <f>IFERROR(W5-Parameter_2016_SQ!W5,"kein Vergleichswert")</f>
        <v>0</v>
      </c>
      <c r="AV5" s="197">
        <f>IFERROR(X5-Parameter_2016_SQ!X5,"kein Vergleichswert")</f>
        <v>0</v>
      </c>
      <c r="AW5" s="197">
        <f>IFERROR(Z5-Parameter_2016_SQ!Z5,"kein Vergleichswert")</f>
        <v>0</v>
      </c>
      <c r="AX5" s="197">
        <f>IFERROR(AA5-Parameter_2016_SQ!AA5,"kein Vergleichswert")</f>
        <v>0</v>
      </c>
      <c r="AY5" s="197">
        <f>IFERROR(AB5-Parameter_2016_SQ!AB5,"kein Vergleichswert")</f>
        <v>0</v>
      </c>
    </row>
    <row r="6" spans="1:51" ht="18.75">
      <c r="A6" s="109"/>
      <c r="B6" s="178" t="s">
        <v>245</v>
      </c>
      <c r="C6" s="179" t="s">
        <v>281</v>
      </c>
      <c r="D6" s="157"/>
      <c r="E6" s="180" t="s">
        <v>252</v>
      </c>
      <c r="F6" s="181"/>
      <c r="G6" s="181"/>
      <c r="H6" s="181"/>
      <c r="I6" s="181"/>
      <c r="J6" s="144">
        <v>3.0570000000000004</v>
      </c>
      <c r="K6" s="145">
        <v>2.1999999999999999E-2</v>
      </c>
      <c r="L6" s="146">
        <v>0.4</v>
      </c>
      <c r="M6" s="144"/>
      <c r="N6" s="145"/>
      <c r="O6" s="146"/>
      <c r="P6" s="145"/>
      <c r="Q6" s="145"/>
      <c r="R6" s="144">
        <v>200.13300000000001</v>
      </c>
      <c r="S6" s="145">
        <v>0.1</v>
      </c>
      <c r="T6" s="145">
        <v>0.1</v>
      </c>
      <c r="U6" s="146">
        <v>0.1</v>
      </c>
      <c r="V6" s="144"/>
      <c r="W6" s="145"/>
      <c r="X6" s="146"/>
      <c r="Y6" s="146"/>
      <c r="Z6" s="181"/>
      <c r="AA6" s="181"/>
      <c r="AB6" s="181"/>
      <c r="AE6" s="197">
        <f>IFERROR(F6-Parameter_2016_SQ!F6,"kein Vergleichswert")</f>
        <v>0</v>
      </c>
      <c r="AF6" s="197">
        <f>IFERROR(G6-Parameter_2016_SQ!G6,"kein Vergleichswert")</f>
        <v>0</v>
      </c>
      <c r="AG6" s="197">
        <f>IFERROR(H6-Parameter_2016_SQ!H6,"kein Vergleichswert")</f>
        <v>0</v>
      </c>
      <c r="AH6" s="197">
        <f>IFERROR(I6-Parameter_2016_SQ!I6,"kein Vergleichswert")</f>
        <v>0</v>
      </c>
      <c r="AI6" s="197">
        <f>IFERROR(J6-Parameter_2016_SQ!J6,"kein Vergleichswert")</f>
        <v>0</v>
      </c>
      <c r="AJ6" s="197">
        <f>IFERROR(K6-Parameter_2016_SQ!K6,"kein Vergleichswert")</f>
        <v>0</v>
      </c>
      <c r="AK6" s="197">
        <f>IFERROR(L6-Parameter_2016_SQ!L6,"kein Vergleichswert")</f>
        <v>0</v>
      </c>
      <c r="AL6" s="197">
        <f>IFERROR(M6-Parameter_2016_SQ!M6,"kein Vergleichswert")</f>
        <v>0</v>
      </c>
      <c r="AM6" s="197">
        <f>IFERROR(N6-Parameter_2016_SQ!N6,"kein Vergleichswert")</f>
        <v>0</v>
      </c>
      <c r="AN6" s="197">
        <f>IFERROR(O6-Parameter_2016_SQ!O6,"kein Vergleichswert")</f>
        <v>0</v>
      </c>
      <c r="AO6" s="197">
        <f>IFERROR(Q6-Parameter_2016_SQ!Q6,"kein Vergleichswert")</f>
        <v>0</v>
      </c>
      <c r="AP6" s="197">
        <f>IFERROR(R6-Parameter_2016_SQ!R6,"kein Vergleichswert")</f>
        <v>0</v>
      </c>
      <c r="AQ6" s="197">
        <f>IFERROR(S6-Parameter_2016_SQ!S6,"kein Vergleichswert")</f>
        <v>0</v>
      </c>
      <c r="AR6" s="197">
        <f>IFERROR(T6-Parameter_2016_SQ!T6,"kein Vergleichswert")</f>
        <v>0</v>
      </c>
      <c r="AS6" s="197">
        <f>IFERROR(U6-Parameter_2016_SQ!U6,"kein Vergleichswert")</f>
        <v>0</v>
      </c>
      <c r="AT6" s="197">
        <f>IFERROR(V6-Parameter_2016_SQ!V6,"kein Vergleichswert")</f>
        <v>0</v>
      </c>
      <c r="AU6" s="197">
        <f>IFERROR(W6-Parameter_2016_SQ!W6,"kein Vergleichswert")</f>
        <v>0</v>
      </c>
      <c r="AV6" s="197">
        <f>IFERROR(X6-Parameter_2016_SQ!X6,"kein Vergleichswert")</f>
        <v>0</v>
      </c>
      <c r="AW6" s="197">
        <f>IFERROR(Z6-Parameter_2016_SQ!Z6,"kein Vergleichswert")</f>
        <v>0</v>
      </c>
      <c r="AX6" s="197">
        <f>IFERROR(AA6-Parameter_2016_SQ!AA6,"kein Vergleichswert")</f>
        <v>0</v>
      </c>
      <c r="AY6" s="197">
        <f>IFERROR(AB6-Parameter_2016_SQ!AB6,"kein Vergleichswert")</f>
        <v>0</v>
      </c>
    </row>
    <row r="7" spans="1:51" ht="38.25">
      <c r="A7" s="109"/>
      <c r="B7" s="178" t="s">
        <v>246</v>
      </c>
      <c r="C7" s="179" t="s">
        <v>282</v>
      </c>
      <c r="D7" s="83" t="s">
        <v>124</v>
      </c>
      <c r="E7" s="180" t="s">
        <v>253</v>
      </c>
      <c r="F7" s="181"/>
      <c r="G7" s="181"/>
      <c r="H7" s="181"/>
      <c r="I7" s="181"/>
      <c r="J7" s="144">
        <v>2.778</v>
      </c>
      <c r="K7" s="182">
        <v>0.05</v>
      </c>
      <c r="L7" s="146">
        <v>0.5</v>
      </c>
      <c r="M7" s="144">
        <v>8.64</v>
      </c>
      <c r="N7" s="145">
        <v>12.231999999999999</v>
      </c>
      <c r="O7" s="146">
        <v>2</v>
      </c>
      <c r="P7" s="146">
        <f>P11/2</f>
        <v>33</v>
      </c>
      <c r="Q7" s="145">
        <v>2</v>
      </c>
      <c r="R7" s="144">
        <v>18.398</v>
      </c>
      <c r="S7" s="145">
        <v>0.16200000000000001</v>
      </c>
      <c r="T7" s="145">
        <v>0.14499999999999999</v>
      </c>
      <c r="U7" s="146">
        <v>0.14499999999999999</v>
      </c>
      <c r="V7" s="144">
        <v>36.6</v>
      </c>
      <c r="W7" s="145">
        <v>3.05</v>
      </c>
      <c r="X7" s="146">
        <v>0.62</v>
      </c>
      <c r="Y7" s="146">
        <f>Y11/2</f>
        <v>169.5</v>
      </c>
      <c r="Z7" s="181">
        <v>5</v>
      </c>
      <c r="AA7" s="181">
        <v>5</v>
      </c>
      <c r="AB7" s="181">
        <v>5</v>
      </c>
      <c r="AE7" s="197">
        <f>IFERROR(F7-Parameter_2016_SQ!F7,"kein Vergleichswert")</f>
        <v>0</v>
      </c>
      <c r="AF7" s="197">
        <f>IFERROR(G7-Parameter_2016_SQ!G7,"kein Vergleichswert")</f>
        <v>0</v>
      </c>
      <c r="AG7" s="197">
        <f>IFERROR(H7-Parameter_2016_SQ!H7,"kein Vergleichswert")</f>
        <v>0</v>
      </c>
      <c r="AH7" s="197">
        <f>IFERROR(I7-Parameter_2016_SQ!I7,"kein Vergleichswert")</f>
        <v>0</v>
      </c>
      <c r="AI7" s="197">
        <f>IFERROR(J7-Parameter_2016_SQ!J7,"kein Vergleichswert")</f>
        <v>0</v>
      </c>
      <c r="AJ7" s="197">
        <f>IFERROR(K7-Parameter_2016_SQ!K7,"kein Vergleichswert")</f>
        <v>0</v>
      </c>
      <c r="AK7" s="197">
        <f>IFERROR(L7-Parameter_2016_SQ!L7,"kein Vergleichswert")</f>
        <v>0</v>
      </c>
      <c r="AL7" s="197">
        <f>IFERROR(M7-Parameter_2016_SQ!M7,"kein Vergleichswert")</f>
        <v>0</v>
      </c>
      <c r="AM7" s="197">
        <f>IFERROR(N7-Parameter_2016_SQ!N7,"kein Vergleichswert")</f>
        <v>0</v>
      </c>
      <c r="AN7" s="197">
        <f>IFERROR(O7-Parameter_2016_SQ!O7,"kein Vergleichswert")</f>
        <v>0</v>
      </c>
      <c r="AO7" s="197">
        <f>IFERROR(Q7-Parameter_2016_SQ!Q7,"kein Vergleichswert")</f>
        <v>0</v>
      </c>
      <c r="AP7" s="197">
        <f>IFERROR(R7-Parameter_2016_SQ!R7,"kein Vergleichswert")</f>
        <v>0</v>
      </c>
      <c r="AQ7" s="197">
        <f>IFERROR(S7-Parameter_2016_SQ!S7,"kein Vergleichswert")</f>
        <v>0</v>
      </c>
      <c r="AR7" s="197">
        <f>IFERROR(T7-Parameter_2016_SQ!T7,"kein Vergleichswert")</f>
        <v>0</v>
      </c>
      <c r="AS7" s="197">
        <f>IFERROR(U7-Parameter_2016_SQ!U7,"kein Vergleichswert")</f>
        <v>0</v>
      </c>
      <c r="AT7" s="197">
        <f>IFERROR(V7-Parameter_2016_SQ!V7,"kein Vergleichswert")</f>
        <v>0</v>
      </c>
      <c r="AU7" s="197">
        <f>IFERROR(W7-Parameter_2016_SQ!W7,"kein Vergleichswert")</f>
        <v>0</v>
      </c>
      <c r="AV7" s="197">
        <f>IFERROR(X7-Parameter_2016_SQ!X7,"kein Vergleichswert")</f>
        <v>0</v>
      </c>
      <c r="AW7" s="197">
        <f>IFERROR(Z7-Parameter_2016_SQ!Z7,"kein Vergleichswert")</f>
        <v>0</v>
      </c>
      <c r="AX7" s="197">
        <f>IFERROR(AA7-Parameter_2016_SQ!AA7,"kein Vergleichswert")</f>
        <v>0</v>
      </c>
      <c r="AY7" s="197">
        <f>IFERROR(AB7-Parameter_2016_SQ!AB7,"kein Vergleichswert")</f>
        <v>0</v>
      </c>
    </row>
    <row r="8" spans="1:51" ht="18.75">
      <c r="A8" s="109"/>
      <c r="B8" s="178" t="s">
        <v>259</v>
      </c>
      <c r="C8" s="180"/>
      <c r="D8" s="180"/>
      <c r="E8" s="180" t="s">
        <v>264</v>
      </c>
      <c r="F8" s="146"/>
      <c r="G8" s="146"/>
      <c r="H8" s="146"/>
      <c r="I8" s="146"/>
      <c r="J8" s="144"/>
      <c r="K8" s="145">
        <f t="shared" ref="K8:AB8" si="3">K7/K10</f>
        <v>8.3333333333333343E-2</v>
      </c>
      <c r="L8" s="146">
        <f t="shared" si="3"/>
        <v>1.0416666666666667</v>
      </c>
      <c r="M8" s="144">
        <f t="shared" si="3"/>
        <v>9.6</v>
      </c>
      <c r="N8" s="145">
        <f t="shared" si="3"/>
        <v>13.591111111111109</v>
      </c>
      <c r="O8" s="146">
        <f t="shared" si="3"/>
        <v>2.2222222222222223</v>
      </c>
      <c r="P8" s="146"/>
      <c r="Q8" s="146">
        <f t="shared" si="3"/>
        <v>2.1052631578947367</v>
      </c>
      <c r="R8" s="144">
        <f t="shared" si="3"/>
        <v>36.795999999999999</v>
      </c>
      <c r="S8" s="145">
        <f t="shared" si="3"/>
        <v>0.28222996515679444</v>
      </c>
      <c r="T8" s="145">
        <f t="shared" si="3"/>
        <v>0.25261324041811845</v>
      </c>
      <c r="U8" s="146">
        <f t="shared" si="3"/>
        <v>0.25261324041811845</v>
      </c>
      <c r="V8" s="144">
        <f t="shared" si="3"/>
        <v>40.666666666666664</v>
      </c>
      <c r="W8" s="145">
        <f t="shared" si="3"/>
        <v>3.3888888888888884</v>
      </c>
      <c r="X8" s="146">
        <f t="shared" si="3"/>
        <v>0.68888888888888888</v>
      </c>
      <c r="Y8" s="146"/>
      <c r="Z8" s="146">
        <f t="shared" si="3"/>
        <v>5.2631578947368425</v>
      </c>
      <c r="AA8" s="146">
        <f t="shared" si="3"/>
        <v>5.2631578947368425</v>
      </c>
      <c r="AB8" s="146">
        <f t="shared" si="3"/>
        <v>6.25</v>
      </c>
      <c r="AE8" s="197">
        <f>IFERROR(F8-Parameter_2016_SQ!F8,"kein Vergleichswert")</f>
        <v>0</v>
      </c>
      <c r="AF8" s="197">
        <f>IFERROR(G8-Parameter_2016_SQ!G8,"kein Vergleichswert")</f>
        <v>0</v>
      </c>
      <c r="AG8" s="197">
        <f>IFERROR(H8-Parameter_2016_SQ!H8,"kein Vergleichswert")</f>
        <v>0</v>
      </c>
      <c r="AH8" s="197">
        <f>IFERROR(I8-Parameter_2016_SQ!I8,"kein Vergleichswert")</f>
        <v>0</v>
      </c>
      <c r="AI8" s="197">
        <f>IFERROR(J8-Parameter_2016_SQ!J8,"kein Vergleichswert")</f>
        <v>0</v>
      </c>
      <c r="AJ8" s="197">
        <f>IFERROR(K8-Parameter_2016_SQ!K8,"kein Vergleichswert")</f>
        <v>0</v>
      </c>
      <c r="AK8" s="197">
        <f>IFERROR(L8-Parameter_2016_SQ!L8,"kein Vergleichswert")</f>
        <v>0</v>
      </c>
      <c r="AL8" s="197">
        <f>IFERROR(M8-Parameter_2016_SQ!M8,"kein Vergleichswert")</f>
        <v>0</v>
      </c>
      <c r="AM8" s="197">
        <f>IFERROR(N8-Parameter_2016_SQ!N8,"kein Vergleichswert")</f>
        <v>0</v>
      </c>
      <c r="AN8" s="197">
        <f>IFERROR(O8-Parameter_2016_SQ!O8,"kein Vergleichswert")</f>
        <v>0</v>
      </c>
      <c r="AO8" s="197">
        <f>IFERROR(Q8-Parameter_2016_SQ!Q8,"kein Vergleichswert")</f>
        <v>0</v>
      </c>
      <c r="AP8" s="197">
        <f>IFERROR(R8-Parameter_2016_SQ!R8,"kein Vergleichswert")</f>
        <v>0</v>
      </c>
      <c r="AQ8" s="197">
        <f>IFERROR(S8-Parameter_2016_SQ!S8,"kein Vergleichswert")</f>
        <v>0</v>
      </c>
      <c r="AR8" s="197">
        <f>IFERROR(T8-Parameter_2016_SQ!T8,"kein Vergleichswert")</f>
        <v>0</v>
      </c>
      <c r="AS8" s="197">
        <f>IFERROR(U8-Parameter_2016_SQ!U8,"kein Vergleichswert")</f>
        <v>0</v>
      </c>
      <c r="AT8" s="197">
        <f>IFERROR(V8-Parameter_2016_SQ!V8,"kein Vergleichswert")</f>
        <v>0</v>
      </c>
      <c r="AU8" s="197">
        <f>IFERROR(W8-Parameter_2016_SQ!W8,"kein Vergleichswert")</f>
        <v>0</v>
      </c>
      <c r="AV8" s="197">
        <f>IFERROR(X8-Parameter_2016_SQ!X8,"kein Vergleichswert")</f>
        <v>0</v>
      </c>
      <c r="AW8" s="197">
        <f>IFERROR(Z8-Parameter_2016_SQ!Z8,"kein Vergleichswert")</f>
        <v>0</v>
      </c>
      <c r="AX8" s="197">
        <f>IFERROR(AA8-Parameter_2016_SQ!AA8,"kein Vergleichswert")</f>
        <v>0</v>
      </c>
      <c r="AY8" s="197">
        <f>IFERROR(AB8-Parameter_2016_SQ!AB8,"kein Vergleichswert")</f>
        <v>0</v>
      </c>
    </row>
    <row r="9" spans="1:51" ht="18.75">
      <c r="A9" s="109"/>
      <c r="B9" s="178" t="s">
        <v>257</v>
      </c>
      <c r="C9" s="179" t="s">
        <v>283</v>
      </c>
      <c r="D9" s="179"/>
      <c r="E9" s="180" t="s">
        <v>22</v>
      </c>
      <c r="F9" s="181">
        <v>1</v>
      </c>
      <c r="G9" s="181">
        <v>1</v>
      </c>
      <c r="H9" s="181">
        <v>1</v>
      </c>
      <c r="I9" s="181">
        <v>1</v>
      </c>
      <c r="J9" s="144">
        <v>0.40533333333333332</v>
      </c>
      <c r="K9" s="145">
        <v>0.29299999999999998</v>
      </c>
      <c r="L9" s="146">
        <v>0.39</v>
      </c>
      <c r="M9" s="144">
        <v>0</v>
      </c>
      <c r="N9" s="145">
        <v>0</v>
      </c>
      <c r="O9" s="146">
        <v>0</v>
      </c>
      <c r="P9" s="146"/>
      <c r="Q9" s="146">
        <v>0</v>
      </c>
      <c r="R9" s="144">
        <v>0.35</v>
      </c>
      <c r="S9" s="145">
        <v>0.34599999999999997</v>
      </c>
      <c r="T9" s="145">
        <v>0.34599999999999997</v>
      </c>
      <c r="U9" s="146">
        <v>0.34599999999999997</v>
      </c>
      <c r="V9" s="144">
        <v>0</v>
      </c>
      <c r="W9" s="145">
        <v>0</v>
      </c>
      <c r="X9" s="146">
        <v>0</v>
      </c>
      <c r="Y9" s="146"/>
      <c r="Z9" s="181"/>
      <c r="AA9" s="181"/>
      <c r="AB9" s="181"/>
      <c r="AE9" s="197">
        <f>IFERROR(F9-Parameter_2016_SQ!F9,"kein Vergleichswert")</f>
        <v>0</v>
      </c>
      <c r="AF9" s="197">
        <f>IFERROR(G9-Parameter_2016_SQ!G9,"kein Vergleichswert")</f>
        <v>0</v>
      </c>
      <c r="AG9" s="197">
        <f>IFERROR(H9-Parameter_2016_SQ!H9,"kein Vergleichswert")</f>
        <v>0</v>
      </c>
      <c r="AH9" s="197">
        <f>IFERROR(I9-Parameter_2016_SQ!I9,"kein Vergleichswert")</f>
        <v>0</v>
      </c>
      <c r="AI9" s="197">
        <f>IFERROR(J9-Parameter_2016_SQ!J9,"kein Vergleichswert")</f>
        <v>0</v>
      </c>
      <c r="AJ9" s="197">
        <f>IFERROR(K9-Parameter_2016_SQ!K9,"kein Vergleichswert")</f>
        <v>0</v>
      </c>
      <c r="AK9" s="197">
        <f>IFERROR(L9-Parameter_2016_SQ!L9,"kein Vergleichswert")</f>
        <v>0</v>
      </c>
      <c r="AL9" s="197">
        <f>IFERROR(M9-Parameter_2016_SQ!M9,"kein Vergleichswert")</f>
        <v>0</v>
      </c>
      <c r="AM9" s="197">
        <f>IFERROR(N9-Parameter_2016_SQ!N9,"kein Vergleichswert")</f>
        <v>0</v>
      </c>
      <c r="AN9" s="197">
        <f>IFERROR(O9-Parameter_2016_SQ!O9,"kein Vergleichswert")</f>
        <v>0</v>
      </c>
      <c r="AO9" s="197">
        <f>IFERROR(Q9-Parameter_2016_SQ!Q9,"kein Vergleichswert")</f>
        <v>0</v>
      </c>
      <c r="AP9" s="197">
        <f>IFERROR(R9-Parameter_2016_SQ!R9,"kein Vergleichswert")</f>
        <v>0</v>
      </c>
      <c r="AQ9" s="197">
        <f>IFERROR(S9-Parameter_2016_SQ!S9,"kein Vergleichswert")</f>
        <v>0</v>
      </c>
      <c r="AR9" s="197">
        <f>IFERROR(T9-Parameter_2016_SQ!T9,"kein Vergleichswert")</f>
        <v>0</v>
      </c>
      <c r="AS9" s="197">
        <f>IFERROR(U9-Parameter_2016_SQ!U9,"kein Vergleichswert")</f>
        <v>0</v>
      </c>
      <c r="AT9" s="197">
        <f>IFERROR(V9-Parameter_2016_SQ!V9,"kein Vergleichswert")</f>
        <v>0</v>
      </c>
      <c r="AU9" s="197">
        <f>IFERROR(W9-Parameter_2016_SQ!W9,"kein Vergleichswert")</f>
        <v>0</v>
      </c>
      <c r="AV9" s="197">
        <f>IFERROR(X9-Parameter_2016_SQ!X9,"kein Vergleichswert")</f>
        <v>0</v>
      </c>
      <c r="AW9" s="197">
        <f>IFERROR(Z9-Parameter_2016_SQ!Z9,"kein Vergleichswert")</f>
        <v>0</v>
      </c>
      <c r="AX9" s="197">
        <f>IFERROR(AA9-Parameter_2016_SQ!AA9,"kein Vergleichswert")</f>
        <v>0</v>
      </c>
      <c r="AY9" s="197">
        <f>IFERROR(AB9-Parameter_2016_SQ!AB9,"kein Vergleichswert")</f>
        <v>0</v>
      </c>
    </row>
    <row r="10" spans="1:51" ht="18.75">
      <c r="A10" s="109"/>
      <c r="B10" s="178" t="s">
        <v>258</v>
      </c>
      <c r="C10" s="179" t="s">
        <v>284</v>
      </c>
      <c r="D10" s="183" t="s">
        <v>116</v>
      </c>
      <c r="E10" s="180" t="s">
        <v>22</v>
      </c>
      <c r="F10" s="181">
        <v>1</v>
      </c>
      <c r="G10" s="181">
        <v>1</v>
      </c>
      <c r="H10" s="181">
        <v>1</v>
      </c>
      <c r="I10" s="181">
        <v>1</v>
      </c>
      <c r="J10" s="144">
        <v>0.56799999999999995</v>
      </c>
      <c r="K10" s="145">
        <v>0.6</v>
      </c>
      <c r="L10" s="146">
        <v>0.48</v>
      </c>
      <c r="M10" s="144">
        <v>0.9</v>
      </c>
      <c r="N10" s="145">
        <v>0.9</v>
      </c>
      <c r="O10" s="146">
        <v>0.9</v>
      </c>
      <c r="P10" s="145"/>
      <c r="Q10" s="145">
        <v>0.95</v>
      </c>
      <c r="R10" s="144">
        <v>0.5</v>
      </c>
      <c r="S10" s="145">
        <v>0.57399999999999995</v>
      </c>
      <c r="T10" s="145">
        <v>0.57399999999999995</v>
      </c>
      <c r="U10" s="146">
        <v>0.57399999999999995</v>
      </c>
      <c r="V10" s="144">
        <v>0.9</v>
      </c>
      <c r="W10" s="145">
        <v>0.9</v>
      </c>
      <c r="X10" s="146">
        <v>0.9</v>
      </c>
      <c r="Y10" s="146"/>
      <c r="Z10" s="181">
        <v>0.95</v>
      </c>
      <c r="AA10" s="181">
        <v>0.95</v>
      </c>
      <c r="AB10" s="181">
        <v>0.8</v>
      </c>
      <c r="AE10" s="197">
        <f>IFERROR(F10-Parameter_2016_SQ!F10,"kein Vergleichswert")</f>
        <v>0</v>
      </c>
      <c r="AF10" s="197">
        <f>IFERROR(G10-Parameter_2016_SQ!G10,"kein Vergleichswert")</f>
        <v>0</v>
      </c>
      <c r="AG10" s="197">
        <f>IFERROR(H10-Parameter_2016_SQ!H10,"kein Vergleichswert")</f>
        <v>0</v>
      </c>
      <c r="AH10" s="197">
        <f>IFERROR(I10-Parameter_2016_SQ!I10,"kein Vergleichswert")</f>
        <v>0</v>
      </c>
      <c r="AI10" s="197">
        <f>IFERROR(J10-Parameter_2016_SQ!J10,"kein Vergleichswert")</f>
        <v>0</v>
      </c>
      <c r="AJ10" s="197">
        <f>IFERROR(K10-Parameter_2016_SQ!K10,"kein Vergleichswert")</f>
        <v>0</v>
      </c>
      <c r="AK10" s="197">
        <f>IFERROR(L10-Parameter_2016_SQ!L10,"kein Vergleichswert")</f>
        <v>0</v>
      </c>
      <c r="AL10" s="197">
        <f>IFERROR(M10-Parameter_2016_SQ!M10,"kein Vergleichswert")</f>
        <v>0</v>
      </c>
      <c r="AM10" s="197">
        <f>IFERROR(N10-Parameter_2016_SQ!N10,"kein Vergleichswert")</f>
        <v>0</v>
      </c>
      <c r="AN10" s="197">
        <f>IFERROR(O10-Parameter_2016_SQ!O10,"kein Vergleichswert")</f>
        <v>0</v>
      </c>
      <c r="AO10" s="197">
        <f>IFERROR(Q10-Parameter_2016_SQ!Q10,"kein Vergleichswert")</f>
        <v>0</v>
      </c>
      <c r="AP10" s="197">
        <f>IFERROR(R10-Parameter_2016_SQ!R10,"kein Vergleichswert")</f>
        <v>0</v>
      </c>
      <c r="AQ10" s="197">
        <f>IFERROR(S10-Parameter_2016_SQ!S10,"kein Vergleichswert")</f>
        <v>0</v>
      </c>
      <c r="AR10" s="197">
        <f>IFERROR(T10-Parameter_2016_SQ!T10,"kein Vergleichswert")</f>
        <v>0</v>
      </c>
      <c r="AS10" s="197">
        <f>IFERROR(U10-Parameter_2016_SQ!U10,"kein Vergleichswert")</f>
        <v>0</v>
      </c>
      <c r="AT10" s="197">
        <f>IFERROR(V10-Parameter_2016_SQ!V10,"kein Vergleichswert")</f>
        <v>0</v>
      </c>
      <c r="AU10" s="197">
        <f>IFERROR(W10-Parameter_2016_SQ!W10,"kein Vergleichswert")</f>
        <v>0</v>
      </c>
      <c r="AV10" s="197">
        <f>IFERROR(X10-Parameter_2016_SQ!X10,"kein Vergleichswert")</f>
        <v>0</v>
      </c>
      <c r="AW10" s="197">
        <f>IFERROR(Z10-Parameter_2016_SQ!Z10,"kein Vergleichswert")</f>
        <v>0</v>
      </c>
      <c r="AX10" s="197">
        <f>IFERROR(AA10-Parameter_2016_SQ!AA10,"kein Vergleichswert")</f>
        <v>0</v>
      </c>
      <c r="AY10" s="197">
        <f>IFERROR(AB10-Parameter_2016_SQ!AB10,"kein Vergleichswert")</f>
        <v>0</v>
      </c>
    </row>
    <row r="11" spans="1:51" ht="25.5">
      <c r="A11" s="109"/>
      <c r="B11" s="178" t="s">
        <v>325</v>
      </c>
      <c r="C11" s="179"/>
      <c r="D11" s="83" t="s">
        <v>125</v>
      </c>
      <c r="E11" s="180" t="s">
        <v>326</v>
      </c>
      <c r="F11" s="181"/>
      <c r="G11" s="181"/>
      <c r="H11" s="181"/>
      <c r="I11" s="181"/>
      <c r="J11" s="144"/>
      <c r="K11" s="145"/>
      <c r="L11" s="146"/>
      <c r="M11" s="144"/>
      <c r="N11" s="145"/>
      <c r="O11" s="146"/>
      <c r="P11" s="146">
        <v>66</v>
      </c>
      <c r="Q11" s="145"/>
      <c r="R11" s="144"/>
      <c r="S11" s="145"/>
      <c r="T11" s="145"/>
      <c r="U11" s="146"/>
      <c r="V11" s="144"/>
      <c r="W11" s="145"/>
      <c r="X11" s="146"/>
      <c r="Y11" s="146">
        <v>339</v>
      </c>
      <c r="Z11" s="181"/>
      <c r="AA11" s="181"/>
      <c r="AB11" s="181"/>
      <c r="AF11" s="121"/>
      <c r="AG11" s="121"/>
    </row>
    <row r="12" spans="1:51" ht="18.75">
      <c r="A12" s="109"/>
      <c r="B12" s="178" t="s">
        <v>244</v>
      </c>
      <c r="C12" s="180" t="str">
        <f>B12</f>
        <v>Lebensdauer</v>
      </c>
      <c r="D12" s="180"/>
      <c r="E12" s="180" t="s">
        <v>106</v>
      </c>
      <c r="F12" s="184"/>
      <c r="G12" s="184"/>
      <c r="H12" s="184"/>
      <c r="I12" s="184"/>
      <c r="J12" s="141">
        <v>20</v>
      </c>
      <c r="K12" s="142">
        <v>20</v>
      </c>
      <c r="L12" s="143">
        <v>20</v>
      </c>
      <c r="M12" s="141">
        <v>20</v>
      </c>
      <c r="N12" s="142">
        <v>20</v>
      </c>
      <c r="O12" s="143">
        <v>20</v>
      </c>
      <c r="P12" s="142"/>
      <c r="Q12" s="142">
        <v>20</v>
      </c>
      <c r="R12" s="141">
        <v>20</v>
      </c>
      <c r="S12" s="142">
        <v>20</v>
      </c>
      <c r="T12" s="142">
        <v>20</v>
      </c>
      <c r="U12" s="143">
        <v>20</v>
      </c>
      <c r="V12" s="141">
        <v>20</v>
      </c>
      <c r="W12" s="142">
        <v>20</v>
      </c>
      <c r="X12" s="143">
        <v>20</v>
      </c>
      <c r="Y12" s="143"/>
      <c r="Z12" s="184">
        <v>20</v>
      </c>
      <c r="AA12" s="184">
        <v>20</v>
      </c>
      <c r="AB12" s="184">
        <v>20</v>
      </c>
      <c r="AE12" s="197">
        <f>IFERROR(F12-Parameter_2016_SQ!F12,"kein Vergleichswert")</f>
        <v>0</v>
      </c>
      <c r="AF12" s="197">
        <f>IFERROR(G12-Parameter_2016_SQ!G12,"kein Vergleichswert")</f>
        <v>0</v>
      </c>
      <c r="AG12" s="197">
        <f>IFERROR(H12-Parameter_2016_SQ!H12,"kein Vergleichswert")</f>
        <v>0</v>
      </c>
      <c r="AH12" s="197">
        <f>IFERROR(I12-Parameter_2016_SQ!I12,"kein Vergleichswert")</f>
        <v>0</v>
      </c>
      <c r="AI12" s="197">
        <f>IFERROR(J12-Parameter_2016_SQ!J12,"kein Vergleichswert")</f>
        <v>0</v>
      </c>
      <c r="AJ12" s="197">
        <f>IFERROR(K12-Parameter_2016_SQ!K12,"kein Vergleichswert")</f>
        <v>0</v>
      </c>
      <c r="AK12" s="197">
        <f>IFERROR(L12-Parameter_2016_SQ!L12,"kein Vergleichswert")</f>
        <v>0</v>
      </c>
      <c r="AL12" s="197">
        <f>IFERROR(M12-Parameter_2016_SQ!M12,"kein Vergleichswert")</f>
        <v>0</v>
      </c>
      <c r="AM12" s="197">
        <f>IFERROR(N12-Parameter_2016_SQ!N12,"kein Vergleichswert")</f>
        <v>0</v>
      </c>
      <c r="AN12" s="197">
        <f>IFERROR(O12-Parameter_2016_SQ!O12,"kein Vergleichswert")</f>
        <v>0</v>
      </c>
      <c r="AO12" s="197">
        <f>IFERROR(Q12-Parameter_2016_SQ!Q12,"kein Vergleichswert")</f>
        <v>0</v>
      </c>
      <c r="AP12" s="197">
        <f>IFERROR(R12-Parameter_2016_SQ!R12,"kein Vergleichswert")</f>
        <v>0</v>
      </c>
      <c r="AQ12" s="197">
        <f>IFERROR(S12-Parameter_2016_SQ!S12,"kein Vergleichswert")</f>
        <v>0</v>
      </c>
      <c r="AR12" s="197">
        <f>IFERROR(T12-Parameter_2016_SQ!T12,"kein Vergleichswert")</f>
        <v>0</v>
      </c>
      <c r="AS12" s="197">
        <f>IFERROR(U12-Parameter_2016_SQ!U12,"kein Vergleichswert")</f>
        <v>0</v>
      </c>
      <c r="AT12" s="197">
        <f>IFERROR(V12-Parameter_2016_SQ!V12,"kein Vergleichswert")</f>
        <v>0</v>
      </c>
      <c r="AU12" s="197">
        <f>IFERROR(W12-Parameter_2016_SQ!W12,"kein Vergleichswert")</f>
        <v>0</v>
      </c>
      <c r="AV12" s="197">
        <f>IFERROR(X12-Parameter_2016_SQ!X12,"kein Vergleichswert")</f>
        <v>0</v>
      </c>
      <c r="AW12" s="197">
        <f>IFERROR(Z12-Parameter_2016_SQ!Z12,"kein Vergleichswert")</f>
        <v>0</v>
      </c>
      <c r="AX12" s="197">
        <f>IFERROR(AA12-Parameter_2016_SQ!AA12,"kein Vergleichswert")</f>
        <v>0</v>
      </c>
      <c r="AY12" s="197">
        <f>IFERROR(AB12-Parameter_2016_SQ!AB12,"kein Vergleichswert")</f>
        <v>0</v>
      </c>
    </row>
    <row r="13" spans="1:51" ht="18.75">
      <c r="A13" s="108"/>
      <c r="B13" s="116"/>
      <c r="C13" s="117"/>
      <c r="D13" s="117"/>
      <c r="E13" s="117"/>
      <c r="F13" s="177"/>
      <c r="G13" s="177"/>
      <c r="H13" s="177"/>
      <c r="I13" s="177"/>
      <c r="J13" s="174"/>
      <c r="K13" s="175"/>
      <c r="L13" s="176"/>
      <c r="M13" s="174"/>
      <c r="N13" s="175"/>
      <c r="O13" s="176"/>
      <c r="P13" s="175"/>
      <c r="Q13" s="175"/>
      <c r="R13" s="174"/>
      <c r="S13" s="175"/>
      <c r="T13" s="175"/>
      <c r="U13" s="176"/>
      <c r="V13" s="174"/>
      <c r="W13" s="175"/>
      <c r="X13" s="176"/>
      <c r="Y13" s="176"/>
      <c r="Z13" s="177"/>
      <c r="AA13" s="177"/>
      <c r="AB13" s="177"/>
      <c r="AE13" s="197">
        <f>IFERROR(F13-Parameter_2016_SQ!F13,"kein Vergleichswert")</f>
        <v>0</v>
      </c>
      <c r="AF13" s="197">
        <f>IFERROR(G13-Parameter_2016_SQ!G13,"kein Vergleichswert")</f>
        <v>0</v>
      </c>
      <c r="AG13" s="197">
        <f>IFERROR(H13-Parameter_2016_SQ!H13,"kein Vergleichswert")</f>
        <v>0</v>
      </c>
      <c r="AH13" s="197">
        <f>IFERROR(I13-Parameter_2016_SQ!I13,"kein Vergleichswert")</f>
        <v>0</v>
      </c>
      <c r="AI13" s="197">
        <f>IFERROR(J13-Parameter_2016_SQ!J13,"kein Vergleichswert")</f>
        <v>0</v>
      </c>
      <c r="AJ13" s="197">
        <f>IFERROR(K13-Parameter_2016_SQ!K13,"kein Vergleichswert")</f>
        <v>0</v>
      </c>
      <c r="AK13" s="197">
        <f>IFERROR(L13-Parameter_2016_SQ!L13,"kein Vergleichswert")</f>
        <v>0</v>
      </c>
      <c r="AL13" s="197">
        <f>IFERROR(M13-Parameter_2016_SQ!M13,"kein Vergleichswert")</f>
        <v>0</v>
      </c>
      <c r="AM13" s="197">
        <f>IFERROR(N13-Parameter_2016_SQ!N13,"kein Vergleichswert")</f>
        <v>0</v>
      </c>
      <c r="AN13" s="197">
        <f>IFERROR(O13-Parameter_2016_SQ!O13,"kein Vergleichswert")</f>
        <v>0</v>
      </c>
      <c r="AO13" s="197">
        <f>IFERROR(Q13-Parameter_2016_SQ!Q13,"kein Vergleichswert")</f>
        <v>0</v>
      </c>
      <c r="AP13" s="197">
        <f>IFERROR(R13-Parameter_2016_SQ!R13,"kein Vergleichswert")</f>
        <v>0</v>
      </c>
      <c r="AQ13" s="197">
        <f>IFERROR(S13-Parameter_2016_SQ!S13,"kein Vergleichswert")</f>
        <v>0</v>
      </c>
      <c r="AR13" s="197">
        <f>IFERROR(T13-Parameter_2016_SQ!T13,"kein Vergleichswert")</f>
        <v>0</v>
      </c>
      <c r="AS13" s="197">
        <f>IFERROR(U13-Parameter_2016_SQ!U13,"kein Vergleichswert")</f>
        <v>0</v>
      </c>
      <c r="AT13" s="197">
        <f>IFERROR(V13-Parameter_2016_SQ!V13,"kein Vergleichswert")</f>
        <v>0</v>
      </c>
      <c r="AU13" s="197">
        <f>IFERROR(W13-Parameter_2016_SQ!W13,"kein Vergleichswert")</f>
        <v>0</v>
      </c>
      <c r="AV13" s="197">
        <f>IFERROR(X13-Parameter_2016_SQ!X13,"kein Vergleichswert")</f>
        <v>0</v>
      </c>
      <c r="AW13" s="197">
        <f>IFERROR(Z13-Parameter_2016_SQ!Z13,"kein Vergleichswert")</f>
        <v>0</v>
      </c>
      <c r="AX13" s="197">
        <f>IFERROR(AA13-Parameter_2016_SQ!AA13,"kein Vergleichswert")</f>
        <v>0</v>
      </c>
      <c r="AY13" s="197">
        <f>IFERROR(AB13-Parameter_2016_SQ!AB13,"kein Vergleichswert")</f>
        <v>0</v>
      </c>
    </row>
    <row r="14" spans="1:51" ht="18.75">
      <c r="B14" s="108" t="s">
        <v>262</v>
      </c>
      <c r="C14" s="117"/>
      <c r="D14" s="117"/>
      <c r="E14" s="117"/>
      <c r="F14" s="177"/>
      <c r="G14" s="177"/>
      <c r="H14" s="177"/>
      <c r="I14" s="177"/>
      <c r="J14" s="174"/>
      <c r="K14" s="175"/>
      <c r="L14" s="176"/>
      <c r="M14" s="174"/>
      <c r="N14" s="175"/>
      <c r="O14" s="176"/>
      <c r="P14" s="175"/>
      <c r="Q14" s="175"/>
      <c r="R14" s="174"/>
      <c r="S14" s="175"/>
      <c r="T14" s="175"/>
      <c r="U14" s="176"/>
      <c r="V14" s="174"/>
      <c r="W14" s="175"/>
      <c r="X14" s="176"/>
      <c r="Y14" s="176"/>
      <c r="Z14" s="177"/>
      <c r="AA14" s="177"/>
      <c r="AB14" s="177"/>
      <c r="AE14" s="197">
        <f>IFERROR(F14-Parameter_2016_SQ!F14,"kein Vergleichswert")</f>
        <v>0</v>
      </c>
      <c r="AF14" s="197">
        <f>IFERROR(G14-Parameter_2016_SQ!G14,"kein Vergleichswert")</f>
        <v>0</v>
      </c>
      <c r="AG14" s="197">
        <f>IFERROR(H14-Parameter_2016_SQ!H14,"kein Vergleichswert")</f>
        <v>0</v>
      </c>
      <c r="AH14" s="197">
        <f>IFERROR(I14-Parameter_2016_SQ!I14,"kein Vergleichswert")</f>
        <v>0</v>
      </c>
      <c r="AI14" s="197">
        <f>IFERROR(J14-Parameter_2016_SQ!J14,"kein Vergleichswert")</f>
        <v>0</v>
      </c>
      <c r="AJ14" s="197">
        <f>IFERROR(K14-Parameter_2016_SQ!K14,"kein Vergleichswert")</f>
        <v>0</v>
      </c>
      <c r="AK14" s="197">
        <f>IFERROR(L14-Parameter_2016_SQ!L14,"kein Vergleichswert")</f>
        <v>0</v>
      </c>
      <c r="AL14" s="197">
        <f>IFERROR(M14-Parameter_2016_SQ!M14,"kein Vergleichswert")</f>
        <v>0</v>
      </c>
      <c r="AM14" s="197">
        <f>IFERROR(N14-Parameter_2016_SQ!N14,"kein Vergleichswert")</f>
        <v>0</v>
      </c>
      <c r="AN14" s="197">
        <f>IFERROR(O14-Parameter_2016_SQ!O14,"kein Vergleichswert")</f>
        <v>0</v>
      </c>
      <c r="AO14" s="197">
        <f>IFERROR(Q14-Parameter_2016_SQ!Q14,"kein Vergleichswert")</f>
        <v>0</v>
      </c>
      <c r="AP14" s="197">
        <f>IFERROR(R14-Parameter_2016_SQ!R14,"kein Vergleichswert")</f>
        <v>0</v>
      </c>
      <c r="AQ14" s="197">
        <f>IFERROR(S14-Parameter_2016_SQ!S14,"kein Vergleichswert")</f>
        <v>0</v>
      </c>
      <c r="AR14" s="197">
        <f>IFERROR(T14-Parameter_2016_SQ!T14,"kein Vergleichswert")</f>
        <v>0</v>
      </c>
      <c r="AS14" s="197">
        <f>IFERROR(U14-Parameter_2016_SQ!U14,"kein Vergleichswert")</f>
        <v>0</v>
      </c>
      <c r="AT14" s="197">
        <f>IFERROR(V14-Parameter_2016_SQ!V14,"kein Vergleichswert")</f>
        <v>0</v>
      </c>
      <c r="AU14" s="197">
        <f>IFERROR(W14-Parameter_2016_SQ!W14,"kein Vergleichswert")</f>
        <v>0</v>
      </c>
      <c r="AV14" s="197">
        <f>IFERROR(X14-Parameter_2016_SQ!X14,"kein Vergleichswert")</f>
        <v>0</v>
      </c>
      <c r="AW14" s="197">
        <f>IFERROR(Z14-Parameter_2016_SQ!Z14,"kein Vergleichswert")</f>
        <v>0</v>
      </c>
      <c r="AX14" s="197">
        <f>IFERROR(AA14-Parameter_2016_SQ!AA14,"kein Vergleichswert")</f>
        <v>0</v>
      </c>
      <c r="AY14" s="197">
        <f>IFERROR(AB14-Parameter_2016_SQ!AB14,"kein Vergleichswert")</f>
        <v>0</v>
      </c>
    </row>
    <row r="15" spans="1:51" ht="30">
      <c r="A15" s="108"/>
      <c r="B15" s="178" t="s">
        <v>279</v>
      </c>
      <c r="C15" s="180"/>
      <c r="D15" s="180"/>
      <c r="E15" s="180" t="s">
        <v>263</v>
      </c>
      <c r="F15" s="184"/>
      <c r="G15" s="184"/>
      <c r="H15" s="184"/>
      <c r="I15" s="184"/>
      <c r="J15" s="141">
        <v>4500</v>
      </c>
      <c r="K15" s="142">
        <v>4500</v>
      </c>
      <c r="L15" s="143">
        <v>4500</v>
      </c>
      <c r="M15" s="141">
        <v>1000</v>
      </c>
      <c r="N15" s="142">
        <v>1000</v>
      </c>
      <c r="O15" s="143">
        <v>1000</v>
      </c>
      <c r="P15" s="142"/>
      <c r="Q15" s="142">
        <v>500</v>
      </c>
      <c r="R15" s="141">
        <v>4500</v>
      </c>
      <c r="S15" s="142">
        <v>4500</v>
      </c>
      <c r="T15" s="142">
        <v>4500</v>
      </c>
      <c r="U15" s="143">
        <v>4500</v>
      </c>
      <c r="V15" s="141">
        <v>1000</v>
      </c>
      <c r="W15" s="142">
        <v>1000</v>
      </c>
      <c r="X15" s="143">
        <v>1000</v>
      </c>
      <c r="Y15" s="143"/>
      <c r="Z15" s="184">
        <v>500</v>
      </c>
      <c r="AA15" s="184">
        <v>500</v>
      </c>
      <c r="AB15" s="184">
        <v>500</v>
      </c>
      <c r="AE15" s="197">
        <f>IFERROR(F15-Parameter_2016_SQ!F15,"kein Vergleichswert")</f>
        <v>0</v>
      </c>
      <c r="AF15" s="197">
        <f>IFERROR(G15-Parameter_2016_SQ!G15,"kein Vergleichswert")</f>
        <v>0</v>
      </c>
      <c r="AG15" s="197">
        <f>IFERROR(H15-Parameter_2016_SQ!H15,"kein Vergleichswert")</f>
        <v>0</v>
      </c>
      <c r="AH15" s="197">
        <f>IFERROR(I15-Parameter_2016_SQ!I15,"kein Vergleichswert")</f>
        <v>0</v>
      </c>
      <c r="AI15" s="197">
        <f>IFERROR(J15-Parameter_2016_SQ!J15,"kein Vergleichswert")</f>
        <v>0</v>
      </c>
      <c r="AJ15" s="197">
        <f>IFERROR(K15-Parameter_2016_SQ!K15,"kein Vergleichswert")</f>
        <v>0</v>
      </c>
      <c r="AK15" s="197">
        <f>IFERROR(L15-Parameter_2016_SQ!L15,"kein Vergleichswert")</f>
        <v>0</v>
      </c>
      <c r="AL15" s="197">
        <f>IFERROR(M15-Parameter_2016_SQ!M15,"kein Vergleichswert")</f>
        <v>0</v>
      </c>
      <c r="AM15" s="197">
        <f>IFERROR(N15-Parameter_2016_SQ!N15,"kein Vergleichswert")</f>
        <v>0</v>
      </c>
      <c r="AN15" s="197">
        <f>IFERROR(O15-Parameter_2016_SQ!O15,"kein Vergleichswert")</f>
        <v>0</v>
      </c>
      <c r="AO15" s="197">
        <f>IFERROR(Q15-Parameter_2016_SQ!Q15,"kein Vergleichswert")</f>
        <v>0</v>
      </c>
      <c r="AP15" s="197">
        <f>IFERROR(R15-Parameter_2016_SQ!R15,"kein Vergleichswert")</f>
        <v>0</v>
      </c>
      <c r="AQ15" s="197">
        <f>IFERROR(S15-Parameter_2016_SQ!S15,"kein Vergleichswert")</f>
        <v>0</v>
      </c>
      <c r="AR15" s="197">
        <f>IFERROR(T15-Parameter_2016_SQ!T15,"kein Vergleichswert")</f>
        <v>0</v>
      </c>
      <c r="AS15" s="197">
        <f>IFERROR(U15-Parameter_2016_SQ!U15,"kein Vergleichswert")</f>
        <v>0</v>
      </c>
      <c r="AT15" s="197">
        <f>IFERROR(V15-Parameter_2016_SQ!V15,"kein Vergleichswert")</f>
        <v>0</v>
      </c>
      <c r="AU15" s="197">
        <f>IFERROR(W15-Parameter_2016_SQ!W15,"kein Vergleichswert")</f>
        <v>0</v>
      </c>
      <c r="AV15" s="197">
        <f>IFERROR(X15-Parameter_2016_SQ!X15,"kein Vergleichswert")</f>
        <v>0</v>
      </c>
      <c r="AW15" s="197">
        <f>IFERROR(Z15-Parameter_2016_SQ!Z15,"kein Vergleichswert")</f>
        <v>0</v>
      </c>
      <c r="AX15" s="197">
        <f>IFERROR(AA15-Parameter_2016_SQ!AA15,"kein Vergleichswert")</f>
        <v>0</v>
      </c>
      <c r="AY15" s="197">
        <f>IFERROR(AB15-Parameter_2016_SQ!AB15,"kein Vergleichswert")</f>
        <v>0</v>
      </c>
    </row>
    <row r="16" spans="1:51" ht="18.75">
      <c r="A16" s="108"/>
      <c r="B16" s="178" t="s">
        <v>260</v>
      </c>
      <c r="C16" s="180"/>
      <c r="D16" s="180"/>
      <c r="E16" s="180" t="s">
        <v>265</v>
      </c>
      <c r="F16" s="143"/>
      <c r="G16" s="143"/>
      <c r="H16" s="143"/>
      <c r="I16" s="143"/>
      <c r="J16" s="141">
        <f>J17*J9</f>
        <v>5067.0720000000001</v>
      </c>
      <c r="K16" s="142">
        <f>K18*K9</f>
        <v>109.875</v>
      </c>
      <c r="L16" s="143">
        <f t="shared" ref="L16:O17" si="4">L17*L9</f>
        <v>877.5</v>
      </c>
      <c r="M16" s="141">
        <f t="shared" si="4"/>
        <v>0</v>
      </c>
      <c r="N16" s="142">
        <f t="shared" si="4"/>
        <v>0</v>
      </c>
      <c r="O16" s="143">
        <f t="shared" si="4"/>
        <v>0</v>
      </c>
      <c r="P16" s="143"/>
      <c r="Q16" s="143">
        <f>Q17*Q9</f>
        <v>0</v>
      </c>
      <c r="R16" s="141">
        <f>R18*R9</f>
        <v>57953.7</v>
      </c>
      <c r="S16" s="142">
        <f t="shared" ref="S16:X17" si="5">S17*S9</f>
        <v>252.23399999999998</v>
      </c>
      <c r="T16" s="142">
        <f t="shared" si="5"/>
        <v>225.76499999999999</v>
      </c>
      <c r="U16" s="143">
        <f t="shared" si="5"/>
        <v>225.76499999999999</v>
      </c>
      <c r="V16" s="141">
        <f t="shared" si="5"/>
        <v>0</v>
      </c>
      <c r="W16" s="142">
        <f t="shared" si="5"/>
        <v>0</v>
      </c>
      <c r="X16" s="143">
        <f t="shared" si="5"/>
        <v>0</v>
      </c>
      <c r="Y16" s="143"/>
      <c r="Z16" s="143">
        <f t="shared" ref="Z16:AB17" si="6">Z17*Z9</f>
        <v>0</v>
      </c>
      <c r="AA16" s="143">
        <f t="shared" si="6"/>
        <v>0</v>
      </c>
      <c r="AB16" s="143">
        <f t="shared" si="6"/>
        <v>0</v>
      </c>
      <c r="AE16" s="197">
        <f>IFERROR(F16-Parameter_2016_SQ!F16,"kein Vergleichswert")</f>
        <v>0</v>
      </c>
      <c r="AF16" s="197">
        <f>IFERROR(G16-Parameter_2016_SQ!G16,"kein Vergleichswert")</f>
        <v>0</v>
      </c>
      <c r="AG16" s="197">
        <f>IFERROR(H16-Parameter_2016_SQ!H16,"kein Vergleichswert")</f>
        <v>0</v>
      </c>
      <c r="AH16" s="197">
        <f>IFERROR(I16-Parameter_2016_SQ!I16,"kein Vergleichswert")</f>
        <v>0</v>
      </c>
      <c r="AI16" s="197">
        <f>IFERROR(J16-Parameter_2016_SQ!J16,"kein Vergleichswert")</f>
        <v>0</v>
      </c>
      <c r="AJ16" s="197">
        <f>IFERROR(K16-Parameter_2016_SQ!K16,"kein Vergleichswert")</f>
        <v>0</v>
      </c>
      <c r="AK16" s="197">
        <f>IFERROR(L16-Parameter_2016_SQ!L16,"kein Vergleichswert")</f>
        <v>0</v>
      </c>
      <c r="AL16" s="197">
        <f>IFERROR(M16-Parameter_2016_SQ!M16,"kein Vergleichswert")</f>
        <v>0</v>
      </c>
      <c r="AM16" s="197">
        <f>IFERROR(N16-Parameter_2016_SQ!N16,"kein Vergleichswert")</f>
        <v>0</v>
      </c>
      <c r="AN16" s="197">
        <f>IFERROR(O16-Parameter_2016_SQ!O16,"kein Vergleichswert")</f>
        <v>0</v>
      </c>
      <c r="AO16" s="197">
        <f>IFERROR(Q16-Parameter_2016_SQ!Q16,"kein Vergleichswert")</f>
        <v>0</v>
      </c>
      <c r="AP16" s="197">
        <f>IFERROR(R16-Parameter_2016_SQ!R16,"kein Vergleichswert")</f>
        <v>0</v>
      </c>
      <c r="AQ16" s="197">
        <f>IFERROR(S16-Parameter_2016_SQ!S16,"kein Vergleichswert")</f>
        <v>0</v>
      </c>
      <c r="AR16" s="197">
        <f>IFERROR(T16-Parameter_2016_SQ!T16,"kein Vergleichswert")</f>
        <v>0</v>
      </c>
      <c r="AS16" s="197">
        <f>IFERROR(U16-Parameter_2016_SQ!U16,"kein Vergleichswert")</f>
        <v>0</v>
      </c>
      <c r="AT16" s="197">
        <f>IFERROR(V16-Parameter_2016_SQ!V16,"kein Vergleichswert")</f>
        <v>0</v>
      </c>
      <c r="AU16" s="197">
        <f>IFERROR(W16-Parameter_2016_SQ!W16,"kein Vergleichswert")</f>
        <v>0</v>
      </c>
      <c r="AV16" s="197">
        <f>IFERROR(X16-Parameter_2016_SQ!X16,"kein Vergleichswert")</f>
        <v>0</v>
      </c>
      <c r="AW16" s="197">
        <f>IFERROR(Z16-Parameter_2016_SQ!Z16,"kein Vergleichswert")</f>
        <v>0</v>
      </c>
      <c r="AX16" s="197">
        <f>IFERROR(AA16-Parameter_2016_SQ!AA16,"kein Vergleichswert")</f>
        <v>0</v>
      </c>
      <c r="AY16" s="197">
        <f>IFERROR(AB16-Parameter_2016_SQ!AB16,"kein Vergleichswert")</f>
        <v>0</v>
      </c>
    </row>
    <row r="17" spans="1:51" ht="18.75">
      <c r="A17" s="108"/>
      <c r="B17" s="178" t="s">
        <v>261</v>
      </c>
      <c r="C17" s="180"/>
      <c r="D17" s="180"/>
      <c r="E17" s="180" t="s">
        <v>265</v>
      </c>
      <c r="F17" s="143"/>
      <c r="G17" s="143"/>
      <c r="H17" s="143"/>
      <c r="I17" s="143"/>
      <c r="J17" s="141">
        <f>J18*J10</f>
        <v>12501</v>
      </c>
      <c r="K17" s="142">
        <f>K18*K10</f>
        <v>225</v>
      </c>
      <c r="L17" s="143">
        <f t="shared" si="4"/>
        <v>2250</v>
      </c>
      <c r="M17" s="141">
        <f t="shared" si="4"/>
        <v>8640</v>
      </c>
      <c r="N17" s="142">
        <f t="shared" si="4"/>
        <v>12232</v>
      </c>
      <c r="O17" s="143">
        <f t="shared" si="4"/>
        <v>2000</v>
      </c>
      <c r="P17" s="143"/>
      <c r="Q17" s="143">
        <f>Q18*Q10</f>
        <v>1000.0000000000001</v>
      </c>
      <c r="R17" s="141">
        <f>R18*R10</f>
        <v>82791</v>
      </c>
      <c r="S17" s="142">
        <f t="shared" si="5"/>
        <v>729</v>
      </c>
      <c r="T17" s="142">
        <f t="shared" si="5"/>
        <v>652.5</v>
      </c>
      <c r="U17" s="143">
        <f t="shared" si="5"/>
        <v>652.5</v>
      </c>
      <c r="V17" s="141">
        <f t="shared" si="5"/>
        <v>36600</v>
      </c>
      <c r="W17" s="142">
        <f t="shared" si="5"/>
        <v>3050</v>
      </c>
      <c r="X17" s="143">
        <f t="shared" si="5"/>
        <v>620</v>
      </c>
      <c r="Y17" s="143"/>
      <c r="Z17" s="143">
        <f t="shared" si="6"/>
        <v>2500</v>
      </c>
      <c r="AA17" s="143">
        <f t="shared" si="6"/>
        <v>2500</v>
      </c>
      <c r="AB17" s="143">
        <f t="shared" si="6"/>
        <v>2500</v>
      </c>
      <c r="AE17" s="197">
        <f>IFERROR(F17-Parameter_2016_SQ!F17,"kein Vergleichswert")</f>
        <v>0</v>
      </c>
      <c r="AF17" s="197">
        <f>IFERROR(G17-Parameter_2016_SQ!G17,"kein Vergleichswert")</f>
        <v>0</v>
      </c>
      <c r="AG17" s="197">
        <f>IFERROR(H17-Parameter_2016_SQ!H17,"kein Vergleichswert")</f>
        <v>0</v>
      </c>
      <c r="AH17" s="197">
        <f>IFERROR(I17-Parameter_2016_SQ!I17,"kein Vergleichswert")</f>
        <v>0</v>
      </c>
      <c r="AI17" s="197">
        <f>IFERROR(J17-Parameter_2016_SQ!J17,"kein Vergleichswert")</f>
        <v>0</v>
      </c>
      <c r="AJ17" s="197">
        <f>IFERROR(K17-Parameter_2016_SQ!K17,"kein Vergleichswert")</f>
        <v>0</v>
      </c>
      <c r="AK17" s="197">
        <f>IFERROR(L17-Parameter_2016_SQ!L17,"kein Vergleichswert")</f>
        <v>0</v>
      </c>
      <c r="AL17" s="197">
        <f>IFERROR(M17-Parameter_2016_SQ!M17,"kein Vergleichswert")</f>
        <v>0</v>
      </c>
      <c r="AM17" s="197">
        <f>IFERROR(N17-Parameter_2016_SQ!N17,"kein Vergleichswert")</f>
        <v>0</v>
      </c>
      <c r="AN17" s="197">
        <f>IFERROR(O17-Parameter_2016_SQ!O17,"kein Vergleichswert")</f>
        <v>0</v>
      </c>
      <c r="AO17" s="197">
        <f>IFERROR(Q17-Parameter_2016_SQ!Q17,"kein Vergleichswert")</f>
        <v>0</v>
      </c>
      <c r="AP17" s="197">
        <f>IFERROR(R17-Parameter_2016_SQ!R17,"kein Vergleichswert")</f>
        <v>0</v>
      </c>
      <c r="AQ17" s="197">
        <f>IFERROR(S17-Parameter_2016_SQ!S17,"kein Vergleichswert")</f>
        <v>0</v>
      </c>
      <c r="AR17" s="197">
        <f>IFERROR(T17-Parameter_2016_SQ!T17,"kein Vergleichswert")</f>
        <v>0</v>
      </c>
      <c r="AS17" s="197">
        <f>IFERROR(U17-Parameter_2016_SQ!U17,"kein Vergleichswert")</f>
        <v>0</v>
      </c>
      <c r="AT17" s="197">
        <f>IFERROR(V17-Parameter_2016_SQ!V17,"kein Vergleichswert")</f>
        <v>0</v>
      </c>
      <c r="AU17" s="197">
        <f>IFERROR(W17-Parameter_2016_SQ!W17,"kein Vergleichswert")</f>
        <v>0</v>
      </c>
      <c r="AV17" s="197">
        <f>IFERROR(X17-Parameter_2016_SQ!X17,"kein Vergleichswert")</f>
        <v>0</v>
      </c>
      <c r="AW17" s="197">
        <f>IFERROR(Z17-Parameter_2016_SQ!Z17,"kein Vergleichswert")</f>
        <v>0</v>
      </c>
      <c r="AX17" s="197">
        <f>IFERROR(AA17-Parameter_2016_SQ!AA17,"kein Vergleichswert")</f>
        <v>0</v>
      </c>
      <c r="AY17" s="197">
        <f>IFERROR(AB17-Parameter_2016_SQ!AB17,"kein Vergleichswert")</f>
        <v>0</v>
      </c>
    </row>
    <row r="18" spans="1:51" ht="18.75">
      <c r="A18" s="109"/>
      <c r="B18" s="178" t="s">
        <v>256</v>
      </c>
      <c r="C18" s="180"/>
      <c r="D18" s="180"/>
      <c r="E18" s="180" t="s">
        <v>265</v>
      </c>
      <c r="F18" s="143"/>
      <c r="G18" s="143"/>
      <c r="H18" s="143"/>
      <c r="I18" s="143"/>
      <c r="J18" s="141">
        <f t="shared" ref="J18:AB18" si="7">J15*J7/J10</f>
        <v>22008.802816901411</v>
      </c>
      <c r="K18" s="142">
        <f>(K15*K7)/K10</f>
        <v>375</v>
      </c>
      <c r="L18" s="143">
        <f t="shared" si="7"/>
        <v>4687.5</v>
      </c>
      <c r="M18" s="141">
        <f t="shared" si="7"/>
        <v>9600</v>
      </c>
      <c r="N18" s="142">
        <f t="shared" si="7"/>
        <v>13591.111111111111</v>
      </c>
      <c r="O18" s="143">
        <f t="shared" si="7"/>
        <v>2222.2222222222222</v>
      </c>
      <c r="P18" s="143"/>
      <c r="Q18" s="143">
        <f t="shared" si="7"/>
        <v>1052.6315789473686</v>
      </c>
      <c r="R18" s="141">
        <f t="shared" si="7"/>
        <v>165582</v>
      </c>
      <c r="S18" s="142">
        <f t="shared" si="7"/>
        <v>1270.034843205575</v>
      </c>
      <c r="T18" s="142">
        <f t="shared" si="7"/>
        <v>1136.7595818815332</v>
      </c>
      <c r="U18" s="143">
        <f t="shared" si="7"/>
        <v>1136.7595818815332</v>
      </c>
      <c r="V18" s="141">
        <f t="shared" si="7"/>
        <v>40666.666666666664</v>
      </c>
      <c r="W18" s="142">
        <f t="shared" si="7"/>
        <v>3388.8888888888887</v>
      </c>
      <c r="X18" s="143">
        <f t="shared" si="7"/>
        <v>688.88888888888891</v>
      </c>
      <c r="Y18" s="143"/>
      <c r="Z18" s="143">
        <f t="shared" si="7"/>
        <v>2631.5789473684213</v>
      </c>
      <c r="AA18" s="143">
        <f t="shared" si="7"/>
        <v>2631.5789473684213</v>
      </c>
      <c r="AB18" s="143">
        <f t="shared" si="7"/>
        <v>3125</v>
      </c>
      <c r="AE18" s="197">
        <f>IFERROR(F18-Parameter_2016_SQ!F18,"kein Vergleichswert")</f>
        <v>0</v>
      </c>
      <c r="AF18" s="197">
        <f>IFERROR(G18-Parameter_2016_SQ!G18,"kein Vergleichswert")</f>
        <v>0</v>
      </c>
      <c r="AG18" s="197">
        <f>IFERROR(H18-Parameter_2016_SQ!H18,"kein Vergleichswert")</f>
        <v>0</v>
      </c>
      <c r="AH18" s="197">
        <f>IFERROR(I18-Parameter_2016_SQ!I18,"kein Vergleichswert")</f>
        <v>0</v>
      </c>
      <c r="AI18" s="197">
        <f>IFERROR(J18-Parameter_2016_SQ!J18,"kein Vergleichswert")</f>
        <v>0</v>
      </c>
      <c r="AJ18" s="197">
        <f>IFERROR(K18-Parameter_2016_SQ!K18,"kein Vergleichswert")</f>
        <v>0</v>
      </c>
      <c r="AK18" s="197">
        <f>IFERROR(L18-Parameter_2016_SQ!L18,"kein Vergleichswert")</f>
        <v>0</v>
      </c>
      <c r="AL18" s="197">
        <f>IFERROR(M18-Parameter_2016_SQ!M18,"kein Vergleichswert")</f>
        <v>0</v>
      </c>
      <c r="AM18" s="197">
        <f>IFERROR(N18-Parameter_2016_SQ!N18,"kein Vergleichswert")</f>
        <v>0</v>
      </c>
      <c r="AN18" s="197">
        <f>IFERROR(O18-Parameter_2016_SQ!O18,"kein Vergleichswert")</f>
        <v>0</v>
      </c>
      <c r="AO18" s="197">
        <f>IFERROR(Q18-Parameter_2016_SQ!Q18,"kein Vergleichswert")</f>
        <v>0</v>
      </c>
      <c r="AP18" s="197">
        <f>IFERROR(R18-Parameter_2016_SQ!R18,"kein Vergleichswert")</f>
        <v>0</v>
      </c>
      <c r="AQ18" s="197">
        <f>IFERROR(S18-Parameter_2016_SQ!S18,"kein Vergleichswert")</f>
        <v>0</v>
      </c>
      <c r="AR18" s="197">
        <f>IFERROR(T18-Parameter_2016_SQ!T18,"kein Vergleichswert")</f>
        <v>0</v>
      </c>
      <c r="AS18" s="197">
        <f>IFERROR(U18-Parameter_2016_SQ!U18,"kein Vergleichswert")</f>
        <v>0</v>
      </c>
      <c r="AT18" s="197">
        <f>IFERROR(V18-Parameter_2016_SQ!V18,"kein Vergleichswert")</f>
        <v>0</v>
      </c>
      <c r="AU18" s="197">
        <f>IFERROR(W18-Parameter_2016_SQ!W18,"kein Vergleichswert")</f>
        <v>0</v>
      </c>
      <c r="AV18" s="197">
        <f>IFERROR(X18-Parameter_2016_SQ!X18,"kein Vergleichswert")</f>
        <v>0</v>
      </c>
      <c r="AW18" s="197">
        <f>IFERROR(Z18-Parameter_2016_SQ!Z18,"kein Vergleichswert")</f>
        <v>0</v>
      </c>
      <c r="AX18" s="197">
        <f>IFERROR(AA18-Parameter_2016_SQ!AA18,"kein Vergleichswert")</f>
        <v>0</v>
      </c>
      <c r="AY18" s="197">
        <f>IFERROR(AB18-Parameter_2016_SQ!AB18,"kein Vergleichswert")</f>
        <v>0</v>
      </c>
    </row>
    <row r="19" spans="1:51" ht="18.75">
      <c r="A19" s="109"/>
      <c r="B19" s="116"/>
      <c r="C19" s="117"/>
      <c r="D19" s="117"/>
      <c r="E19" s="117"/>
      <c r="F19" s="177"/>
      <c r="G19" s="177"/>
      <c r="H19" s="177"/>
      <c r="I19" s="177"/>
      <c r="J19" s="174"/>
      <c r="K19" s="175"/>
      <c r="L19" s="176"/>
      <c r="M19" s="174"/>
      <c r="N19" s="175"/>
      <c r="O19" s="176"/>
      <c r="P19" s="175"/>
      <c r="Q19" s="175"/>
      <c r="R19" s="174"/>
      <c r="S19" s="175"/>
      <c r="T19" s="175"/>
      <c r="U19" s="176"/>
      <c r="V19" s="174"/>
      <c r="W19" s="175"/>
      <c r="X19" s="176"/>
      <c r="Y19" s="176"/>
      <c r="Z19" s="177"/>
      <c r="AA19" s="177"/>
      <c r="AB19" s="177"/>
      <c r="AE19" s="197">
        <f>IFERROR(F19-Parameter_2016_SQ!F19,"kein Vergleichswert")</f>
        <v>0</v>
      </c>
      <c r="AF19" s="197">
        <f>IFERROR(G19-Parameter_2016_SQ!G19,"kein Vergleichswert")</f>
        <v>0</v>
      </c>
      <c r="AG19" s="197">
        <f>IFERROR(H19-Parameter_2016_SQ!H19,"kein Vergleichswert")</f>
        <v>0</v>
      </c>
      <c r="AH19" s="197">
        <f>IFERROR(I19-Parameter_2016_SQ!I19,"kein Vergleichswert")</f>
        <v>0</v>
      </c>
      <c r="AI19" s="197">
        <f>IFERROR(J19-Parameter_2016_SQ!J19,"kein Vergleichswert")</f>
        <v>0</v>
      </c>
      <c r="AJ19" s="197">
        <f>IFERROR(K19-Parameter_2016_SQ!K19,"kein Vergleichswert")</f>
        <v>0</v>
      </c>
      <c r="AK19" s="197">
        <f>IFERROR(L19-Parameter_2016_SQ!L19,"kein Vergleichswert")</f>
        <v>0</v>
      </c>
      <c r="AL19" s="197">
        <f>IFERROR(M19-Parameter_2016_SQ!M19,"kein Vergleichswert")</f>
        <v>0</v>
      </c>
      <c r="AM19" s="197">
        <f>IFERROR(N19-Parameter_2016_SQ!N19,"kein Vergleichswert")</f>
        <v>0</v>
      </c>
      <c r="AN19" s="197">
        <f>IFERROR(O19-Parameter_2016_SQ!O19,"kein Vergleichswert")</f>
        <v>0</v>
      </c>
      <c r="AO19" s="197">
        <f>IFERROR(Q19-Parameter_2016_SQ!Q19,"kein Vergleichswert")</f>
        <v>0</v>
      </c>
      <c r="AP19" s="197">
        <f>IFERROR(R19-Parameter_2016_SQ!R19,"kein Vergleichswert")</f>
        <v>0</v>
      </c>
      <c r="AQ19" s="197">
        <f>IFERROR(S19-Parameter_2016_SQ!S19,"kein Vergleichswert")</f>
        <v>0</v>
      </c>
      <c r="AR19" s="197">
        <f>IFERROR(T19-Parameter_2016_SQ!T19,"kein Vergleichswert")</f>
        <v>0</v>
      </c>
      <c r="AS19" s="197">
        <f>IFERROR(U19-Parameter_2016_SQ!U19,"kein Vergleichswert")</f>
        <v>0</v>
      </c>
      <c r="AT19" s="197">
        <f>IFERROR(V19-Parameter_2016_SQ!V19,"kein Vergleichswert")</f>
        <v>0</v>
      </c>
      <c r="AU19" s="197">
        <f>IFERROR(W19-Parameter_2016_SQ!W19,"kein Vergleichswert")</f>
        <v>0</v>
      </c>
      <c r="AV19" s="197">
        <f>IFERROR(X19-Parameter_2016_SQ!X19,"kein Vergleichswert")</f>
        <v>0</v>
      </c>
      <c r="AW19" s="197">
        <f>IFERROR(Z19-Parameter_2016_SQ!Z19,"kein Vergleichswert")</f>
        <v>0</v>
      </c>
      <c r="AX19" s="197">
        <f>IFERROR(AA19-Parameter_2016_SQ!AA19,"kein Vergleichswert")</f>
        <v>0</v>
      </c>
      <c r="AY19" s="197">
        <f>IFERROR(AB19-Parameter_2016_SQ!AB19,"kein Vergleichswert")</f>
        <v>0</v>
      </c>
    </row>
    <row r="20" spans="1:51" ht="18.75">
      <c r="B20" s="108" t="s">
        <v>290</v>
      </c>
      <c r="C20" s="117"/>
      <c r="D20" s="117"/>
      <c r="E20" s="117"/>
      <c r="F20" s="131"/>
      <c r="G20" s="131"/>
      <c r="H20" s="131"/>
      <c r="I20" s="131"/>
      <c r="J20" s="127"/>
      <c r="K20" s="128"/>
      <c r="L20" s="129"/>
      <c r="M20" s="127"/>
      <c r="N20" s="128"/>
      <c r="O20" s="129"/>
      <c r="P20" s="128"/>
      <c r="Q20" s="128"/>
      <c r="R20" s="127"/>
      <c r="S20" s="128"/>
      <c r="T20" s="128"/>
      <c r="U20" s="129"/>
      <c r="V20" s="127"/>
      <c r="W20" s="128"/>
      <c r="X20" s="129"/>
      <c r="Y20" s="129"/>
      <c r="Z20" s="131"/>
      <c r="AA20" s="131"/>
      <c r="AB20" s="131"/>
      <c r="AE20" s="197">
        <f>IFERROR(F20-Parameter_2016_SQ!F20,"kein Vergleichswert")</f>
        <v>0</v>
      </c>
      <c r="AF20" s="197">
        <f>IFERROR(G20-Parameter_2016_SQ!G20,"kein Vergleichswert")</f>
        <v>0</v>
      </c>
      <c r="AG20" s="197">
        <f>IFERROR(H20-Parameter_2016_SQ!H20,"kein Vergleichswert")</f>
        <v>0</v>
      </c>
      <c r="AH20" s="197">
        <f>IFERROR(I20-Parameter_2016_SQ!I20,"kein Vergleichswert")</f>
        <v>0</v>
      </c>
      <c r="AI20" s="197">
        <f>IFERROR(J20-Parameter_2016_SQ!J20,"kein Vergleichswert")</f>
        <v>0</v>
      </c>
      <c r="AJ20" s="197">
        <f>IFERROR(K20-Parameter_2016_SQ!K20,"kein Vergleichswert")</f>
        <v>0</v>
      </c>
      <c r="AK20" s="197">
        <f>IFERROR(L20-Parameter_2016_SQ!L20,"kein Vergleichswert")</f>
        <v>0</v>
      </c>
      <c r="AL20" s="197">
        <f>IFERROR(M20-Parameter_2016_SQ!M20,"kein Vergleichswert")</f>
        <v>0</v>
      </c>
      <c r="AM20" s="197">
        <f>IFERROR(N20-Parameter_2016_SQ!N20,"kein Vergleichswert")</f>
        <v>0</v>
      </c>
      <c r="AN20" s="197">
        <f>IFERROR(O20-Parameter_2016_SQ!O20,"kein Vergleichswert")</f>
        <v>0</v>
      </c>
      <c r="AO20" s="197">
        <f>IFERROR(Q20-Parameter_2016_SQ!Q20,"kein Vergleichswert")</f>
        <v>0</v>
      </c>
      <c r="AP20" s="197">
        <f>IFERROR(R20-Parameter_2016_SQ!R20,"kein Vergleichswert")</f>
        <v>0</v>
      </c>
      <c r="AQ20" s="197">
        <f>IFERROR(S20-Parameter_2016_SQ!S20,"kein Vergleichswert")</f>
        <v>0</v>
      </c>
      <c r="AR20" s="197">
        <f>IFERROR(T20-Parameter_2016_SQ!T20,"kein Vergleichswert")</f>
        <v>0</v>
      </c>
      <c r="AS20" s="197">
        <f>IFERROR(U20-Parameter_2016_SQ!U20,"kein Vergleichswert")</f>
        <v>0</v>
      </c>
      <c r="AT20" s="197">
        <f>IFERROR(V20-Parameter_2016_SQ!V20,"kein Vergleichswert")</f>
        <v>0</v>
      </c>
      <c r="AU20" s="197">
        <f>IFERROR(W20-Parameter_2016_SQ!W20,"kein Vergleichswert")</f>
        <v>0</v>
      </c>
      <c r="AV20" s="197">
        <f>IFERROR(X20-Parameter_2016_SQ!X20,"kein Vergleichswert")</f>
        <v>0</v>
      </c>
      <c r="AW20" s="197">
        <f>IFERROR(Z20-Parameter_2016_SQ!Z20,"kein Vergleichswert")</f>
        <v>0</v>
      </c>
      <c r="AX20" s="197">
        <f>IFERROR(AA20-Parameter_2016_SQ!AA20,"kein Vergleichswert")</f>
        <v>0</v>
      </c>
      <c r="AY20" s="197">
        <f>IFERROR(AB20-Parameter_2016_SQ!AB20,"kein Vergleichswert")</f>
        <v>0</v>
      </c>
    </row>
    <row r="21" spans="1:51" ht="18.75">
      <c r="A21" s="109"/>
      <c r="B21" s="178" t="s">
        <v>287</v>
      </c>
      <c r="C21" s="180"/>
      <c r="D21" s="180"/>
      <c r="E21" s="180"/>
      <c r="F21" s="184"/>
      <c r="G21" s="184"/>
      <c r="H21" s="184"/>
      <c r="I21" s="184"/>
      <c r="J21" s="141">
        <f>SUM(J17:O17)</f>
        <v>37848</v>
      </c>
      <c r="K21" s="142"/>
      <c r="L21" s="143"/>
      <c r="M21" s="141"/>
      <c r="N21" s="142"/>
      <c r="O21" s="143"/>
      <c r="P21" s="142"/>
      <c r="Q21" s="142"/>
      <c r="R21" s="141">
        <f>SUM(R17:X17)</f>
        <v>125095</v>
      </c>
      <c r="S21" s="142"/>
      <c r="T21" s="142"/>
      <c r="U21" s="143"/>
      <c r="V21" s="141"/>
      <c r="W21" s="142"/>
      <c r="X21" s="143"/>
      <c r="Y21" s="143"/>
      <c r="Z21" s="184"/>
      <c r="AA21" s="184"/>
      <c r="AB21" s="184"/>
      <c r="AE21" s="197">
        <f>IFERROR(F21-Parameter_2016_SQ!F21,"kein Vergleichswert")</f>
        <v>0</v>
      </c>
      <c r="AF21" s="197">
        <f>IFERROR(G21-Parameter_2016_SQ!G21,"kein Vergleichswert")</f>
        <v>0</v>
      </c>
      <c r="AG21" s="197">
        <f>IFERROR(H21-Parameter_2016_SQ!H21,"kein Vergleichswert")</f>
        <v>0</v>
      </c>
      <c r="AH21" s="197">
        <f>IFERROR(I21-Parameter_2016_SQ!I21,"kein Vergleichswert")</f>
        <v>0</v>
      </c>
      <c r="AI21" s="197">
        <f>IFERROR(J21-Parameter_2016_SQ!J21,"kein Vergleichswert")</f>
        <v>0</v>
      </c>
      <c r="AJ21" s="197">
        <f>IFERROR(K21-Parameter_2016_SQ!K21,"kein Vergleichswert")</f>
        <v>0</v>
      </c>
      <c r="AK21" s="197">
        <f>IFERROR(L21-Parameter_2016_SQ!L21,"kein Vergleichswert")</f>
        <v>0</v>
      </c>
      <c r="AL21" s="197">
        <f>IFERROR(M21-Parameter_2016_SQ!M21,"kein Vergleichswert")</f>
        <v>0</v>
      </c>
      <c r="AM21" s="197">
        <f>IFERROR(N21-Parameter_2016_SQ!N21,"kein Vergleichswert")</f>
        <v>0</v>
      </c>
      <c r="AN21" s="197">
        <f>IFERROR(O21-Parameter_2016_SQ!O21,"kein Vergleichswert")</f>
        <v>0</v>
      </c>
      <c r="AO21" s="197">
        <f>IFERROR(Q21-Parameter_2016_SQ!Q21,"kein Vergleichswert")</f>
        <v>0</v>
      </c>
      <c r="AP21" s="197">
        <f>IFERROR(R21-Parameter_2016_SQ!R21,"kein Vergleichswert")</f>
        <v>0</v>
      </c>
      <c r="AQ21" s="197">
        <f>IFERROR(S21-Parameter_2016_SQ!S21,"kein Vergleichswert")</f>
        <v>0</v>
      </c>
      <c r="AR21" s="197">
        <f>IFERROR(T21-Parameter_2016_SQ!T21,"kein Vergleichswert")</f>
        <v>0</v>
      </c>
      <c r="AS21" s="197">
        <f>IFERROR(U21-Parameter_2016_SQ!U21,"kein Vergleichswert")</f>
        <v>0</v>
      </c>
      <c r="AT21" s="197">
        <f>IFERROR(V21-Parameter_2016_SQ!V21,"kein Vergleichswert")</f>
        <v>0</v>
      </c>
      <c r="AU21" s="197">
        <f>IFERROR(W21-Parameter_2016_SQ!W21,"kein Vergleichswert")</f>
        <v>0</v>
      </c>
      <c r="AV21" s="197">
        <f>IFERROR(X21-Parameter_2016_SQ!X21,"kein Vergleichswert")</f>
        <v>0</v>
      </c>
      <c r="AW21" s="197">
        <f>IFERROR(Z21-Parameter_2016_SQ!Z21,"kein Vergleichswert")</f>
        <v>0</v>
      </c>
      <c r="AX21" s="197">
        <f>IFERROR(AA21-Parameter_2016_SQ!AA21,"kein Vergleichswert")</f>
        <v>0</v>
      </c>
      <c r="AY21" s="197">
        <f>IFERROR(AB21-Parameter_2016_SQ!AB21,"kein Vergleichswert")</f>
        <v>0</v>
      </c>
    </row>
    <row r="22" spans="1:51" ht="30">
      <c r="A22" s="109"/>
      <c r="B22" s="178" t="s">
        <v>288</v>
      </c>
      <c r="C22" s="180"/>
      <c r="D22" s="180"/>
      <c r="E22" s="180"/>
      <c r="F22" s="184"/>
      <c r="G22" s="184"/>
      <c r="H22" s="184"/>
      <c r="I22" s="184"/>
      <c r="J22" s="141">
        <v>25400</v>
      </c>
      <c r="K22" s="142"/>
      <c r="L22" s="143"/>
      <c r="M22" s="141"/>
      <c r="N22" s="142"/>
      <c r="O22" s="143"/>
      <c r="P22" s="142"/>
      <c r="Q22" s="142"/>
      <c r="R22" s="141">
        <v>128000</v>
      </c>
      <c r="S22" s="142"/>
      <c r="T22" s="142"/>
      <c r="U22" s="143"/>
      <c r="V22" s="141"/>
      <c r="W22" s="142"/>
      <c r="X22" s="143"/>
      <c r="Y22" s="143"/>
      <c r="Z22" s="184"/>
      <c r="AA22" s="184"/>
      <c r="AB22" s="184"/>
      <c r="AE22" s="197">
        <f>IFERROR(F22-Parameter_2016_SQ!F22,"kein Vergleichswert")</f>
        <v>0</v>
      </c>
      <c r="AF22" s="197">
        <f>IFERROR(G22-Parameter_2016_SQ!G22,"kein Vergleichswert")</f>
        <v>0</v>
      </c>
      <c r="AG22" s="197">
        <f>IFERROR(H22-Parameter_2016_SQ!H22,"kein Vergleichswert")</f>
        <v>0</v>
      </c>
      <c r="AH22" s="197">
        <f>IFERROR(I22-Parameter_2016_SQ!I22,"kein Vergleichswert")</f>
        <v>0</v>
      </c>
      <c r="AI22" s="197">
        <f>IFERROR(J22-Parameter_2016_SQ!J22,"kein Vergleichswert")</f>
        <v>0</v>
      </c>
      <c r="AJ22" s="197">
        <f>IFERROR(K22-Parameter_2016_SQ!K22,"kein Vergleichswert")</f>
        <v>0</v>
      </c>
      <c r="AK22" s="197">
        <f>IFERROR(L22-Parameter_2016_SQ!L22,"kein Vergleichswert")</f>
        <v>0</v>
      </c>
      <c r="AL22" s="197">
        <f>IFERROR(M22-Parameter_2016_SQ!M22,"kein Vergleichswert")</f>
        <v>0</v>
      </c>
      <c r="AM22" s="197">
        <f>IFERROR(N22-Parameter_2016_SQ!N22,"kein Vergleichswert")</f>
        <v>0</v>
      </c>
      <c r="AN22" s="197">
        <f>IFERROR(O22-Parameter_2016_SQ!O22,"kein Vergleichswert")</f>
        <v>0</v>
      </c>
      <c r="AO22" s="197">
        <f>IFERROR(Q22-Parameter_2016_SQ!Q22,"kein Vergleichswert")</f>
        <v>0</v>
      </c>
      <c r="AP22" s="197">
        <f>IFERROR(R22-Parameter_2016_SQ!R22,"kein Vergleichswert")</f>
        <v>0</v>
      </c>
      <c r="AQ22" s="197">
        <f>IFERROR(S22-Parameter_2016_SQ!S22,"kein Vergleichswert")</f>
        <v>0</v>
      </c>
      <c r="AR22" s="197">
        <f>IFERROR(T22-Parameter_2016_SQ!T22,"kein Vergleichswert")</f>
        <v>0</v>
      </c>
      <c r="AS22" s="197">
        <f>IFERROR(U22-Parameter_2016_SQ!U22,"kein Vergleichswert")</f>
        <v>0</v>
      </c>
      <c r="AT22" s="197">
        <f>IFERROR(V22-Parameter_2016_SQ!V22,"kein Vergleichswert")</f>
        <v>0</v>
      </c>
      <c r="AU22" s="197">
        <f>IFERROR(W22-Parameter_2016_SQ!W22,"kein Vergleichswert")</f>
        <v>0</v>
      </c>
      <c r="AV22" s="197">
        <f>IFERROR(X22-Parameter_2016_SQ!X22,"kein Vergleichswert")</f>
        <v>0</v>
      </c>
      <c r="AW22" s="197">
        <f>IFERROR(Z22-Parameter_2016_SQ!Z22,"kein Vergleichswert")</f>
        <v>0</v>
      </c>
      <c r="AX22" s="197">
        <f>IFERROR(AA22-Parameter_2016_SQ!AA22,"kein Vergleichswert")</f>
        <v>0</v>
      </c>
      <c r="AY22" s="197">
        <f>IFERROR(AB22-Parameter_2016_SQ!AB22,"kein Vergleichswert")</f>
        <v>0</v>
      </c>
    </row>
    <row r="23" spans="1:51" ht="18.75">
      <c r="A23" s="109"/>
      <c r="B23" s="178" t="s">
        <v>289</v>
      </c>
      <c r="C23" s="180"/>
      <c r="D23" s="180"/>
      <c r="E23" s="180"/>
      <c r="F23" s="125"/>
      <c r="G23" s="125"/>
      <c r="H23" s="125"/>
      <c r="I23" s="125"/>
      <c r="J23" s="110">
        <f>J22/J21</f>
        <v>0.67110547452969771</v>
      </c>
      <c r="K23" s="111"/>
      <c r="L23" s="112"/>
      <c r="M23" s="110"/>
      <c r="N23" s="111"/>
      <c r="O23" s="112"/>
      <c r="P23" s="111"/>
      <c r="Q23" s="111"/>
      <c r="R23" s="110">
        <f>R22/R21</f>
        <v>1.0232223510132299</v>
      </c>
      <c r="S23" s="111"/>
      <c r="T23" s="111"/>
      <c r="U23" s="112"/>
      <c r="V23" s="110"/>
      <c r="W23" s="111"/>
      <c r="X23" s="112"/>
      <c r="Y23" s="112"/>
      <c r="Z23" s="125"/>
      <c r="AA23" s="125"/>
      <c r="AB23" s="125"/>
      <c r="AE23" s="197">
        <f>IFERROR(F23-Parameter_2016_SQ!F23,"kein Vergleichswert")</f>
        <v>0</v>
      </c>
      <c r="AF23" s="197">
        <f>IFERROR(G23-Parameter_2016_SQ!G23,"kein Vergleichswert")</f>
        <v>0</v>
      </c>
      <c r="AG23" s="197">
        <f>IFERROR(H23-Parameter_2016_SQ!H23,"kein Vergleichswert")</f>
        <v>0</v>
      </c>
      <c r="AH23" s="197">
        <f>IFERROR(I23-Parameter_2016_SQ!I23,"kein Vergleichswert")</f>
        <v>0</v>
      </c>
      <c r="AI23" s="197">
        <f>IFERROR(J23-Parameter_2016_SQ!J23,"kein Vergleichswert")</f>
        <v>0</v>
      </c>
      <c r="AJ23" s="197">
        <f>IFERROR(K23-Parameter_2016_SQ!K23,"kein Vergleichswert")</f>
        <v>0</v>
      </c>
      <c r="AK23" s="197">
        <f>IFERROR(L23-Parameter_2016_SQ!L23,"kein Vergleichswert")</f>
        <v>0</v>
      </c>
      <c r="AL23" s="197">
        <f>IFERROR(M23-Parameter_2016_SQ!M23,"kein Vergleichswert")</f>
        <v>0</v>
      </c>
      <c r="AM23" s="197">
        <f>IFERROR(N23-Parameter_2016_SQ!N23,"kein Vergleichswert")</f>
        <v>0</v>
      </c>
      <c r="AN23" s="197">
        <f>IFERROR(O23-Parameter_2016_SQ!O23,"kein Vergleichswert")</f>
        <v>0</v>
      </c>
      <c r="AO23" s="197">
        <f>IFERROR(Q23-Parameter_2016_SQ!Q23,"kein Vergleichswert")</f>
        <v>0</v>
      </c>
      <c r="AP23" s="197">
        <f>IFERROR(R23-Parameter_2016_SQ!R23,"kein Vergleichswert")</f>
        <v>0</v>
      </c>
      <c r="AQ23" s="197">
        <f>IFERROR(S23-Parameter_2016_SQ!S23,"kein Vergleichswert")</f>
        <v>0</v>
      </c>
      <c r="AR23" s="197">
        <f>IFERROR(T23-Parameter_2016_SQ!T23,"kein Vergleichswert")</f>
        <v>0</v>
      </c>
      <c r="AS23" s="197">
        <f>IFERROR(U23-Parameter_2016_SQ!U23,"kein Vergleichswert")</f>
        <v>0</v>
      </c>
      <c r="AT23" s="197">
        <f>IFERROR(V23-Parameter_2016_SQ!V23,"kein Vergleichswert")</f>
        <v>0</v>
      </c>
      <c r="AU23" s="197">
        <f>IFERROR(W23-Parameter_2016_SQ!W23,"kein Vergleichswert")</f>
        <v>0</v>
      </c>
      <c r="AV23" s="197">
        <f>IFERROR(X23-Parameter_2016_SQ!X23,"kein Vergleichswert")</f>
        <v>0</v>
      </c>
      <c r="AW23" s="197">
        <f>IFERROR(Z23-Parameter_2016_SQ!Z23,"kein Vergleichswert")</f>
        <v>0</v>
      </c>
      <c r="AX23" s="197">
        <f>IFERROR(AA23-Parameter_2016_SQ!AA23,"kein Vergleichswert")</f>
        <v>0</v>
      </c>
      <c r="AY23" s="197">
        <f>IFERROR(AB23-Parameter_2016_SQ!AB23,"kein Vergleichswert")</f>
        <v>0</v>
      </c>
    </row>
    <row r="24" spans="1:51" ht="18.75">
      <c r="A24" s="109"/>
      <c r="B24" s="116"/>
      <c r="C24" s="117"/>
      <c r="D24" s="117"/>
      <c r="E24" s="117"/>
      <c r="F24" s="131"/>
      <c r="G24" s="131"/>
      <c r="H24" s="131"/>
      <c r="I24" s="131"/>
      <c r="J24" s="127"/>
      <c r="K24" s="128"/>
      <c r="L24" s="129"/>
      <c r="M24" s="127"/>
      <c r="N24" s="128"/>
      <c r="O24" s="129"/>
      <c r="P24" s="128"/>
      <c r="Q24" s="128"/>
      <c r="R24" s="127"/>
      <c r="S24" s="128"/>
      <c r="T24" s="128"/>
      <c r="U24" s="129"/>
      <c r="V24" s="127"/>
      <c r="W24" s="128"/>
      <c r="X24" s="129"/>
      <c r="Y24" s="129"/>
      <c r="Z24" s="131"/>
      <c r="AA24" s="131"/>
      <c r="AB24" s="131"/>
      <c r="AE24" s="197">
        <f>IFERROR(F24-Parameter_2016_SQ!F24,"kein Vergleichswert")</f>
        <v>0</v>
      </c>
      <c r="AF24" s="197">
        <f>IFERROR(G24-Parameter_2016_SQ!G24,"kein Vergleichswert")</f>
        <v>0</v>
      </c>
      <c r="AG24" s="197">
        <f>IFERROR(H24-Parameter_2016_SQ!H24,"kein Vergleichswert")</f>
        <v>0</v>
      </c>
      <c r="AH24" s="197">
        <f>IFERROR(I24-Parameter_2016_SQ!I24,"kein Vergleichswert")</f>
        <v>0</v>
      </c>
      <c r="AI24" s="197">
        <f>IFERROR(J24-Parameter_2016_SQ!J24,"kein Vergleichswert")</f>
        <v>0</v>
      </c>
      <c r="AJ24" s="197">
        <f>IFERROR(K24-Parameter_2016_SQ!K24,"kein Vergleichswert")</f>
        <v>0</v>
      </c>
      <c r="AK24" s="197">
        <f>IFERROR(L24-Parameter_2016_SQ!L24,"kein Vergleichswert")</f>
        <v>0</v>
      </c>
      <c r="AL24" s="197">
        <f>IFERROR(M24-Parameter_2016_SQ!M24,"kein Vergleichswert")</f>
        <v>0</v>
      </c>
      <c r="AM24" s="197">
        <f>IFERROR(N24-Parameter_2016_SQ!N24,"kein Vergleichswert")</f>
        <v>0</v>
      </c>
      <c r="AN24" s="197">
        <f>IFERROR(O24-Parameter_2016_SQ!O24,"kein Vergleichswert")</f>
        <v>0</v>
      </c>
      <c r="AO24" s="197">
        <f>IFERROR(Q24-Parameter_2016_SQ!Q24,"kein Vergleichswert")</f>
        <v>0</v>
      </c>
      <c r="AP24" s="197">
        <f>IFERROR(R24-Parameter_2016_SQ!R24,"kein Vergleichswert")</f>
        <v>0</v>
      </c>
      <c r="AQ24" s="197">
        <f>IFERROR(S24-Parameter_2016_SQ!S24,"kein Vergleichswert")</f>
        <v>0</v>
      </c>
      <c r="AR24" s="197">
        <f>IFERROR(T24-Parameter_2016_SQ!T24,"kein Vergleichswert")</f>
        <v>0</v>
      </c>
      <c r="AS24" s="197">
        <f>IFERROR(U24-Parameter_2016_SQ!U24,"kein Vergleichswert")</f>
        <v>0</v>
      </c>
      <c r="AT24" s="197">
        <f>IFERROR(V24-Parameter_2016_SQ!V24,"kein Vergleichswert")</f>
        <v>0</v>
      </c>
      <c r="AU24" s="197">
        <f>IFERROR(W24-Parameter_2016_SQ!W24,"kein Vergleichswert")</f>
        <v>0</v>
      </c>
      <c r="AV24" s="197">
        <f>IFERROR(X24-Parameter_2016_SQ!X24,"kein Vergleichswert")</f>
        <v>0</v>
      </c>
      <c r="AW24" s="197">
        <f>IFERROR(Z24-Parameter_2016_SQ!Z24,"kein Vergleichswert")</f>
        <v>0</v>
      </c>
      <c r="AX24" s="197">
        <f>IFERROR(AA24-Parameter_2016_SQ!AA24,"kein Vergleichswert")</f>
        <v>0</v>
      </c>
      <c r="AY24" s="197">
        <f>IFERROR(AB24-Parameter_2016_SQ!AB24,"kein Vergleichswert")</f>
        <v>0</v>
      </c>
    </row>
    <row r="25" spans="1:51" ht="18.75">
      <c r="B25" s="108" t="s">
        <v>247</v>
      </c>
      <c r="C25" s="117"/>
      <c r="D25" s="117"/>
      <c r="E25" s="117"/>
      <c r="F25" s="131"/>
      <c r="G25" s="131"/>
      <c r="H25" s="131"/>
      <c r="I25" s="131"/>
      <c r="J25" s="127"/>
      <c r="K25" s="128"/>
      <c r="L25" s="129"/>
      <c r="M25" s="127"/>
      <c r="N25" s="128"/>
      <c r="O25" s="129"/>
      <c r="P25" s="128"/>
      <c r="Q25" s="128"/>
      <c r="R25" s="127"/>
      <c r="S25" s="128"/>
      <c r="T25" s="128"/>
      <c r="U25" s="129"/>
      <c r="V25" s="127"/>
      <c r="W25" s="128"/>
      <c r="X25" s="129"/>
      <c r="Y25" s="129"/>
      <c r="Z25" s="131"/>
      <c r="AA25" s="131"/>
      <c r="AB25" s="131"/>
      <c r="AE25" s="197">
        <f>IFERROR(F25-Parameter_2016_SQ!F25,"kein Vergleichswert")</f>
        <v>0</v>
      </c>
      <c r="AF25" s="197">
        <f>IFERROR(G25-Parameter_2016_SQ!G25,"kein Vergleichswert")</f>
        <v>0</v>
      </c>
      <c r="AG25" s="197">
        <f>IFERROR(H25-Parameter_2016_SQ!H25,"kein Vergleichswert")</f>
        <v>0</v>
      </c>
      <c r="AH25" s="197">
        <f>IFERROR(I25-Parameter_2016_SQ!I25,"kein Vergleichswert")</f>
        <v>0</v>
      </c>
      <c r="AI25" s="197">
        <f>IFERROR(J25-Parameter_2016_SQ!J25,"kein Vergleichswert")</f>
        <v>0</v>
      </c>
      <c r="AJ25" s="197">
        <f>IFERROR(K25-Parameter_2016_SQ!K25,"kein Vergleichswert")</f>
        <v>0</v>
      </c>
      <c r="AK25" s="197">
        <f>IFERROR(L25-Parameter_2016_SQ!L25,"kein Vergleichswert")</f>
        <v>0</v>
      </c>
      <c r="AL25" s="197">
        <f>IFERROR(M25-Parameter_2016_SQ!M25,"kein Vergleichswert")</f>
        <v>0</v>
      </c>
      <c r="AM25" s="197">
        <f>IFERROR(N25-Parameter_2016_SQ!N25,"kein Vergleichswert")</f>
        <v>0</v>
      </c>
      <c r="AN25" s="197">
        <f>IFERROR(O25-Parameter_2016_SQ!O25,"kein Vergleichswert")</f>
        <v>0</v>
      </c>
      <c r="AO25" s="197">
        <f>IFERROR(Q25-Parameter_2016_SQ!Q25,"kein Vergleichswert")</f>
        <v>0</v>
      </c>
      <c r="AP25" s="197">
        <f>IFERROR(R25-Parameter_2016_SQ!R25,"kein Vergleichswert")</f>
        <v>0</v>
      </c>
      <c r="AQ25" s="197">
        <f>IFERROR(S25-Parameter_2016_SQ!S25,"kein Vergleichswert")</f>
        <v>0</v>
      </c>
      <c r="AR25" s="197">
        <f>IFERROR(T25-Parameter_2016_SQ!T25,"kein Vergleichswert")</f>
        <v>0</v>
      </c>
      <c r="AS25" s="197">
        <f>IFERROR(U25-Parameter_2016_SQ!U25,"kein Vergleichswert")</f>
        <v>0</v>
      </c>
      <c r="AT25" s="197">
        <f>IFERROR(V25-Parameter_2016_SQ!V25,"kein Vergleichswert")</f>
        <v>0</v>
      </c>
      <c r="AU25" s="197">
        <f>IFERROR(W25-Parameter_2016_SQ!W25,"kein Vergleichswert")</f>
        <v>0</v>
      </c>
      <c r="AV25" s="197">
        <f>IFERROR(X25-Parameter_2016_SQ!X25,"kein Vergleichswert")</f>
        <v>0</v>
      </c>
      <c r="AW25" s="197">
        <f>IFERROR(Z25-Parameter_2016_SQ!Z25,"kein Vergleichswert")</f>
        <v>0</v>
      </c>
      <c r="AX25" s="197">
        <f>IFERROR(AA25-Parameter_2016_SQ!AA25,"kein Vergleichswert")</f>
        <v>0</v>
      </c>
      <c r="AY25" s="197">
        <f>IFERROR(AB25-Parameter_2016_SQ!AB25,"kein Vergleichswert")</f>
        <v>0</v>
      </c>
    </row>
    <row r="26" spans="1:51" ht="18.75">
      <c r="A26" s="109"/>
      <c r="B26" s="178" t="s">
        <v>323</v>
      </c>
      <c r="C26" s="180"/>
      <c r="D26" s="180"/>
      <c r="E26" s="180" t="s">
        <v>19</v>
      </c>
      <c r="F26" s="125"/>
      <c r="G26" s="125"/>
      <c r="H26" s="125"/>
      <c r="I26" s="125"/>
      <c r="J26" s="110"/>
      <c r="K26" s="111">
        <v>29.11</v>
      </c>
      <c r="L26" s="112">
        <v>29.11</v>
      </c>
      <c r="M26" s="110">
        <v>29.11</v>
      </c>
      <c r="N26" s="111">
        <v>29.11</v>
      </c>
      <c r="O26" s="112">
        <v>29.11</v>
      </c>
      <c r="P26" s="111"/>
      <c r="Q26" s="111"/>
      <c r="R26" s="110"/>
      <c r="S26" s="111">
        <v>29.11</v>
      </c>
      <c r="T26" s="111">
        <v>29.11</v>
      </c>
      <c r="U26" s="111">
        <v>29.11</v>
      </c>
      <c r="V26" s="110">
        <v>29.11</v>
      </c>
      <c r="W26" s="111">
        <v>29.11</v>
      </c>
      <c r="X26" s="112">
        <v>29.11</v>
      </c>
      <c r="Y26" s="112"/>
      <c r="Z26" s="125"/>
      <c r="AA26" s="125"/>
      <c r="AB26" s="125"/>
      <c r="AE26" s="197">
        <f>IFERROR(F26-Parameter_2016_SQ!F26,"kein Vergleichswert")</f>
        <v>0</v>
      </c>
      <c r="AF26" s="197">
        <f>IFERROR(G26-Parameter_2016_SQ!G26,"kein Vergleichswert")</f>
        <v>0</v>
      </c>
      <c r="AG26" s="197">
        <f>IFERROR(H26-Parameter_2016_SQ!H26,"kein Vergleichswert")</f>
        <v>0</v>
      </c>
      <c r="AH26" s="197">
        <f>IFERROR(I26-Parameter_2016_SQ!I26,"kein Vergleichswert")</f>
        <v>0</v>
      </c>
      <c r="AI26" s="197">
        <f>IFERROR(J26-Parameter_2016_SQ!J26,"kein Vergleichswert")</f>
        <v>0</v>
      </c>
      <c r="AJ26" s="197">
        <f>IFERROR(K26-Parameter_2016_SQ!K26,"kein Vergleichswert")</f>
        <v>0</v>
      </c>
      <c r="AK26" s="197">
        <f>IFERROR(L26-Parameter_2016_SQ!L26,"kein Vergleichswert")</f>
        <v>0</v>
      </c>
      <c r="AL26" s="197">
        <f>IFERROR(M26-Parameter_2016_SQ!M26,"kein Vergleichswert")</f>
        <v>0</v>
      </c>
      <c r="AM26" s="197">
        <f>IFERROR(N26-Parameter_2016_SQ!N26,"kein Vergleichswert")</f>
        <v>0</v>
      </c>
      <c r="AN26" s="197">
        <f>IFERROR(O26-Parameter_2016_SQ!O26,"kein Vergleichswert")</f>
        <v>0</v>
      </c>
      <c r="AO26" s="197">
        <f>IFERROR(Q26-Parameter_2016_SQ!Q26,"kein Vergleichswert")</f>
        <v>0</v>
      </c>
      <c r="AP26" s="197">
        <f>IFERROR(R26-Parameter_2016_SQ!R26,"kein Vergleichswert")</f>
        <v>0</v>
      </c>
      <c r="AQ26" s="197">
        <f>IFERROR(S26-Parameter_2016_SQ!S26,"kein Vergleichswert")</f>
        <v>0</v>
      </c>
      <c r="AR26" s="197">
        <f>IFERROR(T26-Parameter_2016_SQ!T26,"kein Vergleichswert")</f>
        <v>0</v>
      </c>
      <c r="AS26" s="197">
        <f>IFERROR(U26-Parameter_2016_SQ!U26,"kein Vergleichswert")</f>
        <v>0</v>
      </c>
      <c r="AT26" s="197">
        <f>IFERROR(V26-Parameter_2016_SQ!V26,"kein Vergleichswert")</f>
        <v>0</v>
      </c>
      <c r="AU26" s="197">
        <f>IFERROR(W26-Parameter_2016_SQ!W26,"kein Vergleichswert")</f>
        <v>0</v>
      </c>
      <c r="AV26" s="197">
        <f>IFERROR(X26-Parameter_2016_SQ!X26,"kein Vergleichswert")</f>
        <v>0</v>
      </c>
      <c r="AW26" s="197">
        <f>IFERROR(Z26-Parameter_2016_SQ!Z26,"kein Vergleichswert")</f>
        <v>0</v>
      </c>
      <c r="AX26" s="197">
        <f>IFERROR(AA26-Parameter_2016_SQ!AA26,"kein Vergleichswert")</f>
        <v>0</v>
      </c>
      <c r="AY26" s="197">
        <f>IFERROR(AB26-Parameter_2016_SQ!AB26,"kein Vergleichswert")</f>
        <v>0</v>
      </c>
    </row>
    <row r="27" spans="1:51" ht="18.75">
      <c r="A27" s="109"/>
      <c r="B27" s="178" t="s">
        <v>96</v>
      </c>
      <c r="C27" s="180"/>
      <c r="D27" s="180"/>
      <c r="E27" s="180" t="s">
        <v>19</v>
      </c>
      <c r="F27" s="125"/>
      <c r="G27" s="125"/>
      <c r="H27" s="125"/>
      <c r="I27" s="125"/>
      <c r="J27" s="110"/>
      <c r="K27" s="111"/>
      <c r="L27" s="112"/>
      <c r="M27" s="110"/>
      <c r="N27" s="111"/>
      <c r="O27" s="112"/>
      <c r="P27" s="111"/>
      <c r="Q27" s="111" t="s">
        <v>311</v>
      </c>
      <c r="R27" s="110"/>
      <c r="S27" s="111"/>
      <c r="T27" s="111"/>
      <c r="U27" s="112"/>
      <c r="V27" s="110"/>
      <c r="W27" s="111"/>
      <c r="X27" s="112"/>
      <c r="Y27" s="112"/>
      <c r="Z27" s="125" t="s">
        <v>311</v>
      </c>
      <c r="AA27" s="125" t="s">
        <v>311</v>
      </c>
      <c r="AB27" s="125" t="s">
        <v>311</v>
      </c>
      <c r="AE27" s="197">
        <f>IFERROR(F27-Parameter_2016_SQ!F27,"kein Vergleichswert")</f>
        <v>0</v>
      </c>
      <c r="AF27" s="197">
        <f>IFERROR(G27-Parameter_2016_SQ!G27,"kein Vergleichswert")</f>
        <v>0</v>
      </c>
      <c r="AG27" s="197">
        <f>IFERROR(H27-Parameter_2016_SQ!H27,"kein Vergleichswert")</f>
        <v>0</v>
      </c>
      <c r="AH27" s="197">
        <f>IFERROR(I27-Parameter_2016_SQ!I27,"kein Vergleichswert")</f>
        <v>0</v>
      </c>
      <c r="AI27" s="197">
        <f>IFERROR(J27-Parameter_2016_SQ!J27,"kein Vergleichswert")</f>
        <v>0</v>
      </c>
      <c r="AJ27" s="197">
        <f>IFERROR(K27-Parameter_2016_SQ!K27,"kein Vergleichswert")</f>
        <v>0</v>
      </c>
      <c r="AK27" s="197">
        <f>IFERROR(L27-Parameter_2016_SQ!L27,"kein Vergleichswert")</f>
        <v>0</v>
      </c>
      <c r="AL27" s="197">
        <f>IFERROR(M27-Parameter_2016_SQ!M27,"kein Vergleichswert")</f>
        <v>0</v>
      </c>
      <c r="AM27" s="197">
        <f>IFERROR(N27-Parameter_2016_SQ!N27,"kein Vergleichswert")</f>
        <v>0</v>
      </c>
      <c r="AN27" s="197">
        <f>IFERROR(O27-Parameter_2016_SQ!O27,"kein Vergleichswert")</f>
        <v>0</v>
      </c>
      <c r="AO27" s="197" t="str">
        <f>IFERROR(Q27-Parameter_2016_SQ!Q27,"kein Vergleichswert")</f>
        <v>kein Vergleichswert</v>
      </c>
      <c r="AP27" s="197">
        <f>IFERROR(R27-Parameter_2016_SQ!R27,"kein Vergleichswert")</f>
        <v>0</v>
      </c>
      <c r="AQ27" s="197">
        <f>IFERROR(S27-Parameter_2016_SQ!S27,"kein Vergleichswert")</f>
        <v>0</v>
      </c>
      <c r="AR27" s="197">
        <f>IFERROR(T27-Parameter_2016_SQ!T27,"kein Vergleichswert")</f>
        <v>0</v>
      </c>
      <c r="AS27" s="197">
        <f>IFERROR(U27-Parameter_2016_SQ!U27,"kein Vergleichswert")</f>
        <v>0</v>
      </c>
      <c r="AT27" s="197">
        <f>IFERROR(V27-Parameter_2016_SQ!V27,"kein Vergleichswert")</f>
        <v>0</v>
      </c>
      <c r="AU27" s="197">
        <f>IFERROR(W27-Parameter_2016_SQ!W27,"kein Vergleichswert")</f>
        <v>0</v>
      </c>
      <c r="AV27" s="197">
        <f>IFERROR(X27-Parameter_2016_SQ!X27,"kein Vergleichswert")</f>
        <v>0</v>
      </c>
      <c r="AW27" s="197" t="str">
        <f>IFERROR(Z27-Parameter_2016_SQ!Z27,"kein Vergleichswert")</f>
        <v>kein Vergleichswert</v>
      </c>
      <c r="AX27" s="197" t="str">
        <f>IFERROR(AA27-Parameter_2016_SQ!AA27,"kein Vergleichswert")</f>
        <v>kein Vergleichswert</v>
      </c>
      <c r="AY27" s="197" t="str">
        <f>IFERROR(AB27-Parameter_2016_SQ!AB27,"kein Vergleichswert")</f>
        <v>kein Vergleichswert</v>
      </c>
    </row>
    <row r="28" spans="1:51" ht="18.75">
      <c r="A28" s="109"/>
      <c r="B28" s="178" t="s">
        <v>266</v>
      </c>
      <c r="C28" s="180"/>
      <c r="D28" s="180"/>
      <c r="E28" s="180" t="s">
        <v>19</v>
      </c>
      <c r="F28" s="125"/>
      <c r="G28" s="125"/>
      <c r="H28" s="125"/>
      <c r="I28" s="125"/>
      <c r="J28" s="110">
        <v>0</v>
      </c>
      <c r="K28" s="111"/>
      <c r="L28" s="112"/>
      <c r="M28" s="110"/>
      <c r="N28" s="111"/>
      <c r="O28" s="112"/>
      <c r="P28" s="111"/>
      <c r="Q28" s="111"/>
      <c r="R28" s="110">
        <v>0</v>
      </c>
      <c r="S28" s="111"/>
      <c r="T28" s="111"/>
      <c r="U28" s="112"/>
      <c r="V28" s="110"/>
      <c r="W28" s="111"/>
      <c r="X28" s="112"/>
      <c r="Y28" s="112"/>
      <c r="Z28" s="125"/>
      <c r="AA28" s="125"/>
      <c r="AB28" s="125"/>
      <c r="AE28" s="197">
        <f>IFERROR(F28-Parameter_2016_SQ!F28,"kein Vergleichswert")</f>
        <v>0</v>
      </c>
      <c r="AF28" s="197">
        <f>IFERROR(G28-Parameter_2016_SQ!G28,"kein Vergleichswert")</f>
        <v>0</v>
      </c>
      <c r="AG28" s="197">
        <f>IFERROR(H28-Parameter_2016_SQ!H28,"kein Vergleichswert")</f>
        <v>0</v>
      </c>
      <c r="AH28" s="197">
        <f>IFERROR(I28-Parameter_2016_SQ!I28,"kein Vergleichswert")</f>
        <v>0</v>
      </c>
      <c r="AI28" s="197">
        <f>IFERROR(J28-Parameter_2016_SQ!J28,"kein Vergleichswert")</f>
        <v>0</v>
      </c>
      <c r="AJ28" s="197">
        <f>IFERROR(K28-Parameter_2016_SQ!K28,"kein Vergleichswert")</f>
        <v>0</v>
      </c>
      <c r="AK28" s="197">
        <f>IFERROR(L28-Parameter_2016_SQ!L28,"kein Vergleichswert")</f>
        <v>0</v>
      </c>
      <c r="AL28" s="197">
        <f>IFERROR(M28-Parameter_2016_SQ!M28,"kein Vergleichswert")</f>
        <v>0</v>
      </c>
      <c r="AM28" s="197">
        <f>IFERROR(N28-Parameter_2016_SQ!N28,"kein Vergleichswert")</f>
        <v>0</v>
      </c>
      <c r="AN28" s="197">
        <f>IFERROR(O28-Parameter_2016_SQ!O28,"kein Vergleichswert")</f>
        <v>0</v>
      </c>
      <c r="AO28" s="197">
        <f>IFERROR(Q28-Parameter_2016_SQ!Q28,"kein Vergleichswert")</f>
        <v>0</v>
      </c>
      <c r="AP28" s="197">
        <f>IFERROR(R28-Parameter_2016_SQ!R28,"kein Vergleichswert")</f>
        <v>0</v>
      </c>
      <c r="AQ28" s="197">
        <f>IFERROR(S28-Parameter_2016_SQ!S28,"kein Vergleichswert")</f>
        <v>0</v>
      </c>
      <c r="AR28" s="197">
        <f>IFERROR(T28-Parameter_2016_SQ!T28,"kein Vergleichswert")</f>
        <v>0</v>
      </c>
      <c r="AS28" s="197">
        <f>IFERROR(U28-Parameter_2016_SQ!U28,"kein Vergleichswert")</f>
        <v>0</v>
      </c>
      <c r="AT28" s="197">
        <f>IFERROR(V28-Parameter_2016_SQ!V28,"kein Vergleichswert")</f>
        <v>0</v>
      </c>
      <c r="AU28" s="197">
        <f>IFERROR(W28-Parameter_2016_SQ!W28,"kein Vergleichswert")</f>
        <v>0</v>
      </c>
      <c r="AV28" s="197">
        <f>IFERROR(X28-Parameter_2016_SQ!X28,"kein Vergleichswert")</f>
        <v>0</v>
      </c>
      <c r="AW28" s="197">
        <f>IFERROR(Z28-Parameter_2016_SQ!Z28,"kein Vergleichswert")</f>
        <v>0</v>
      </c>
      <c r="AX28" s="197">
        <f>IFERROR(AA28-Parameter_2016_SQ!AA28,"kein Vergleichswert")</f>
        <v>0</v>
      </c>
      <c r="AY28" s="197">
        <f>IFERROR(AB28-Parameter_2016_SQ!AB28,"kein Vergleichswert")</f>
        <v>0</v>
      </c>
    </row>
    <row r="29" spans="1:51" ht="18.75">
      <c r="A29" s="109"/>
      <c r="B29" s="116"/>
      <c r="C29" s="117"/>
      <c r="D29" s="117"/>
      <c r="E29" s="117"/>
      <c r="F29" s="131"/>
      <c r="G29" s="131"/>
      <c r="H29" s="131"/>
      <c r="I29" s="131"/>
      <c r="J29" s="127"/>
      <c r="K29" s="128"/>
      <c r="L29" s="129"/>
      <c r="M29" s="127"/>
      <c r="N29" s="128"/>
      <c r="O29" s="129"/>
      <c r="P29" s="128"/>
      <c r="Q29" s="128"/>
      <c r="R29" s="127"/>
      <c r="S29" s="128"/>
      <c r="T29" s="128"/>
      <c r="U29" s="129"/>
      <c r="V29" s="127"/>
      <c r="W29" s="128"/>
      <c r="X29" s="129"/>
      <c r="Y29" s="129"/>
      <c r="Z29" s="131"/>
      <c r="AA29" s="131"/>
      <c r="AB29" s="131"/>
      <c r="AE29" s="197">
        <f>IFERROR(F29-Parameter_2016_SQ!F29,"kein Vergleichswert")</f>
        <v>0</v>
      </c>
      <c r="AF29" s="197">
        <f>IFERROR(G29-Parameter_2016_SQ!G29,"kein Vergleichswert")</f>
        <v>0</v>
      </c>
      <c r="AG29" s="197">
        <f>IFERROR(H29-Parameter_2016_SQ!H29,"kein Vergleichswert")</f>
        <v>0</v>
      </c>
      <c r="AH29" s="197">
        <f>IFERROR(I29-Parameter_2016_SQ!I29,"kein Vergleichswert")</f>
        <v>0</v>
      </c>
      <c r="AI29" s="197">
        <f>IFERROR(J29-Parameter_2016_SQ!J29,"kein Vergleichswert")</f>
        <v>0</v>
      </c>
      <c r="AJ29" s="197">
        <f>IFERROR(K29-Parameter_2016_SQ!K29,"kein Vergleichswert")</f>
        <v>0</v>
      </c>
      <c r="AK29" s="197">
        <f>IFERROR(L29-Parameter_2016_SQ!L29,"kein Vergleichswert")</f>
        <v>0</v>
      </c>
      <c r="AL29" s="197">
        <f>IFERROR(M29-Parameter_2016_SQ!M29,"kein Vergleichswert")</f>
        <v>0</v>
      </c>
      <c r="AM29" s="197">
        <f>IFERROR(N29-Parameter_2016_SQ!N29,"kein Vergleichswert")</f>
        <v>0</v>
      </c>
      <c r="AN29" s="197">
        <f>IFERROR(O29-Parameter_2016_SQ!O29,"kein Vergleichswert")</f>
        <v>0</v>
      </c>
      <c r="AO29" s="197">
        <f>IFERROR(Q29-Parameter_2016_SQ!Q29,"kein Vergleichswert")</f>
        <v>0</v>
      </c>
      <c r="AP29" s="197">
        <f>IFERROR(R29-Parameter_2016_SQ!R29,"kein Vergleichswert")</f>
        <v>0</v>
      </c>
      <c r="AQ29" s="197">
        <f>IFERROR(S29-Parameter_2016_SQ!S29,"kein Vergleichswert")</f>
        <v>0</v>
      </c>
      <c r="AR29" s="197">
        <f>IFERROR(T29-Parameter_2016_SQ!T29,"kein Vergleichswert")</f>
        <v>0</v>
      </c>
      <c r="AS29" s="197">
        <f>IFERROR(U29-Parameter_2016_SQ!U29,"kein Vergleichswert")</f>
        <v>0</v>
      </c>
      <c r="AT29" s="197">
        <f>IFERROR(V29-Parameter_2016_SQ!V29,"kein Vergleichswert")</f>
        <v>0</v>
      </c>
      <c r="AU29" s="197">
        <f>IFERROR(W29-Parameter_2016_SQ!W29,"kein Vergleichswert")</f>
        <v>0</v>
      </c>
      <c r="AV29" s="197">
        <f>IFERROR(X29-Parameter_2016_SQ!X29,"kein Vergleichswert")</f>
        <v>0</v>
      </c>
      <c r="AW29" s="197">
        <f>IFERROR(Z29-Parameter_2016_SQ!Z29,"kein Vergleichswert")</f>
        <v>0</v>
      </c>
      <c r="AX29" s="197">
        <f>IFERROR(AA29-Parameter_2016_SQ!AA29,"kein Vergleichswert")</f>
        <v>0</v>
      </c>
      <c r="AY29" s="197">
        <f>IFERROR(AB29-Parameter_2016_SQ!AB29,"kein Vergleichswert")</f>
        <v>0</v>
      </c>
    </row>
    <row r="30" spans="1:51" ht="18.75">
      <c r="B30" s="108" t="s">
        <v>306</v>
      </c>
      <c r="C30" s="117"/>
      <c r="D30" s="117"/>
      <c r="E30" s="117"/>
      <c r="F30" s="131"/>
      <c r="G30" s="131"/>
      <c r="H30" s="131"/>
      <c r="I30" s="131"/>
      <c r="J30" s="127"/>
      <c r="K30" s="128"/>
      <c r="L30" s="129"/>
      <c r="M30" s="127"/>
      <c r="N30" s="128"/>
      <c r="O30" s="129"/>
      <c r="P30" s="128"/>
      <c r="Q30" s="128"/>
      <c r="R30" s="127"/>
      <c r="S30" s="128"/>
      <c r="T30" s="128"/>
      <c r="U30" s="129"/>
      <c r="V30" s="127"/>
      <c r="W30" s="128"/>
      <c r="X30" s="129"/>
      <c r="Y30" s="129"/>
      <c r="Z30" s="131"/>
      <c r="AA30" s="131"/>
      <c r="AB30" s="131"/>
      <c r="AE30" s="197">
        <f>IFERROR(F30-Parameter_2016_SQ!F30,"kein Vergleichswert")</f>
        <v>0</v>
      </c>
      <c r="AF30" s="197">
        <f>IFERROR(G30-Parameter_2016_SQ!G30,"kein Vergleichswert")</f>
        <v>0</v>
      </c>
      <c r="AG30" s="197">
        <f>IFERROR(H30-Parameter_2016_SQ!H30,"kein Vergleichswert")</f>
        <v>0</v>
      </c>
      <c r="AH30" s="197">
        <f>IFERROR(I30-Parameter_2016_SQ!I30,"kein Vergleichswert")</f>
        <v>0</v>
      </c>
      <c r="AI30" s="197">
        <f>IFERROR(J30-Parameter_2016_SQ!J30,"kein Vergleichswert")</f>
        <v>0</v>
      </c>
      <c r="AJ30" s="197">
        <f>IFERROR(K30-Parameter_2016_SQ!K30,"kein Vergleichswert")</f>
        <v>0</v>
      </c>
      <c r="AK30" s="197">
        <f>IFERROR(L30-Parameter_2016_SQ!L30,"kein Vergleichswert")</f>
        <v>0</v>
      </c>
      <c r="AL30" s="197">
        <f>IFERROR(M30-Parameter_2016_SQ!M30,"kein Vergleichswert")</f>
        <v>0</v>
      </c>
      <c r="AM30" s="197">
        <f>IFERROR(N30-Parameter_2016_SQ!N30,"kein Vergleichswert")</f>
        <v>0</v>
      </c>
      <c r="AN30" s="197">
        <f>IFERROR(O30-Parameter_2016_SQ!O30,"kein Vergleichswert")</f>
        <v>0</v>
      </c>
      <c r="AO30" s="197">
        <f>IFERROR(Q30-Parameter_2016_SQ!Q30,"kein Vergleichswert")</f>
        <v>0</v>
      </c>
      <c r="AP30" s="197">
        <f>IFERROR(R30-Parameter_2016_SQ!R30,"kein Vergleichswert")</f>
        <v>0</v>
      </c>
      <c r="AQ30" s="197">
        <f>IFERROR(S30-Parameter_2016_SQ!S30,"kein Vergleichswert")</f>
        <v>0</v>
      </c>
      <c r="AR30" s="197">
        <f>IFERROR(T30-Parameter_2016_SQ!T30,"kein Vergleichswert")</f>
        <v>0</v>
      </c>
      <c r="AS30" s="197">
        <f>IFERROR(U30-Parameter_2016_SQ!U30,"kein Vergleichswert")</f>
        <v>0</v>
      </c>
      <c r="AT30" s="197">
        <f>IFERROR(V30-Parameter_2016_SQ!V30,"kein Vergleichswert")</f>
        <v>0</v>
      </c>
      <c r="AU30" s="197">
        <f>IFERROR(W30-Parameter_2016_SQ!W30,"kein Vergleichswert")</f>
        <v>0</v>
      </c>
      <c r="AV30" s="197">
        <f>IFERROR(X30-Parameter_2016_SQ!X30,"kein Vergleichswert")</f>
        <v>0</v>
      </c>
      <c r="AW30" s="197">
        <f>IFERROR(Z30-Parameter_2016_SQ!Z30,"kein Vergleichswert")</f>
        <v>0</v>
      </c>
      <c r="AX30" s="197">
        <f>IFERROR(AA30-Parameter_2016_SQ!AA30,"kein Vergleichswert")</f>
        <v>0</v>
      </c>
      <c r="AY30" s="197">
        <f>IFERROR(AB30-Parameter_2016_SQ!AB30,"kein Vergleichswert")</f>
        <v>0</v>
      </c>
    </row>
    <row r="31" spans="1:51" ht="18.75">
      <c r="A31" s="108"/>
      <c r="B31" s="178" t="s">
        <v>248</v>
      </c>
      <c r="C31" s="180"/>
      <c r="D31" s="180"/>
      <c r="E31" s="180" t="s">
        <v>251</v>
      </c>
      <c r="F31" s="125"/>
      <c r="G31" s="125"/>
      <c r="H31" s="125"/>
      <c r="I31" s="125"/>
      <c r="J31" s="141"/>
      <c r="K31" s="142">
        <f>((15.71/(1+((K8*1000)/3200)^1.4))+7.14)*1000</f>
        <v>22755.486941511695</v>
      </c>
      <c r="L31" s="143">
        <f>((15.71/(1+((L8*1000)/3200)^1.4))+7.14)*1000</f>
        <v>20147.301961203942</v>
      </c>
      <c r="M31" s="141">
        <f>((15.71/(1+((M8*1000)/3200)^1.4))+7.14)*1000</f>
        <v>9917.8088575737747</v>
      </c>
      <c r="N31" s="142">
        <f>((15.71/(1+((N8*1000)/3200)^1.4))+7.14)*1000</f>
        <v>8972.2028586360975</v>
      </c>
      <c r="O31" s="143">
        <f>((15.71/(1+((O8*1000)/3200)^1.4))+7.14)*1000</f>
        <v>16957.55231636708</v>
      </c>
      <c r="P31" s="142"/>
      <c r="Q31" s="142"/>
      <c r="R31" s="141"/>
      <c r="S31" s="142">
        <f t="shared" ref="S31:X31" si="8">((15.71/(1+((S8*1000)/3200)^1.4))+7.14)*1000</f>
        <v>22342.371787703389</v>
      </c>
      <c r="T31" s="142">
        <f t="shared" si="8"/>
        <v>22413.321238064749</v>
      </c>
      <c r="U31" s="143">
        <f t="shared" si="8"/>
        <v>22413.321238064749</v>
      </c>
      <c r="V31" s="141">
        <f t="shared" si="8"/>
        <v>7574.774041738734</v>
      </c>
      <c r="W31" s="142">
        <f t="shared" si="8"/>
        <v>14679.823201001884</v>
      </c>
      <c r="X31" s="143">
        <f t="shared" si="8"/>
        <v>21211.186267476151</v>
      </c>
      <c r="Y31" s="143"/>
      <c r="Z31" s="125"/>
      <c r="AA31" s="125"/>
      <c r="AB31" s="125"/>
      <c r="AE31" s="197">
        <f>IFERROR(F31-Parameter_2016_SQ!F31,"kein Vergleichswert")</f>
        <v>0</v>
      </c>
      <c r="AF31" s="197">
        <f>IFERROR(G31-Parameter_2016_SQ!G31,"kein Vergleichswert")</f>
        <v>0</v>
      </c>
      <c r="AG31" s="197">
        <f>IFERROR(H31-Parameter_2016_SQ!H31,"kein Vergleichswert")</f>
        <v>0</v>
      </c>
      <c r="AH31" s="197">
        <f>IFERROR(I31-Parameter_2016_SQ!I31,"kein Vergleichswert")</f>
        <v>0</v>
      </c>
      <c r="AI31" s="197">
        <f>IFERROR(J31-Parameter_2016_SQ!J31,"kein Vergleichswert")</f>
        <v>0</v>
      </c>
      <c r="AJ31" s="197">
        <f>IFERROR(K31-Parameter_2016_SQ!K31,"kein Vergleichswert")</f>
        <v>0</v>
      </c>
      <c r="AK31" s="197">
        <f>IFERROR(L31-Parameter_2016_SQ!L31,"kein Vergleichswert")</f>
        <v>0</v>
      </c>
      <c r="AL31" s="197">
        <f>IFERROR(M31-Parameter_2016_SQ!M31,"kein Vergleichswert")</f>
        <v>0</v>
      </c>
      <c r="AM31" s="197">
        <f>IFERROR(N31-Parameter_2016_SQ!N31,"kein Vergleichswert")</f>
        <v>0</v>
      </c>
      <c r="AN31" s="197">
        <f>IFERROR(O31-Parameter_2016_SQ!O31,"kein Vergleichswert")</f>
        <v>0</v>
      </c>
      <c r="AO31" s="197">
        <f>IFERROR(Q31-Parameter_2016_SQ!Q31,"kein Vergleichswert")</f>
        <v>0</v>
      </c>
      <c r="AP31" s="197">
        <f>IFERROR(R31-Parameter_2016_SQ!R31,"kein Vergleichswert")</f>
        <v>0</v>
      </c>
      <c r="AQ31" s="197">
        <f>IFERROR(S31-Parameter_2016_SQ!S31,"kein Vergleichswert")</f>
        <v>0</v>
      </c>
      <c r="AR31" s="197">
        <f>IFERROR(T31-Parameter_2016_SQ!T31,"kein Vergleichswert")</f>
        <v>0</v>
      </c>
      <c r="AS31" s="197">
        <f>IFERROR(U31-Parameter_2016_SQ!U31,"kein Vergleichswert")</f>
        <v>0</v>
      </c>
      <c r="AT31" s="197">
        <f>IFERROR(V31-Parameter_2016_SQ!V31,"kein Vergleichswert")</f>
        <v>0</v>
      </c>
      <c r="AU31" s="197">
        <f>IFERROR(W31-Parameter_2016_SQ!W31,"kein Vergleichswert")</f>
        <v>0</v>
      </c>
      <c r="AV31" s="197">
        <f>IFERROR(X31-Parameter_2016_SQ!X31,"kein Vergleichswert")</f>
        <v>0</v>
      </c>
      <c r="AW31" s="197">
        <f>IFERROR(Z31-Parameter_2016_SQ!Z31,"kein Vergleichswert")</f>
        <v>0</v>
      </c>
      <c r="AX31" s="197">
        <f>IFERROR(AA31-Parameter_2016_SQ!AA31,"kein Vergleichswert")</f>
        <v>0</v>
      </c>
      <c r="AY31" s="197">
        <f>IFERROR(AB31-Parameter_2016_SQ!AB31,"kein Vergleichswert")</f>
        <v>0</v>
      </c>
    </row>
    <row r="32" spans="1:51" ht="18.75">
      <c r="A32" s="108"/>
      <c r="B32" s="185" t="s">
        <v>267</v>
      </c>
      <c r="C32" s="186"/>
      <c r="D32" s="186"/>
      <c r="E32" s="186" t="s">
        <v>19</v>
      </c>
      <c r="F32" s="125"/>
      <c r="G32" s="125"/>
      <c r="H32" s="125"/>
      <c r="I32" s="125"/>
      <c r="J32" s="110"/>
      <c r="K32" s="111">
        <f>((0.4757/(1+((K18/6600)^1.4)))+0.1813)*10</f>
        <v>6.485695692800447</v>
      </c>
      <c r="L32" s="112">
        <f>((0.4757/(1+((L18/6600)^1.4)))+0.1813)*10</f>
        <v>4.7505463123332792</v>
      </c>
      <c r="M32" s="110">
        <f>((0.4757/(1+((M18/6600)^1.4)))+0.1813)*10</f>
        <v>3.5815766954168153</v>
      </c>
      <c r="N32" s="111">
        <f>((0.4757/(1+((N18/6600)^1.4)))+0.1813)*10</f>
        <v>3.0818273558443501</v>
      </c>
      <c r="O32" s="112">
        <f>((0.4757/(1+((O18/6600)^1.4)))+0.1813)*10</f>
        <v>5.7190906612129364</v>
      </c>
      <c r="P32" s="111"/>
      <c r="Q32" s="111"/>
      <c r="R32" s="110"/>
      <c r="S32" s="111">
        <f t="shared" ref="S32:X32" si="9">((0.4757/(1+((S18/6600)^1.4)))+0.1813)*10</f>
        <v>6.1393702190084145</v>
      </c>
      <c r="T32" s="111">
        <f t="shared" si="9"/>
        <v>6.1964168053354616</v>
      </c>
      <c r="U32" s="112">
        <f t="shared" si="9"/>
        <v>6.1964168053354616</v>
      </c>
      <c r="V32" s="110">
        <f t="shared" si="9"/>
        <v>2.1589176109859705</v>
      </c>
      <c r="W32" s="111">
        <f t="shared" si="9"/>
        <v>5.2272080386909723</v>
      </c>
      <c r="X32" s="112">
        <f t="shared" si="9"/>
        <v>6.3770700534161682</v>
      </c>
      <c r="Y32" s="112"/>
      <c r="Z32" s="125"/>
      <c r="AA32" s="125"/>
      <c r="AB32" s="125"/>
      <c r="AE32" s="197">
        <f>IFERROR(F32-Parameter_2016_SQ!F32,"kein Vergleichswert")</f>
        <v>0</v>
      </c>
      <c r="AF32" s="197">
        <f>IFERROR(G32-Parameter_2016_SQ!G32,"kein Vergleichswert")</f>
        <v>0</v>
      </c>
      <c r="AG32" s="197">
        <f>IFERROR(H32-Parameter_2016_SQ!H32,"kein Vergleichswert")</f>
        <v>0</v>
      </c>
      <c r="AH32" s="197">
        <f>IFERROR(I32-Parameter_2016_SQ!I32,"kein Vergleichswert")</f>
        <v>0</v>
      </c>
      <c r="AI32" s="197">
        <f>IFERROR(J32-Parameter_2016_SQ!J32,"kein Vergleichswert")</f>
        <v>0</v>
      </c>
      <c r="AJ32" s="197">
        <f>IFERROR(K32-Parameter_2016_SQ!K32,"kein Vergleichswert")</f>
        <v>0</v>
      </c>
      <c r="AK32" s="197">
        <f>IFERROR(L32-Parameter_2016_SQ!L32,"kein Vergleichswert")</f>
        <v>0</v>
      </c>
      <c r="AL32" s="197">
        <f>IFERROR(M32-Parameter_2016_SQ!M32,"kein Vergleichswert")</f>
        <v>0</v>
      </c>
      <c r="AM32" s="197">
        <f>IFERROR(N32-Parameter_2016_SQ!N32,"kein Vergleichswert")</f>
        <v>0</v>
      </c>
      <c r="AN32" s="197">
        <f>IFERROR(O32-Parameter_2016_SQ!O32,"kein Vergleichswert")</f>
        <v>0</v>
      </c>
      <c r="AO32" s="197">
        <f>IFERROR(Q32-Parameter_2016_SQ!Q32,"kein Vergleichswert")</f>
        <v>0</v>
      </c>
      <c r="AP32" s="197">
        <f>IFERROR(R32-Parameter_2016_SQ!R32,"kein Vergleichswert")</f>
        <v>0</v>
      </c>
      <c r="AQ32" s="197">
        <f>IFERROR(S32-Parameter_2016_SQ!S32,"kein Vergleichswert")</f>
        <v>0</v>
      </c>
      <c r="AR32" s="197">
        <f>IFERROR(T32-Parameter_2016_SQ!T32,"kein Vergleichswert")</f>
        <v>0</v>
      </c>
      <c r="AS32" s="197">
        <f>IFERROR(U32-Parameter_2016_SQ!U32,"kein Vergleichswert")</f>
        <v>0</v>
      </c>
      <c r="AT32" s="197">
        <f>IFERROR(V32-Parameter_2016_SQ!V32,"kein Vergleichswert")</f>
        <v>0</v>
      </c>
      <c r="AU32" s="197">
        <f>IFERROR(W32-Parameter_2016_SQ!W32,"kein Vergleichswert")</f>
        <v>0</v>
      </c>
      <c r="AV32" s="197">
        <f>IFERROR(X32-Parameter_2016_SQ!X32,"kein Vergleichswert")</f>
        <v>0</v>
      </c>
      <c r="AW32" s="197">
        <f>IFERROR(Z32-Parameter_2016_SQ!Z32,"kein Vergleichswert")</f>
        <v>0</v>
      </c>
      <c r="AX32" s="197">
        <f>IFERROR(AA32-Parameter_2016_SQ!AA32,"kein Vergleichswert")</f>
        <v>0</v>
      </c>
      <c r="AY32" s="197">
        <f>IFERROR(AB32-Parameter_2016_SQ!AB32,"kein Vergleichswert")</f>
        <v>0</v>
      </c>
    </row>
    <row r="33" spans="1:51" ht="18.75">
      <c r="A33" s="108"/>
      <c r="B33" s="185" t="s">
        <v>254</v>
      </c>
      <c r="C33" s="186"/>
      <c r="D33" s="186"/>
      <c r="E33" s="186" t="s">
        <v>19</v>
      </c>
      <c r="F33" s="125"/>
      <c r="G33" s="125"/>
      <c r="H33" s="125"/>
      <c r="I33" s="125"/>
      <c r="J33" s="110"/>
      <c r="K33" s="111">
        <v>0</v>
      </c>
      <c r="L33" s="112">
        <v>0</v>
      </c>
      <c r="M33" s="111">
        <v>0</v>
      </c>
      <c r="N33" s="111">
        <v>0</v>
      </c>
      <c r="O33" s="111">
        <v>0</v>
      </c>
      <c r="P33" s="111"/>
      <c r="Q33" s="111"/>
      <c r="R33" s="110"/>
      <c r="S33" s="111">
        <v>0</v>
      </c>
      <c r="T33" s="111">
        <v>0</v>
      </c>
      <c r="U33" s="112">
        <v>0</v>
      </c>
      <c r="V33" s="111">
        <v>0</v>
      </c>
      <c r="W33" s="111">
        <v>0</v>
      </c>
      <c r="X33" s="111">
        <v>0</v>
      </c>
      <c r="Y33" s="111"/>
      <c r="Z33" s="125"/>
      <c r="AA33" s="125"/>
      <c r="AB33" s="125"/>
      <c r="AE33" s="197">
        <f>IFERROR(F33-Parameter_2016_SQ!F33,"kein Vergleichswert")</f>
        <v>0</v>
      </c>
      <c r="AF33" s="197">
        <f>IFERROR(G33-Parameter_2016_SQ!G33,"kein Vergleichswert")</f>
        <v>0</v>
      </c>
      <c r="AG33" s="197">
        <f>IFERROR(H33-Parameter_2016_SQ!H33,"kein Vergleichswert")</f>
        <v>0</v>
      </c>
      <c r="AH33" s="197">
        <f>IFERROR(I33-Parameter_2016_SQ!I33,"kein Vergleichswert")</f>
        <v>0</v>
      </c>
      <c r="AI33" s="197">
        <f>IFERROR(J33-Parameter_2016_SQ!J33,"kein Vergleichswert")</f>
        <v>0</v>
      </c>
      <c r="AJ33" s="197">
        <f>IFERROR(K33-Parameter_2016_SQ!K33,"kein Vergleichswert")</f>
        <v>0</v>
      </c>
      <c r="AK33" s="197">
        <f>IFERROR(L33-Parameter_2016_SQ!L33,"kein Vergleichswert")</f>
        <v>0</v>
      </c>
      <c r="AL33" s="197">
        <f>IFERROR(M33-Parameter_2016_SQ!M33,"kein Vergleichswert")</f>
        <v>-5.5</v>
      </c>
      <c r="AM33" s="197">
        <f>IFERROR(N33-Parameter_2016_SQ!N33,"kein Vergleichswert")</f>
        <v>-5.5</v>
      </c>
      <c r="AN33" s="197">
        <f>IFERROR(O33-Parameter_2016_SQ!O33,"kein Vergleichswert")</f>
        <v>-5.5</v>
      </c>
      <c r="AO33" s="197">
        <f>IFERROR(Q33-Parameter_2016_SQ!Q33,"kein Vergleichswert")</f>
        <v>0</v>
      </c>
      <c r="AP33" s="197">
        <f>IFERROR(R33-Parameter_2016_SQ!R33,"kein Vergleichswert")</f>
        <v>0</v>
      </c>
      <c r="AQ33" s="197">
        <f>IFERROR(S33-Parameter_2016_SQ!S33,"kein Vergleichswert")</f>
        <v>0</v>
      </c>
      <c r="AR33" s="197">
        <f>IFERROR(T33-Parameter_2016_SQ!T33,"kein Vergleichswert")</f>
        <v>0</v>
      </c>
      <c r="AS33" s="197">
        <f>IFERROR(U33-Parameter_2016_SQ!U33,"kein Vergleichswert")</f>
        <v>0</v>
      </c>
      <c r="AT33" s="197">
        <f>IFERROR(V33-Parameter_2016_SQ!V33,"kein Vergleichswert")</f>
        <v>-5.5</v>
      </c>
      <c r="AU33" s="197">
        <f>IFERROR(W33-Parameter_2016_SQ!W33,"kein Vergleichswert")</f>
        <v>-5.5</v>
      </c>
      <c r="AV33" s="197">
        <f>IFERROR(X33-Parameter_2016_SQ!X33,"kein Vergleichswert")</f>
        <v>-5.5</v>
      </c>
      <c r="AW33" s="197">
        <f>IFERROR(Z33-Parameter_2016_SQ!Z33,"kein Vergleichswert")</f>
        <v>0</v>
      </c>
      <c r="AX33" s="197">
        <f>IFERROR(AA33-Parameter_2016_SQ!AA33,"kein Vergleichswert")</f>
        <v>0</v>
      </c>
      <c r="AY33" s="197">
        <f>IFERROR(AB33-Parameter_2016_SQ!AB33,"kein Vergleichswert")</f>
        <v>0</v>
      </c>
    </row>
    <row r="34" spans="1:51" ht="18.75">
      <c r="A34" s="108"/>
      <c r="B34" s="185" t="s">
        <v>43</v>
      </c>
      <c r="C34" s="186"/>
      <c r="D34" s="186"/>
      <c r="E34" s="186" t="s">
        <v>19</v>
      </c>
      <c r="F34" s="125"/>
      <c r="G34" s="125"/>
      <c r="H34" s="125"/>
      <c r="I34" s="125"/>
      <c r="J34" s="110"/>
      <c r="K34" s="111">
        <v>0</v>
      </c>
      <c r="L34" s="112">
        <v>0</v>
      </c>
      <c r="M34" s="125">
        <v>26.400000000000002</v>
      </c>
      <c r="N34" s="125">
        <v>26.400000000000002</v>
      </c>
      <c r="O34" s="125">
        <v>26.400000000000002</v>
      </c>
      <c r="P34" s="111"/>
      <c r="Q34" s="111"/>
      <c r="R34" s="110"/>
      <c r="S34" s="111">
        <v>0</v>
      </c>
      <c r="T34" s="111">
        <v>0</v>
      </c>
      <c r="U34" s="112">
        <v>0</v>
      </c>
      <c r="V34" s="125">
        <v>26.400000000000002</v>
      </c>
      <c r="W34" s="125">
        <v>26.400000000000002</v>
      </c>
      <c r="X34" s="125">
        <v>26.400000000000002</v>
      </c>
      <c r="Y34" s="125"/>
      <c r="Z34" s="125"/>
      <c r="AA34" s="125"/>
      <c r="AB34" s="125"/>
      <c r="AE34" s="197">
        <f>IFERROR(F34-Parameter_2016_SQ!F34,"kein Vergleichswert")</f>
        <v>0</v>
      </c>
      <c r="AF34" s="197">
        <f>IFERROR(G34-Parameter_2016_SQ!G34,"kein Vergleichswert")</f>
        <v>0</v>
      </c>
      <c r="AG34" s="197">
        <f>IFERROR(H34-Parameter_2016_SQ!H34,"kein Vergleichswert")</f>
        <v>0</v>
      </c>
      <c r="AH34" s="197">
        <f>IFERROR(I34-Parameter_2016_SQ!I34,"kein Vergleichswert")</f>
        <v>0</v>
      </c>
      <c r="AI34" s="197">
        <f>IFERROR(J34-Parameter_2016_SQ!J34,"kein Vergleichswert")</f>
        <v>0</v>
      </c>
      <c r="AJ34" s="197">
        <f>IFERROR(K34-Parameter_2016_SQ!K34,"kein Vergleichswert")</f>
        <v>0</v>
      </c>
      <c r="AK34" s="197">
        <f>IFERROR(L34-Parameter_2016_SQ!L34,"kein Vergleichswert")</f>
        <v>0</v>
      </c>
      <c r="AL34" s="197">
        <f>IFERROR(M34-Parameter_2016_SQ!M34,"kein Vergleichswert")</f>
        <v>25.000000000000004</v>
      </c>
      <c r="AM34" s="197">
        <f>IFERROR(N34-Parameter_2016_SQ!N34,"kein Vergleichswert")</f>
        <v>25.000000000000004</v>
      </c>
      <c r="AN34" s="197">
        <f>IFERROR(O34-Parameter_2016_SQ!O34,"kein Vergleichswert")</f>
        <v>25.000000000000004</v>
      </c>
      <c r="AO34" s="197">
        <f>IFERROR(Q34-Parameter_2016_SQ!Q34,"kein Vergleichswert")</f>
        <v>0</v>
      </c>
      <c r="AP34" s="197">
        <f>IFERROR(R34-Parameter_2016_SQ!R34,"kein Vergleichswert")</f>
        <v>0</v>
      </c>
      <c r="AQ34" s="197">
        <f>IFERROR(S34-Parameter_2016_SQ!S34,"kein Vergleichswert")</f>
        <v>0</v>
      </c>
      <c r="AR34" s="197">
        <f>IFERROR(T34-Parameter_2016_SQ!T34,"kein Vergleichswert")</f>
        <v>0</v>
      </c>
      <c r="AS34" s="197">
        <f>IFERROR(U34-Parameter_2016_SQ!U34,"kein Vergleichswert")</f>
        <v>0</v>
      </c>
      <c r="AT34" s="197">
        <f>IFERROR(V34-Parameter_2016_SQ!V34,"kein Vergleichswert")</f>
        <v>25.000000000000004</v>
      </c>
      <c r="AU34" s="197">
        <f>IFERROR(W34-Parameter_2016_SQ!W34,"kein Vergleichswert")</f>
        <v>25.000000000000004</v>
      </c>
      <c r="AV34" s="197">
        <f>IFERROR(X34-Parameter_2016_SQ!X34,"kein Vergleichswert")</f>
        <v>25.000000000000004</v>
      </c>
      <c r="AW34" s="197">
        <f>IFERROR(Z34-Parameter_2016_SQ!Z34,"kein Vergleichswert")</f>
        <v>0</v>
      </c>
      <c r="AX34" s="197">
        <f>IFERROR(AA34-Parameter_2016_SQ!AA34,"kein Vergleichswert")</f>
        <v>0</v>
      </c>
      <c r="AY34" s="197">
        <f>IFERROR(AB34-Parameter_2016_SQ!AB34,"kein Vergleichswert")</f>
        <v>0</v>
      </c>
    </row>
    <row r="35" spans="1:51" ht="18.75">
      <c r="A35" s="108"/>
      <c r="B35" s="185" t="s">
        <v>305</v>
      </c>
      <c r="C35" s="186"/>
      <c r="D35" s="186"/>
      <c r="E35" s="186" t="s">
        <v>19</v>
      </c>
      <c r="F35" s="125"/>
      <c r="G35" s="125"/>
      <c r="H35" s="125"/>
      <c r="I35" s="125"/>
      <c r="J35" s="110"/>
      <c r="K35" s="111">
        <v>0.04</v>
      </c>
      <c r="L35" s="112">
        <v>0.04</v>
      </c>
      <c r="M35" s="110">
        <v>0.04</v>
      </c>
      <c r="N35" s="111">
        <v>0.04</v>
      </c>
      <c r="O35" s="112">
        <v>0.04</v>
      </c>
      <c r="P35" s="111"/>
      <c r="Q35" s="111"/>
      <c r="R35" s="110"/>
      <c r="S35" s="111">
        <v>0.04</v>
      </c>
      <c r="T35" s="111">
        <v>0.04</v>
      </c>
      <c r="U35" s="112">
        <v>0.04</v>
      </c>
      <c r="V35" s="110">
        <v>0.04</v>
      </c>
      <c r="W35" s="111">
        <v>0.04</v>
      </c>
      <c r="X35" s="112">
        <v>0.04</v>
      </c>
      <c r="Y35" s="112"/>
      <c r="Z35" s="125"/>
      <c r="AA35" s="125"/>
      <c r="AB35" s="125"/>
      <c r="AE35" s="197">
        <f>IFERROR(F35-Parameter_2016_SQ!F35,"kein Vergleichswert")</f>
        <v>0</v>
      </c>
      <c r="AF35" s="197">
        <f>IFERROR(G35-Parameter_2016_SQ!G35,"kein Vergleichswert")</f>
        <v>0</v>
      </c>
      <c r="AG35" s="197">
        <f>IFERROR(H35-Parameter_2016_SQ!H35,"kein Vergleichswert")</f>
        <v>0</v>
      </c>
      <c r="AH35" s="197">
        <f>IFERROR(I35-Parameter_2016_SQ!I35,"kein Vergleichswert")</f>
        <v>0</v>
      </c>
      <c r="AI35" s="197">
        <f>IFERROR(J35-Parameter_2016_SQ!J35,"kein Vergleichswert")</f>
        <v>0</v>
      </c>
      <c r="AJ35" s="197">
        <f>IFERROR(K35-Parameter_2016_SQ!K35,"kein Vergleichswert")</f>
        <v>0</v>
      </c>
      <c r="AK35" s="197">
        <f>IFERROR(L35-Parameter_2016_SQ!L35,"kein Vergleichswert")</f>
        <v>0</v>
      </c>
      <c r="AL35" s="197">
        <f>IFERROR(M35-Parameter_2016_SQ!M35,"kein Vergleichswert")</f>
        <v>0</v>
      </c>
      <c r="AM35" s="197">
        <f>IFERROR(N35-Parameter_2016_SQ!N35,"kein Vergleichswert")</f>
        <v>0</v>
      </c>
      <c r="AN35" s="197">
        <f>IFERROR(O35-Parameter_2016_SQ!O35,"kein Vergleichswert")</f>
        <v>0</v>
      </c>
      <c r="AO35" s="197">
        <f>IFERROR(Q35-Parameter_2016_SQ!Q35,"kein Vergleichswert")</f>
        <v>0</v>
      </c>
      <c r="AP35" s="197">
        <f>IFERROR(R35-Parameter_2016_SQ!R35,"kein Vergleichswert")</f>
        <v>0</v>
      </c>
      <c r="AQ35" s="197">
        <f>IFERROR(S35-Parameter_2016_SQ!S35,"kein Vergleichswert")</f>
        <v>0</v>
      </c>
      <c r="AR35" s="197">
        <f>IFERROR(T35-Parameter_2016_SQ!T35,"kein Vergleichswert")</f>
        <v>0</v>
      </c>
      <c r="AS35" s="197">
        <f>IFERROR(U35-Parameter_2016_SQ!U35,"kein Vergleichswert")</f>
        <v>0</v>
      </c>
      <c r="AT35" s="197">
        <f>IFERROR(V35-Parameter_2016_SQ!V35,"kein Vergleichswert")</f>
        <v>0</v>
      </c>
      <c r="AU35" s="197">
        <f>IFERROR(W35-Parameter_2016_SQ!W35,"kein Vergleichswert")</f>
        <v>0</v>
      </c>
      <c r="AV35" s="197">
        <f>IFERROR(X35-Parameter_2016_SQ!X35,"kein Vergleichswert")</f>
        <v>0</v>
      </c>
      <c r="AW35" s="197">
        <f>IFERROR(Z35-Parameter_2016_SQ!Z35,"kein Vergleichswert")</f>
        <v>0</v>
      </c>
      <c r="AX35" s="197">
        <f>IFERROR(AA35-Parameter_2016_SQ!AA35,"kein Vergleichswert")</f>
        <v>0</v>
      </c>
      <c r="AY35" s="197">
        <f>IFERROR(AB35-Parameter_2016_SQ!AB35,"kein Vergleichswert")</f>
        <v>0</v>
      </c>
    </row>
    <row r="36" spans="1:51" ht="18.75">
      <c r="A36" s="108"/>
      <c r="B36" s="116"/>
      <c r="C36" s="117"/>
      <c r="D36" s="117"/>
      <c r="E36" s="117"/>
      <c r="F36" s="131"/>
      <c r="G36" s="131"/>
      <c r="H36" s="131"/>
      <c r="I36" s="131"/>
      <c r="J36" s="127"/>
      <c r="K36" s="128"/>
      <c r="L36" s="129"/>
      <c r="M36" s="127"/>
      <c r="N36" s="128"/>
      <c r="O36" s="129"/>
      <c r="P36" s="128"/>
      <c r="Q36" s="128"/>
      <c r="R36" s="127"/>
      <c r="S36" s="128"/>
      <c r="T36" s="128"/>
      <c r="U36" s="129"/>
      <c r="V36" s="127"/>
      <c r="W36" s="128"/>
      <c r="X36" s="129"/>
      <c r="Y36" s="129"/>
      <c r="Z36" s="131"/>
      <c r="AA36" s="131"/>
      <c r="AB36" s="131"/>
      <c r="AE36" s="197">
        <f>IFERROR(F36-Parameter_2016_SQ!F36,"kein Vergleichswert")</f>
        <v>0</v>
      </c>
      <c r="AF36" s="197">
        <f>IFERROR(G36-Parameter_2016_SQ!G36,"kein Vergleichswert")</f>
        <v>0</v>
      </c>
      <c r="AG36" s="197">
        <f>IFERROR(H36-Parameter_2016_SQ!H36,"kein Vergleichswert")</f>
        <v>0</v>
      </c>
      <c r="AH36" s="197">
        <f>IFERROR(I36-Parameter_2016_SQ!I36,"kein Vergleichswert")</f>
        <v>0</v>
      </c>
      <c r="AI36" s="197">
        <f>IFERROR(J36-Parameter_2016_SQ!J36,"kein Vergleichswert")</f>
        <v>0</v>
      </c>
      <c r="AJ36" s="197">
        <f>IFERROR(K36-Parameter_2016_SQ!K36,"kein Vergleichswert")</f>
        <v>0</v>
      </c>
      <c r="AK36" s="197">
        <f>IFERROR(L36-Parameter_2016_SQ!L36,"kein Vergleichswert")</f>
        <v>0</v>
      </c>
      <c r="AL36" s="197">
        <f>IFERROR(M36-Parameter_2016_SQ!M36,"kein Vergleichswert")</f>
        <v>0</v>
      </c>
      <c r="AM36" s="197">
        <f>IFERROR(N36-Parameter_2016_SQ!N36,"kein Vergleichswert")</f>
        <v>0</v>
      </c>
      <c r="AN36" s="197">
        <f>IFERROR(O36-Parameter_2016_SQ!O36,"kein Vergleichswert")</f>
        <v>0</v>
      </c>
      <c r="AO36" s="197">
        <f>IFERROR(Q36-Parameter_2016_SQ!Q36,"kein Vergleichswert")</f>
        <v>0</v>
      </c>
      <c r="AP36" s="197">
        <f>IFERROR(R36-Parameter_2016_SQ!R36,"kein Vergleichswert")</f>
        <v>0</v>
      </c>
      <c r="AQ36" s="197">
        <f>IFERROR(S36-Parameter_2016_SQ!S36,"kein Vergleichswert")</f>
        <v>0</v>
      </c>
      <c r="AR36" s="197">
        <f>IFERROR(T36-Parameter_2016_SQ!T36,"kein Vergleichswert")</f>
        <v>0</v>
      </c>
      <c r="AS36" s="197">
        <f>IFERROR(U36-Parameter_2016_SQ!U36,"kein Vergleichswert")</f>
        <v>0</v>
      </c>
      <c r="AT36" s="197">
        <f>IFERROR(V36-Parameter_2016_SQ!V36,"kein Vergleichswert")</f>
        <v>0</v>
      </c>
      <c r="AU36" s="197">
        <f>IFERROR(W36-Parameter_2016_SQ!W36,"kein Vergleichswert")</f>
        <v>0</v>
      </c>
      <c r="AV36" s="197">
        <f>IFERROR(X36-Parameter_2016_SQ!X36,"kein Vergleichswert")</f>
        <v>0</v>
      </c>
      <c r="AW36" s="197">
        <f>IFERROR(Z36-Parameter_2016_SQ!Z36,"kein Vergleichswert")</f>
        <v>0</v>
      </c>
      <c r="AX36" s="197">
        <f>IFERROR(AA36-Parameter_2016_SQ!AA36,"kein Vergleichswert")</f>
        <v>0</v>
      </c>
      <c r="AY36" s="197">
        <f>IFERROR(AB36-Parameter_2016_SQ!AB36,"kein Vergleichswert")</f>
        <v>0</v>
      </c>
    </row>
    <row r="37" spans="1:51" ht="18.75">
      <c r="A37" s="108"/>
      <c r="B37" s="108" t="s">
        <v>307</v>
      </c>
      <c r="C37" s="117"/>
      <c r="D37" s="117"/>
      <c r="E37" s="117"/>
      <c r="F37" s="131"/>
      <c r="G37" s="131"/>
      <c r="H37" s="131"/>
      <c r="I37" s="131"/>
      <c r="J37" s="127"/>
      <c r="K37" s="128"/>
      <c r="L37" s="129"/>
      <c r="M37" s="127"/>
      <c r="N37" s="128"/>
      <c r="O37" s="129"/>
      <c r="P37" s="128"/>
      <c r="Q37" s="128"/>
      <c r="R37" s="127"/>
      <c r="S37" s="128"/>
      <c r="T37" s="128"/>
      <c r="U37" s="129"/>
      <c r="V37" s="127"/>
      <c r="W37" s="128"/>
      <c r="X37" s="129"/>
      <c r="Y37" s="129"/>
      <c r="Z37" s="131"/>
      <c r="AA37" s="131"/>
      <c r="AB37" s="131"/>
      <c r="AE37" s="197">
        <f>IFERROR(F37-Parameter_2016_SQ!F37,"kein Vergleichswert")</f>
        <v>0</v>
      </c>
      <c r="AF37" s="197">
        <f>IFERROR(G37-Parameter_2016_SQ!G37,"kein Vergleichswert")</f>
        <v>0</v>
      </c>
      <c r="AG37" s="197">
        <f>IFERROR(H37-Parameter_2016_SQ!H37,"kein Vergleichswert")</f>
        <v>0</v>
      </c>
      <c r="AH37" s="197">
        <f>IFERROR(I37-Parameter_2016_SQ!I37,"kein Vergleichswert")</f>
        <v>0</v>
      </c>
      <c r="AI37" s="197">
        <f>IFERROR(J37-Parameter_2016_SQ!J37,"kein Vergleichswert")</f>
        <v>0</v>
      </c>
      <c r="AJ37" s="197">
        <f>IFERROR(K37-Parameter_2016_SQ!K37,"kein Vergleichswert")</f>
        <v>0</v>
      </c>
      <c r="AK37" s="197">
        <f>IFERROR(L37-Parameter_2016_SQ!L37,"kein Vergleichswert")</f>
        <v>0</v>
      </c>
      <c r="AL37" s="197">
        <f>IFERROR(M37-Parameter_2016_SQ!M37,"kein Vergleichswert")</f>
        <v>0</v>
      </c>
      <c r="AM37" s="197">
        <f>IFERROR(N37-Parameter_2016_SQ!N37,"kein Vergleichswert")</f>
        <v>0</v>
      </c>
      <c r="AN37" s="197">
        <f>IFERROR(O37-Parameter_2016_SQ!O37,"kein Vergleichswert")</f>
        <v>0</v>
      </c>
      <c r="AO37" s="197">
        <f>IFERROR(Q37-Parameter_2016_SQ!Q37,"kein Vergleichswert")</f>
        <v>0</v>
      </c>
      <c r="AP37" s="197">
        <f>IFERROR(R37-Parameter_2016_SQ!R37,"kein Vergleichswert")</f>
        <v>0</v>
      </c>
      <c r="AQ37" s="197">
        <f>IFERROR(S37-Parameter_2016_SQ!S37,"kein Vergleichswert")</f>
        <v>0</v>
      </c>
      <c r="AR37" s="197">
        <f>IFERROR(T37-Parameter_2016_SQ!T37,"kein Vergleichswert")</f>
        <v>0</v>
      </c>
      <c r="AS37" s="197">
        <f>IFERROR(U37-Parameter_2016_SQ!U37,"kein Vergleichswert")</f>
        <v>0</v>
      </c>
      <c r="AT37" s="197">
        <f>IFERROR(V37-Parameter_2016_SQ!V37,"kein Vergleichswert")</f>
        <v>0</v>
      </c>
      <c r="AU37" s="197">
        <f>IFERROR(W37-Parameter_2016_SQ!W37,"kein Vergleichswert")</f>
        <v>0</v>
      </c>
      <c r="AV37" s="197">
        <f>IFERROR(X37-Parameter_2016_SQ!X37,"kein Vergleichswert")</f>
        <v>0</v>
      </c>
      <c r="AW37" s="197">
        <f>IFERROR(Z37-Parameter_2016_SQ!Z37,"kein Vergleichswert")</f>
        <v>0</v>
      </c>
      <c r="AX37" s="197">
        <f>IFERROR(AA37-Parameter_2016_SQ!AA37,"kein Vergleichswert")</f>
        <v>0</v>
      </c>
      <c r="AY37" s="197">
        <f>IFERROR(AB37-Parameter_2016_SQ!AB37,"kein Vergleichswert")</f>
        <v>0</v>
      </c>
    </row>
    <row r="38" spans="1:51" ht="18.75">
      <c r="A38" s="108"/>
      <c r="B38" s="178" t="s">
        <v>321</v>
      </c>
      <c r="C38" s="180"/>
      <c r="D38" s="180"/>
      <c r="E38" s="180" t="s">
        <v>35</v>
      </c>
      <c r="F38" s="111">
        <v>8160</v>
      </c>
      <c r="G38" s="111">
        <v>0</v>
      </c>
      <c r="H38" s="111">
        <v>8160</v>
      </c>
      <c r="I38" s="111">
        <v>0</v>
      </c>
      <c r="J38" s="110"/>
      <c r="K38" s="111"/>
      <c r="L38" s="112"/>
      <c r="M38" s="110"/>
      <c r="N38" s="111"/>
      <c r="O38" s="112"/>
      <c r="P38" s="111"/>
      <c r="Q38" s="111"/>
      <c r="R38" s="110"/>
      <c r="S38" s="111"/>
      <c r="T38" s="111"/>
      <c r="U38" s="112"/>
      <c r="V38" s="110"/>
      <c r="W38" s="111"/>
      <c r="X38" s="112"/>
      <c r="Y38" s="112"/>
      <c r="Z38" s="125"/>
      <c r="AA38" s="125"/>
      <c r="AB38" s="125"/>
      <c r="AE38" s="197">
        <f>IFERROR(F38-Parameter_2016_SQ!F38,"kein Vergleichswert")</f>
        <v>8160</v>
      </c>
      <c r="AF38" s="197">
        <f>IFERROR(G38-Parameter_2016_SQ!G38,"kein Vergleichswert")</f>
        <v>0</v>
      </c>
      <c r="AG38" s="197">
        <f>IFERROR(H38-Parameter_2016_SQ!H38,"kein Vergleichswert")</f>
        <v>8160</v>
      </c>
      <c r="AH38" s="197">
        <f>IFERROR(I38-Parameter_2016_SQ!I38,"kein Vergleichswert")</f>
        <v>0</v>
      </c>
      <c r="AI38" s="197">
        <f>IFERROR(J38-Parameter_2016_SQ!J38,"kein Vergleichswert")</f>
        <v>0</v>
      </c>
      <c r="AJ38" s="197">
        <f>IFERROR(K38-Parameter_2016_SQ!K38,"kein Vergleichswert")</f>
        <v>0</v>
      </c>
      <c r="AK38" s="197">
        <f>IFERROR(L38-Parameter_2016_SQ!L38,"kein Vergleichswert")</f>
        <v>0</v>
      </c>
      <c r="AL38" s="197">
        <f>IFERROR(M38-Parameter_2016_SQ!M38,"kein Vergleichswert")</f>
        <v>0</v>
      </c>
      <c r="AM38" s="197">
        <f>IFERROR(N38-Parameter_2016_SQ!N38,"kein Vergleichswert")</f>
        <v>0</v>
      </c>
      <c r="AN38" s="197">
        <f>IFERROR(O38-Parameter_2016_SQ!O38,"kein Vergleichswert")</f>
        <v>0</v>
      </c>
      <c r="AO38" s="197">
        <f>IFERROR(Q38-Parameter_2016_SQ!Q38,"kein Vergleichswert")</f>
        <v>0</v>
      </c>
      <c r="AP38" s="197">
        <f>IFERROR(R38-Parameter_2016_SQ!R38,"kein Vergleichswert")</f>
        <v>0</v>
      </c>
      <c r="AQ38" s="197">
        <f>IFERROR(S38-Parameter_2016_SQ!S38,"kein Vergleichswert")</f>
        <v>0</v>
      </c>
      <c r="AR38" s="197">
        <f>IFERROR(T38-Parameter_2016_SQ!T38,"kein Vergleichswert")</f>
        <v>0</v>
      </c>
      <c r="AS38" s="197">
        <f>IFERROR(U38-Parameter_2016_SQ!U38,"kein Vergleichswert")</f>
        <v>0</v>
      </c>
      <c r="AT38" s="197">
        <f>IFERROR(V38-Parameter_2016_SQ!V38,"kein Vergleichswert")</f>
        <v>0</v>
      </c>
      <c r="AU38" s="197">
        <f>IFERROR(W38-Parameter_2016_SQ!W38,"kein Vergleichswert")</f>
        <v>0</v>
      </c>
      <c r="AV38" s="197">
        <f>IFERROR(X38-Parameter_2016_SQ!X38,"kein Vergleichswert")</f>
        <v>0</v>
      </c>
      <c r="AW38" s="197">
        <f>IFERROR(Z38-Parameter_2016_SQ!Z38,"kein Vergleichswert")</f>
        <v>0</v>
      </c>
      <c r="AX38" s="197">
        <f>IFERROR(AA38-Parameter_2016_SQ!AA38,"kein Vergleichswert")</f>
        <v>0</v>
      </c>
      <c r="AY38" s="197">
        <f>IFERROR(AB38-Parameter_2016_SQ!AB38,"kein Vergleichswert")</f>
        <v>0</v>
      </c>
    </row>
    <row r="39" spans="1:51" ht="18.75">
      <c r="A39" s="108"/>
      <c r="B39" s="178" t="s">
        <v>322</v>
      </c>
      <c r="C39" s="180"/>
      <c r="D39" s="180"/>
      <c r="E39" s="180"/>
      <c r="F39" s="111">
        <f>11.91*1000</f>
        <v>11910</v>
      </c>
      <c r="G39" s="111">
        <v>0</v>
      </c>
      <c r="H39" s="111">
        <f>11.91*1000</f>
        <v>11910</v>
      </c>
      <c r="I39" s="111">
        <v>0</v>
      </c>
      <c r="J39" s="110"/>
      <c r="K39" s="111"/>
      <c r="L39" s="112"/>
      <c r="M39" s="110"/>
      <c r="N39" s="111"/>
      <c r="O39" s="112"/>
      <c r="P39" s="111"/>
      <c r="Q39" s="111"/>
      <c r="R39" s="110"/>
      <c r="S39" s="111"/>
      <c r="T39" s="111"/>
      <c r="U39" s="112"/>
      <c r="V39" s="110"/>
      <c r="W39" s="111"/>
      <c r="X39" s="112"/>
      <c r="Y39" s="112"/>
      <c r="Z39" s="125"/>
      <c r="AA39" s="125"/>
      <c r="AB39" s="125"/>
      <c r="AE39" s="197">
        <f>IFERROR(F39-Parameter_2016_SQ!F39,"kein Vergleichswert")</f>
        <v>11910</v>
      </c>
      <c r="AF39" s="197">
        <f>IFERROR(G39-Parameter_2016_SQ!G39,"kein Vergleichswert")</f>
        <v>0</v>
      </c>
      <c r="AG39" s="197">
        <f>IFERROR(H39-Parameter_2016_SQ!H39,"kein Vergleichswert")</f>
        <v>11910</v>
      </c>
      <c r="AH39" s="197">
        <f>IFERROR(I39-Parameter_2016_SQ!I39,"kein Vergleichswert")</f>
        <v>0</v>
      </c>
      <c r="AI39" s="197">
        <f>IFERROR(J39-Parameter_2016_SQ!J39,"kein Vergleichswert")</f>
        <v>0</v>
      </c>
      <c r="AJ39" s="197">
        <f>IFERROR(K39-Parameter_2016_SQ!K39,"kein Vergleichswert")</f>
        <v>0</v>
      </c>
      <c r="AK39" s="197">
        <f>IFERROR(L39-Parameter_2016_SQ!L39,"kein Vergleichswert")</f>
        <v>0</v>
      </c>
      <c r="AL39" s="197">
        <f>IFERROR(M39-Parameter_2016_SQ!M39,"kein Vergleichswert")</f>
        <v>0</v>
      </c>
      <c r="AM39" s="197">
        <f>IFERROR(N39-Parameter_2016_SQ!N39,"kein Vergleichswert")</f>
        <v>0</v>
      </c>
      <c r="AN39" s="197">
        <f>IFERROR(O39-Parameter_2016_SQ!O39,"kein Vergleichswert")</f>
        <v>0</v>
      </c>
      <c r="AO39" s="197">
        <f>IFERROR(Q39-Parameter_2016_SQ!Q39,"kein Vergleichswert")</f>
        <v>0</v>
      </c>
      <c r="AP39" s="197">
        <f>IFERROR(R39-Parameter_2016_SQ!R39,"kein Vergleichswert")</f>
        <v>0</v>
      </c>
      <c r="AQ39" s="197">
        <f>IFERROR(S39-Parameter_2016_SQ!S39,"kein Vergleichswert")</f>
        <v>0</v>
      </c>
      <c r="AR39" s="197">
        <f>IFERROR(T39-Parameter_2016_SQ!T39,"kein Vergleichswert")</f>
        <v>0</v>
      </c>
      <c r="AS39" s="197">
        <f>IFERROR(U39-Parameter_2016_SQ!U39,"kein Vergleichswert")</f>
        <v>0</v>
      </c>
      <c r="AT39" s="197">
        <f>IFERROR(V39-Parameter_2016_SQ!V39,"kein Vergleichswert")</f>
        <v>0</v>
      </c>
      <c r="AU39" s="197">
        <f>IFERROR(W39-Parameter_2016_SQ!W39,"kein Vergleichswert")</f>
        <v>0</v>
      </c>
      <c r="AV39" s="197">
        <f>IFERROR(X39-Parameter_2016_SQ!X39,"kein Vergleichswert")</f>
        <v>0</v>
      </c>
      <c r="AW39" s="197">
        <f>IFERROR(Z39-Parameter_2016_SQ!Z39,"kein Vergleichswert")</f>
        <v>0</v>
      </c>
      <c r="AX39" s="197">
        <f>IFERROR(AA39-Parameter_2016_SQ!AA39,"kein Vergleichswert")</f>
        <v>0</v>
      </c>
      <c r="AY39" s="197">
        <f>IFERROR(AB39-Parameter_2016_SQ!AB39,"kein Vergleichswert")</f>
        <v>0</v>
      </c>
    </row>
    <row r="40" spans="1:51" ht="18.75">
      <c r="A40" s="108"/>
      <c r="B40" s="178" t="s">
        <v>303</v>
      </c>
      <c r="C40" s="180" t="str">
        <f>B40</f>
        <v>LP_Strom</v>
      </c>
      <c r="D40" s="180"/>
      <c r="E40" s="180" t="s">
        <v>251</v>
      </c>
      <c r="F40" s="111">
        <v>0</v>
      </c>
      <c r="G40" s="111">
        <v>0</v>
      </c>
      <c r="H40" s="111">
        <v>0</v>
      </c>
      <c r="I40" s="111">
        <v>0</v>
      </c>
      <c r="J40" s="110"/>
      <c r="K40" s="111"/>
      <c r="L40" s="112"/>
      <c r="M40" s="110"/>
      <c r="N40" s="111"/>
      <c r="O40" s="112"/>
      <c r="P40" s="111"/>
      <c r="Q40" s="111"/>
      <c r="R40" s="110"/>
      <c r="S40" s="111"/>
      <c r="T40" s="111"/>
      <c r="U40" s="112"/>
      <c r="V40" s="110"/>
      <c r="W40" s="111"/>
      <c r="X40" s="112"/>
      <c r="Y40" s="112"/>
      <c r="Z40" s="125"/>
      <c r="AA40" s="125"/>
      <c r="AB40" s="125"/>
      <c r="AE40" s="197">
        <f>IFERROR(F40-Parameter_2016_SQ!F40,"kein Vergleichswert")</f>
        <v>-36600</v>
      </c>
      <c r="AF40" s="197">
        <f>IFERROR(G40-Parameter_2016_SQ!G40,"kein Vergleichswert")</f>
        <v>-36600</v>
      </c>
      <c r="AG40" s="197">
        <f>IFERROR(H40-Parameter_2016_SQ!H40,"kein Vergleichswert")</f>
        <v>-36600</v>
      </c>
      <c r="AH40" s="197">
        <f>IFERROR(I40-Parameter_2016_SQ!I40,"kein Vergleichswert")</f>
        <v>-36600</v>
      </c>
      <c r="AI40" s="197">
        <f>IFERROR(J40-Parameter_2016_SQ!J40,"kein Vergleichswert")</f>
        <v>0</v>
      </c>
      <c r="AJ40" s="197">
        <f>IFERROR(K40-Parameter_2016_SQ!K40,"kein Vergleichswert")</f>
        <v>0</v>
      </c>
      <c r="AK40" s="197">
        <f>IFERROR(L40-Parameter_2016_SQ!L40,"kein Vergleichswert")</f>
        <v>0</v>
      </c>
      <c r="AL40" s="197">
        <f>IFERROR(M40-Parameter_2016_SQ!M40,"kein Vergleichswert")</f>
        <v>0</v>
      </c>
      <c r="AM40" s="197">
        <f>IFERROR(N40-Parameter_2016_SQ!N40,"kein Vergleichswert")</f>
        <v>0</v>
      </c>
      <c r="AN40" s="197">
        <f>IFERROR(O40-Parameter_2016_SQ!O40,"kein Vergleichswert")</f>
        <v>0</v>
      </c>
      <c r="AO40" s="197">
        <f>IFERROR(Q40-Parameter_2016_SQ!Q40,"kein Vergleichswert")</f>
        <v>0</v>
      </c>
      <c r="AP40" s="197">
        <f>IFERROR(R40-Parameter_2016_SQ!R40,"kein Vergleichswert")</f>
        <v>0</v>
      </c>
      <c r="AQ40" s="197">
        <f>IFERROR(S40-Parameter_2016_SQ!S40,"kein Vergleichswert")</f>
        <v>0</v>
      </c>
      <c r="AR40" s="197">
        <f>IFERROR(T40-Parameter_2016_SQ!T40,"kein Vergleichswert")</f>
        <v>0</v>
      </c>
      <c r="AS40" s="197">
        <f>IFERROR(U40-Parameter_2016_SQ!U40,"kein Vergleichswert")</f>
        <v>0</v>
      </c>
      <c r="AT40" s="197">
        <f>IFERROR(V40-Parameter_2016_SQ!V40,"kein Vergleichswert")</f>
        <v>0</v>
      </c>
      <c r="AU40" s="197">
        <f>IFERROR(W40-Parameter_2016_SQ!W40,"kein Vergleichswert")</f>
        <v>0</v>
      </c>
      <c r="AV40" s="197">
        <f>IFERROR(X40-Parameter_2016_SQ!X40,"kein Vergleichswert")</f>
        <v>0</v>
      </c>
      <c r="AW40" s="197">
        <f>IFERROR(Z40-Parameter_2016_SQ!Z40,"kein Vergleichswert")</f>
        <v>0</v>
      </c>
      <c r="AX40" s="197">
        <f>IFERROR(AA40-Parameter_2016_SQ!AA40,"kein Vergleichswert")</f>
        <v>0</v>
      </c>
      <c r="AY40" s="197">
        <f>IFERROR(AB40-Parameter_2016_SQ!AB40,"kein Vergleichswert")</f>
        <v>0</v>
      </c>
    </row>
    <row r="41" spans="1:51" ht="18.75">
      <c r="A41" s="108"/>
      <c r="B41" s="185" t="s">
        <v>304</v>
      </c>
      <c r="C41" s="186" t="str">
        <f t="shared" ref="C41:C50" si="10">B41</f>
        <v>AP_Strom</v>
      </c>
      <c r="D41" s="186"/>
      <c r="E41" s="186" t="s">
        <v>19</v>
      </c>
      <c r="F41" s="111">
        <v>30.6</v>
      </c>
      <c r="G41" s="111">
        <v>0</v>
      </c>
      <c r="H41" s="111">
        <v>30.6</v>
      </c>
      <c r="I41" s="111">
        <v>0</v>
      </c>
      <c r="J41" s="110"/>
      <c r="K41" s="111"/>
      <c r="L41" s="112"/>
      <c r="M41" s="110"/>
      <c r="N41" s="111"/>
      <c r="O41" s="112"/>
      <c r="P41" s="111"/>
      <c r="Q41" s="111"/>
      <c r="R41" s="110"/>
      <c r="S41" s="111"/>
      <c r="T41" s="111"/>
      <c r="U41" s="112"/>
      <c r="V41" s="110"/>
      <c r="W41" s="111"/>
      <c r="X41" s="112"/>
      <c r="Y41" s="112"/>
      <c r="Z41" s="125"/>
      <c r="AA41" s="125"/>
      <c r="AB41" s="125"/>
      <c r="AE41" s="197">
        <f>IFERROR(F41-Parameter_2016_SQ!F41,"kein Vergleichswert")</f>
        <v>0</v>
      </c>
      <c r="AF41" s="197">
        <f>IFERROR(G41-Parameter_2016_SQ!G41,"kein Vergleichswert")</f>
        <v>-30.6</v>
      </c>
      <c r="AG41" s="197">
        <f>IFERROR(H41-Parameter_2016_SQ!H41,"kein Vergleichswert")</f>
        <v>0</v>
      </c>
      <c r="AH41" s="197">
        <f>IFERROR(I41-Parameter_2016_SQ!I41,"kein Vergleichswert")</f>
        <v>-30.6</v>
      </c>
      <c r="AI41" s="197">
        <f>IFERROR(J41-Parameter_2016_SQ!J41,"kein Vergleichswert")</f>
        <v>0</v>
      </c>
      <c r="AJ41" s="197">
        <f>IFERROR(K41-Parameter_2016_SQ!K41,"kein Vergleichswert")</f>
        <v>0</v>
      </c>
      <c r="AK41" s="197">
        <f>IFERROR(L41-Parameter_2016_SQ!L41,"kein Vergleichswert")</f>
        <v>0</v>
      </c>
      <c r="AL41" s="197">
        <f>IFERROR(M41-Parameter_2016_SQ!M41,"kein Vergleichswert")</f>
        <v>0</v>
      </c>
      <c r="AM41" s="197">
        <f>IFERROR(N41-Parameter_2016_SQ!N41,"kein Vergleichswert")</f>
        <v>0</v>
      </c>
      <c r="AN41" s="197">
        <f>IFERROR(O41-Parameter_2016_SQ!O41,"kein Vergleichswert")</f>
        <v>0</v>
      </c>
      <c r="AO41" s="197">
        <f>IFERROR(Q41-Parameter_2016_SQ!Q41,"kein Vergleichswert")</f>
        <v>0</v>
      </c>
      <c r="AP41" s="197">
        <f>IFERROR(R41-Parameter_2016_SQ!R41,"kein Vergleichswert")</f>
        <v>0</v>
      </c>
      <c r="AQ41" s="197">
        <f>IFERROR(S41-Parameter_2016_SQ!S41,"kein Vergleichswert")</f>
        <v>0</v>
      </c>
      <c r="AR41" s="197">
        <f>IFERROR(T41-Parameter_2016_SQ!T41,"kein Vergleichswert")</f>
        <v>0</v>
      </c>
      <c r="AS41" s="197">
        <f>IFERROR(U41-Parameter_2016_SQ!U41,"kein Vergleichswert")</f>
        <v>0</v>
      </c>
      <c r="AT41" s="197">
        <f>IFERROR(V41-Parameter_2016_SQ!V41,"kein Vergleichswert")</f>
        <v>0</v>
      </c>
      <c r="AU41" s="197">
        <f>IFERROR(W41-Parameter_2016_SQ!W41,"kein Vergleichswert")</f>
        <v>0</v>
      </c>
      <c r="AV41" s="197">
        <f>IFERROR(X41-Parameter_2016_SQ!X41,"kein Vergleichswert")</f>
        <v>0</v>
      </c>
      <c r="AW41" s="197">
        <f>IFERROR(Z41-Parameter_2016_SQ!Z41,"kein Vergleichswert")</f>
        <v>0</v>
      </c>
      <c r="AX41" s="197">
        <f>IFERROR(AA41-Parameter_2016_SQ!AA41,"kein Vergleichswert")</f>
        <v>0</v>
      </c>
      <c r="AY41" s="197">
        <f>IFERROR(AB41-Parameter_2016_SQ!AB41,"kein Vergleichswert")</f>
        <v>0</v>
      </c>
    </row>
    <row r="42" spans="1:51" ht="18.75">
      <c r="A42" s="108"/>
      <c r="B42" s="185" t="s">
        <v>51</v>
      </c>
      <c r="C42" s="186" t="str">
        <f t="shared" si="10"/>
        <v xml:space="preserve">EEG-Umlage </v>
      </c>
      <c r="D42" s="186"/>
      <c r="E42" s="186" t="s">
        <v>19</v>
      </c>
      <c r="F42" s="111">
        <v>0</v>
      </c>
      <c r="G42" s="111">
        <v>0</v>
      </c>
      <c r="H42" s="111">
        <v>0</v>
      </c>
      <c r="I42" s="111">
        <v>0</v>
      </c>
      <c r="J42" s="110"/>
      <c r="K42" s="111"/>
      <c r="L42" s="112"/>
      <c r="M42" s="110"/>
      <c r="N42" s="111"/>
      <c r="O42" s="112"/>
      <c r="P42" s="111"/>
      <c r="Q42" s="111"/>
      <c r="R42" s="110"/>
      <c r="S42" s="111"/>
      <c r="T42" s="111"/>
      <c r="U42" s="112"/>
      <c r="V42" s="110"/>
      <c r="W42" s="111"/>
      <c r="X42" s="112"/>
      <c r="Y42" s="112"/>
      <c r="Z42" s="125"/>
      <c r="AA42" s="125"/>
      <c r="AB42" s="125"/>
      <c r="AE42" s="197">
        <f>IFERROR(F42-Parameter_2016_SQ!F42,"kein Vergleichswert")</f>
        <v>-63.5</v>
      </c>
      <c r="AF42" s="197">
        <f>IFERROR(G42-Parameter_2016_SQ!G42,"kein Vergleichswert")</f>
        <v>-63.5</v>
      </c>
      <c r="AG42" s="197">
        <f>IFERROR(H42-Parameter_2016_SQ!H42,"kein Vergleichswert")</f>
        <v>-63.5</v>
      </c>
      <c r="AH42" s="197">
        <f>IFERROR(I42-Parameter_2016_SQ!I42,"kein Vergleichswert")</f>
        <v>-63.5</v>
      </c>
      <c r="AI42" s="197">
        <f>IFERROR(J42-Parameter_2016_SQ!J42,"kein Vergleichswert")</f>
        <v>0</v>
      </c>
      <c r="AJ42" s="197">
        <f>IFERROR(K42-Parameter_2016_SQ!K42,"kein Vergleichswert")</f>
        <v>0</v>
      </c>
      <c r="AK42" s="197">
        <f>IFERROR(L42-Parameter_2016_SQ!L42,"kein Vergleichswert")</f>
        <v>0</v>
      </c>
      <c r="AL42" s="197">
        <f>IFERROR(M42-Parameter_2016_SQ!M42,"kein Vergleichswert")</f>
        <v>0</v>
      </c>
      <c r="AM42" s="197">
        <f>IFERROR(N42-Parameter_2016_SQ!N42,"kein Vergleichswert")</f>
        <v>0</v>
      </c>
      <c r="AN42" s="197">
        <f>IFERROR(O42-Parameter_2016_SQ!O42,"kein Vergleichswert")</f>
        <v>0</v>
      </c>
      <c r="AO42" s="197">
        <f>IFERROR(Q42-Parameter_2016_SQ!Q42,"kein Vergleichswert")</f>
        <v>0</v>
      </c>
      <c r="AP42" s="197">
        <f>IFERROR(R42-Parameter_2016_SQ!R42,"kein Vergleichswert")</f>
        <v>0</v>
      </c>
      <c r="AQ42" s="197">
        <f>IFERROR(S42-Parameter_2016_SQ!S42,"kein Vergleichswert")</f>
        <v>0</v>
      </c>
      <c r="AR42" s="197">
        <f>IFERROR(T42-Parameter_2016_SQ!T42,"kein Vergleichswert")</f>
        <v>0</v>
      </c>
      <c r="AS42" s="197">
        <f>IFERROR(U42-Parameter_2016_SQ!U42,"kein Vergleichswert")</f>
        <v>0</v>
      </c>
      <c r="AT42" s="197">
        <f>IFERROR(V42-Parameter_2016_SQ!V42,"kein Vergleichswert")</f>
        <v>0</v>
      </c>
      <c r="AU42" s="197">
        <f>IFERROR(W42-Parameter_2016_SQ!W42,"kein Vergleichswert")</f>
        <v>0</v>
      </c>
      <c r="AV42" s="197">
        <f>IFERROR(X42-Parameter_2016_SQ!X42,"kein Vergleichswert")</f>
        <v>0</v>
      </c>
      <c r="AW42" s="197">
        <f>IFERROR(Z42-Parameter_2016_SQ!Z42,"kein Vergleichswert")</f>
        <v>0</v>
      </c>
      <c r="AX42" s="197">
        <f>IFERROR(AA42-Parameter_2016_SQ!AA42,"kein Vergleichswert")</f>
        <v>0</v>
      </c>
      <c r="AY42" s="197">
        <f>IFERROR(AB42-Parameter_2016_SQ!AB42,"kein Vergleichswert")</f>
        <v>0</v>
      </c>
    </row>
    <row r="43" spans="1:51" ht="18.75">
      <c r="A43" s="108"/>
      <c r="B43" s="185" t="s">
        <v>42</v>
      </c>
      <c r="C43" s="186" t="str">
        <f t="shared" si="10"/>
        <v>Konzessionsabgaben</v>
      </c>
      <c r="D43" s="186"/>
      <c r="E43" s="186" t="s">
        <v>19</v>
      </c>
      <c r="F43" s="111">
        <v>13.2</v>
      </c>
      <c r="G43" s="111">
        <v>13.2</v>
      </c>
      <c r="H43" s="111">
        <v>13.2</v>
      </c>
      <c r="I43" s="111">
        <v>13.2</v>
      </c>
      <c r="J43" s="110"/>
      <c r="K43" s="111"/>
      <c r="L43" s="112"/>
      <c r="M43" s="110"/>
      <c r="N43" s="111"/>
      <c r="O43" s="112"/>
      <c r="P43" s="111"/>
      <c r="Q43" s="111"/>
      <c r="R43" s="110"/>
      <c r="S43" s="111"/>
      <c r="T43" s="111"/>
      <c r="U43" s="112"/>
      <c r="V43" s="110"/>
      <c r="W43" s="111"/>
      <c r="X43" s="112"/>
      <c r="Y43" s="112"/>
      <c r="Z43" s="125"/>
      <c r="AA43" s="125"/>
      <c r="AB43" s="125"/>
      <c r="AE43" s="197">
        <f>IFERROR(F43-Parameter_2016_SQ!F43,"kein Vergleichswert")</f>
        <v>0</v>
      </c>
      <c r="AF43" s="197">
        <f>IFERROR(G43-Parameter_2016_SQ!G43,"kein Vergleichswert")</f>
        <v>0</v>
      </c>
      <c r="AG43" s="197">
        <f>IFERROR(H43-Parameter_2016_SQ!H43,"kein Vergleichswert")</f>
        <v>0</v>
      </c>
      <c r="AH43" s="197">
        <f>IFERROR(I43-Parameter_2016_SQ!I43,"kein Vergleichswert")</f>
        <v>0</v>
      </c>
      <c r="AI43" s="197">
        <f>IFERROR(J43-Parameter_2016_SQ!J43,"kein Vergleichswert")</f>
        <v>0</v>
      </c>
      <c r="AJ43" s="197">
        <f>IFERROR(K43-Parameter_2016_SQ!K43,"kein Vergleichswert")</f>
        <v>0</v>
      </c>
      <c r="AK43" s="197">
        <f>IFERROR(L43-Parameter_2016_SQ!L43,"kein Vergleichswert")</f>
        <v>0</v>
      </c>
      <c r="AL43" s="197">
        <f>IFERROR(M43-Parameter_2016_SQ!M43,"kein Vergleichswert")</f>
        <v>0</v>
      </c>
      <c r="AM43" s="197">
        <f>IFERROR(N43-Parameter_2016_SQ!N43,"kein Vergleichswert")</f>
        <v>0</v>
      </c>
      <c r="AN43" s="197">
        <f>IFERROR(O43-Parameter_2016_SQ!O43,"kein Vergleichswert")</f>
        <v>0</v>
      </c>
      <c r="AO43" s="197">
        <f>IFERROR(Q43-Parameter_2016_SQ!Q43,"kein Vergleichswert")</f>
        <v>0</v>
      </c>
      <c r="AP43" s="197">
        <f>IFERROR(R43-Parameter_2016_SQ!R43,"kein Vergleichswert")</f>
        <v>0</v>
      </c>
      <c r="AQ43" s="197">
        <f>IFERROR(S43-Parameter_2016_SQ!S43,"kein Vergleichswert")</f>
        <v>0</v>
      </c>
      <c r="AR43" s="197">
        <f>IFERROR(T43-Parameter_2016_SQ!T43,"kein Vergleichswert")</f>
        <v>0</v>
      </c>
      <c r="AS43" s="197">
        <f>IFERROR(U43-Parameter_2016_SQ!U43,"kein Vergleichswert")</f>
        <v>0</v>
      </c>
      <c r="AT43" s="197">
        <f>IFERROR(V43-Parameter_2016_SQ!V43,"kein Vergleichswert")</f>
        <v>0</v>
      </c>
      <c r="AU43" s="197">
        <f>IFERROR(W43-Parameter_2016_SQ!W43,"kein Vergleichswert")</f>
        <v>0</v>
      </c>
      <c r="AV43" s="197">
        <f>IFERROR(X43-Parameter_2016_SQ!X43,"kein Vergleichswert")</f>
        <v>0</v>
      </c>
      <c r="AW43" s="197">
        <f>IFERROR(Z43-Parameter_2016_SQ!Z43,"kein Vergleichswert")</f>
        <v>0</v>
      </c>
      <c r="AX43" s="197">
        <f>IFERROR(AA43-Parameter_2016_SQ!AA43,"kein Vergleichswert")</f>
        <v>0</v>
      </c>
      <c r="AY43" s="197">
        <f>IFERROR(AB43-Parameter_2016_SQ!AB43,"kein Vergleichswert")</f>
        <v>0</v>
      </c>
    </row>
    <row r="44" spans="1:51" ht="18.75">
      <c r="A44" s="108"/>
      <c r="B44" s="185" t="s">
        <v>50</v>
      </c>
      <c r="C44" s="186" t="str">
        <f t="shared" si="10"/>
        <v xml:space="preserve">§ 19-StromNEV-Umlage </v>
      </c>
      <c r="D44" s="186"/>
      <c r="E44" s="186" t="s">
        <v>19</v>
      </c>
      <c r="F44" s="111">
        <v>0</v>
      </c>
      <c r="G44" s="111">
        <v>0</v>
      </c>
      <c r="H44" s="111">
        <v>0</v>
      </c>
      <c r="I44" s="111">
        <v>0</v>
      </c>
      <c r="J44" s="110"/>
      <c r="K44" s="111"/>
      <c r="L44" s="112"/>
      <c r="M44" s="110"/>
      <c r="N44" s="111"/>
      <c r="O44" s="112"/>
      <c r="P44" s="111"/>
      <c r="Q44" s="111"/>
      <c r="R44" s="110"/>
      <c r="S44" s="111"/>
      <c r="T44" s="111"/>
      <c r="U44" s="112"/>
      <c r="V44" s="110"/>
      <c r="W44" s="111"/>
      <c r="X44" s="112"/>
      <c r="Y44" s="112"/>
      <c r="Z44" s="125"/>
      <c r="AA44" s="125"/>
      <c r="AB44" s="125"/>
      <c r="AE44" s="197">
        <f>IFERROR(F44-Parameter_2016_SQ!F44,"kein Vergleichswert")</f>
        <v>-3.78</v>
      </c>
      <c r="AF44" s="197">
        <f>IFERROR(G44-Parameter_2016_SQ!G44,"kein Vergleichswert")</f>
        <v>-3.78</v>
      </c>
      <c r="AG44" s="197">
        <f>IFERROR(H44-Parameter_2016_SQ!H44,"kein Vergleichswert")</f>
        <v>-3.78</v>
      </c>
      <c r="AH44" s="197">
        <f>IFERROR(I44-Parameter_2016_SQ!I44,"kein Vergleichswert")</f>
        <v>-3.78</v>
      </c>
      <c r="AI44" s="197">
        <f>IFERROR(J44-Parameter_2016_SQ!J44,"kein Vergleichswert")</f>
        <v>0</v>
      </c>
      <c r="AJ44" s="197">
        <f>IFERROR(K44-Parameter_2016_SQ!K44,"kein Vergleichswert")</f>
        <v>0</v>
      </c>
      <c r="AK44" s="197">
        <f>IFERROR(L44-Parameter_2016_SQ!L44,"kein Vergleichswert")</f>
        <v>0</v>
      </c>
      <c r="AL44" s="197">
        <f>IFERROR(M44-Parameter_2016_SQ!M44,"kein Vergleichswert")</f>
        <v>0</v>
      </c>
      <c r="AM44" s="197">
        <f>IFERROR(N44-Parameter_2016_SQ!N44,"kein Vergleichswert")</f>
        <v>0</v>
      </c>
      <c r="AN44" s="197">
        <f>IFERROR(O44-Parameter_2016_SQ!O44,"kein Vergleichswert")</f>
        <v>0</v>
      </c>
      <c r="AO44" s="197">
        <f>IFERROR(Q44-Parameter_2016_SQ!Q44,"kein Vergleichswert")</f>
        <v>0</v>
      </c>
      <c r="AP44" s="197">
        <f>IFERROR(R44-Parameter_2016_SQ!R44,"kein Vergleichswert")</f>
        <v>0</v>
      </c>
      <c r="AQ44" s="197">
        <f>IFERROR(S44-Parameter_2016_SQ!S44,"kein Vergleichswert")</f>
        <v>0</v>
      </c>
      <c r="AR44" s="197">
        <f>IFERROR(T44-Parameter_2016_SQ!T44,"kein Vergleichswert")</f>
        <v>0</v>
      </c>
      <c r="AS44" s="197">
        <f>IFERROR(U44-Parameter_2016_SQ!U44,"kein Vergleichswert")</f>
        <v>0</v>
      </c>
      <c r="AT44" s="197">
        <f>IFERROR(V44-Parameter_2016_SQ!V44,"kein Vergleichswert")</f>
        <v>0</v>
      </c>
      <c r="AU44" s="197">
        <f>IFERROR(W44-Parameter_2016_SQ!W44,"kein Vergleichswert")</f>
        <v>0</v>
      </c>
      <c r="AV44" s="197">
        <f>IFERROR(X44-Parameter_2016_SQ!X44,"kein Vergleichswert")</f>
        <v>0</v>
      </c>
      <c r="AW44" s="197">
        <f>IFERROR(Z44-Parameter_2016_SQ!Z44,"kein Vergleichswert")</f>
        <v>0</v>
      </c>
      <c r="AX44" s="197">
        <f>IFERROR(AA44-Parameter_2016_SQ!AA44,"kein Vergleichswert")</f>
        <v>0</v>
      </c>
      <c r="AY44" s="197">
        <f>IFERROR(AB44-Parameter_2016_SQ!AB44,"kein Vergleichswert")</f>
        <v>0</v>
      </c>
    </row>
    <row r="45" spans="1:51" ht="18.75">
      <c r="A45" s="108"/>
      <c r="B45" s="185" t="s">
        <v>49</v>
      </c>
      <c r="C45" s="186" t="str">
        <f t="shared" si="10"/>
        <v xml:space="preserve">Stromsteuer </v>
      </c>
      <c r="D45" s="186"/>
      <c r="E45" s="186" t="s">
        <v>19</v>
      </c>
      <c r="F45" s="111">
        <v>0</v>
      </c>
      <c r="G45" s="111">
        <v>0</v>
      </c>
      <c r="H45" s="111">
        <v>0</v>
      </c>
      <c r="I45" s="111">
        <v>0</v>
      </c>
      <c r="J45" s="110"/>
      <c r="K45" s="111"/>
      <c r="L45" s="112"/>
      <c r="M45" s="110"/>
      <c r="N45" s="111"/>
      <c r="O45" s="112"/>
      <c r="P45" s="111"/>
      <c r="Q45" s="111"/>
      <c r="R45" s="110"/>
      <c r="S45" s="111"/>
      <c r="T45" s="111"/>
      <c r="U45" s="112"/>
      <c r="V45" s="110"/>
      <c r="W45" s="111"/>
      <c r="X45" s="112"/>
      <c r="Y45" s="112"/>
      <c r="Z45" s="125"/>
      <c r="AA45" s="125"/>
      <c r="AB45" s="125"/>
      <c r="AE45" s="197">
        <f>IFERROR(F45-Parameter_2016_SQ!F45,"kein Vergleichswert")</f>
        <v>-20.499999999999996</v>
      </c>
      <c r="AF45" s="197">
        <f>IFERROR(G45-Parameter_2016_SQ!G45,"kein Vergleichswert")</f>
        <v>-20.499999999999996</v>
      </c>
      <c r="AG45" s="197">
        <f>IFERROR(H45-Parameter_2016_SQ!H45,"kein Vergleichswert")</f>
        <v>-20.499999999999996</v>
      </c>
      <c r="AH45" s="197">
        <f>IFERROR(I45-Parameter_2016_SQ!I45,"kein Vergleichswert")</f>
        <v>-20.499999999999996</v>
      </c>
      <c r="AI45" s="197">
        <f>IFERROR(J45-Parameter_2016_SQ!J45,"kein Vergleichswert")</f>
        <v>0</v>
      </c>
      <c r="AJ45" s="197">
        <f>IFERROR(K45-Parameter_2016_SQ!K45,"kein Vergleichswert")</f>
        <v>0</v>
      </c>
      <c r="AK45" s="197">
        <f>IFERROR(L45-Parameter_2016_SQ!L45,"kein Vergleichswert")</f>
        <v>0</v>
      </c>
      <c r="AL45" s="197">
        <f>IFERROR(M45-Parameter_2016_SQ!M45,"kein Vergleichswert")</f>
        <v>0</v>
      </c>
      <c r="AM45" s="197">
        <f>IFERROR(N45-Parameter_2016_SQ!N45,"kein Vergleichswert")</f>
        <v>0</v>
      </c>
      <c r="AN45" s="197">
        <f>IFERROR(O45-Parameter_2016_SQ!O45,"kein Vergleichswert")</f>
        <v>0</v>
      </c>
      <c r="AO45" s="197">
        <f>IFERROR(Q45-Parameter_2016_SQ!Q45,"kein Vergleichswert")</f>
        <v>0</v>
      </c>
      <c r="AP45" s="197">
        <f>IFERROR(R45-Parameter_2016_SQ!R45,"kein Vergleichswert")</f>
        <v>0</v>
      </c>
      <c r="AQ45" s="197">
        <f>IFERROR(S45-Parameter_2016_SQ!S45,"kein Vergleichswert")</f>
        <v>0</v>
      </c>
      <c r="AR45" s="197">
        <f>IFERROR(T45-Parameter_2016_SQ!T45,"kein Vergleichswert")</f>
        <v>0</v>
      </c>
      <c r="AS45" s="197">
        <f>IFERROR(U45-Parameter_2016_SQ!U45,"kein Vergleichswert")</f>
        <v>0</v>
      </c>
      <c r="AT45" s="197">
        <f>IFERROR(V45-Parameter_2016_SQ!V45,"kein Vergleichswert")</f>
        <v>0</v>
      </c>
      <c r="AU45" s="197">
        <f>IFERROR(W45-Parameter_2016_SQ!W45,"kein Vergleichswert")</f>
        <v>0</v>
      </c>
      <c r="AV45" s="197">
        <f>IFERROR(X45-Parameter_2016_SQ!X45,"kein Vergleichswert")</f>
        <v>0</v>
      </c>
      <c r="AW45" s="197">
        <f>IFERROR(Z45-Parameter_2016_SQ!Z45,"kein Vergleichswert")</f>
        <v>0</v>
      </c>
      <c r="AX45" s="197">
        <f>IFERROR(AA45-Parameter_2016_SQ!AA45,"kein Vergleichswert")</f>
        <v>0</v>
      </c>
      <c r="AY45" s="197">
        <f>IFERROR(AB45-Parameter_2016_SQ!AB45,"kein Vergleichswert")</f>
        <v>0</v>
      </c>
    </row>
    <row r="46" spans="1:51" ht="18.75">
      <c r="A46" s="108"/>
      <c r="B46" s="185" t="s">
        <v>192</v>
      </c>
      <c r="C46" s="186" t="str">
        <f t="shared" si="10"/>
        <v>CO2-Handel</v>
      </c>
      <c r="D46" s="186"/>
      <c r="E46" s="186" t="s">
        <v>19</v>
      </c>
      <c r="F46" s="111">
        <v>0</v>
      </c>
      <c r="G46" s="111">
        <v>0</v>
      </c>
      <c r="H46" s="111">
        <v>0</v>
      </c>
      <c r="I46" s="111">
        <v>0</v>
      </c>
      <c r="J46" s="110"/>
      <c r="K46" s="111"/>
      <c r="L46" s="112"/>
      <c r="M46" s="110"/>
      <c r="N46" s="111"/>
      <c r="O46" s="112"/>
      <c r="P46" s="111"/>
      <c r="Q46" s="111"/>
      <c r="R46" s="110"/>
      <c r="S46" s="111"/>
      <c r="T46" s="111"/>
      <c r="U46" s="112"/>
      <c r="V46" s="110"/>
      <c r="W46" s="111"/>
      <c r="X46" s="112"/>
      <c r="Y46" s="112"/>
      <c r="Z46" s="125"/>
      <c r="AA46" s="125"/>
      <c r="AB46" s="125"/>
      <c r="AE46" s="197">
        <f>IFERROR(F46-Parameter_2016_SQ!F46,"kein Vergleichswert")</f>
        <v>0</v>
      </c>
      <c r="AF46" s="197">
        <f>IFERROR(G46-Parameter_2016_SQ!G46,"kein Vergleichswert")</f>
        <v>0</v>
      </c>
      <c r="AG46" s="197">
        <f>IFERROR(H46-Parameter_2016_SQ!H46,"kein Vergleichswert")</f>
        <v>0</v>
      </c>
      <c r="AH46" s="197">
        <f>IFERROR(I46-Parameter_2016_SQ!I46,"kein Vergleichswert")</f>
        <v>0</v>
      </c>
      <c r="AI46" s="197">
        <f>IFERROR(J46-Parameter_2016_SQ!J46,"kein Vergleichswert")</f>
        <v>0</v>
      </c>
      <c r="AJ46" s="197">
        <f>IFERROR(K46-Parameter_2016_SQ!K46,"kein Vergleichswert")</f>
        <v>0</v>
      </c>
      <c r="AK46" s="197">
        <f>IFERROR(L46-Parameter_2016_SQ!L46,"kein Vergleichswert")</f>
        <v>0</v>
      </c>
      <c r="AL46" s="197">
        <f>IFERROR(M46-Parameter_2016_SQ!M46,"kein Vergleichswert")</f>
        <v>0</v>
      </c>
      <c r="AM46" s="197">
        <f>IFERROR(N46-Parameter_2016_SQ!N46,"kein Vergleichswert")</f>
        <v>0</v>
      </c>
      <c r="AN46" s="197">
        <f>IFERROR(O46-Parameter_2016_SQ!O46,"kein Vergleichswert")</f>
        <v>0</v>
      </c>
      <c r="AO46" s="197">
        <f>IFERROR(Q46-Parameter_2016_SQ!Q46,"kein Vergleichswert")</f>
        <v>0</v>
      </c>
      <c r="AP46" s="197">
        <f>IFERROR(R46-Parameter_2016_SQ!R46,"kein Vergleichswert")</f>
        <v>0</v>
      </c>
      <c r="AQ46" s="197">
        <f>IFERROR(S46-Parameter_2016_SQ!S46,"kein Vergleichswert")</f>
        <v>0</v>
      </c>
      <c r="AR46" s="197">
        <f>IFERROR(T46-Parameter_2016_SQ!T46,"kein Vergleichswert")</f>
        <v>0</v>
      </c>
      <c r="AS46" s="197">
        <f>IFERROR(U46-Parameter_2016_SQ!U46,"kein Vergleichswert")</f>
        <v>0</v>
      </c>
      <c r="AT46" s="197">
        <f>IFERROR(V46-Parameter_2016_SQ!V46,"kein Vergleichswert")</f>
        <v>0</v>
      </c>
      <c r="AU46" s="197">
        <f>IFERROR(W46-Parameter_2016_SQ!W46,"kein Vergleichswert")</f>
        <v>0</v>
      </c>
      <c r="AV46" s="197">
        <f>IFERROR(X46-Parameter_2016_SQ!X46,"kein Vergleichswert")</f>
        <v>0</v>
      </c>
      <c r="AW46" s="197">
        <f>IFERROR(Z46-Parameter_2016_SQ!Z46,"kein Vergleichswert")</f>
        <v>0</v>
      </c>
      <c r="AX46" s="197">
        <f>IFERROR(AA46-Parameter_2016_SQ!AA46,"kein Vergleichswert")</f>
        <v>0</v>
      </c>
      <c r="AY46" s="197">
        <f>IFERROR(AB46-Parameter_2016_SQ!AB46,"kein Vergleichswert")</f>
        <v>0</v>
      </c>
    </row>
    <row r="47" spans="1:51" ht="18.75">
      <c r="A47" s="108"/>
      <c r="B47" s="185" t="s">
        <v>24</v>
      </c>
      <c r="C47" s="186" t="str">
        <f t="shared" si="10"/>
        <v>CO2-Steuer</v>
      </c>
      <c r="D47" s="186"/>
      <c r="E47" s="186" t="s">
        <v>19</v>
      </c>
      <c r="F47" s="111">
        <v>0</v>
      </c>
      <c r="G47" s="111">
        <v>0</v>
      </c>
      <c r="H47" s="111">
        <v>0</v>
      </c>
      <c r="I47" s="111">
        <v>0</v>
      </c>
      <c r="J47" s="110"/>
      <c r="K47" s="111"/>
      <c r="L47" s="112"/>
      <c r="M47" s="110"/>
      <c r="N47" s="111"/>
      <c r="O47" s="112"/>
      <c r="P47" s="111"/>
      <c r="Q47" s="111"/>
      <c r="R47" s="110"/>
      <c r="S47" s="111"/>
      <c r="T47" s="111"/>
      <c r="U47" s="112"/>
      <c r="V47" s="110"/>
      <c r="W47" s="111"/>
      <c r="X47" s="112"/>
      <c r="Y47" s="112"/>
      <c r="Z47" s="125"/>
      <c r="AA47" s="125"/>
      <c r="AB47" s="125"/>
      <c r="AE47" s="197">
        <f>IFERROR(F47-Parameter_2016_SQ!F47,"kein Vergleichswert")</f>
        <v>0</v>
      </c>
      <c r="AF47" s="197">
        <f>IFERROR(G47-Parameter_2016_SQ!G47,"kein Vergleichswert")</f>
        <v>0</v>
      </c>
      <c r="AG47" s="197">
        <f>IFERROR(H47-Parameter_2016_SQ!H47,"kein Vergleichswert")</f>
        <v>0</v>
      </c>
      <c r="AH47" s="197">
        <f>IFERROR(I47-Parameter_2016_SQ!I47,"kein Vergleichswert")</f>
        <v>0</v>
      </c>
      <c r="AI47" s="197">
        <f>IFERROR(J47-Parameter_2016_SQ!J47,"kein Vergleichswert")</f>
        <v>0</v>
      </c>
      <c r="AJ47" s="197">
        <f>IFERROR(K47-Parameter_2016_SQ!K47,"kein Vergleichswert")</f>
        <v>0</v>
      </c>
      <c r="AK47" s="197">
        <f>IFERROR(L47-Parameter_2016_SQ!L47,"kein Vergleichswert")</f>
        <v>0</v>
      </c>
      <c r="AL47" s="197">
        <f>IFERROR(M47-Parameter_2016_SQ!M47,"kein Vergleichswert")</f>
        <v>0</v>
      </c>
      <c r="AM47" s="197">
        <f>IFERROR(N47-Parameter_2016_SQ!N47,"kein Vergleichswert")</f>
        <v>0</v>
      </c>
      <c r="AN47" s="197">
        <f>IFERROR(O47-Parameter_2016_SQ!O47,"kein Vergleichswert")</f>
        <v>0</v>
      </c>
      <c r="AO47" s="197">
        <f>IFERROR(Q47-Parameter_2016_SQ!Q47,"kein Vergleichswert")</f>
        <v>0</v>
      </c>
      <c r="AP47" s="197">
        <f>IFERROR(R47-Parameter_2016_SQ!R47,"kein Vergleichswert")</f>
        <v>0</v>
      </c>
      <c r="AQ47" s="197">
        <f>IFERROR(S47-Parameter_2016_SQ!S47,"kein Vergleichswert")</f>
        <v>0</v>
      </c>
      <c r="AR47" s="197">
        <f>IFERROR(T47-Parameter_2016_SQ!T47,"kein Vergleichswert")</f>
        <v>0</v>
      </c>
      <c r="AS47" s="197">
        <f>IFERROR(U47-Parameter_2016_SQ!U47,"kein Vergleichswert")</f>
        <v>0</v>
      </c>
      <c r="AT47" s="197">
        <f>IFERROR(V47-Parameter_2016_SQ!V47,"kein Vergleichswert")</f>
        <v>0</v>
      </c>
      <c r="AU47" s="197">
        <f>IFERROR(W47-Parameter_2016_SQ!W47,"kein Vergleichswert")</f>
        <v>0</v>
      </c>
      <c r="AV47" s="197">
        <f>IFERROR(X47-Parameter_2016_SQ!X47,"kein Vergleichswert")</f>
        <v>0</v>
      </c>
      <c r="AW47" s="197">
        <f>IFERROR(Z47-Parameter_2016_SQ!Z47,"kein Vergleichswert")</f>
        <v>0</v>
      </c>
      <c r="AX47" s="197">
        <f>IFERROR(AA47-Parameter_2016_SQ!AA47,"kein Vergleichswert")</f>
        <v>0</v>
      </c>
      <c r="AY47" s="197">
        <f>IFERROR(AB47-Parameter_2016_SQ!AB47,"kein Vergleichswert")</f>
        <v>0</v>
      </c>
    </row>
    <row r="48" spans="1:51" ht="18.75">
      <c r="A48" s="108"/>
      <c r="B48" s="185" t="s">
        <v>47</v>
      </c>
      <c r="C48" s="186" t="str">
        <f t="shared" si="10"/>
        <v xml:space="preserve">KWK Umlage </v>
      </c>
      <c r="D48" s="186"/>
      <c r="E48" s="186" t="s">
        <v>19</v>
      </c>
      <c r="F48" s="111">
        <v>0</v>
      </c>
      <c r="G48" s="111">
        <v>0</v>
      </c>
      <c r="H48" s="111">
        <v>0</v>
      </c>
      <c r="I48" s="111">
        <v>0</v>
      </c>
      <c r="J48" s="110"/>
      <c r="K48" s="111"/>
      <c r="L48" s="112"/>
      <c r="M48" s="110"/>
      <c r="N48" s="111"/>
      <c r="O48" s="112"/>
      <c r="P48" s="111"/>
      <c r="Q48" s="111"/>
      <c r="R48" s="110"/>
      <c r="S48" s="111"/>
      <c r="T48" s="111"/>
      <c r="U48" s="112"/>
      <c r="V48" s="110"/>
      <c r="W48" s="111"/>
      <c r="X48" s="112"/>
      <c r="Y48" s="112"/>
      <c r="Z48" s="125"/>
      <c r="AA48" s="125"/>
      <c r="AB48" s="125"/>
      <c r="AE48" s="197">
        <f>IFERROR(F48-Parameter_2016_SQ!F48,"kein Vergleichswert")</f>
        <v>-4.45</v>
      </c>
      <c r="AF48" s="197">
        <f>IFERROR(G48-Parameter_2016_SQ!G48,"kein Vergleichswert")</f>
        <v>-4.45</v>
      </c>
      <c r="AG48" s="197">
        <f>IFERROR(H48-Parameter_2016_SQ!H48,"kein Vergleichswert")</f>
        <v>-4.45</v>
      </c>
      <c r="AH48" s="197">
        <f>IFERROR(I48-Parameter_2016_SQ!I48,"kein Vergleichswert")</f>
        <v>-4.45</v>
      </c>
      <c r="AI48" s="197">
        <f>IFERROR(J48-Parameter_2016_SQ!J48,"kein Vergleichswert")</f>
        <v>0</v>
      </c>
      <c r="AJ48" s="197">
        <f>IFERROR(K48-Parameter_2016_SQ!K48,"kein Vergleichswert")</f>
        <v>0</v>
      </c>
      <c r="AK48" s="197">
        <f>IFERROR(L48-Parameter_2016_SQ!L48,"kein Vergleichswert")</f>
        <v>0</v>
      </c>
      <c r="AL48" s="197">
        <f>IFERROR(M48-Parameter_2016_SQ!M48,"kein Vergleichswert")</f>
        <v>0</v>
      </c>
      <c r="AM48" s="197">
        <f>IFERROR(N48-Parameter_2016_SQ!N48,"kein Vergleichswert")</f>
        <v>0</v>
      </c>
      <c r="AN48" s="197">
        <f>IFERROR(O48-Parameter_2016_SQ!O48,"kein Vergleichswert")</f>
        <v>0</v>
      </c>
      <c r="AO48" s="197">
        <f>IFERROR(Q48-Parameter_2016_SQ!Q48,"kein Vergleichswert")</f>
        <v>0</v>
      </c>
      <c r="AP48" s="197">
        <f>IFERROR(R48-Parameter_2016_SQ!R48,"kein Vergleichswert")</f>
        <v>0</v>
      </c>
      <c r="AQ48" s="197">
        <f>IFERROR(S48-Parameter_2016_SQ!S48,"kein Vergleichswert")</f>
        <v>0</v>
      </c>
      <c r="AR48" s="197">
        <f>IFERROR(T48-Parameter_2016_SQ!T48,"kein Vergleichswert")</f>
        <v>0</v>
      </c>
      <c r="AS48" s="197">
        <f>IFERROR(U48-Parameter_2016_SQ!U48,"kein Vergleichswert")</f>
        <v>0</v>
      </c>
      <c r="AT48" s="197">
        <f>IFERROR(V48-Parameter_2016_SQ!V48,"kein Vergleichswert")</f>
        <v>0</v>
      </c>
      <c r="AU48" s="197">
        <f>IFERROR(W48-Parameter_2016_SQ!W48,"kein Vergleichswert")</f>
        <v>0</v>
      </c>
      <c r="AV48" s="197">
        <f>IFERROR(X48-Parameter_2016_SQ!X48,"kein Vergleichswert")</f>
        <v>0</v>
      </c>
      <c r="AW48" s="197">
        <f>IFERROR(Z48-Parameter_2016_SQ!Z48,"kein Vergleichswert")</f>
        <v>0</v>
      </c>
      <c r="AX48" s="197">
        <f>IFERROR(AA48-Parameter_2016_SQ!AA48,"kein Vergleichswert")</f>
        <v>0</v>
      </c>
      <c r="AY48" s="197">
        <f>IFERROR(AB48-Parameter_2016_SQ!AB48,"kein Vergleichswert")</f>
        <v>0</v>
      </c>
    </row>
    <row r="49" spans="1:51" ht="18.75">
      <c r="A49" s="108"/>
      <c r="B49" s="185" t="s">
        <v>46</v>
      </c>
      <c r="C49" s="186" t="str">
        <f t="shared" si="10"/>
        <v xml:space="preserve">Offshore-Haftungsumlage </v>
      </c>
      <c r="D49" s="186"/>
      <c r="E49" s="186" t="s">
        <v>19</v>
      </c>
      <c r="F49" s="111">
        <v>0</v>
      </c>
      <c r="G49" s="111">
        <v>0</v>
      </c>
      <c r="H49" s="111">
        <v>0</v>
      </c>
      <c r="I49" s="111">
        <v>0</v>
      </c>
      <c r="J49" s="110"/>
      <c r="K49" s="111"/>
      <c r="L49" s="112"/>
      <c r="M49" s="110"/>
      <c r="N49" s="111"/>
      <c r="O49" s="112"/>
      <c r="P49" s="111"/>
      <c r="Q49" s="111"/>
      <c r="R49" s="110"/>
      <c r="S49" s="111"/>
      <c r="T49" s="111"/>
      <c r="U49" s="112"/>
      <c r="V49" s="110"/>
      <c r="W49" s="111"/>
      <c r="X49" s="112"/>
      <c r="Y49" s="112"/>
      <c r="Z49" s="125"/>
      <c r="AA49" s="125"/>
      <c r="AB49" s="125"/>
      <c r="AE49" s="197">
        <f>IFERROR(F49-Parameter_2016_SQ!F49,"kein Vergleichswert")</f>
        <v>-0.4</v>
      </c>
      <c r="AF49" s="197">
        <f>IFERROR(G49-Parameter_2016_SQ!G49,"kein Vergleichswert")</f>
        <v>-0.4</v>
      </c>
      <c r="AG49" s="197">
        <f>IFERROR(H49-Parameter_2016_SQ!H49,"kein Vergleichswert")</f>
        <v>-0.4</v>
      </c>
      <c r="AH49" s="197">
        <f>IFERROR(I49-Parameter_2016_SQ!I49,"kein Vergleichswert")</f>
        <v>-0.4</v>
      </c>
      <c r="AI49" s="197">
        <f>IFERROR(J49-Parameter_2016_SQ!J49,"kein Vergleichswert")</f>
        <v>0</v>
      </c>
      <c r="AJ49" s="197">
        <f>IFERROR(K49-Parameter_2016_SQ!K49,"kein Vergleichswert")</f>
        <v>0</v>
      </c>
      <c r="AK49" s="197">
        <f>IFERROR(L49-Parameter_2016_SQ!L49,"kein Vergleichswert")</f>
        <v>0</v>
      </c>
      <c r="AL49" s="197">
        <f>IFERROR(M49-Parameter_2016_SQ!M49,"kein Vergleichswert")</f>
        <v>0</v>
      </c>
      <c r="AM49" s="197">
        <f>IFERROR(N49-Parameter_2016_SQ!N49,"kein Vergleichswert")</f>
        <v>0</v>
      </c>
      <c r="AN49" s="197">
        <f>IFERROR(O49-Parameter_2016_SQ!O49,"kein Vergleichswert")</f>
        <v>0</v>
      </c>
      <c r="AO49" s="197">
        <f>IFERROR(Q49-Parameter_2016_SQ!Q49,"kein Vergleichswert")</f>
        <v>0</v>
      </c>
      <c r="AP49" s="197">
        <f>IFERROR(R49-Parameter_2016_SQ!R49,"kein Vergleichswert")</f>
        <v>0</v>
      </c>
      <c r="AQ49" s="197">
        <f>IFERROR(S49-Parameter_2016_SQ!S49,"kein Vergleichswert")</f>
        <v>0</v>
      </c>
      <c r="AR49" s="197">
        <f>IFERROR(T49-Parameter_2016_SQ!T49,"kein Vergleichswert")</f>
        <v>0</v>
      </c>
      <c r="AS49" s="197">
        <f>IFERROR(U49-Parameter_2016_SQ!U49,"kein Vergleichswert")</f>
        <v>0</v>
      </c>
      <c r="AT49" s="197">
        <f>IFERROR(V49-Parameter_2016_SQ!V49,"kein Vergleichswert")</f>
        <v>0</v>
      </c>
      <c r="AU49" s="197">
        <f>IFERROR(W49-Parameter_2016_SQ!W49,"kein Vergleichswert")</f>
        <v>0</v>
      </c>
      <c r="AV49" s="197">
        <f>IFERROR(X49-Parameter_2016_SQ!X49,"kein Vergleichswert")</f>
        <v>0</v>
      </c>
      <c r="AW49" s="197">
        <f>IFERROR(Z49-Parameter_2016_SQ!Z49,"kein Vergleichswert")</f>
        <v>0</v>
      </c>
      <c r="AX49" s="197">
        <f>IFERROR(AA49-Parameter_2016_SQ!AA49,"kein Vergleichswert")</f>
        <v>0</v>
      </c>
      <c r="AY49" s="197">
        <f>IFERROR(AB49-Parameter_2016_SQ!AB49,"kein Vergleichswert")</f>
        <v>0</v>
      </c>
    </row>
    <row r="50" spans="1:51" ht="18.75">
      <c r="A50" s="108"/>
      <c r="B50" s="185" t="s">
        <v>45</v>
      </c>
      <c r="C50" s="186" t="str">
        <f t="shared" si="10"/>
        <v>§ 18 Absatz 1+2 absch. L.</v>
      </c>
      <c r="D50" s="186"/>
      <c r="E50" s="186" t="s">
        <v>19</v>
      </c>
      <c r="F50" s="111">
        <v>0</v>
      </c>
      <c r="G50" s="111">
        <v>0</v>
      </c>
      <c r="H50" s="111">
        <v>0</v>
      </c>
      <c r="I50" s="111">
        <v>0</v>
      </c>
      <c r="J50" s="110"/>
      <c r="K50" s="111"/>
      <c r="L50" s="112"/>
      <c r="M50" s="110"/>
      <c r="N50" s="111"/>
      <c r="O50" s="112"/>
      <c r="P50" s="111"/>
      <c r="Q50" s="111"/>
      <c r="R50" s="110"/>
      <c r="S50" s="111"/>
      <c r="T50" s="111"/>
      <c r="U50" s="112"/>
      <c r="V50" s="110"/>
      <c r="W50" s="111"/>
      <c r="X50" s="112"/>
      <c r="Y50" s="112"/>
      <c r="Z50" s="125"/>
      <c r="AA50" s="125"/>
      <c r="AB50" s="125"/>
      <c r="AE50" s="197">
        <f>IFERROR(F50-Parameter_2016_SQ!F50,"kein Vergleichswert")</f>
        <v>0</v>
      </c>
      <c r="AF50" s="197">
        <f>IFERROR(G50-Parameter_2016_SQ!G50,"kein Vergleichswert")</f>
        <v>0</v>
      </c>
      <c r="AG50" s="197">
        <f>IFERROR(H50-Parameter_2016_SQ!H50,"kein Vergleichswert")</f>
        <v>0</v>
      </c>
      <c r="AH50" s="197">
        <f>IFERROR(I50-Parameter_2016_SQ!I50,"kein Vergleichswert")</f>
        <v>0</v>
      </c>
      <c r="AI50" s="197">
        <f>IFERROR(J50-Parameter_2016_SQ!J50,"kein Vergleichswert")</f>
        <v>0</v>
      </c>
      <c r="AJ50" s="197">
        <f>IFERROR(K50-Parameter_2016_SQ!K50,"kein Vergleichswert")</f>
        <v>0</v>
      </c>
      <c r="AK50" s="197">
        <f>IFERROR(L50-Parameter_2016_SQ!L50,"kein Vergleichswert")</f>
        <v>0</v>
      </c>
      <c r="AL50" s="197">
        <f>IFERROR(M50-Parameter_2016_SQ!M50,"kein Vergleichswert")</f>
        <v>0</v>
      </c>
      <c r="AM50" s="197">
        <f>IFERROR(N50-Parameter_2016_SQ!N50,"kein Vergleichswert")</f>
        <v>0</v>
      </c>
      <c r="AN50" s="197">
        <f>IFERROR(O50-Parameter_2016_SQ!O50,"kein Vergleichswert")</f>
        <v>0</v>
      </c>
      <c r="AO50" s="197">
        <f>IFERROR(Q50-Parameter_2016_SQ!Q50,"kein Vergleichswert")</f>
        <v>0</v>
      </c>
      <c r="AP50" s="197">
        <f>IFERROR(R50-Parameter_2016_SQ!R50,"kein Vergleichswert")</f>
        <v>0</v>
      </c>
      <c r="AQ50" s="197">
        <f>IFERROR(S50-Parameter_2016_SQ!S50,"kein Vergleichswert")</f>
        <v>0</v>
      </c>
      <c r="AR50" s="197">
        <f>IFERROR(T50-Parameter_2016_SQ!T50,"kein Vergleichswert")</f>
        <v>0</v>
      </c>
      <c r="AS50" s="197">
        <f>IFERROR(U50-Parameter_2016_SQ!U50,"kein Vergleichswert")</f>
        <v>0</v>
      </c>
      <c r="AT50" s="197">
        <f>IFERROR(V50-Parameter_2016_SQ!V50,"kein Vergleichswert")</f>
        <v>0</v>
      </c>
      <c r="AU50" s="197">
        <f>IFERROR(W50-Parameter_2016_SQ!W50,"kein Vergleichswert")</f>
        <v>0</v>
      </c>
      <c r="AV50" s="197">
        <f>IFERROR(X50-Parameter_2016_SQ!X50,"kein Vergleichswert")</f>
        <v>0</v>
      </c>
      <c r="AW50" s="197">
        <f>IFERROR(Z50-Parameter_2016_SQ!Z50,"kein Vergleichswert")</f>
        <v>0</v>
      </c>
      <c r="AX50" s="197">
        <f>IFERROR(AA50-Parameter_2016_SQ!AA50,"kein Vergleichswert")</f>
        <v>0</v>
      </c>
      <c r="AY50" s="197">
        <f>IFERROR(AB50-Parameter_2016_SQ!AB50,"kein Vergleichswert")</f>
        <v>0</v>
      </c>
    </row>
    <row r="51" spans="1:51" ht="18.75">
      <c r="A51" s="108"/>
      <c r="B51" s="116"/>
      <c r="C51" s="117"/>
      <c r="D51" s="117"/>
      <c r="E51" s="117"/>
      <c r="F51" s="131"/>
      <c r="G51" s="131"/>
      <c r="H51" s="131"/>
      <c r="I51" s="131"/>
      <c r="J51" s="127"/>
      <c r="K51" s="128"/>
      <c r="L51" s="129"/>
      <c r="M51" s="127"/>
      <c r="N51" s="128"/>
      <c r="O51" s="129"/>
      <c r="P51" s="128"/>
      <c r="Q51" s="128"/>
      <c r="R51" s="127"/>
      <c r="S51" s="128"/>
      <c r="T51" s="128"/>
      <c r="U51" s="129"/>
      <c r="V51" s="127"/>
      <c r="W51" s="128"/>
      <c r="X51" s="129"/>
      <c r="Y51" s="129"/>
      <c r="Z51" s="131"/>
      <c r="AA51" s="131"/>
      <c r="AB51" s="131"/>
      <c r="AE51" s="197">
        <f>IFERROR(F51-Parameter_2016_SQ!F51,"kein Vergleichswert")</f>
        <v>0</v>
      </c>
      <c r="AF51" s="197">
        <f>IFERROR(G51-Parameter_2016_SQ!G51,"kein Vergleichswert")</f>
        <v>0</v>
      </c>
      <c r="AG51" s="197">
        <f>IFERROR(H51-Parameter_2016_SQ!H51,"kein Vergleichswert")</f>
        <v>0</v>
      </c>
      <c r="AH51" s="197">
        <f>IFERROR(I51-Parameter_2016_SQ!I51,"kein Vergleichswert")</f>
        <v>0</v>
      </c>
      <c r="AI51" s="197">
        <f>IFERROR(J51-Parameter_2016_SQ!J51,"kein Vergleichswert")</f>
        <v>0</v>
      </c>
      <c r="AJ51" s="197">
        <f>IFERROR(K51-Parameter_2016_SQ!K51,"kein Vergleichswert")</f>
        <v>0</v>
      </c>
      <c r="AK51" s="197">
        <f>IFERROR(L51-Parameter_2016_SQ!L51,"kein Vergleichswert")</f>
        <v>0</v>
      </c>
      <c r="AL51" s="197">
        <f>IFERROR(M51-Parameter_2016_SQ!M51,"kein Vergleichswert")</f>
        <v>0</v>
      </c>
      <c r="AM51" s="197">
        <f>IFERROR(N51-Parameter_2016_SQ!N51,"kein Vergleichswert")</f>
        <v>0</v>
      </c>
      <c r="AN51" s="197">
        <f>IFERROR(O51-Parameter_2016_SQ!O51,"kein Vergleichswert")</f>
        <v>0</v>
      </c>
      <c r="AO51" s="197">
        <f>IFERROR(Q51-Parameter_2016_SQ!Q51,"kein Vergleichswert")</f>
        <v>0</v>
      </c>
      <c r="AP51" s="197">
        <f>IFERROR(R51-Parameter_2016_SQ!R51,"kein Vergleichswert")</f>
        <v>0</v>
      </c>
      <c r="AQ51" s="197">
        <f>IFERROR(S51-Parameter_2016_SQ!S51,"kein Vergleichswert")</f>
        <v>0</v>
      </c>
      <c r="AR51" s="197">
        <f>IFERROR(T51-Parameter_2016_SQ!T51,"kein Vergleichswert")</f>
        <v>0</v>
      </c>
      <c r="AS51" s="197">
        <f>IFERROR(U51-Parameter_2016_SQ!U51,"kein Vergleichswert")</f>
        <v>0</v>
      </c>
      <c r="AT51" s="197">
        <f>IFERROR(V51-Parameter_2016_SQ!V51,"kein Vergleichswert")</f>
        <v>0</v>
      </c>
      <c r="AU51" s="197">
        <f>IFERROR(W51-Parameter_2016_SQ!W51,"kein Vergleichswert")</f>
        <v>0</v>
      </c>
      <c r="AV51" s="197">
        <f>IFERROR(X51-Parameter_2016_SQ!X51,"kein Vergleichswert")</f>
        <v>0</v>
      </c>
      <c r="AW51" s="197">
        <f>IFERROR(Z51-Parameter_2016_SQ!Z51,"kein Vergleichswert")</f>
        <v>0</v>
      </c>
      <c r="AX51" s="197">
        <f>IFERROR(AA51-Parameter_2016_SQ!AA51,"kein Vergleichswert")</f>
        <v>0</v>
      </c>
      <c r="AY51" s="197">
        <f>IFERROR(AB51-Parameter_2016_SQ!AB51,"kein Vergleichswert")</f>
        <v>0</v>
      </c>
    </row>
    <row r="52" spans="1:51" ht="18.75">
      <c r="A52" s="108"/>
      <c r="B52" s="116"/>
      <c r="C52" s="117"/>
      <c r="D52" s="117"/>
      <c r="E52" s="117"/>
      <c r="F52" s="131"/>
      <c r="G52" s="131"/>
      <c r="H52" s="131"/>
      <c r="I52" s="131"/>
      <c r="J52" s="127"/>
      <c r="K52" s="128"/>
      <c r="L52" s="129"/>
      <c r="M52" s="127"/>
      <c r="N52" s="128"/>
      <c r="O52" s="129"/>
      <c r="P52" s="128"/>
      <c r="Q52" s="128"/>
      <c r="R52" s="127"/>
      <c r="S52" s="128"/>
      <c r="T52" s="128"/>
      <c r="U52" s="129"/>
      <c r="V52" s="127"/>
      <c r="W52" s="128"/>
      <c r="X52" s="129"/>
      <c r="Y52" s="129"/>
      <c r="Z52" s="131"/>
      <c r="AA52" s="131"/>
      <c r="AB52" s="131"/>
      <c r="AE52" s="197">
        <f>IFERROR(F52-Parameter_2016_SQ!F52,"kein Vergleichswert")</f>
        <v>0</v>
      </c>
      <c r="AF52" s="197">
        <f>IFERROR(G52-Parameter_2016_SQ!G52,"kein Vergleichswert")</f>
        <v>0</v>
      </c>
      <c r="AG52" s="197">
        <f>IFERROR(H52-Parameter_2016_SQ!H52,"kein Vergleichswert")</f>
        <v>0</v>
      </c>
      <c r="AH52" s="197">
        <f>IFERROR(I52-Parameter_2016_SQ!I52,"kein Vergleichswert")</f>
        <v>0</v>
      </c>
      <c r="AI52" s="197">
        <f>IFERROR(J52-Parameter_2016_SQ!J52,"kein Vergleichswert")</f>
        <v>0</v>
      </c>
      <c r="AJ52" s="197">
        <f>IFERROR(K52-Parameter_2016_SQ!K52,"kein Vergleichswert")</f>
        <v>0</v>
      </c>
      <c r="AK52" s="197">
        <f>IFERROR(L52-Parameter_2016_SQ!L52,"kein Vergleichswert")</f>
        <v>0</v>
      </c>
      <c r="AL52" s="197">
        <f>IFERROR(M52-Parameter_2016_SQ!M52,"kein Vergleichswert")</f>
        <v>0</v>
      </c>
      <c r="AM52" s="197">
        <f>IFERROR(N52-Parameter_2016_SQ!N52,"kein Vergleichswert")</f>
        <v>0</v>
      </c>
      <c r="AN52" s="197">
        <f>IFERROR(O52-Parameter_2016_SQ!O52,"kein Vergleichswert")</f>
        <v>0</v>
      </c>
      <c r="AO52" s="197">
        <f>IFERROR(Q52-Parameter_2016_SQ!Q52,"kein Vergleichswert")</f>
        <v>0</v>
      </c>
      <c r="AP52" s="197">
        <f>IFERROR(R52-Parameter_2016_SQ!R52,"kein Vergleichswert")</f>
        <v>0</v>
      </c>
      <c r="AQ52" s="197">
        <f>IFERROR(S52-Parameter_2016_SQ!S52,"kein Vergleichswert")</f>
        <v>0</v>
      </c>
      <c r="AR52" s="197">
        <f>IFERROR(T52-Parameter_2016_SQ!T52,"kein Vergleichswert")</f>
        <v>0</v>
      </c>
      <c r="AS52" s="197">
        <f>IFERROR(U52-Parameter_2016_SQ!U52,"kein Vergleichswert")</f>
        <v>0</v>
      </c>
      <c r="AT52" s="197">
        <f>IFERROR(V52-Parameter_2016_SQ!V52,"kein Vergleichswert")</f>
        <v>0</v>
      </c>
      <c r="AU52" s="197">
        <f>IFERROR(W52-Parameter_2016_SQ!W52,"kein Vergleichswert")</f>
        <v>0</v>
      </c>
      <c r="AV52" s="197">
        <f>IFERROR(X52-Parameter_2016_SQ!X52,"kein Vergleichswert")</f>
        <v>0</v>
      </c>
      <c r="AW52" s="197">
        <f>IFERROR(Z52-Parameter_2016_SQ!Z52,"kein Vergleichswert")</f>
        <v>0</v>
      </c>
      <c r="AX52" s="197">
        <f>IFERROR(AA52-Parameter_2016_SQ!AA52,"kein Vergleichswert")</f>
        <v>0</v>
      </c>
      <c r="AY52" s="197">
        <f>IFERROR(AB52-Parameter_2016_SQ!AB52,"kein Vergleichswert")</f>
        <v>0</v>
      </c>
    </row>
    <row r="53" spans="1:51" ht="18.75">
      <c r="B53" s="108" t="s">
        <v>249</v>
      </c>
      <c r="C53" s="117"/>
      <c r="D53" s="117"/>
      <c r="E53" s="117"/>
      <c r="F53" s="131"/>
      <c r="G53" s="131"/>
      <c r="H53" s="131"/>
      <c r="I53" s="131"/>
      <c r="J53" s="127"/>
      <c r="K53" s="128"/>
      <c r="L53" s="129"/>
      <c r="M53" s="127"/>
      <c r="N53" s="128"/>
      <c r="O53" s="129"/>
      <c r="P53" s="128"/>
      <c r="Q53" s="128"/>
      <c r="R53" s="127"/>
      <c r="S53" s="128"/>
      <c r="T53" s="128"/>
      <c r="U53" s="129"/>
      <c r="V53" s="127"/>
      <c r="W53" s="128"/>
      <c r="X53" s="129"/>
      <c r="Y53" s="129"/>
      <c r="Z53" s="131"/>
      <c r="AA53" s="131"/>
      <c r="AB53" s="131"/>
      <c r="AE53" s="197">
        <f>IFERROR(F53-Parameter_2016_SQ!F53,"kein Vergleichswert")</f>
        <v>0</v>
      </c>
      <c r="AF53" s="197">
        <f>IFERROR(G53-Parameter_2016_SQ!G53,"kein Vergleichswert")</f>
        <v>0</v>
      </c>
      <c r="AG53" s="197">
        <f>IFERROR(H53-Parameter_2016_SQ!H53,"kein Vergleichswert")</f>
        <v>0</v>
      </c>
      <c r="AH53" s="197">
        <f>IFERROR(I53-Parameter_2016_SQ!I53,"kein Vergleichswert")</f>
        <v>0</v>
      </c>
      <c r="AI53" s="197">
        <f>IFERROR(J53-Parameter_2016_SQ!J53,"kein Vergleichswert")</f>
        <v>0</v>
      </c>
      <c r="AJ53" s="197">
        <f>IFERROR(K53-Parameter_2016_SQ!K53,"kein Vergleichswert")</f>
        <v>0</v>
      </c>
      <c r="AK53" s="197">
        <f>IFERROR(L53-Parameter_2016_SQ!L53,"kein Vergleichswert")</f>
        <v>0</v>
      </c>
      <c r="AL53" s="197">
        <f>IFERROR(M53-Parameter_2016_SQ!M53,"kein Vergleichswert")</f>
        <v>0</v>
      </c>
      <c r="AM53" s="197">
        <f>IFERROR(N53-Parameter_2016_SQ!N53,"kein Vergleichswert")</f>
        <v>0</v>
      </c>
      <c r="AN53" s="197">
        <f>IFERROR(O53-Parameter_2016_SQ!O53,"kein Vergleichswert")</f>
        <v>0</v>
      </c>
      <c r="AO53" s="197">
        <f>IFERROR(Q53-Parameter_2016_SQ!Q53,"kein Vergleichswert")</f>
        <v>0</v>
      </c>
      <c r="AP53" s="197">
        <f>IFERROR(R53-Parameter_2016_SQ!R53,"kein Vergleichswert")</f>
        <v>0</v>
      </c>
      <c r="AQ53" s="197">
        <f>IFERROR(S53-Parameter_2016_SQ!S53,"kein Vergleichswert")</f>
        <v>0</v>
      </c>
      <c r="AR53" s="197">
        <f>IFERROR(T53-Parameter_2016_SQ!T53,"kein Vergleichswert")</f>
        <v>0</v>
      </c>
      <c r="AS53" s="197">
        <f>IFERROR(U53-Parameter_2016_SQ!U53,"kein Vergleichswert")</f>
        <v>0</v>
      </c>
      <c r="AT53" s="197">
        <f>IFERROR(V53-Parameter_2016_SQ!V53,"kein Vergleichswert")</f>
        <v>0</v>
      </c>
      <c r="AU53" s="197">
        <f>IFERROR(W53-Parameter_2016_SQ!W53,"kein Vergleichswert")</f>
        <v>0</v>
      </c>
      <c r="AV53" s="197">
        <f>IFERROR(X53-Parameter_2016_SQ!X53,"kein Vergleichswert")</f>
        <v>0</v>
      </c>
      <c r="AW53" s="197">
        <f>IFERROR(Z53-Parameter_2016_SQ!Z53,"kein Vergleichswert")</f>
        <v>0</v>
      </c>
      <c r="AX53" s="197">
        <f>IFERROR(AA53-Parameter_2016_SQ!AA53,"kein Vergleichswert")</f>
        <v>0</v>
      </c>
      <c r="AY53" s="197">
        <f>IFERROR(AB53-Parameter_2016_SQ!AB53,"kein Vergleichswert")</f>
        <v>0</v>
      </c>
    </row>
    <row r="54" spans="1:51" ht="18.75">
      <c r="A54" s="108"/>
      <c r="B54" s="168" t="s">
        <v>17</v>
      </c>
      <c r="C54" s="169" t="s">
        <v>17</v>
      </c>
      <c r="D54" s="169"/>
      <c r="E54" s="169" t="s">
        <v>19</v>
      </c>
      <c r="F54" s="173"/>
      <c r="G54" s="173"/>
      <c r="H54" s="173"/>
      <c r="I54" s="173"/>
      <c r="J54" s="170"/>
      <c r="K54" s="171">
        <v>30.763664773281782</v>
      </c>
      <c r="L54" s="172">
        <v>11.510083210272025</v>
      </c>
      <c r="M54" s="170">
        <v>0.5</v>
      </c>
      <c r="N54" s="171">
        <v>0.5</v>
      </c>
      <c r="O54" s="172">
        <v>0.5</v>
      </c>
      <c r="P54" s="171"/>
      <c r="Q54" s="171">
        <v>0.2</v>
      </c>
      <c r="R54" s="170"/>
      <c r="S54" s="171">
        <v>21.068991138637845</v>
      </c>
      <c r="T54" s="171">
        <v>21.068991138637845</v>
      </c>
      <c r="U54" s="172">
        <v>21.068991138637845</v>
      </c>
      <c r="V54" s="170">
        <v>0.5</v>
      </c>
      <c r="W54" s="171">
        <v>0.5</v>
      </c>
      <c r="X54" s="172">
        <v>0.5</v>
      </c>
      <c r="Y54" s="172"/>
      <c r="Z54" s="173">
        <v>0.2</v>
      </c>
      <c r="AA54" s="173"/>
      <c r="AB54" s="173"/>
      <c r="AE54" s="197">
        <f>IFERROR(F54-Parameter_2016_SQ!F54,"kein Vergleichswert")</f>
        <v>0</v>
      </c>
      <c r="AF54" s="197">
        <f>IFERROR(G54-Parameter_2016_SQ!G54,"kein Vergleichswert")</f>
        <v>0</v>
      </c>
      <c r="AG54" s="197">
        <f>IFERROR(H54-Parameter_2016_SQ!H54,"kein Vergleichswert")</f>
        <v>0</v>
      </c>
      <c r="AH54" s="197">
        <f>IFERROR(I54-Parameter_2016_SQ!I54,"kein Vergleichswert")</f>
        <v>0</v>
      </c>
      <c r="AI54" s="197">
        <f>IFERROR(J54-Parameter_2016_SQ!J54,"kein Vergleichswert")</f>
        <v>0</v>
      </c>
      <c r="AJ54" s="197">
        <f>IFERROR(K54-Parameter_2016_SQ!K54,"kein Vergleichswert")</f>
        <v>0</v>
      </c>
      <c r="AK54" s="197">
        <f>IFERROR(L54-Parameter_2016_SQ!L54,"kein Vergleichswert")</f>
        <v>0</v>
      </c>
      <c r="AL54" s="197">
        <f>IFERROR(M54-Parameter_2016_SQ!M54,"kein Vergleichswert")</f>
        <v>0</v>
      </c>
      <c r="AM54" s="197">
        <f>IFERROR(N54-Parameter_2016_SQ!N54,"kein Vergleichswert")</f>
        <v>0</v>
      </c>
      <c r="AN54" s="197">
        <f>IFERROR(O54-Parameter_2016_SQ!O54,"kein Vergleichswert")</f>
        <v>0</v>
      </c>
      <c r="AO54" s="197">
        <f>IFERROR(Q54-Parameter_2016_SQ!Q54,"kein Vergleichswert")</f>
        <v>0</v>
      </c>
      <c r="AP54" s="197">
        <f>IFERROR(R54-Parameter_2016_SQ!R54,"kein Vergleichswert")</f>
        <v>0</v>
      </c>
      <c r="AQ54" s="197">
        <f>IFERROR(S54-Parameter_2016_SQ!S54,"kein Vergleichswert")</f>
        <v>0</v>
      </c>
      <c r="AR54" s="197">
        <f>IFERROR(T54-Parameter_2016_SQ!T54,"kein Vergleichswert")</f>
        <v>0</v>
      </c>
      <c r="AS54" s="197">
        <f>IFERROR(U54-Parameter_2016_SQ!U54,"kein Vergleichswert")</f>
        <v>0</v>
      </c>
      <c r="AT54" s="197">
        <f>IFERROR(V54-Parameter_2016_SQ!V54,"kein Vergleichswert")</f>
        <v>0</v>
      </c>
      <c r="AU54" s="197">
        <f>IFERROR(W54-Parameter_2016_SQ!W54,"kein Vergleichswert")</f>
        <v>0</v>
      </c>
      <c r="AV54" s="197">
        <f>IFERROR(X54-Parameter_2016_SQ!X54,"kein Vergleichswert")</f>
        <v>0</v>
      </c>
      <c r="AW54" s="197">
        <f>IFERROR(Z54-Parameter_2016_SQ!Z54,"kein Vergleichswert")</f>
        <v>0</v>
      </c>
      <c r="AX54" s="197">
        <f>IFERROR(AA54-Parameter_2016_SQ!AA54,"kein Vergleichswert")</f>
        <v>0</v>
      </c>
      <c r="AY54" s="197">
        <f>IFERROR(AB54-Parameter_2016_SQ!AB54,"kein Vergleichswert")</f>
        <v>0</v>
      </c>
    </row>
    <row r="55" spans="1:51" s="119" customFormat="1">
      <c r="A55" s="118"/>
      <c r="B55" s="119" t="s">
        <v>271</v>
      </c>
      <c r="C55" s="148"/>
      <c r="D55" s="148"/>
      <c r="F55" s="153"/>
      <c r="G55" s="153"/>
      <c r="H55" s="153"/>
      <c r="I55" s="153"/>
      <c r="J55" s="132"/>
      <c r="K55" s="149" t="s">
        <v>300</v>
      </c>
      <c r="L55" s="149" t="s">
        <v>300</v>
      </c>
      <c r="M55" s="150" t="s">
        <v>270</v>
      </c>
      <c r="N55" s="151" t="s">
        <v>270</v>
      </c>
      <c r="O55" s="152" t="s">
        <v>270</v>
      </c>
      <c r="P55" s="151"/>
      <c r="Q55" s="151"/>
      <c r="R55" s="150"/>
      <c r="S55" s="149" t="s">
        <v>300</v>
      </c>
      <c r="T55" s="149" t="s">
        <v>300</v>
      </c>
      <c r="U55" s="149" t="s">
        <v>300</v>
      </c>
      <c r="V55" s="150" t="s">
        <v>270</v>
      </c>
      <c r="W55" s="151" t="s">
        <v>270</v>
      </c>
      <c r="X55" s="152" t="s">
        <v>270</v>
      </c>
      <c r="Y55" s="152"/>
      <c r="Z55" s="153"/>
      <c r="AA55" s="153"/>
      <c r="AB55" s="153"/>
      <c r="AE55" s="197">
        <f>IFERROR(F55-Parameter_2016_SQ!F55,"kein Vergleichswert")</f>
        <v>0</v>
      </c>
      <c r="AF55" s="197">
        <f>IFERROR(G55-Parameter_2016_SQ!G55,"kein Vergleichswert")</f>
        <v>0</v>
      </c>
      <c r="AG55" s="197">
        <f>IFERROR(H55-Parameter_2016_SQ!H55,"kein Vergleichswert")</f>
        <v>0</v>
      </c>
      <c r="AH55" s="197">
        <f>IFERROR(I55-Parameter_2016_SQ!I55,"kein Vergleichswert")</f>
        <v>0</v>
      </c>
      <c r="AI55" s="197">
        <f>IFERROR(J55-Parameter_2016_SQ!J55,"kein Vergleichswert")</f>
        <v>0</v>
      </c>
      <c r="AJ55" s="197" t="str">
        <f>IFERROR(K55-Parameter_2016_SQ!K55,"kein Vergleichswert")</f>
        <v>kein Vergleichswert</v>
      </c>
      <c r="AK55" s="197" t="str">
        <f>IFERROR(L55-Parameter_2016_SQ!L55,"kein Vergleichswert")</f>
        <v>kein Vergleichswert</v>
      </c>
      <c r="AL55" s="197" t="str">
        <f>IFERROR(M55-Parameter_2016_SQ!M55,"kein Vergleichswert")</f>
        <v>kein Vergleichswert</v>
      </c>
      <c r="AM55" s="197" t="str">
        <f>IFERROR(N55-Parameter_2016_SQ!N55,"kein Vergleichswert")</f>
        <v>kein Vergleichswert</v>
      </c>
      <c r="AN55" s="197" t="str">
        <f>IFERROR(O55-Parameter_2016_SQ!O55,"kein Vergleichswert")</f>
        <v>kein Vergleichswert</v>
      </c>
      <c r="AO55" s="197">
        <f>IFERROR(Q55-Parameter_2016_SQ!Q55,"kein Vergleichswert")</f>
        <v>0</v>
      </c>
      <c r="AP55" s="197">
        <f>IFERROR(R55-Parameter_2016_SQ!R55,"kein Vergleichswert")</f>
        <v>0</v>
      </c>
      <c r="AQ55" s="197" t="str">
        <f>IFERROR(S55-Parameter_2016_SQ!S55,"kein Vergleichswert")</f>
        <v>kein Vergleichswert</v>
      </c>
      <c r="AR55" s="197" t="str">
        <f>IFERROR(T55-Parameter_2016_SQ!T55,"kein Vergleichswert")</f>
        <v>kein Vergleichswert</v>
      </c>
      <c r="AS55" s="197" t="str">
        <f>IFERROR(U55-Parameter_2016_SQ!U55,"kein Vergleichswert")</f>
        <v>kein Vergleichswert</v>
      </c>
      <c r="AT55" s="197" t="str">
        <f>IFERROR(V55-Parameter_2016_SQ!V55,"kein Vergleichswert")</f>
        <v>kein Vergleichswert</v>
      </c>
      <c r="AU55" s="197" t="str">
        <f>IFERROR(W55-Parameter_2016_SQ!W55,"kein Vergleichswert")</f>
        <v>kein Vergleichswert</v>
      </c>
      <c r="AV55" s="197" t="str">
        <f>IFERROR(X55-Parameter_2016_SQ!X55,"kein Vergleichswert")</f>
        <v>kein Vergleichswert</v>
      </c>
      <c r="AW55" s="197">
        <f>IFERROR(Z55-Parameter_2016_SQ!Z55,"kein Vergleichswert")</f>
        <v>0</v>
      </c>
      <c r="AX55" s="197">
        <f>IFERROR(AA55-Parameter_2016_SQ!AA55,"kein Vergleichswert")</f>
        <v>0</v>
      </c>
      <c r="AY55" s="197">
        <f>IFERROR(AB55-Parameter_2016_SQ!AB55,"kein Vergleichswert")</f>
        <v>0</v>
      </c>
    </row>
    <row r="56" spans="1:51" s="119" customFormat="1">
      <c r="A56" s="118"/>
      <c r="C56" s="148"/>
      <c r="D56" s="148"/>
      <c r="F56" s="136"/>
      <c r="G56" s="136"/>
      <c r="H56" s="136"/>
      <c r="I56" s="136"/>
      <c r="J56" s="132"/>
      <c r="K56" s="134"/>
      <c r="L56" s="135"/>
      <c r="M56" s="133"/>
      <c r="N56" s="134"/>
      <c r="O56" s="135"/>
      <c r="P56" s="134"/>
      <c r="Q56" s="134"/>
      <c r="R56" s="133"/>
      <c r="S56" s="134"/>
      <c r="T56" s="134"/>
      <c r="U56" s="135"/>
      <c r="V56" s="133"/>
      <c r="W56" s="134"/>
      <c r="X56" s="135"/>
      <c r="Y56" s="135"/>
      <c r="Z56" s="136"/>
      <c r="AA56" s="136"/>
      <c r="AB56" s="136"/>
      <c r="AE56" s="197">
        <f>IFERROR(F56-Parameter_2016_SQ!F56,"kein Vergleichswert")</f>
        <v>0</v>
      </c>
      <c r="AF56" s="197">
        <f>IFERROR(G56-Parameter_2016_SQ!G56,"kein Vergleichswert")</f>
        <v>0</v>
      </c>
      <c r="AG56" s="197">
        <f>IFERROR(H56-Parameter_2016_SQ!H56,"kein Vergleichswert")</f>
        <v>0</v>
      </c>
      <c r="AH56" s="197">
        <f>IFERROR(I56-Parameter_2016_SQ!I56,"kein Vergleichswert")</f>
        <v>0</v>
      </c>
      <c r="AI56" s="197">
        <f>IFERROR(J56-Parameter_2016_SQ!J56,"kein Vergleichswert")</f>
        <v>0</v>
      </c>
      <c r="AJ56" s="197">
        <f>IFERROR(K56-Parameter_2016_SQ!K56,"kein Vergleichswert")</f>
        <v>0</v>
      </c>
      <c r="AK56" s="197">
        <f>IFERROR(L56-Parameter_2016_SQ!L56,"kein Vergleichswert")</f>
        <v>0</v>
      </c>
      <c r="AL56" s="197">
        <f>IFERROR(M56-Parameter_2016_SQ!M56,"kein Vergleichswert")</f>
        <v>0</v>
      </c>
      <c r="AM56" s="197">
        <f>IFERROR(N56-Parameter_2016_SQ!N56,"kein Vergleichswert")</f>
        <v>0</v>
      </c>
      <c r="AN56" s="197">
        <f>IFERROR(O56-Parameter_2016_SQ!O56,"kein Vergleichswert")</f>
        <v>0</v>
      </c>
      <c r="AO56" s="197">
        <f>IFERROR(Q56-Parameter_2016_SQ!Q56,"kein Vergleichswert")</f>
        <v>0</v>
      </c>
      <c r="AP56" s="197">
        <f>IFERROR(R56-Parameter_2016_SQ!R56,"kein Vergleichswert")</f>
        <v>0</v>
      </c>
      <c r="AQ56" s="197">
        <f>IFERROR(S56-Parameter_2016_SQ!S56,"kein Vergleichswert")</f>
        <v>0</v>
      </c>
      <c r="AR56" s="197">
        <f>IFERROR(T56-Parameter_2016_SQ!T56,"kein Vergleichswert")</f>
        <v>0</v>
      </c>
      <c r="AS56" s="197">
        <f>IFERROR(U56-Parameter_2016_SQ!U56,"kein Vergleichswert")</f>
        <v>0</v>
      </c>
      <c r="AT56" s="197">
        <f>IFERROR(V56-Parameter_2016_SQ!V56,"kein Vergleichswert")</f>
        <v>0</v>
      </c>
      <c r="AU56" s="197">
        <f>IFERROR(W56-Parameter_2016_SQ!W56,"kein Vergleichswert")</f>
        <v>0</v>
      </c>
      <c r="AV56" s="197">
        <f>IFERROR(X56-Parameter_2016_SQ!X56,"kein Vergleichswert")</f>
        <v>0</v>
      </c>
      <c r="AW56" s="197">
        <f>IFERROR(Z56-Parameter_2016_SQ!Z56,"kein Vergleichswert")</f>
        <v>0</v>
      </c>
      <c r="AX56" s="197">
        <f>IFERROR(AA56-Parameter_2016_SQ!AA56,"kein Vergleichswert")</f>
        <v>0</v>
      </c>
      <c r="AY56" s="197">
        <f>IFERROR(AB56-Parameter_2016_SQ!AB56,"kein Vergleichswert")</f>
        <v>0</v>
      </c>
    </row>
    <row r="57" spans="1:51" ht="18.75">
      <c r="B57" s="108" t="s">
        <v>250</v>
      </c>
      <c r="C57" s="117"/>
      <c r="D57" s="117"/>
      <c r="E57" s="117"/>
      <c r="F57" s="140"/>
      <c r="G57" s="140"/>
      <c r="H57" s="140"/>
      <c r="I57" s="140"/>
      <c r="J57" s="127"/>
      <c r="K57" s="137"/>
      <c r="L57" s="138"/>
      <c r="M57" s="139"/>
      <c r="N57" s="137"/>
      <c r="O57" s="138"/>
      <c r="P57" s="137"/>
      <c r="Q57" s="137"/>
      <c r="R57" s="139"/>
      <c r="S57" s="137"/>
      <c r="T57" s="137"/>
      <c r="U57" s="138"/>
      <c r="V57" s="139"/>
      <c r="W57" s="137"/>
      <c r="X57" s="138"/>
      <c r="Y57" s="138"/>
      <c r="Z57" s="140"/>
      <c r="AA57" s="140"/>
      <c r="AB57" s="140"/>
      <c r="AE57" s="197">
        <f>IFERROR(F57-Parameter_2016_SQ!F57,"kein Vergleichswert")</f>
        <v>0</v>
      </c>
      <c r="AF57" s="197">
        <f>IFERROR(G57-Parameter_2016_SQ!G57,"kein Vergleichswert")</f>
        <v>0</v>
      </c>
      <c r="AG57" s="197">
        <f>IFERROR(H57-Parameter_2016_SQ!H57,"kein Vergleichswert")</f>
        <v>0</v>
      </c>
      <c r="AH57" s="197">
        <f>IFERROR(I57-Parameter_2016_SQ!I57,"kein Vergleichswert")</f>
        <v>0</v>
      </c>
      <c r="AI57" s="197">
        <f>IFERROR(J57-Parameter_2016_SQ!J57,"kein Vergleichswert")</f>
        <v>0</v>
      </c>
      <c r="AJ57" s="197">
        <f>IFERROR(K57-Parameter_2016_SQ!K57,"kein Vergleichswert")</f>
        <v>0</v>
      </c>
      <c r="AK57" s="197">
        <f>IFERROR(L57-Parameter_2016_SQ!L57,"kein Vergleichswert")</f>
        <v>0</v>
      </c>
      <c r="AL57" s="197">
        <f>IFERROR(M57-Parameter_2016_SQ!M57,"kein Vergleichswert")</f>
        <v>0</v>
      </c>
      <c r="AM57" s="197">
        <f>IFERROR(N57-Parameter_2016_SQ!N57,"kein Vergleichswert")</f>
        <v>0</v>
      </c>
      <c r="AN57" s="197">
        <f>IFERROR(O57-Parameter_2016_SQ!O57,"kein Vergleichswert")</f>
        <v>0</v>
      </c>
      <c r="AO57" s="197">
        <f>IFERROR(Q57-Parameter_2016_SQ!Q57,"kein Vergleichswert")</f>
        <v>0</v>
      </c>
      <c r="AP57" s="197">
        <f>IFERROR(R57-Parameter_2016_SQ!R57,"kein Vergleichswert")</f>
        <v>0</v>
      </c>
      <c r="AQ57" s="197">
        <f>IFERROR(S57-Parameter_2016_SQ!S57,"kein Vergleichswert")</f>
        <v>0</v>
      </c>
      <c r="AR57" s="197">
        <f>IFERROR(T57-Parameter_2016_SQ!T57,"kein Vergleichswert")</f>
        <v>0</v>
      </c>
      <c r="AS57" s="197">
        <f>IFERROR(U57-Parameter_2016_SQ!U57,"kein Vergleichswert")</f>
        <v>0</v>
      </c>
      <c r="AT57" s="197">
        <f>IFERROR(V57-Parameter_2016_SQ!V57,"kein Vergleichswert")</f>
        <v>0</v>
      </c>
      <c r="AU57" s="197">
        <f>IFERROR(W57-Parameter_2016_SQ!W57,"kein Vergleichswert")</f>
        <v>0</v>
      </c>
      <c r="AV57" s="197">
        <f>IFERROR(X57-Parameter_2016_SQ!X57,"kein Vergleichswert")</f>
        <v>0</v>
      </c>
      <c r="AW57" s="197">
        <f>IFERROR(Z57-Parameter_2016_SQ!Z57,"kein Vergleichswert")</f>
        <v>0</v>
      </c>
      <c r="AX57" s="197">
        <f>IFERROR(AA57-Parameter_2016_SQ!AA57,"kein Vergleichswert")</f>
        <v>0</v>
      </c>
      <c r="AY57" s="197">
        <f>IFERROR(AB57-Parameter_2016_SQ!AB57,"kein Vergleichswert")</f>
        <v>0</v>
      </c>
    </row>
    <row r="58" spans="1:51" ht="18.75">
      <c r="A58" s="109"/>
      <c r="B58" s="116" t="s">
        <v>243</v>
      </c>
      <c r="C58" s="117"/>
      <c r="D58" s="117"/>
      <c r="E58" s="117" t="s">
        <v>19</v>
      </c>
      <c r="F58" s="140"/>
      <c r="G58" s="140"/>
      <c r="H58" s="140"/>
      <c r="I58" s="140"/>
      <c r="J58" s="137" t="s">
        <v>280</v>
      </c>
      <c r="K58" s="137" t="s">
        <v>280</v>
      </c>
      <c r="L58" s="137" t="s">
        <v>280</v>
      </c>
      <c r="M58" s="139"/>
      <c r="N58" s="137"/>
      <c r="O58" s="138"/>
      <c r="P58" s="137"/>
      <c r="Q58" s="137"/>
      <c r="R58" s="139" t="s">
        <v>280</v>
      </c>
      <c r="S58" s="137" t="s">
        <v>280</v>
      </c>
      <c r="T58" s="137" t="s">
        <v>280</v>
      </c>
      <c r="U58" s="137" t="s">
        <v>280</v>
      </c>
      <c r="V58" s="139"/>
      <c r="W58" s="137"/>
      <c r="X58" s="138"/>
      <c r="Y58" s="138"/>
      <c r="Z58" s="140"/>
      <c r="AA58" s="140"/>
      <c r="AB58" s="140"/>
      <c r="AE58" s="197">
        <f>IFERROR(F58-Parameter_2016_SQ!F58,"kein Vergleichswert")</f>
        <v>0</v>
      </c>
      <c r="AF58" s="197">
        <f>IFERROR(G58-Parameter_2016_SQ!G58,"kein Vergleichswert")</f>
        <v>0</v>
      </c>
      <c r="AG58" s="197">
        <f>IFERROR(H58-Parameter_2016_SQ!H58,"kein Vergleichswert")</f>
        <v>0</v>
      </c>
      <c r="AH58" s="197">
        <f>IFERROR(I58-Parameter_2016_SQ!I58,"kein Vergleichswert")</f>
        <v>0</v>
      </c>
      <c r="AI58" s="197" t="str">
        <f>IFERROR(J58-Parameter_2016_SQ!J58,"kein Vergleichswert")</f>
        <v>kein Vergleichswert</v>
      </c>
      <c r="AJ58" s="197" t="str">
        <f>IFERROR(K58-Parameter_2016_SQ!K58,"kein Vergleichswert")</f>
        <v>kein Vergleichswert</v>
      </c>
      <c r="AK58" s="197" t="str">
        <f>IFERROR(L58-Parameter_2016_SQ!L58,"kein Vergleichswert")</f>
        <v>kein Vergleichswert</v>
      </c>
      <c r="AL58" s="197">
        <f>IFERROR(M58-Parameter_2016_SQ!M58,"kein Vergleichswert")</f>
        <v>0</v>
      </c>
      <c r="AM58" s="197">
        <f>IFERROR(N58-Parameter_2016_SQ!N58,"kein Vergleichswert")</f>
        <v>0</v>
      </c>
      <c r="AN58" s="197">
        <f>IFERROR(O58-Parameter_2016_SQ!O58,"kein Vergleichswert")</f>
        <v>0</v>
      </c>
      <c r="AO58" s="197">
        <f>IFERROR(Q58-Parameter_2016_SQ!Q58,"kein Vergleichswert")</f>
        <v>0</v>
      </c>
      <c r="AP58" s="197" t="str">
        <f>IFERROR(R58-Parameter_2016_SQ!R58,"kein Vergleichswert")</f>
        <v>kein Vergleichswert</v>
      </c>
      <c r="AQ58" s="197" t="str">
        <f>IFERROR(S58-Parameter_2016_SQ!S58,"kein Vergleichswert")</f>
        <v>kein Vergleichswert</v>
      </c>
      <c r="AR58" s="197" t="str">
        <f>IFERROR(T58-Parameter_2016_SQ!T58,"kein Vergleichswert")</f>
        <v>kein Vergleichswert</v>
      </c>
      <c r="AS58" s="197" t="str">
        <f>IFERROR(U58-Parameter_2016_SQ!U58,"kein Vergleichswert")</f>
        <v>kein Vergleichswert</v>
      </c>
      <c r="AT58" s="197">
        <f>IFERROR(V58-Parameter_2016_SQ!V58,"kein Vergleichswert")</f>
        <v>0</v>
      </c>
      <c r="AU58" s="197">
        <f>IFERROR(W58-Parameter_2016_SQ!W58,"kein Vergleichswert")</f>
        <v>0</v>
      </c>
      <c r="AV58" s="197">
        <f>IFERROR(X58-Parameter_2016_SQ!X58,"kein Vergleichswert")</f>
        <v>0</v>
      </c>
      <c r="AW58" s="197">
        <f>IFERROR(Z58-Parameter_2016_SQ!Z58,"kein Vergleichswert")</f>
        <v>0</v>
      </c>
      <c r="AX58" s="197">
        <f>IFERROR(AA58-Parameter_2016_SQ!AA58,"kein Vergleichswert")</f>
        <v>0</v>
      </c>
      <c r="AY58" s="197">
        <f>IFERROR(AB58-Parameter_2016_SQ!AB58,"kein Vergleichswert")</f>
        <v>0</v>
      </c>
    </row>
    <row r="59" spans="1:51" ht="30">
      <c r="A59" s="109"/>
      <c r="B59" s="116" t="s">
        <v>269</v>
      </c>
      <c r="C59" s="117"/>
      <c r="D59" s="117"/>
      <c r="E59" s="117"/>
      <c r="F59" s="140"/>
      <c r="G59" s="140"/>
      <c r="H59" s="140"/>
      <c r="I59" s="140"/>
      <c r="J59" s="127"/>
      <c r="K59" s="137">
        <v>-80</v>
      </c>
      <c r="L59" s="138">
        <v>-44</v>
      </c>
      <c r="M59" s="139"/>
      <c r="N59" s="137"/>
      <c r="O59" s="138"/>
      <c r="P59" s="137"/>
      <c r="Q59" s="137"/>
      <c r="R59" s="139"/>
      <c r="S59" s="137">
        <v>-60</v>
      </c>
      <c r="T59" s="137">
        <v>-50</v>
      </c>
      <c r="U59" s="138">
        <v>-50</v>
      </c>
      <c r="V59" s="139"/>
      <c r="W59" s="137"/>
      <c r="X59" s="138"/>
      <c r="Y59" s="138"/>
      <c r="Z59" s="140"/>
      <c r="AA59" s="140"/>
      <c r="AB59" s="140"/>
      <c r="AE59" s="197">
        <f>IFERROR(F59-Parameter_2016_SQ!F59,"kein Vergleichswert")</f>
        <v>0</v>
      </c>
      <c r="AF59" s="197">
        <f>IFERROR(G59-Parameter_2016_SQ!G59,"kein Vergleichswert")</f>
        <v>0</v>
      </c>
      <c r="AG59" s="197">
        <f>IFERROR(H59-Parameter_2016_SQ!H59,"kein Vergleichswert")</f>
        <v>0</v>
      </c>
      <c r="AH59" s="197">
        <f>IFERROR(I59-Parameter_2016_SQ!I59,"kein Vergleichswert")</f>
        <v>0</v>
      </c>
      <c r="AI59" s="197">
        <f>IFERROR(J59-Parameter_2016_SQ!J59,"kein Vergleichswert")</f>
        <v>0</v>
      </c>
      <c r="AJ59" s="197">
        <f>IFERROR(K59-Parameter_2016_SQ!K59,"kein Vergleichswert")</f>
        <v>0</v>
      </c>
      <c r="AK59" s="197">
        <f>IFERROR(L59-Parameter_2016_SQ!L59,"kein Vergleichswert")</f>
        <v>0</v>
      </c>
      <c r="AL59" s="197">
        <f>IFERROR(M59-Parameter_2016_SQ!M59,"kein Vergleichswert")</f>
        <v>0</v>
      </c>
      <c r="AM59" s="197">
        <f>IFERROR(N59-Parameter_2016_SQ!N59,"kein Vergleichswert")</f>
        <v>0</v>
      </c>
      <c r="AN59" s="197">
        <f>IFERROR(O59-Parameter_2016_SQ!O59,"kein Vergleichswert")</f>
        <v>0</v>
      </c>
      <c r="AO59" s="197">
        <f>IFERROR(Q59-Parameter_2016_SQ!Q59,"kein Vergleichswert")</f>
        <v>0</v>
      </c>
      <c r="AP59" s="197">
        <f>IFERROR(R59-Parameter_2016_SQ!R59,"kein Vergleichswert")</f>
        <v>0</v>
      </c>
      <c r="AQ59" s="197">
        <f>IFERROR(S59-Parameter_2016_SQ!S59,"kein Vergleichswert")</f>
        <v>0</v>
      </c>
      <c r="AR59" s="197">
        <f>IFERROR(T59-Parameter_2016_SQ!T59,"kein Vergleichswert")</f>
        <v>0</v>
      </c>
      <c r="AS59" s="197">
        <f>IFERROR(U59-Parameter_2016_SQ!U59,"kein Vergleichswert")</f>
        <v>0</v>
      </c>
      <c r="AT59" s="197">
        <f>IFERROR(V59-Parameter_2016_SQ!V59,"kein Vergleichswert")</f>
        <v>0</v>
      </c>
      <c r="AU59" s="197">
        <f>IFERROR(W59-Parameter_2016_SQ!W59,"kein Vergleichswert")</f>
        <v>0</v>
      </c>
      <c r="AV59" s="197">
        <f>IFERROR(X59-Parameter_2016_SQ!X59,"kein Vergleichswert")</f>
        <v>0</v>
      </c>
      <c r="AW59" s="197">
        <f>IFERROR(Z59-Parameter_2016_SQ!Z59,"kein Vergleichswert")</f>
        <v>0</v>
      </c>
      <c r="AX59" s="197">
        <f>IFERROR(AA59-Parameter_2016_SQ!AA59,"kein Vergleichswert")</f>
        <v>0</v>
      </c>
      <c r="AY59" s="197">
        <f>IFERROR(AB59-Parameter_2016_SQ!AB59,"kein Vergleichswert")</f>
        <v>0</v>
      </c>
    </row>
    <row r="60" spans="1:51" ht="30">
      <c r="A60" s="109"/>
      <c r="B60" s="168" t="s">
        <v>301</v>
      </c>
      <c r="C60" s="169"/>
      <c r="D60" s="169"/>
      <c r="E60" s="169" t="s">
        <v>19</v>
      </c>
      <c r="F60" s="173"/>
      <c r="G60" s="173"/>
      <c r="H60" s="173"/>
      <c r="I60" s="173"/>
      <c r="J60" s="170"/>
      <c r="K60" s="171">
        <f>(K59*30000)/(K15*10)</f>
        <v>-53.333333333333336</v>
      </c>
      <c r="L60" s="171">
        <f>(L59*30000)/(L15*10)</f>
        <v>-29.333333333333332</v>
      </c>
      <c r="M60" s="170"/>
      <c r="N60" s="171"/>
      <c r="O60" s="172"/>
      <c r="P60" s="171"/>
      <c r="Q60" s="171"/>
      <c r="R60" s="170"/>
      <c r="S60" s="171">
        <f>(S59*30000)/(S15*10)</f>
        <v>-40</v>
      </c>
      <c r="T60" s="171">
        <f>(T59*30000)/(T15*10)</f>
        <v>-33.333333333333336</v>
      </c>
      <c r="U60" s="171">
        <f>(U59*30000)/(U15*10)</f>
        <v>-33.333333333333336</v>
      </c>
      <c r="V60" s="170"/>
      <c r="W60" s="171"/>
      <c r="X60" s="172"/>
      <c r="Y60" s="172"/>
      <c r="Z60" s="173"/>
      <c r="AA60" s="173"/>
      <c r="AB60" s="173"/>
      <c r="AE60" s="197">
        <f>IFERROR(F60-Parameter_2016_SQ!F60,"kein Vergleichswert")</f>
        <v>0</v>
      </c>
      <c r="AF60" s="197">
        <f>IFERROR(G60-Parameter_2016_SQ!G60,"kein Vergleichswert")</f>
        <v>0</v>
      </c>
      <c r="AG60" s="197">
        <f>IFERROR(H60-Parameter_2016_SQ!H60,"kein Vergleichswert")</f>
        <v>0</v>
      </c>
      <c r="AH60" s="197">
        <f>IFERROR(I60-Parameter_2016_SQ!I60,"kein Vergleichswert")</f>
        <v>0</v>
      </c>
      <c r="AI60" s="197">
        <f>IFERROR(J60-Parameter_2016_SQ!J60,"kein Vergleichswert")</f>
        <v>0</v>
      </c>
      <c r="AJ60" s="197">
        <f>IFERROR(K60-Parameter_2016_SQ!K60,"kein Vergleichswert")</f>
        <v>0</v>
      </c>
      <c r="AK60" s="197">
        <f>IFERROR(L60-Parameter_2016_SQ!L60,"kein Vergleichswert")</f>
        <v>0</v>
      </c>
      <c r="AL60" s="197">
        <f>IFERROR(M60-Parameter_2016_SQ!M60,"kein Vergleichswert")</f>
        <v>0</v>
      </c>
      <c r="AM60" s="197">
        <f>IFERROR(N60-Parameter_2016_SQ!N60,"kein Vergleichswert")</f>
        <v>0</v>
      </c>
      <c r="AN60" s="197">
        <f>IFERROR(O60-Parameter_2016_SQ!O60,"kein Vergleichswert")</f>
        <v>0</v>
      </c>
      <c r="AO60" s="197">
        <f>IFERROR(Q60-Parameter_2016_SQ!Q60,"kein Vergleichswert")</f>
        <v>0</v>
      </c>
      <c r="AP60" s="197">
        <f>IFERROR(R60-Parameter_2016_SQ!R60,"kein Vergleichswert")</f>
        <v>0</v>
      </c>
      <c r="AQ60" s="197">
        <f>IFERROR(S60-Parameter_2016_SQ!S60,"kein Vergleichswert")</f>
        <v>0</v>
      </c>
      <c r="AR60" s="197">
        <f>IFERROR(T60-Parameter_2016_SQ!T60,"kein Vergleichswert")</f>
        <v>0</v>
      </c>
      <c r="AS60" s="197">
        <f>IFERROR(U60-Parameter_2016_SQ!U60,"kein Vergleichswert")</f>
        <v>0</v>
      </c>
      <c r="AT60" s="197">
        <f>IFERROR(V60-Parameter_2016_SQ!V60,"kein Vergleichswert")</f>
        <v>0</v>
      </c>
      <c r="AU60" s="197">
        <f>IFERROR(W60-Parameter_2016_SQ!W60,"kein Vergleichswert")</f>
        <v>0</v>
      </c>
      <c r="AV60" s="197">
        <f>IFERROR(X60-Parameter_2016_SQ!X60,"kein Vergleichswert")</f>
        <v>0</v>
      </c>
      <c r="AW60" s="197">
        <f>IFERROR(Z60-Parameter_2016_SQ!Z60,"kein Vergleichswert")</f>
        <v>0</v>
      </c>
      <c r="AX60" s="197">
        <f>IFERROR(AA60-Parameter_2016_SQ!AA60,"kein Vergleichswert")</f>
        <v>0</v>
      </c>
      <c r="AY60" s="197">
        <f>IFERROR(AB60-Parameter_2016_SQ!AB60,"kein Vergleichswert")</f>
        <v>0</v>
      </c>
    </row>
    <row r="61" spans="1:51" ht="18.75">
      <c r="A61" s="109"/>
      <c r="B61" s="116"/>
      <c r="C61" s="117"/>
      <c r="D61" s="117"/>
      <c r="E61" s="117"/>
      <c r="F61" s="131"/>
      <c r="G61" s="131"/>
      <c r="H61" s="131"/>
      <c r="I61" s="131"/>
      <c r="J61" s="127"/>
      <c r="K61" s="128"/>
      <c r="L61" s="129"/>
      <c r="M61" s="127"/>
      <c r="N61" s="128"/>
      <c r="O61" s="129"/>
      <c r="P61" s="128"/>
      <c r="Q61" s="128"/>
      <c r="R61" s="127"/>
      <c r="S61" s="128"/>
      <c r="T61" s="128"/>
      <c r="U61" s="129"/>
      <c r="V61" s="127"/>
      <c r="W61" s="128"/>
      <c r="X61" s="129"/>
      <c r="Y61" s="129"/>
      <c r="Z61" s="131"/>
      <c r="AA61" s="131"/>
      <c r="AB61" s="131"/>
      <c r="AE61" s="197">
        <f>IFERROR(F61-Parameter_2016_SQ!F61,"kein Vergleichswert")</f>
        <v>0</v>
      </c>
      <c r="AF61" s="197">
        <f>IFERROR(G61-Parameter_2016_SQ!G61,"kein Vergleichswert")</f>
        <v>0</v>
      </c>
      <c r="AG61" s="197">
        <f>IFERROR(H61-Parameter_2016_SQ!H61,"kein Vergleichswert")</f>
        <v>0</v>
      </c>
      <c r="AH61" s="197">
        <f>IFERROR(I61-Parameter_2016_SQ!I61,"kein Vergleichswert")</f>
        <v>0</v>
      </c>
      <c r="AI61" s="197">
        <f>IFERROR(J61-Parameter_2016_SQ!J61,"kein Vergleichswert")</f>
        <v>0</v>
      </c>
      <c r="AJ61" s="197">
        <f>IFERROR(K61-Parameter_2016_SQ!K61,"kein Vergleichswert")</f>
        <v>0</v>
      </c>
      <c r="AK61" s="197">
        <f>IFERROR(L61-Parameter_2016_SQ!L61,"kein Vergleichswert")</f>
        <v>0</v>
      </c>
      <c r="AL61" s="197">
        <f>IFERROR(M61-Parameter_2016_SQ!M61,"kein Vergleichswert")</f>
        <v>0</v>
      </c>
      <c r="AM61" s="197">
        <f>IFERROR(N61-Parameter_2016_SQ!N61,"kein Vergleichswert")</f>
        <v>0</v>
      </c>
      <c r="AN61" s="197">
        <f>IFERROR(O61-Parameter_2016_SQ!O61,"kein Vergleichswert")</f>
        <v>0</v>
      </c>
      <c r="AO61" s="197">
        <f>IFERROR(Q61-Parameter_2016_SQ!Q61,"kein Vergleichswert")</f>
        <v>0</v>
      </c>
      <c r="AP61" s="197">
        <f>IFERROR(R61-Parameter_2016_SQ!R61,"kein Vergleichswert")</f>
        <v>0</v>
      </c>
      <c r="AQ61" s="197">
        <f>IFERROR(S61-Parameter_2016_SQ!S61,"kein Vergleichswert")</f>
        <v>0</v>
      </c>
      <c r="AR61" s="197">
        <f>IFERROR(T61-Parameter_2016_SQ!T61,"kein Vergleichswert")</f>
        <v>0</v>
      </c>
      <c r="AS61" s="197">
        <f>IFERROR(U61-Parameter_2016_SQ!U61,"kein Vergleichswert")</f>
        <v>0</v>
      </c>
      <c r="AT61" s="197">
        <f>IFERROR(V61-Parameter_2016_SQ!V61,"kein Vergleichswert")</f>
        <v>0</v>
      </c>
      <c r="AU61" s="197">
        <f>IFERROR(W61-Parameter_2016_SQ!W61,"kein Vergleichswert")</f>
        <v>0</v>
      </c>
      <c r="AV61" s="197">
        <f>IFERROR(X61-Parameter_2016_SQ!X61,"kein Vergleichswert")</f>
        <v>0</v>
      </c>
      <c r="AW61" s="197">
        <f>IFERROR(Z61-Parameter_2016_SQ!Z61,"kein Vergleichswert")</f>
        <v>0</v>
      </c>
      <c r="AX61" s="197">
        <f>IFERROR(AA61-Parameter_2016_SQ!AA61,"kein Vergleichswert")</f>
        <v>0</v>
      </c>
      <c r="AY61" s="197">
        <f>IFERROR(AB61-Parameter_2016_SQ!AB61,"kein Vergleichswert")</f>
        <v>0</v>
      </c>
    </row>
    <row r="62" spans="1:51" ht="18.75">
      <c r="B62" s="108" t="s">
        <v>268</v>
      </c>
      <c r="C62" s="117"/>
      <c r="D62" s="117"/>
      <c r="E62" s="117"/>
      <c r="F62" s="131"/>
      <c r="G62" s="131"/>
      <c r="H62" s="131"/>
      <c r="I62" s="131"/>
      <c r="J62" s="127"/>
      <c r="K62" s="128"/>
      <c r="L62" s="129"/>
      <c r="M62" s="127"/>
      <c r="N62" s="128"/>
      <c r="O62" s="129"/>
      <c r="P62" s="128"/>
      <c r="Q62" s="128"/>
      <c r="R62" s="127"/>
      <c r="S62" s="128"/>
      <c r="T62" s="128"/>
      <c r="U62" s="129"/>
      <c r="V62" s="127"/>
      <c r="W62" s="128"/>
      <c r="X62" s="129"/>
      <c r="Y62" s="129"/>
      <c r="Z62" s="131"/>
      <c r="AA62" s="131"/>
      <c r="AB62" s="131"/>
      <c r="AE62" s="197">
        <f>IFERROR(F62-Parameter_2016_SQ!F62,"kein Vergleichswert")</f>
        <v>0</v>
      </c>
      <c r="AF62" s="197">
        <f>IFERROR(G62-Parameter_2016_SQ!G62,"kein Vergleichswert")</f>
        <v>0</v>
      </c>
      <c r="AG62" s="197">
        <f>IFERROR(H62-Parameter_2016_SQ!H62,"kein Vergleichswert")</f>
        <v>0</v>
      </c>
      <c r="AH62" s="197">
        <f>IFERROR(I62-Parameter_2016_SQ!I62,"kein Vergleichswert")</f>
        <v>0</v>
      </c>
      <c r="AI62" s="197">
        <f>IFERROR(J62-Parameter_2016_SQ!J62,"kein Vergleichswert")</f>
        <v>0</v>
      </c>
      <c r="AJ62" s="197">
        <f>IFERROR(K62-Parameter_2016_SQ!K62,"kein Vergleichswert")</f>
        <v>0</v>
      </c>
      <c r="AK62" s="197">
        <f>IFERROR(L62-Parameter_2016_SQ!L62,"kein Vergleichswert")</f>
        <v>0</v>
      </c>
      <c r="AL62" s="197">
        <f>IFERROR(M62-Parameter_2016_SQ!M62,"kein Vergleichswert")</f>
        <v>0</v>
      </c>
      <c r="AM62" s="197">
        <f>IFERROR(N62-Parameter_2016_SQ!N62,"kein Vergleichswert")</f>
        <v>0</v>
      </c>
      <c r="AN62" s="197">
        <f>IFERROR(O62-Parameter_2016_SQ!O62,"kein Vergleichswert")</f>
        <v>0</v>
      </c>
      <c r="AO62" s="197">
        <f>IFERROR(Q62-Parameter_2016_SQ!Q62,"kein Vergleichswert")</f>
        <v>0</v>
      </c>
      <c r="AP62" s="197">
        <f>IFERROR(R62-Parameter_2016_SQ!R62,"kein Vergleichswert")</f>
        <v>0</v>
      </c>
      <c r="AQ62" s="197">
        <f>IFERROR(S62-Parameter_2016_SQ!S62,"kein Vergleichswert")</f>
        <v>0</v>
      </c>
      <c r="AR62" s="197">
        <f>IFERROR(T62-Parameter_2016_SQ!T62,"kein Vergleichswert")</f>
        <v>0</v>
      </c>
      <c r="AS62" s="197">
        <f>IFERROR(U62-Parameter_2016_SQ!U62,"kein Vergleichswert")</f>
        <v>0</v>
      </c>
      <c r="AT62" s="197">
        <f>IFERROR(V62-Parameter_2016_SQ!V62,"kein Vergleichswert")</f>
        <v>0</v>
      </c>
      <c r="AU62" s="197">
        <f>IFERROR(W62-Parameter_2016_SQ!W62,"kein Vergleichswert")</f>
        <v>0</v>
      </c>
      <c r="AV62" s="197">
        <f>IFERROR(X62-Parameter_2016_SQ!X62,"kein Vergleichswert")</f>
        <v>0</v>
      </c>
      <c r="AW62" s="197">
        <f>IFERROR(Z62-Parameter_2016_SQ!Z62,"kein Vergleichswert")</f>
        <v>0</v>
      </c>
      <c r="AX62" s="197">
        <f>IFERROR(AA62-Parameter_2016_SQ!AA62,"kein Vergleichswert")</f>
        <v>0</v>
      </c>
      <c r="AY62" s="197">
        <f>IFERROR(AB62-Parameter_2016_SQ!AB62,"kein Vergleichswert")</f>
        <v>0</v>
      </c>
    </row>
    <row r="63" spans="1:51" ht="18.75">
      <c r="A63" s="109"/>
      <c r="B63" s="158" t="s">
        <v>190</v>
      </c>
      <c r="C63" s="159" t="s">
        <v>190</v>
      </c>
      <c r="D63" s="159" t="s">
        <v>190</v>
      </c>
      <c r="E63" s="160"/>
      <c r="F63" s="164">
        <f>SUM(F41:F50)</f>
        <v>43.8</v>
      </c>
      <c r="G63" s="164">
        <f>SUM(G41:G50)</f>
        <v>13.2</v>
      </c>
      <c r="H63" s="164">
        <f>SUM(H41:H50)</f>
        <v>43.8</v>
      </c>
      <c r="I63" s="164">
        <f>SUM(I41:I50)</f>
        <v>13.2</v>
      </c>
      <c r="J63" s="161">
        <f t="shared" ref="J63:O63" si="11">SUM(J32:J35)</f>
        <v>0</v>
      </c>
      <c r="K63" s="162">
        <f t="shared" si="11"/>
        <v>6.525695692800447</v>
      </c>
      <c r="L63" s="163">
        <f t="shared" si="11"/>
        <v>4.7905463123332792</v>
      </c>
      <c r="M63" s="161">
        <f t="shared" si="11"/>
        <v>30.021576695416815</v>
      </c>
      <c r="N63" s="162">
        <f t="shared" si="11"/>
        <v>29.521827355844351</v>
      </c>
      <c r="O63" s="163">
        <f t="shared" si="11"/>
        <v>32.159090661212936</v>
      </c>
      <c r="P63" s="163"/>
      <c r="Q63" s="164">
        <f>SUM(Q41:Q50)</f>
        <v>0</v>
      </c>
      <c r="R63" s="161">
        <f t="shared" ref="R63:X63" si="12">SUM(R32:R35)</f>
        <v>0</v>
      </c>
      <c r="S63" s="162">
        <f t="shared" si="12"/>
        <v>6.1793702190084145</v>
      </c>
      <c r="T63" s="162">
        <f t="shared" si="12"/>
        <v>6.2364168053354616</v>
      </c>
      <c r="U63" s="163">
        <f t="shared" si="12"/>
        <v>6.2364168053354616</v>
      </c>
      <c r="V63" s="161">
        <f t="shared" si="12"/>
        <v>28.598917610985971</v>
      </c>
      <c r="W63" s="162">
        <f t="shared" si="12"/>
        <v>31.667208038690973</v>
      </c>
      <c r="X63" s="163">
        <f t="shared" si="12"/>
        <v>32.817070053416167</v>
      </c>
      <c r="Y63" s="163"/>
      <c r="Z63" s="164">
        <f>SUM(Z41:Z50)</f>
        <v>0</v>
      </c>
      <c r="AA63" s="164"/>
      <c r="AB63" s="164"/>
      <c r="AE63" s="197">
        <f>IFERROR(F63-Parameter_2016_SQ!F63,"kein Vergleichswert")</f>
        <v>-92.629999999999981</v>
      </c>
      <c r="AF63" s="197">
        <f>IFERROR(G63-Parameter_2016_SQ!G63,"kein Vergleichswert")</f>
        <v>-123.22999999999998</v>
      </c>
      <c r="AG63" s="197">
        <f>IFERROR(H63-Parameter_2016_SQ!H63,"kein Vergleichswert")</f>
        <v>-92.629999999999981</v>
      </c>
      <c r="AH63" s="197">
        <f>IFERROR(I63-Parameter_2016_SQ!I63,"kein Vergleichswert")</f>
        <v>-123.22999999999998</v>
      </c>
      <c r="AI63" s="197">
        <f>IFERROR(J63-Parameter_2016_SQ!J63,"kein Vergleichswert")</f>
        <v>0</v>
      </c>
      <c r="AJ63" s="197">
        <f>IFERROR(K63-Parameter_2016_SQ!K63,"kein Vergleichswert")</f>
        <v>0</v>
      </c>
      <c r="AK63" s="197">
        <f>IFERROR(L63-Parameter_2016_SQ!L63,"kein Vergleichswert")</f>
        <v>0</v>
      </c>
      <c r="AL63" s="197">
        <f>IFERROR(M63-Parameter_2016_SQ!M63,"kein Vergleichswert")</f>
        <v>19.5</v>
      </c>
      <c r="AM63" s="197">
        <f>IFERROR(N63-Parameter_2016_SQ!N63,"kein Vergleichswert")</f>
        <v>19.5</v>
      </c>
      <c r="AN63" s="197">
        <f>IFERROR(O63-Parameter_2016_SQ!O63,"kein Vergleichswert")</f>
        <v>19.5</v>
      </c>
      <c r="AO63" s="197">
        <f>IFERROR(Q63-Parameter_2016_SQ!Q63,"kein Vergleichswert")</f>
        <v>0</v>
      </c>
      <c r="AP63" s="197">
        <f>IFERROR(R63-Parameter_2016_SQ!R63,"kein Vergleichswert")</f>
        <v>0</v>
      </c>
      <c r="AQ63" s="197">
        <f>IFERROR(S63-Parameter_2016_SQ!S63,"kein Vergleichswert")</f>
        <v>0</v>
      </c>
      <c r="AR63" s="197">
        <f>IFERROR(T63-Parameter_2016_SQ!T63,"kein Vergleichswert")</f>
        <v>0</v>
      </c>
      <c r="AS63" s="197">
        <f>IFERROR(U63-Parameter_2016_SQ!U63,"kein Vergleichswert")</f>
        <v>0</v>
      </c>
      <c r="AT63" s="197">
        <f>IFERROR(V63-Parameter_2016_SQ!V63,"kein Vergleichswert")</f>
        <v>19.5</v>
      </c>
      <c r="AU63" s="197">
        <f>IFERROR(W63-Parameter_2016_SQ!W63,"kein Vergleichswert")</f>
        <v>19.5</v>
      </c>
      <c r="AV63" s="197">
        <f>IFERROR(X63-Parameter_2016_SQ!X63,"kein Vergleichswert")</f>
        <v>19.5</v>
      </c>
      <c r="AW63" s="197">
        <f>IFERROR(Z63-Parameter_2016_SQ!Z63,"kein Vergleichswert")</f>
        <v>0</v>
      </c>
      <c r="AX63" s="197">
        <f>IFERROR(AA63-Parameter_2016_SQ!AA63,"kein Vergleichswert")</f>
        <v>0</v>
      </c>
      <c r="AY63" s="197">
        <f>IFERROR(AB63-Parameter_2016_SQ!AB63,"kein Vergleichswert")</f>
        <v>0</v>
      </c>
    </row>
    <row r="64" spans="1:51" ht="18.75">
      <c r="A64" s="109"/>
      <c r="B64" s="165" t="s">
        <v>191</v>
      </c>
      <c r="C64" s="166" t="s">
        <v>191</v>
      </c>
      <c r="D64" s="166" t="s">
        <v>191</v>
      </c>
      <c r="E64" s="167"/>
      <c r="F64" s="115">
        <f>SUM(F54:F54)+F60</f>
        <v>0</v>
      </c>
      <c r="G64" s="115">
        <f>SUM(G54:G54)+G60</f>
        <v>0</v>
      </c>
      <c r="H64" s="115">
        <f>SUM(H54:H54)+H60</f>
        <v>0</v>
      </c>
      <c r="I64" s="115">
        <f>SUM(I54:I54)+I60</f>
        <v>0</v>
      </c>
      <c r="J64" s="113">
        <f t="shared" ref="J64:Z64" si="13">SUM(J54:J54)+J60</f>
        <v>0</v>
      </c>
      <c r="K64" s="114">
        <f t="shared" si="13"/>
        <v>-22.569668560051554</v>
      </c>
      <c r="L64" s="115">
        <f t="shared" si="13"/>
        <v>-17.823250123061307</v>
      </c>
      <c r="M64" s="113">
        <f t="shared" si="13"/>
        <v>0.5</v>
      </c>
      <c r="N64" s="114">
        <f t="shared" si="13"/>
        <v>0.5</v>
      </c>
      <c r="O64" s="115">
        <f t="shared" si="13"/>
        <v>0.5</v>
      </c>
      <c r="P64" s="115"/>
      <c r="Q64" s="115">
        <f t="shared" si="13"/>
        <v>0.2</v>
      </c>
      <c r="R64" s="113">
        <f t="shared" si="13"/>
        <v>0</v>
      </c>
      <c r="S64" s="114">
        <f t="shared" si="13"/>
        <v>-18.931008861362155</v>
      </c>
      <c r="T64" s="114">
        <f t="shared" si="13"/>
        <v>-12.264342194695491</v>
      </c>
      <c r="U64" s="115">
        <f t="shared" si="13"/>
        <v>-12.264342194695491</v>
      </c>
      <c r="V64" s="113">
        <f t="shared" si="13"/>
        <v>0.5</v>
      </c>
      <c r="W64" s="114">
        <f t="shared" si="13"/>
        <v>0.5</v>
      </c>
      <c r="X64" s="115">
        <f t="shared" si="13"/>
        <v>0.5</v>
      </c>
      <c r="Y64" s="115"/>
      <c r="Z64" s="126">
        <f t="shared" si="13"/>
        <v>0.2</v>
      </c>
      <c r="AA64" s="126"/>
      <c r="AB64" s="126"/>
      <c r="AE64" s="197">
        <f>IFERROR(F64-Parameter_2016_SQ!F64,"kein Vergleichswert")</f>
        <v>0</v>
      </c>
      <c r="AF64" s="197">
        <f>IFERROR(G64-Parameter_2016_SQ!G64,"kein Vergleichswert")</f>
        <v>0</v>
      </c>
      <c r="AG64" s="197">
        <f>IFERROR(H64-Parameter_2016_SQ!H64,"kein Vergleichswert")</f>
        <v>0</v>
      </c>
      <c r="AH64" s="197">
        <f>IFERROR(I64-Parameter_2016_SQ!I64,"kein Vergleichswert")</f>
        <v>0</v>
      </c>
      <c r="AI64" s="197">
        <f>IFERROR(J64-Parameter_2016_SQ!J64,"kein Vergleichswert")</f>
        <v>0</v>
      </c>
      <c r="AJ64" s="197">
        <f>IFERROR(K64-Parameter_2016_SQ!K64,"kein Vergleichswert")</f>
        <v>0</v>
      </c>
      <c r="AK64" s="197">
        <f>IFERROR(L64-Parameter_2016_SQ!L64,"kein Vergleichswert")</f>
        <v>0</v>
      </c>
      <c r="AL64" s="197">
        <f>IFERROR(M64-Parameter_2016_SQ!M64,"kein Vergleichswert")</f>
        <v>0</v>
      </c>
      <c r="AM64" s="197">
        <f>IFERROR(N64-Parameter_2016_SQ!N64,"kein Vergleichswert")</f>
        <v>0</v>
      </c>
      <c r="AN64" s="197">
        <f>IFERROR(O64-Parameter_2016_SQ!O64,"kein Vergleichswert")</f>
        <v>0</v>
      </c>
      <c r="AO64" s="197">
        <f>IFERROR(Q64-Parameter_2016_SQ!Q64,"kein Vergleichswert")</f>
        <v>0</v>
      </c>
      <c r="AP64" s="197">
        <f>IFERROR(R64-Parameter_2016_SQ!R64,"kein Vergleichswert")</f>
        <v>0</v>
      </c>
      <c r="AQ64" s="197">
        <f>IFERROR(S64-Parameter_2016_SQ!S64,"kein Vergleichswert")</f>
        <v>0</v>
      </c>
      <c r="AR64" s="197">
        <f>IFERROR(T64-Parameter_2016_SQ!T64,"kein Vergleichswert")</f>
        <v>0</v>
      </c>
      <c r="AS64" s="197">
        <f>IFERROR(U64-Parameter_2016_SQ!U64,"kein Vergleichswert")</f>
        <v>0</v>
      </c>
      <c r="AT64" s="197">
        <f>IFERROR(V64-Parameter_2016_SQ!V64,"kein Vergleichswert")</f>
        <v>0</v>
      </c>
      <c r="AU64" s="197">
        <f>IFERROR(W64-Parameter_2016_SQ!W64,"kein Vergleichswert")</f>
        <v>0</v>
      </c>
      <c r="AV64" s="197">
        <f>IFERROR(X64-Parameter_2016_SQ!X64,"kein Vergleichswert")</f>
        <v>0</v>
      </c>
      <c r="AW64" s="197">
        <f>IFERROR(Z64-Parameter_2016_SQ!Z64,"kein Vergleichswert")</f>
        <v>0</v>
      </c>
      <c r="AX64" s="197">
        <f>IFERROR(AA64-Parameter_2016_SQ!AA64,"kein Vergleichswert")</f>
        <v>0</v>
      </c>
      <c r="AY64" s="197">
        <f>IFERROR(AB64-Parameter_2016_SQ!AB64,"kein Vergleichswert")</f>
        <v>0</v>
      </c>
    </row>
    <row r="65" spans="1:51" ht="18.75">
      <c r="A65" s="109"/>
      <c r="F65" s="131"/>
      <c r="G65" s="131"/>
      <c r="H65" s="131"/>
      <c r="I65" s="131"/>
      <c r="J65" s="127"/>
      <c r="K65" s="128"/>
      <c r="L65" s="129"/>
      <c r="M65" s="127"/>
      <c r="N65" s="128"/>
      <c r="O65" s="129"/>
      <c r="P65" s="128"/>
      <c r="Q65" s="128"/>
      <c r="R65" s="127"/>
      <c r="S65" s="128"/>
      <c r="T65" s="128"/>
      <c r="U65" s="129"/>
      <c r="V65" s="127"/>
      <c r="W65" s="128"/>
      <c r="X65" s="129"/>
      <c r="Y65" s="129"/>
      <c r="Z65" s="131"/>
      <c r="AA65" s="131"/>
      <c r="AB65" s="131"/>
      <c r="AE65" s="197">
        <f>IFERROR(F65-Parameter_2016_SQ!F65,"kein Vergleichswert")</f>
        <v>0</v>
      </c>
      <c r="AF65" s="197">
        <f>IFERROR(G65-Parameter_2016_SQ!G65,"kein Vergleichswert")</f>
        <v>0</v>
      </c>
      <c r="AG65" s="197">
        <f>IFERROR(H65-Parameter_2016_SQ!H65,"kein Vergleichswert")</f>
        <v>0</v>
      </c>
      <c r="AH65" s="197">
        <f>IFERROR(I65-Parameter_2016_SQ!I65,"kein Vergleichswert")</f>
        <v>0</v>
      </c>
      <c r="AI65" s="197">
        <f>IFERROR(J65-Parameter_2016_SQ!J65,"kein Vergleichswert")</f>
        <v>0</v>
      </c>
      <c r="AJ65" s="197">
        <f>IFERROR(K65-Parameter_2016_SQ!K65,"kein Vergleichswert")</f>
        <v>0</v>
      </c>
      <c r="AK65" s="197">
        <f>IFERROR(L65-Parameter_2016_SQ!L65,"kein Vergleichswert")</f>
        <v>0</v>
      </c>
      <c r="AL65" s="197">
        <f>IFERROR(M65-Parameter_2016_SQ!M65,"kein Vergleichswert")</f>
        <v>0</v>
      </c>
      <c r="AM65" s="197">
        <f>IFERROR(N65-Parameter_2016_SQ!N65,"kein Vergleichswert")</f>
        <v>0</v>
      </c>
      <c r="AN65" s="197">
        <f>IFERROR(O65-Parameter_2016_SQ!O65,"kein Vergleichswert")</f>
        <v>0</v>
      </c>
      <c r="AO65" s="197">
        <f>IFERROR(Q65-Parameter_2016_SQ!Q65,"kein Vergleichswert")</f>
        <v>0</v>
      </c>
      <c r="AP65" s="197">
        <f>IFERROR(R65-Parameter_2016_SQ!R65,"kein Vergleichswert")</f>
        <v>0</v>
      </c>
      <c r="AQ65" s="197">
        <f>IFERROR(S65-Parameter_2016_SQ!S65,"kein Vergleichswert")</f>
        <v>0</v>
      </c>
      <c r="AR65" s="197">
        <f>IFERROR(T65-Parameter_2016_SQ!T65,"kein Vergleichswert")</f>
        <v>0</v>
      </c>
      <c r="AS65" s="197">
        <f>IFERROR(U65-Parameter_2016_SQ!U65,"kein Vergleichswert")</f>
        <v>0</v>
      </c>
      <c r="AT65" s="197">
        <f>IFERROR(V65-Parameter_2016_SQ!V65,"kein Vergleichswert")</f>
        <v>0</v>
      </c>
      <c r="AU65" s="197">
        <f>IFERROR(W65-Parameter_2016_SQ!W65,"kein Vergleichswert")</f>
        <v>0</v>
      </c>
      <c r="AV65" s="197">
        <f>IFERROR(X65-Parameter_2016_SQ!X65,"kein Vergleichswert")</f>
        <v>0</v>
      </c>
      <c r="AW65" s="197">
        <f>IFERROR(Z65-Parameter_2016_SQ!Z65,"kein Vergleichswert")</f>
        <v>0</v>
      </c>
      <c r="AX65" s="197">
        <f>IFERROR(AA65-Parameter_2016_SQ!AA65,"kein Vergleichswert")</f>
        <v>0</v>
      </c>
      <c r="AY65" s="197">
        <f>IFERROR(AB65-Parameter_2016_SQ!AB65,"kein Vergleichswert")</f>
        <v>0</v>
      </c>
    </row>
    <row r="66" spans="1:51" ht="18.75">
      <c r="A66" s="109"/>
      <c r="B66" s="108" t="s">
        <v>310</v>
      </c>
      <c r="F66" s="131"/>
      <c r="G66" s="131"/>
      <c r="H66" s="131"/>
      <c r="I66" s="131"/>
      <c r="J66" s="127"/>
      <c r="K66" s="128"/>
      <c r="L66" s="129"/>
      <c r="M66" s="127"/>
      <c r="N66" s="128"/>
      <c r="O66" s="129"/>
      <c r="P66" s="128"/>
      <c r="Q66" s="128"/>
      <c r="R66" s="127"/>
      <c r="S66" s="128"/>
      <c r="T66" s="128"/>
      <c r="U66" s="129"/>
      <c r="V66" s="127"/>
      <c r="W66" s="128"/>
      <c r="X66" s="129"/>
      <c r="Y66" s="129"/>
      <c r="Z66" s="131"/>
      <c r="AA66" s="131"/>
      <c r="AB66" s="131"/>
      <c r="AE66" s="197">
        <f>IFERROR(F66-Parameter_2016_SQ!F66,"kein Vergleichswert")</f>
        <v>0</v>
      </c>
      <c r="AF66" s="197">
        <f>IFERROR(G66-Parameter_2016_SQ!G66,"kein Vergleichswert")</f>
        <v>0</v>
      </c>
      <c r="AG66" s="197">
        <f>IFERROR(H66-Parameter_2016_SQ!H66,"kein Vergleichswert")</f>
        <v>0</v>
      </c>
      <c r="AH66" s="197">
        <f>IFERROR(I66-Parameter_2016_SQ!I66,"kein Vergleichswert")</f>
        <v>0</v>
      </c>
      <c r="AI66" s="197">
        <f>IFERROR(J66-Parameter_2016_SQ!J66,"kein Vergleichswert")</f>
        <v>0</v>
      </c>
      <c r="AJ66" s="197">
        <f>IFERROR(K66-Parameter_2016_SQ!K66,"kein Vergleichswert")</f>
        <v>0</v>
      </c>
      <c r="AK66" s="197">
        <f>IFERROR(L66-Parameter_2016_SQ!L66,"kein Vergleichswert")</f>
        <v>0</v>
      </c>
      <c r="AL66" s="197">
        <f>IFERROR(M66-Parameter_2016_SQ!M66,"kein Vergleichswert")</f>
        <v>0</v>
      </c>
      <c r="AM66" s="197">
        <f>IFERROR(N66-Parameter_2016_SQ!N66,"kein Vergleichswert")</f>
        <v>0</v>
      </c>
      <c r="AN66" s="197">
        <f>IFERROR(O66-Parameter_2016_SQ!O66,"kein Vergleichswert")</f>
        <v>0</v>
      </c>
      <c r="AO66" s="197">
        <f>IFERROR(Q66-Parameter_2016_SQ!Q66,"kein Vergleichswert")</f>
        <v>0</v>
      </c>
      <c r="AP66" s="197">
        <f>IFERROR(R66-Parameter_2016_SQ!R66,"kein Vergleichswert")</f>
        <v>0</v>
      </c>
      <c r="AQ66" s="197">
        <f>IFERROR(S66-Parameter_2016_SQ!S66,"kein Vergleichswert")</f>
        <v>0</v>
      </c>
      <c r="AR66" s="197">
        <f>IFERROR(T66-Parameter_2016_SQ!T66,"kein Vergleichswert")</f>
        <v>0</v>
      </c>
      <c r="AS66" s="197">
        <f>IFERROR(U66-Parameter_2016_SQ!U66,"kein Vergleichswert")</f>
        <v>0</v>
      </c>
      <c r="AT66" s="197">
        <f>IFERROR(V66-Parameter_2016_SQ!V66,"kein Vergleichswert")</f>
        <v>0</v>
      </c>
      <c r="AU66" s="197">
        <f>IFERROR(W66-Parameter_2016_SQ!W66,"kein Vergleichswert")</f>
        <v>0</v>
      </c>
      <c r="AV66" s="197">
        <f>IFERROR(X66-Parameter_2016_SQ!X66,"kein Vergleichswert")</f>
        <v>0</v>
      </c>
      <c r="AW66" s="197">
        <f>IFERROR(Z66-Parameter_2016_SQ!Z66,"kein Vergleichswert")</f>
        <v>0</v>
      </c>
      <c r="AX66" s="197">
        <f>IFERROR(AA66-Parameter_2016_SQ!AA66,"kein Vergleichswert")</f>
        <v>0</v>
      </c>
      <c r="AY66" s="197">
        <f>IFERROR(AB66-Parameter_2016_SQ!AB66,"kein Vergleichswert")</f>
        <v>0</v>
      </c>
    </row>
    <row r="67" spans="1:51" ht="18.75">
      <c r="A67" s="109"/>
      <c r="B67" s="178" t="s">
        <v>294</v>
      </c>
      <c r="C67" s="180"/>
      <c r="D67" s="180"/>
      <c r="E67" s="180" t="s">
        <v>168</v>
      </c>
      <c r="F67" s="184"/>
      <c r="G67" s="184"/>
      <c r="H67" s="184"/>
      <c r="I67" s="184"/>
      <c r="J67" s="141"/>
      <c r="K67" s="142">
        <v>1800000</v>
      </c>
      <c r="L67" s="143">
        <v>700000</v>
      </c>
      <c r="M67" s="141">
        <v>70000</v>
      </c>
      <c r="N67" s="142">
        <v>70000</v>
      </c>
      <c r="O67" s="143">
        <v>70000</v>
      </c>
      <c r="P67" s="142"/>
      <c r="Q67" s="142">
        <f>0.08*1000000</f>
        <v>80000</v>
      </c>
      <c r="R67" s="141"/>
      <c r="S67" s="142">
        <v>970099.00240289012</v>
      </c>
      <c r="T67" s="142">
        <v>970099.00240289012</v>
      </c>
      <c r="U67" s="143">
        <v>970099.00240289012</v>
      </c>
      <c r="V67" s="141">
        <v>70000</v>
      </c>
      <c r="W67" s="142">
        <v>70000</v>
      </c>
      <c r="X67" s="143">
        <v>70000</v>
      </c>
      <c r="Y67" s="143"/>
      <c r="Z67" s="184">
        <f>0.08*1000000</f>
        <v>80000</v>
      </c>
      <c r="AA67" s="184">
        <f>0.08*1000000</f>
        <v>80000</v>
      </c>
      <c r="AB67" s="184">
        <f>0.08*1000000</f>
        <v>80000</v>
      </c>
      <c r="AE67" s="197">
        <f>IFERROR(F67-Parameter_2016_SQ!F67,"kein Vergleichswert")</f>
        <v>0</v>
      </c>
      <c r="AF67" s="197">
        <f>IFERROR(G67-Parameter_2016_SQ!G67,"kein Vergleichswert")</f>
        <v>0</v>
      </c>
      <c r="AG67" s="197">
        <f>IFERROR(H67-Parameter_2016_SQ!H67,"kein Vergleichswert")</f>
        <v>0</v>
      </c>
      <c r="AH67" s="197">
        <f>IFERROR(I67-Parameter_2016_SQ!I67,"kein Vergleichswert")</f>
        <v>0</v>
      </c>
      <c r="AI67" s="197">
        <f>IFERROR(J67-Parameter_2016_SQ!J67,"kein Vergleichswert")</f>
        <v>0</v>
      </c>
      <c r="AJ67" s="197">
        <f>IFERROR(K67-Parameter_2016_SQ!K67,"kein Vergleichswert")</f>
        <v>0</v>
      </c>
      <c r="AK67" s="197">
        <f>IFERROR(L67-Parameter_2016_SQ!L67,"kein Vergleichswert")</f>
        <v>0</v>
      </c>
      <c r="AL67" s="197">
        <f>IFERROR(M67-Parameter_2016_SQ!M67,"kein Vergleichswert")</f>
        <v>0</v>
      </c>
      <c r="AM67" s="197">
        <f>IFERROR(N67-Parameter_2016_SQ!N67,"kein Vergleichswert")</f>
        <v>0</v>
      </c>
      <c r="AN67" s="197">
        <f>IFERROR(O67-Parameter_2016_SQ!O67,"kein Vergleichswert")</f>
        <v>0</v>
      </c>
      <c r="AO67" s="197">
        <f>IFERROR(Q67-Parameter_2016_SQ!Q67,"kein Vergleichswert")</f>
        <v>0</v>
      </c>
      <c r="AP67" s="197">
        <f>IFERROR(R67-Parameter_2016_SQ!R67,"kein Vergleichswert")</f>
        <v>0</v>
      </c>
      <c r="AQ67" s="197">
        <f>IFERROR(S67-Parameter_2016_SQ!S67,"kein Vergleichswert")</f>
        <v>0</v>
      </c>
      <c r="AR67" s="197">
        <f>IFERROR(T67-Parameter_2016_SQ!T67,"kein Vergleichswert")</f>
        <v>0</v>
      </c>
      <c r="AS67" s="197">
        <f>IFERROR(U67-Parameter_2016_SQ!U67,"kein Vergleichswert")</f>
        <v>0</v>
      </c>
      <c r="AT67" s="197">
        <f>IFERROR(V67-Parameter_2016_SQ!V67,"kein Vergleichswert")</f>
        <v>0</v>
      </c>
      <c r="AU67" s="197">
        <f>IFERROR(W67-Parameter_2016_SQ!W67,"kein Vergleichswert")</f>
        <v>0</v>
      </c>
      <c r="AV67" s="197">
        <f>IFERROR(X67-Parameter_2016_SQ!X67,"kein Vergleichswert")</f>
        <v>0</v>
      </c>
      <c r="AW67" s="197">
        <f>IFERROR(Z67-Parameter_2016_SQ!Z67,"kein Vergleichswert")</f>
        <v>0</v>
      </c>
      <c r="AX67" s="197">
        <f>IFERROR(AA67-Parameter_2016_SQ!AA67,"kein Vergleichswert")</f>
        <v>0</v>
      </c>
      <c r="AY67" s="197">
        <f>IFERROR(AB67-Parameter_2016_SQ!AB67,"kein Vergleichswert")</f>
        <v>0</v>
      </c>
    </row>
    <row r="68" spans="1:51" s="193" customFormat="1">
      <c r="A68" s="187"/>
      <c r="B68" s="194" t="s">
        <v>271</v>
      </c>
      <c r="C68" s="188"/>
      <c r="D68" s="188"/>
      <c r="E68" s="188"/>
      <c r="F68" s="192"/>
      <c r="G68" s="192"/>
      <c r="H68" s="192"/>
      <c r="I68" s="192"/>
      <c r="J68" s="189"/>
      <c r="K68" s="190" t="s">
        <v>300</v>
      </c>
      <c r="L68" s="191" t="s">
        <v>300</v>
      </c>
      <c r="M68" s="189" t="s">
        <v>297</v>
      </c>
      <c r="N68" s="190" t="s">
        <v>297</v>
      </c>
      <c r="O68" s="191" t="s">
        <v>297</v>
      </c>
      <c r="P68" s="190"/>
      <c r="Q68" s="190"/>
      <c r="R68" s="189"/>
      <c r="S68" s="190" t="s">
        <v>300</v>
      </c>
      <c r="T68" s="190" t="s">
        <v>300</v>
      </c>
      <c r="U68" s="191" t="s">
        <v>300</v>
      </c>
      <c r="V68" s="189" t="s">
        <v>297</v>
      </c>
      <c r="W68" s="190" t="s">
        <v>297</v>
      </c>
      <c r="X68" s="191" t="s">
        <v>297</v>
      </c>
      <c r="Y68" s="191"/>
      <c r="Z68" s="192"/>
      <c r="AA68" s="192"/>
      <c r="AB68" s="192"/>
      <c r="AE68" s="197">
        <f>IFERROR(F68-Parameter_2016_SQ!F68,"kein Vergleichswert")</f>
        <v>0</v>
      </c>
      <c r="AF68" s="197">
        <f>IFERROR(G68-Parameter_2016_SQ!G68,"kein Vergleichswert")</f>
        <v>0</v>
      </c>
      <c r="AG68" s="197">
        <f>IFERROR(H68-Parameter_2016_SQ!H68,"kein Vergleichswert")</f>
        <v>0</v>
      </c>
      <c r="AH68" s="197">
        <f>IFERROR(I68-Parameter_2016_SQ!I68,"kein Vergleichswert")</f>
        <v>0</v>
      </c>
      <c r="AI68" s="197">
        <f>IFERROR(J68-Parameter_2016_SQ!J68,"kein Vergleichswert")</f>
        <v>0</v>
      </c>
      <c r="AJ68" s="197" t="str">
        <f>IFERROR(K68-Parameter_2016_SQ!K68,"kein Vergleichswert")</f>
        <v>kein Vergleichswert</v>
      </c>
      <c r="AK68" s="197" t="str">
        <f>IFERROR(L68-Parameter_2016_SQ!L68,"kein Vergleichswert")</f>
        <v>kein Vergleichswert</v>
      </c>
      <c r="AL68" s="197" t="str">
        <f>IFERROR(M68-Parameter_2016_SQ!M68,"kein Vergleichswert")</f>
        <v>kein Vergleichswert</v>
      </c>
      <c r="AM68" s="197" t="str">
        <f>IFERROR(N68-Parameter_2016_SQ!N68,"kein Vergleichswert")</f>
        <v>kein Vergleichswert</v>
      </c>
      <c r="AN68" s="197" t="str">
        <f>IFERROR(O68-Parameter_2016_SQ!O68,"kein Vergleichswert")</f>
        <v>kein Vergleichswert</v>
      </c>
      <c r="AO68" s="197">
        <f>IFERROR(Q68-Parameter_2016_SQ!Q68,"kein Vergleichswert")</f>
        <v>0</v>
      </c>
      <c r="AP68" s="197">
        <f>IFERROR(R68-Parameter_2016_SQ!R68,"kein Vergleichswert")</f>
        <v>0</v>
      </c>
      <c r="AQ68" s="197" t="str">
        <f>IFERROR(S68-Parameter_2016_SQ!S68,"kein Vergleichswert")</f>
        <v>kein Vergleichswert</v>
      </c>
      <c r="AR68" s="197" t="str">
        <f>IFERROR(T68-Parameter_2016_SQ!T68,"kein Vergleichswert")</f>
        <v>kein Vergleichswert</v>
      </c>
      <c r="AS68" s="197" t="str">
        <f>IFERROR(U68-Parameter_2016_SQ!U68,"kein Vergleichswert")</f>
        <v>kein Vergleichswert</v>
      </c>
      <c r="AT68" s="197" t="str">
        <f>IFERROR(V68-Parameter_2016_SQ!V68,"kein Vergleichswert")</f>
        <v>kein Vergleichswert</v>
      </c>
      <c r="AU68" s="197" t="str">
        <f>IFERROR(W68-Parameter_2016_SQ!W68,"kein Vergleichswert")</f>
        <v>kein Vergleichswert</v>
      </c>
      <c r="AV68" s="197" t="str">
        <f>IFERROR(X68-Parameter_2016_SQ!X68,"kein Vergleichswert")</f>
        <v>kein Vergleichswert</v>
      </c>
      <c r="AW68" s="197">
        <f>IFERROR(Z68-Parameter_2016_SQ!Z68,"kein Vergleichswert")</f>
        <v>0</v>
      </c>
      <c r="AX68" s="197">
        <f>IFERROR(AA68-Parameter_2016_SQ!AA68,"kein Vergleichswert")</f>
        <v>0</v>
      </c>
      <c r="AY68" s="197">
        <f>IFERROR(AB68-Parameter_2016_SQ!AB68,"kein Vergleichswert")</f>
        <v>0</v>
      </c>
    </row>
    <row r="69" spans="1:51" ht="18.75">
      <c r="A69" s="109"/>
      <c r="B69" s="185" t="s">
        <v>295</v>
      </c>
      <c r="C69" s="186" t="s">
        <v>293</v>
      </c>
      <c r="D69" s="186"/>
      <c r="E69" s="186" t="s">
        <v>291</v>
      </c>
      <c r="F69" s="184"/>
      <c r="G69" s="184"/>
      <c r="H69" s="184"/>
      <c r="I69" s="184"/>
      <c r="J69" s="141"/>
      <c r="K69" s="142">
        <f>K67*K6</f>
        <v>39600</v>
      </c>
      <c r="L69" s="143">
        <f>L67*L6</f>
        <v>280000</v>
      </c>
      <c r="M69" s="141">
        <f>M67*M7</f>
        <v>604800</v>
      </c>
      <c r="N69" s="142">
        <f>N67*N7</f>
        <v>856240</v>
      </c>
      <c r="O69" s="143">
        <f>O67*O7</f>
        <v>140000</v>
      </c>
      <c r="P69" s="142"/>
      <c r="Q69" s="142">
        <f>Q67*Q7</f>
        <v>160000</v>
      </c>
      <c r="R69" s="141"/>
      <c r="S69" s="142">
        <f>S67*S6</f>
        <v>97009.900240289018</v>
      </c>
      <c r="T69" s="142">
        <f>T67*T6</f>
        <v>97009.900240289018</v>
      </c>
      <c r="U69" s="143">
        <f>U67*U6</f>
        <v>97009.900240289018</v>
      </c>
      <c r="V69" s="141">
        <f t="shared" ref="V69:AB69" si="14">V67*V7</f>
        <v>2562000</v>
      </c>
      <c r="W69" s="142">
        <f t="shared" si="14"/>
        <v>213500</v>
      </c>
      <c r="X69" s="143">
        <f t="shared" si="14"/>
        <v>43400</v>
      </c>
      <c r="Y69" s="143"/>
      <c r="Z69" s="184">
        <f t="shared" si="14"/>
        <v>400000</v>
      </c>
      <c r="AA69" s="184">
        <f t="shared" si="14"/>
        <v>400000</v>
      </c>
      <c r="AB69" s="184">
        <f t="shared" si="14"/>
        <v>400000</v>
      </c>
      <c r="AE69" s="197">
        <f>IFERROR(F69-Parameter_2016_SQ!F69,"kein Vergleichswert")</f>
        <v>0</v>
      </c>
      <c r="AF69" s="197">
        <f>IFERROR(G69-Parameter_2016_SQ!G69,"kein Vergleichswert")</f>
        <v>0</v>
      </c>
      <c r="AG69" s="197">
        <f>IFERROR(H69-Parameter_2016_SQ!H69,"kein Vergleichswert")</f>
        <v>0</v>
      </c>
      <c r="AH69" s="197">
        <f>IFERROR(I69-Parameter_2016_SQ!I69,"kein Vergleichswert")</f>
        <v>0</v>
      </c>
      <c r="AI69" s="197">
        <f>IFERROR(J69-Parameter_2016_SQ!J69,"kein Vergleichswert")</f>
        <v>0</v>
      </c>
      <c r="AJ69" s="197">
        <f>IFERROR(K69-Parameter_2016_SQ!K69,"kein Vergleichswert")</f>
        <v>0</v>
      </c>
      <c r="AK69" s="197">
        <f>IFERROR(L69-Parameter_2016_SQ!L69,"kein Vergleichswert")</f>
        <v>0</v>
      </c>
      <c r="AL69" s="197">
        <f>IFERROR(M69-Parameter_2016_SQ!M69,"kein Vergleichswert")</f>
        <v>0</v>
      </c>
      <c r="AM69" s="197">
        <f>IFERROR(N69-Parameter_2016_SQ!N69,"kein Vergleichswert")</f>
        <v>0</v>
      </c>
      <c r="AN69" s="197">
        <f>IFERROR(O69-Parameter_2016_SQ!O69,"kein Vergleichswert")</f>
        <v>0</v>
      </c>
      <c r="AO69" s="197">
        <f>IFERROR(Q69-Parameter_2016_SQ!Q69,"kein Vergleichswert")</f>
        <v>0</v>
      </c>
      <c r="AP69" s="197">
        <f>IFERROR(R69-Parameter_2016_SQ!R69,"kein Vergleichswert")</f>
        <v>0</v>
      </c>
      <c r="AQ69" s="197">
        <f>IFERROR(S69-Parameter_2016_SQ!S69,"kein Vergleichswert")</f>
        <v>0</v>
      </c>
      <c r="AR69" s="197">
        <f>IFERROR(T69-Parameter_2016_SQ!T69,"kein Vergleichswert")</f>
        <v>0</v>
      </c>
      <c r="AS69" s="197">
        <f>IFERROR(U69-Parameter_2016_SQ!U69,"kein Vergleichswert")</f>
        <v>0</v>
      </c>
      <c r="AT69" s="197">
        <f>IFERROR(V69-Parameter_2016_SQ!V69,"kein Vergleichswert")</f>
        <v>0</v>
      </c>
      <c r="AU69" s="197">
        <f>IFERROR(W69-Parameter_2016_SQ!W69,"kein Vergleichswert")</f>
        <v>0</v>
      </c>
      <c r="AV69" s="197">
        <f>IFERROR(X69-Parameter_2016_SQ!X69,"kein Vergleichswert")</f>
        <v>0</v>
      </c>
      <c r="AW69" s="197">
        <f>IFERROR(Z69-Parameter_2016_SQ!Z69,"kein Vergleichswert")</f>
        <v>0</v>
      </c>
      <c r="AX69" s="197">
        <f>IFERROR(AA69-Parameter_2016_SQ!AA69,"kein Vergleichswert")</f>
        <v>0</v>
      </c>
      <c r="AY69" s="197">
        <f>IFERROR(AB69-Parameter_2016_SQ!AB69,"kein Vergleichswert")</f>
        <v>0</v>
      </c>
    </row>
    <row r="70" spans="1:51" ht="30">
      <c r="A70" s="109"/>
      <c r="B70" s="185" t="s">
        <v>308</v>
      </c>
      <c r="C70" s="186"/>
      <c r="D70" s="186"/>
      <c r="E70" s="186"/>
      <c r="F70" s="184"/>
      <c r="G70" s="184"/>
      <c r="H70" s="184"/>
      <c r="I70" s="184"/>
      <c r="J70" s="141"/>
      <c r="K70" s="142">
        <f>0.06</f>
        <v>0.06</v>
      </c>
      <c r="L70" s="143">
        <f>0.06</f>
        <v>0.06</v>
      </c>
      <c r="M70" s="141">
        <f t="shared" ref="M70:AB71" si="15">0.06</f>
        <v>0.06</v>
      </c>
      <c r="N70" s="142">
        <f t="shared" si="15"/>
        <v>0.06</v>
      </c>
      <c r="O70" s="143">
        <f t="shared" si="15"/>
        <v>0.06</v>
      </c>
      <c r="P70" s="142"/>
      <c r="Q70" s="142">
        <f t="shared" si="15"/>
        <v>0.06</v>
      </c>
      <c r="R70" s="141">
        <f t="shared" si="15"/>
        <v>0.06</v>
      </c>
      <c r="S70" s="142">
        <f t="shared" si="15"/>
        <v>0.06</v>
      </c>
      <c r="T70" s="142">
        <f t="shared" si="15"/>
        <v>0.06</v>
      </c>
      <c r="U70" s="143">
        <f t="shared" si="15"/>
        <v>0.06</v>
      </c>
      <c r="V70" s="141">
        <f t="shared" si="15"/>
        <v>0.06</v>
      </c>
      <c r="W70" s="142">
        <f t="shared" si="15"/>
        <v>0.06</v>
      </c>
      <c r="X70" s="143">
        <f t="shared" si="15"/>
        <v>0.06</v>
      </c>
      <c r="Y70" s="143"/>
      <c r="Z70" s="184">
        <f t="shared" si="15"/>
        <v>0.06</v>
      </c>
      <c r="AA70" s="184">
        <f t="shared" si="15"/>
        <v>0.06</v>
      </c>
      <c r="AB70" s="184">
        <f t="shared" si="15"/>
        <v>0.06</v>
      </c>
      <c r="AE70" s="197">
        <f>IFERROR(F70-Parameter_2016_SQ!F70,"kein Vergleichswert")</f>
        <v>0</v>
      </c>
      <c r="AF70" s="197">
        <f>IFERROR(G70-Parameter_2016_SQ!G70,"kein Vergleichswert")</f>
        <v>0</v>
      </c>
      <c r="AG70" s="197">
        <f>IFERROR(H70-Parameter_2016_SQ!H70,"kein Vergleichswert")</f>
        <v>0</v>
      </c>
      <c r="AH70" s="197">
        <f>IFERROR(I70-Parameter_2016_SQ!I70,"kein Vergleichswert")</f>
        <v>0</v>
      </c>
      <c r="AI70" s="197">
        <f>IFERROR(J70-Parameter_2016_SQ!J70,"kein Vergleichswert")</f>
        <v>0</v>
      </c>
      <c r="AJ70" s="197">
        <f>IFERROR(K70-Parameter_2016_SQ!K70,"kein Vergleichswert")</f>
        <v>0</v>
      </c>
      <c r="AK70" s="197">
        <f>IFERROR(L70-Parameter_2016_SQ!L70,"kein Vergleichswert")</f>
        <v>0</v>
      </c>
      <c r="AL70" s="197">
        <f>IFERROR(M70-Parameter_2016_SQ!M70,"kein Vergleichswert")</f>
        <v>0</v>
      </c>
      <c r="AM70" s="197">
        <f>IFERROR(N70-Parameter_2016_SQ!N70,"kein Vergleichswert")</f>
        <v>0</v>
      </c>
      <c r="AN70" s="197">
        <f>IFERROR(O70-Parameter_2016_SQ!O70,"kein Vergleichswert")</f>
        <v>0</v>
      </c>
      <c r="AO70" s="197">
        <f>IFERROR(Q70-Parameter_2016_SQ!Q70,"kein Vergleichswert")</f>
        <v>0</v>
      </c>
      <c r="AP70" s="197">
        <f>IFERROR(R70-Parameter_2016_SQ!R70,"kein Vergleichswert")</f>
        <v>0</v>
      </c>
      <c r="AQ70" s="197">
        <f>IFERROR(S70-Parameter_2016_SQ!S70,"kein Vergleichswert")</f>
        <v>0</v>
      </c>
      <c r="AR70" s="197">
        <f>IFERROR(T70-Parameter_2016_SQ!T70,"kein Vergleichswert")</f>
        <v>0</v>
      </c>
      <c r="AS70" s="197">
        <f>IFERROR(U70-Parameter_2016_SQ!U70,"kein Vergleichswert")</f>
        <v>0</v>
      </c>
      <c r="AT70" s="197">
        <f>IFERROR(V70-Parameter_2016_SQ!V70,"kein Vergleichswert")</f>
        <v>0</v>
      </c>
      <c r="AU70" s="197">
        <f>IFERROR(W70-Parameter_2016_SQ!W70,"kein Vergleichswert")</f>
        <v>0</v>
      </c>
      <c r="AV70" s="197">
        <f>IFERROR(X70-Parameter_2016_SQ!X70,"kein Vergleichswert")</f>
        <v>0</v>
      </c>
      <c r="AW70" s="197">
        <f>IFERROR(Z70-Parameter_2016_SQ!Z70,"kein Vergleichswert")</f>
        <v>0</v>
      </c>
      <c r="AX70" s="197">
        <f>IFERROR(AA70-Parameter_2016_SQ!AA70,"kein Vergleichswert")</f>
        <v>0</v>
      </c>
      <c r="AY70" s="197">
        <f>IFERROR(AB70-Parameter_2016_SQ!AB70,"kein Vergleichswert")</f>
        <v>0</v>
      </c>
    </row>
    <row r="71" spans="1:51" ht="18.75">
      <c r="A71" s="109"/>
      <c r="B71" s="185" t="s">
        <v>309</v>
      </c>
      <c r="C71" s="186"/>
      <c r="D71" s="186"/>
      <c r="E71" s="186"/>
      <c r="F71" s="184"/>
      <c r="G71" s="184"/>
      <c r="H71" s="184"/>
      <c r="I71" s="184"/>
      <c r="J71" s="141"/>
      <c r="K71" s="142">
        <f>0.39</f>
        <v>0.39</v>
      </c>
      <c r="L71" s="143">
        <f>0.39</f>
        <v>0.39</v>
      </c>
      <c r="M71" s="141">
        <v>0.2</v>
      </c>
      <c r="N71" s="142">
        <v>0.2</v>
      </c>
      <c r="O71" s="143">
        <v>0.2</v>
      </c>
      <c r="P71" s="142"/>
      <c r="Q71" s="142">
        <v>0.2</v>
      </c>
      <c r="R71" s="141">
        <f>0.39</f>
        <v>0.39</v>
      </c>
      <c r="S71" s="142">
        <f>0.39</f>
        <v>0.39</v>
      </c>
      <c r="T71" s="142">
        <f>0.39</f>
        <v>0.39</v>
      </c>
      <c r="U71" s="143">
        <f>0.39</f>
        <v>0.39</v>
      </c>
      <c r="V71" s="141">
        <f t="shared" si="15"/>
        <v>0.06</v>
      </c>
      <c r="W71" s="142">
        <f t="shared" si="15"/>
        <v>0.06</v>
      </c>
      <c r="X71" s="143">
        <f t="shared" si="15"/>
        <v>0.06</v>
      </c>
      <c r="Y71" s="143"/>
      <c r="Z71" s="184">
        <v>0.2</v>
      </c>
      <c r="AA71" s="184">
        <v>0.2</v>
      </c>
      <c r="AB71" s="184">
        <v>0.3</v>
      </c>
      <c r="AE71" s="197">
        <f>IFERROR(F71-Parameter_2016_SQ!F71,"kein Vergleichswert")</f>
        <v>0</v>
      </c>
      <c r="AF71" s="197">
        <f>IFERROR(G71-Parameter_2016_SQ!G71,"kein Vergleichswert")</f>
        <v>0</v>
      </c>
      <c r="AG71" s="197">
        <f>IFERROR(H71-Parameter_2016_SQ!H71,"kein Vergleichswert")</f>
        <v>0</v>
      </c>
      <c r="AH71" s="197">
        <f>IFERROR(I71-Parameter_2016_SQ!I71,"kein Vergleichswert")</f>
        <v>0</v>
      </c>
      <c r="AI71" s="197">
        <f>IFERROR(J71-Parameter_2016_SQ!J71,"kein Vergleichswert")</f>
        <v>0</v>
      </c>
      <c r="AJ71" s="197">
        <f>IFERROR(K71-Parameter_2016_SQ!K71,"kein Vergleichswert")</f>
        <v>0</v>
      </c>
      <c r="AK71" s="197">
        <f>IFERROR(L71-Parameter_2016_SQ!L71,"kein Vergleichswert")</f>
        <v>0</v>
      </c>
      <c r="AL71" s="197">
        <f>IFERROR(M71-Parameter_2016_SQ!M71,"kein Vergleichswert")</f>
        <v>0</v>
      </c>
      <c r="AM71" s="197">
        <f>IFERROR(N71-Parameter_2016_SQ!N71,"kein Vergleichswert")</f>
        <v>0</v>
      </c>
      <c r="AN71" s="197">
        <f>IFERROR(O71-Parameter_2016_SQ!O71,"kein Vergleichswert")</f>
        <v>0</v>
      </c>
      <c r="AO71" s="197">
        <f>IFERROR(Q71-Parameter_2016_SQ!Q71,"kein Vergleichswert")</f>
        <v>0</v>
      </c>
      <c r="AP71" s="197">
        <f>IFERROR(R71-Parameter_2016_SQ!R71,"kein Vergleichswert")</f>
        <v>0</v>
      </c>
      <c r="AQ71" s="197">
        <f>IFERROR(S71-Parameter_2016_SQ!S71,"kein Vergleichswert")</f>
        <v>0</v>
      </c>
      <c r="AR71" s="197">
        <f>IFERROR(T71-Parameter_2016_SQ!T71,"kein Vergleichswert")</f>
        <v>0</v>
      </c>
      <c r="AS71" s="197">
        <f>IFERROR(U71-Parameter_2016_SQ!U71,"kein Vergleichswert")</f>
        <v>0</v>
      </c>
      <c r="AT71" s="197">
        <f>IFERROR(V71-Parameter_2016_SQ!V71,"kein Vergleichswert")</f>
        <v>0</v>
      </c>
      <c r="AU71" s="197">
        <f>IFERROR(W71-Parameter_2016_SQ!W71,"kein Vergleichswert")</f>
        <v>0</v>
      </c>
      <c r="AV71" s="197">
        <f>IFERROR(X71-Parameter_2016_SQ!X71,"kein Vergleichswert")</f>
        <v>0</v>
      </c>
      <c r="AW71" s="197">
        <f>IFERROR(Z71-Parameter_2016_SQ!Z71,"kein Vergleichswert")</f>
        <v>0</v>
      </c>
      <c r="AX71" s="197">
        <f>IFERROR(AA71-Parameter_2016_SQ!AA71,"kein Vergleichswert")</f>
        <v>0</v>
      </c>
      <c r="AY71" s="197">
        <f>IFERROR(AB71-Parameter_2016_SQ!AB71,"kein Vergleichswert")</f>
        <v>0</v>
      </c>
    </row>
    <row r="72" spans="1:51" ht="18.75">
      <c r="A72" s="109"/>
      <c r="B72" s="178" t="s">
        <v>296</v>
      </c>
      <c r="C72" s="180" t="s">
        <v>292</v>
      </c>
      <c r="D72" s="180"/>
      <c r="E72" s="180"/>
      <c r="F72" s="184"/>
      <c r="G72" s="184"/>
      <c r="H72" s="184"/>
      <c r="I72" s="184"/>
      <c r="J72" s="141">
        <f t="shared" ref="J72:AB72" si="16">(J71+J70)*J69+J69</f>
        <v>0</v>
      </c>
      <c r="K72" s="142">
        <f t="shared" si="16"/>
        <v>57420</v>
      </c>
      <c r="L72" s="143">
        <f t="shared" si="16"/>
        <v>406000</v>
      </c>
      <c r="M72" s="141">
        <f t="shared" si="16"/>
        <v>762048</v>
      </c>
      <c r="N72" s="142">
        <f t="shared" si="16"/>
        <v>1078862.3999999999</v>
      </c>
      <c r="O72" s="143">
        <f t="shared" si="16"/>
        <v>176400</v>
      </c>
      <c r="P72" s="142"/>
      <c r="Q72" s="142">
        <f t="shared" si="16"/>
        <v>201600</v>
      </c>
      <c r="R72" s="141">
        <f t="shared" si="16"/>
        <v>0</v>
      </c>
      <c r="S72" s="142">
        <f t="shared" si="16"/>
        <v>140664.35534841908</v>
      </c>
      <c r="T72" s="142">
        <f t="shared" si="16"/>
        <v>140664.35534841908</v>
      </c>
      <c r="U72" s="143">
        <f t="shared" si="16"/>
        <v>140664.35534841908</v>
      </c>
      <c r="V72" s="141">
        <f t="shared" si="16"/>
        <v>2869440</v>
      </c>
      <c r="W72" s="142">
        <f t="shared" si="16"/>
        <v>239120</v>
      </c>
      <c r="X72" s="143">
        <f t="shared" si="16"/>
        <v>48608</v>
      </c>
      <c r="Y72" s="143"/>
      <c r="Z72" s="184">
        <f t="shared" si="16"/>
        <v>504000</v>
      </c>
      <c r="AA72" s="184">
        <f t="shared" si="16"/>
        <v>504000</v>
      </c>
      <c r="AB72" s="184">
        <f t="shared" si="16"/>
        <v>544000</v>
      </c>
      <c r="AE72" s="197">
        <f>IFERROR(F72-Parameter_2016_SQ!F72,"kein Vergleichswert")</f>
        <v>0</v>
      </c>
      <c r="AF72" s="197">
        <f>IFERROR(G72-Parameter_2016_SQ!G72,"kein Vergleichswert")</f>
        <v>0</v>
      </c>
      <c r="AG72" s="197">
        <f>IFERROR(H72-Parameter_2016_SQ!H72,"kein Vergleichswert")</f>
        <v>0</v>
      </c>
      <c r="AH72" s="197">
        <f>IFERROR(I72-Parameter_2016_SQ!I72,"kein Vergleichswert")</f>
        <v>0</v>
      </c>
      <c r="AI72" s="197">
        <f>IFERROR(J72-Parameter_2016_SQ!J72,"kein Vergleichswert")</f>
        <v>0</v>
      </c>
      <c r="AJ72" s="197">
        <f>IFERROR(K72-Parameter_2016_SQ!K72,"kein Vergleichswert")</f>
        <v>0</v>
      </c>
      <c r="AK72" s="197">
        <f>IFERROR(L72-Parameter_2016_SQ!L72,"kein Vergleichswert")</f>
        <v>0</v>
      </c>
      <c r="AL72" s="197">
        <f>IFERROR(M72-Parameter_2016_SQ!M72,"kein Vergleichswert")</f>
        <v>0</v>
      </c>
      <c r="AM72" s="197">
        <f>IFERROR(N72-Parameter_2016_SQ!N72,"kein Vergleichswert")</f>
        <v>0</v>
      </c>
      <c r="AN72" s="197">
        <f>IFERROR(O72-Parameter_2016_SQ!O72,"kein Vergleichswert")</f>
        <v>0</v>
      </c>
      <c r="AO72" s="197">
        <f>IFERROR(Q72-Parameter_2016_SQ!Q72,"kein Vergleichswert")</f>
        <v>0</v>
      </c>
      <c r="AP72" s="197">
        <f>IFERROR(R72-Parameter_2016_SQ!R72,"kein Vergleichswert")</f>
        <v>0</v>
      </c>
      <c r="AQ72" s="197">
        <f>IFERROR(S72-Parameter_2016_SQ!S72,"kein Vergleichswert")</f>
        <v>0</v>
      </c>
      <c r="AR72" s="197">
        <f>IFERROR(T72-Parameter_2016_SQ!T72,"kein Vergleichswert")</f>
        <v>0</v>
      </c>
      <c r="AS72" s="197">
        <f>IFERROR(U72-Parameter_2016_SQ!U72,"kein Vergleichswert")</f>
        <v>0</v>
      </c>
      <c r="AT72" s="197">
        <f>IFERROR(V72-Parameter_2016_SQ!V72,"kein Vergleichswert")</f>
        <v>0</v>
      </c>
      <c r="AU72" s="197">
        <f>IFERROR(W72-Parameter_2016_SQ!W72,"kein Vergleichswert")</f>
        <v>0</v>
      </c>
      <c r="AV72" s="197">
        <f>IFERROR(X72-Parameter_2016_SQ!X72,"kein Vergleichswert")</f>
        <v>0</v>
      </c>
      <c r="AW72" s="197">
        <f>IFERROR(Z72-Parameter_2016_SQ!Z72,"kein Vergleichswert")</f>
        <v>0</v>
      </c>
      <c r="AX72" s="197">
        <f>IFERROR(AA72-Parameter_2016_SQ!AA72,"kein Vergleichswert")</f>
        <v>0</v>
      </c>
      <c r="AY72" s="197">
        <f>IFERROR(AB72-Parameter_2016_SQ!AB72,"kein Vergleichswert")</f>
        <v>0</v>
      </c>
    </row>
    <row r="78" spans="1:51">
      <c r="J78" s="122" t="s">
        <v>297</v>
      </c>
      <c r="K78" t="s">
        <v>298</v>
      </c>
      <c r="AI78" s="122" t="s">
        <v>297</v>
      </c>
      <c r="AJ78" t="s">
        <v>298</v>
      </c>
    </row>
    <row r="79" spans="1:51">
      <c r="J79" s="122" t="s">
        <v>300</v>
      </c>
      <c r="K79" t="s">
        <v>299</v>
      </c>
      <c r="AI79" s="122" t="s">
        <v>300</v>
      </c>
      <c r="AJ79" t="s">
        <v>299</v>
      </c>
    </row>
  </sheetData>
  <mergeCells count="15">
    <mergeCell ref="AA1:AB1"/>
    <mergeCell ref="AE1:AH1"/>
    <mergeCell ref="AP1:AW1"/>
    <mergeCell ref="AX1:AY1"/>
    <mergeCell ref="AI2:AK2"/>
    <mergeCell ref="AL2:AN2"/>
    <mergeCell ref="AP2:AS2"/>
    <mergeCell ref="AT2:AV2"/>
    <mergeCell ref="AI1:AO1"/>
    <mergeCell ref="V2:X2"/>
    <mergeCell ref="R2:U2"/>
    <mergeCell ref="M2:O2"/>
    <mergeCell ref="J2:L2"/>
    <mergeCell ref="J1:Q1"/>
    <mergeCell ref="R1:Z1"/>
  </mergeCells>
  <conditionalFormatting sqref="AE5:AY10 AE12:AY7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Scenario Selection</vt:lpstr>
      <vt:lpstr>Year Selection</vt:lpstr>
      <vt:lpstr>Parameter_2016_SQ</vt:lpstr>
      <vt:lpstr>Parameter_2016_SINTEG</vt:lpstr>
      <vt:lpstr>Parameter_2016_FLEXFRIENDLY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2019-03-05T17:22:12Z</dcterms:modified>
</cp:coreProperties>
</file>