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0517D6D-D475-4573-90FF-09D4985F747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cenario Selection" sheetId="2" r:id="rId1"/>
    <sheet name="Year Selection" sheetId="3" r:id="rId2"/>
  </sheets>
  <definedNames>
    <definedName name="_xlnm._FilterDatabase" localSheetId="1" hidden="1">'Year Selection'!$B$7:$H$88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G235" i="3" l="1"/>
  <c r="G236" i="3"/>
  <c r="F236" i="3"/>
  <c r="F235" i="3"/>
  <c r="E236" i="3"/>
  <c r="G100" i="3"/>
  <c r="H100" i="3"/>
  <c r="E98" i="3"/>
  <c r="G111" i="3"/>
  <c r="H111" i="3"/>
  <c r="G112" i="3"/>
  <c r="H112" i="3"/>
  <c r="H141" i="3"/>
  <c r="G141" i="3"/>
  <c r="H140" i="3"/>
  <c r="G140" i="3"/>
  <c r="F112" i="3"/>
  <c r="E113" i="3"/>
  <c r="E112" i="3"/>
  <c r="F141" i="3"/>
  <c r="F140" i="3"/>
  <c r="E144" i="3"/>
  <c r="E143" i="3"/>
  <c r="E142" i="3"/>
  <c r="E141" i="3"/>
  <c r="E140" i="3"/>
  <c r="E107" i="3"/>
  <c r="F111" i="3"/>
  <c r="E106" i="3"/>
  <c r="G9" i="2"/>
  <c r="G10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31" i="2"/>
  <c r="G32" i="2"/>
  <c r="G33" i="2"/>
  <c r="G36" i="2"/>
  <c r="G37" i="2"/>
  <c r="G38" i="2"/>
  <c r="G40" i="2"/>
  <c r="G41" i="2"/>
  <c r="G42" i="2"/>
  <c r="G43" i="2"/>
  <c r="G44" i="2"/>
  <c r="G45" i="2"/>
  <c r="G46" i="2"/>
  <c r="G47" i="2"/>
  <c r="G48" i="2"/>
  <c r="G51" i="2"/>
  <c r="G52" i="2"/>
  <c r="G53" i="2"/>
  <c r="G6" i="2"/>
  <c r="H6" i="2"/>
  <c r="E170" i="3"/>
  <c r="E171" i="3"/>
  <c r="H165" i="3"/>
  <c r="G165" i="3"/>
  <c r="E169" i="3"/>
  <c r="E168" i="3"/>
  <c r="E167" i="3"/>
  <c r="E166" i="3"/>
  <c r="E165" i="3"/>
  <c r="H162" i="3"/>
  <c r="G162" i="3"/>
  <c r="F162" i="3"/>
  <c r="H161" i="3"/>
  <c r="G161" i="3"/>
  <c r="F161" i="3"/>
  <c r="H160" i="3"/>
  <c r="G160" i="3"/>
  <c r="F160" i="3"/>
  <c r="E164" i="3"/>
  <c r="E163" i="3"/>
  <c r="E162" i="3"/>
  <c r="E161" i="3"/>
  <c r="E160" i="3"/>
  <c r="E159" i="3"/>
  <c r="E158" i="3"/>
  <c r="E157" i="3"/>
  <c r="E156" i="3"/>
  <c r="E155" i="3"/>
  <c r="E53" i="2"/>
  <c r="E52" i="2"/>
  <c r="G92" i="3"/>
  <c r="H92" i="3"/>
  <c r="F92" i="3"/>
  <c r="G85" i="3"/>
  <c r="H85" i="3"/>
  <c r="F127" i="3"/>
  <c r="F100" i="3"/>
  <c r="H127" i="3"/>
  <c r="H126" i="3"/>
  <c r="G127" i="3"/>
  <c r="G126" i="3"/>
  <c r="F126" i="3"/>
  <c r="E127" i="3"/>
  <c r="E128" i="3"/>
  <c r="H119" i="3"/>
  <c r="H118" i="3"/>
  <c r="G119" i="3"/>
  <c r="G118" i="3"/>
  <c r="F118" i="3"/>
  <c r="F119" i="3"/>
  <c r="E119" i="3"/>
  <c r="E120" i="3"/>
  <c r="E29" i="2"/>
  <c r="E136" i="3"/>
  <c r="G135" i="3"/>
  <c r="H135" i="3"/>
  <c r="F135" i="3"/>
  <c r="E135" i="3"/>
  <c r="G134" i="3"/>
  <c r="F134" i="3"/>
  <c r="H134" i="3"/>
  <c r="E100" i="3"/>
  <c r="E99" i="3"/>
  <c r="E97" i="3"/>
  <c r="E50" i="2"/>
  <c r="E90" i="3"/>
  <c r="E91" i="3"/>
  <c r="E92" i="3"/>
  <c r="E93" i="3"/>
  <c r="E84" i="3"/>
  <c r="F85" i="3"/>
  <c r="F80" i="3"/>
  <c r="F78" i="3"/>
  <c r="F66" i="3"/>
  <c r="F20" i="3"/>
  <c r="F19" i="3"/>
  <c r="F61" i="3"/>
  <c r="E49" i="2"/>
  <c r="E86" i="3"/>
  <c r="E85" i="3"/>
  <c r="E83" i="3"/>
  <c r="F57" i="3"/>
  <c r="F59" i="3"/>
  <c r="F17" i="3"/>
  <c r="H82" i="2"/>
  <c r="H74" i="2"/>
  <c r="H72" i="2"/>
  <c r="I6" i="2"/>
  <c r="J6" i="2"/>
  <c r="K6" i="2"/>
  <c r="L6" i="2"/>
  <c r="M6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9" i="2"/>
  <c r="E120" i="2"/>
  <c r="E121" i="2"/>
  <c r="E122" i="2"/>
  <c r="E123" i="2"/>
  <c r="E124" i="2"/>
  <c r="E125" i="2"/>
  <c r="E126" i="2"/>
  <c r="E77" i="3"/>
  <c r="F242" i="3"/>
  <c r="E242" i="3"/>
  <c r="E238" i="3"/>
  <c r="E237" i="3"/>
  <c r="E235" i="3"/>
  <c r="I82" i="2"/>
  <c r="J82" i="2"/>
  <c r="K82" i="2"/>
  <c r="L82" i="2"/>
  <c r="M82" i="2"/>
  <c r="E126" i="3"/>
  <c r="E134" i="3"/>
  <c r="E148" i="3"/>
  <c r="E149" i="3"/>
  <c r="E150" i="3"/>
  <c r="E151" i="3"/>
  <c r="E152" i="3"/>
  <c r="E153" i="3"/>
  <c r="E121" i="3"/>
  <c r="E129" i="3"/>
  <c r="E137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122" i="3"/>
  <c r="E130" i="3"/>
  <c r="E138" i="3"/>
  <c r="E216" i="3"/>
  <c r="E217" i="3"/>
  <c r="E218" i="3"/>
  <c r="E219" i="3"/>
  <c r="E220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118" i="3"/>
  <c r="E116" i="3"/>
  <c r="E117" i="3"/>
  <c r="F82" i="2"/>
  <c r="E78" i="3"/>
  <c r="E79" i="3"/>
  <c r="E80" i="3"/>
  <c r="E81" i="3"/>
  <c r="E21" i="2"/>
  <c r="E22" i="2"/>
  <c r="E30" i="2"/>
  <c r="E28" i="2"/>
  <c r="E36" i="2"/>
  <c r="E17" i="3"/>
  <c r="A7" i="3"/>
  <c r="A8" i="3"/>
  <c r="E8" i="3"/>
  <c r="E9" i="3"/>
  <c r="E10" i="3"/>
  <c r="E11" i="3"/>
  <c r="E12" i="3"/>
  <c r="E13" i="3"/>
  <c r="E101" i="3"/>
  <c r="E102" i="3"/>
  <c r="E103" i="3"/>
  <c r="E104" i="3"/>
  <c r="E14" i="3"/>
  <c r="E15" i="3"/>
  <c r="E16" i="3"/>
  <c r="E18" i="3"/>
  <c r="E19" i="3"/>
  <c r="G19" i="3"/>
  <c r="H19" i="3"/>
  <c r="E20" i="3"/>
  <c r="G20" i="3"/>
  <c r="H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08" i="3"/>
  <c r="E109" i="3"/>
  <c r="E110" i="3"/>
  <c r="E111" i="3"/>
  <c r="E52" i="3"/>
  <c r="E53" i="3"/>
  <c r="E94" i="3"/>
  <c r="E95" i="3"/>
  <c r="E87" i="3"/>
  <c r="E88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A117" i="3"/>
  <c r="A118" i="3"/>
  <c r="A126" i="3"/>
  <c r="A134" i="3"/>
  <c r="A148" i="3"/>
  <c r="A149" i="3"/>
  <c r="A150" i="3"/>
  <c r="A151" i="3"/>
  <c r="A152" i="3"/>
  <c r="A153" i="3"/>
  <c r="A121" i="3"/>
  <c r="A129" i="3"/>
  <c r="A137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122" i="3"/>
  <c r="A130" i="3"/>
  <c r="A138" i="3"/>
  <c r="A216" i="3"/>
  <c r="A217" i="3"/>
  <c r="A218" i="3"/>
  <c r="A219" i="3"/>
  <c r="A220" i="3"/>
  <c r="G150" i="3"/>
  <c r="H150" i="3"/>
  <c r="D221" i="3"/>
  <c r="E221" i="3"/>
  <c r="F222" i="3"/>
  <c r="G222" i="3"/>
  <c r="F223" i="3"/>
  <c r="H223" i="3"/>
  <c r="G224" i="3"/>
  <c r="H224" i="3"/>
  <c r="D314" i="3"/>
  <c r="A7" i="2"/>
  <c r="E8" i="2"/>
  <c r="E9" i="2"/>
  <c r="E10" i="2"/>
  <c r="E11" i="2"/>
  <c r="E12" i="2"/>
  <c r="E13" i="2"/>
  <c r="E14" i="2"/>
  <c r="E15" i="2"/>
  <c r="E16" i="2"/>
  <c r="E17" i="2"/>
  <c r="E18" i="2"/>
  <c r="F18" i="2"/>
  <c r="E19" i="2"/>
  <c r="E20" i="2"/>
  <c r="E24" i="2"/>
  <c r="E25" i="2"/>
  <c r="E26" i="2"/>
  <c r="E32" i="2"/>
  <c r="E33" i="2"/>
  <c r="E34" i="2"/>
  <c r="E35" i="2"/>
  <c r="E37" i="2"/>
  <c r="E38" i="2"/>
  <c r="E39" i="2"/>
  <c r="E40" i="2"/>
  <c r="E41" i="2"/>
  <c r="E42" i="2"/>
  <c r="E43" i="2"/>
  <c r="E44" i="2"/>
  <c r="E45" i="2"/>
  <c r="E46" i="2"/>
  <c r="F46" i="2"/>
  <c r="E47" i="2"/>
  <c r="F47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K56" i="2"/>
  <c r="J61" i="2"/>
  <c r="K61" i="2"/>
  <c r="K66" i="2"/>
  <c r="K68" i="2"/>
  <c r="F72" i="2"/>
  <c r="F74" i="2"/>
  <c r="A77" i="2"/>
  <c r="A78" i="2"/>
  <c r="A79" i="2"/>
  <c r="A80" i="2"/>
  <c r="F78" i="2"/>
  <c r="F80" i="2"/>
  <c r="A8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9" i="2"/>
  <c r="A120" i="2"/>
  <c r="A121" i="2"/>
  <c r="A122" i="2"/>
  <c r="A123" i="2"/>
  <c r="A124" i="2"/>
  <c r="A125" i="2"/>
  <c r="A126" i="2"/>
  <c r="A127" i="2"/>
  <c r="E172" i="2"/>
  <c r="E173" i="2"/>
  <c r="E174" i="2"/>
  <c r="E175" i="2"/>
  <c r="E176" i="2"/>
  <c r="E177" i="2"/>
  <c r="E178" i="2"/>
  <c r="E179" i="2"/>
  <c r="E180" i="2"/>
  <c r="E181" i="2"/>
  <c r="E182" i="2"/>
  <c r="F99" i="3"/>
  <c r="G99" i="3"/>
  <c r="H99" i="3"/>
  <c r="F98" i="3"/>
  <c r="H98" i="3"/>
  <c r="G98" i="3"/>
  <c r="F97" i="3"/>
  <c r="H97" i="3"/>
  <c r="G97" i="3"/>
  <c r="G107" i="3"/>
  <c r="H106" i="3"/>
  <c r="F113" i="3"/>
  <c r="G106" i="3"/>
  <c r="H107" i="3"/>
  <c r="F106" i="3"/>
  <c r="H113" i="3"/>
  <c r="F107" i="3"/>
  <c r="G113" i="3"/>
  <c r="H86" i="3"/>
  <c r="F84" i="3"/>
  <c r="G83" i="3"/>
  <c r="G86" i="3"/>
  <c r="F86" i="3"/>
  <c r="G93" i="3"/>
  <c r="F93" i="3"/>
  <c r="H84" i="3"/>
  <c r="G84" i="3"/>
  <c r="F91" i="3"/>
  <c r="G91" i="3"/>
  <c r="H90" i="3"/>
  <c r="H83" i="3"/>
  <c r="F90" i="3"/>
  <c r="G90" i="3"/>
  <c r="F83" i="3"/>
  <c r="H93" i="3"/>
  <c r="H91" i="3"/>
  <c r="F49" i="2"/>
  <c r="G49" i="2" s="1"/>
  <c r="F53" i="2"/>
  <c r="F52" i="2"/>
  <c r="F29" i="2"/>
  <c r="G29" i="2" s="1"/>
  <c r="F50" i="2"/>
  <c r="G50" i="2" s="1"/>
  <c r="F73" i="3"/>
  <c r="F75" i="3"/>
  <c r="F77" i="3"/>
  <c r="H70" i="2"/>
  <c r="H84" i="2"/>
  <c r="H75" i="2" s="1"/>
  <c r="A74" i="2"/>
  <c r="A76" i="2"/>
  <c r="A71" i="2"/>
  <c r="L92" i="2"/>
  <c r="K87" i="2"/>
  <c r="J88" i="2"/>
  <c r="I89" i="2"/>
  <c r="M89" i="2"/>
  <c r="F92" i="2"/>
  <c r="M87" i="2"/>
  <c r="K89" i="2"/>
  <c r="J87" i="2"/>
  <c r="L89" i="2"/>
  <c r="I92" i="2"/>
  <c r="M92" i="2"/>
  <c r="L87" i="2"/>
  <c r="K88" i="2"/>
  <c r="J89" i="2"/>
  <c r="F89" i="2"/>
  <c r="I87" i="2"/>
  <c r="F88" i="2"/>
  <c r="K92" i="2"/>
  <c r="M88" i="2"/>
  <c r="J92" i="2"/>
  <c r="L88" i="2"/>
  <c r="I88" i="2"/>
  <c r="F87" i="2"/>
  <c r="I94" i="2"/>
  <c r="M94" i="2"/>
  <c r="L95" i="2"/>
  <c r="K96" i="2"/>
  <c r="J97" i="2"/>
  <c r="I98" i="2"/>
  <c r="M98" i="2"/>
  <c r="L99" i="2"/>
  <c r="K100" i="2"/>
  <c r="J101" i="2"/>
  <c r="F95" i="2"/>
  <c r="F99" i="2"/>
  <c r="I119" i="2"/>
  <c r="M119" i="2"/>
  <c r="L120" i="2"/>
  <c r="K121" i="2"/>
  <c r="J122" i="2"/>
  <c r="I123" i="2"/>
  <c r="M123" i="2"/>
  <c r="L124" i="2"/>
  <c r="K125" i="2"/>
  <c r="J126" i="2"/>
  <c r="F120" i="2"/>
  <c r="F124" i="2"/>
  <c r="I103" i="2"/>
  <c r="M103" i="2"/>
  <c r="L104" i="2"/>
  <c r="K105" i="2"/>
  <c r="J106" i="2"/>
  <c r="I107" i="2"/>
  <c r="M107" i="2"/>
  <c r="L108" i="2"/>
  <c r="K109" i="2"/>
  <c r="J110" i="2"/>
  <c r="F104" i="2"/>
  <c r="F12" i="2"/>
  <c r="F108" i="2"/>
  <c r="F8" i="2" s="1"/>
  <c r="I84" i="2"/>
  <c r="I75" i="2" s="1"/>
  <c r="M84" i="2"/>
  <c r="M75" i="2" s="1"/>
  <c r="L70" i="2"/>
  <c r="L101" i="2"/>
  <c r="M121" i="2"/>
  <c r="J124" i="2"/>
  <c r="L126" i="2"/>
  <c r="K103" i="2"/>
  <c r="M105" i="2"/>
  <c r="J108" i="2"/>
  <c r="M109" i="2"/>
  <c r="F110" i="2"/>
  <c r="K95" i="2"/>
  <c r="L98" i="2"/>
  <c r="I101" i="2"/>
  <c r="F94" i="2"/>
  <c r="J121" i="2"/>
  <c r="M122" i="2"/>
  <c r="J125" i="2"/>
  <c r="F123" i="2"/>
  <c r="K104" i="2"/>
  <c r="M106" i="2"/>
  <c r="I110" i="2"/>
  <c r="F107" i="2"/>
  <c r="K70" i="2"/>
  <c r="J94" i="2"/>
  <c r="I95" i="2"/>
  <c r="M95" i="2"/>
  <c r="L96" i="2"/>
  <c r="K97" i="2"/>
  <c r="J98" i="2"/>
  <c r="I99" i="2"/>
  <c r="M99" i="2"/>
  <c r="L100" i="2"/>
  <c r="K101" i="2"/>
  <c r="F96" i="2"/>
  <c r="F100" i="2"/>
  <c r="J119" i="2"/>
  <c r="I120" i="2"/>
  <c r="M120" i="2"/>
  <c r="L121" i="2"/>
  <c r="K122" i="2"/>
  <c r="J123" i="2"/>
  <c r="I124" i="2"/>
  <c r="M124" i="2"/>
  <c r="L125" i="2"/>
  <c r="K126" i="2"/>
  <c r="F121" i="2"/>
  <c r="F125" i="2"/>
  <c r="J103" i="2"/>
  <c r="I104" i="2"/>
  <c r="M104" i="2"/>
  <c r="L105" i="2"/>
  <c r="K106" i="2"/>
  <c r="J107" i="2"/>
  <c r="I108" i="2"/>
  <c r="M108" i="2"/>
  <c r="L109" i="2"/>
  <c r="K110" i="2"/>
  <c r="F105" i="2"/>
  <c r="G28" i="2" s="1"/>
  <c r="F109" i="2"/>
  <c r="J84" i="2"/>
  <c r="J75" i="2"/>
  <c r="I70" i="2"/>
  <c r="M70" i="2"/>
  <c r="F97" i="2"/>
  <c r="J120" i="2"/>
  <c r="L122" i="2"/>
  <c r="I125" i="2"/>
  <c r="F122" i="2"/>
  <c r="J104" i="2"/>
  <c r="L106" i="2"/>
  <c r="I109" i="2"/>
  <c r="F106" i="2"/>
  <c r="J70" i="2"/>
  <c r="J96" i="2"/>
  <c r="M97" i="2"/>
  <c r="K99" i="2"/>
  <c r="M101" i="2"/>
  <c r="L119" i="2"/>
  <c r="I122" i="2"/>
  <c r="K124" i="2"/>
  <c r="M126" i="2"/>
  <c r="L103" i="2"/>
  <c r="I106" i="2"/>
  <c r="K108" i="2"/>
  <c r="M110" i="2"/>
  <c r="L84" i="2"/>
  <c r="L75" i="2" s="1"/>
  <c r="K94" i="2"/>
  <c r="J95" i="2"/>
  <c r="I96" i="2"/>
  <c r="M96" i="2"/>
  <c r="L97" i="2"/>
  <c r="K98" i="2"/>
  <c r="J99" i="2"/>
  <c r="I100" i="2"/>
  <c r="M100" i="2"/>
  <c r="F101" i="2"/>
  <c r="K119" i="2"/>
  <c r="I121" i="2"/>
  <c r="K123" i="2"/>
  <c r="M125" i="2"/>
  <c r="F126" i="2"/>
  <c r="I105" i="2"/>
  <c r="K107" i="2"/>
  <c r="L110" i="2"/>
  <c r="K84" i="2"/>
  <c r="K75" i="2" s="1"/>
  <c r="L94" i="2"/>
  <c r="I97" i="2"/>
  <c r="J100" i="2"/>
  <c r="F98" i="2"/>
  <c r="K120" i="2"/>
  <c r="L123" i="2"/>
  <c r="I126" i="2"/>
  <c r="F119" i="2"/>
  <c r="J105" i="2"/>
  <c r="L107" i="2"/>
  <c r="J109" i="2"/>
  <c r="F103" i="2"/>
  <c r="F11" i="2" s="1"/>
  <c r="G11" i="2" s="1"/>
  <c r="F84" i="2"/>
  <c r="F75" i="2" s="1"/>
  <c r="F70" i="2"/>
  <c r="F19" i="2"/>
  <c r="G12" i="2"/>
  <c r="F35" i="2"/>
  <c r="G35" i="2"/>
  <c r="F34" i="2"/>
  <c r="G34" i="2" s="1"/>
  <c r="F30" i="2"/>
  <c r="G30" i="2" s="1"/>
  <c r="H39" i="2" l="1"/>
  <c r="F39" i="2"/>
  <c r="G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34" authorId="0" shapeId="0" xr:uid="{4C9074FE-30FE-49F8-A9BE-FDE79BEF5362}">
      <text>
        <r>
          <rPr>
            <sz val="10"/>
            <rFont val="Arial"/>
            <family val="2"/>
            <charset val="1"/>
          </rPr>
          <t>78.51 EUR/MWh
MIXED PRICE
Source:
Slide 13
Ökologische und bezahlbare Fernwärme für eine
mittelgroße Stadt
https://mil.brandenburg.de/media_fast/4055/Harald%20Jahnke%202017-10-19%20Br%C3%BCssel.pdf</t>
        </r>
      </text>
    </comment>
    <comment ref="G34" authorId="0" shapeId="0" xr:uid="{960CB661-3910-4FD2-AAD6-705830D124D4}">
      <text>
        <r>
          <rPr>
            <sz val="10"/>
            <rFont val="Arial"/>
            <family val="2"/>
            <charset val="1"/>
          </rPr>
          <t>78.51 EUR/MWh
MIXED PRICE
Source:
Slide 13
Ökologische und bezahlbare Fernwärme für eine
mittelgroße Stadt
https://mil.brandenburg.de/media_fast/4055/Harald%20Jahnke%202017-10-19%20Br%C3%BCssel.pdf</t>
        </r>
      </text>
    </comment>
    <comment ref="F35" authorId="0" shapeId="0" xr:uid="{7D4E58DD-8F95-4FB7-A789-5229B0F574C3}">
      <text>
        <r>
          <rPr>
            <sz val="10"/>
            <rFont val="Arial"/>
            <family val="2"/>
            <charset val="1"/>
          </rPr>
          <t>80.67 EUR/MWh
MIXED PRICE
Source:
Slide 13
Ökologische und bezahlbare Fernwärme für eine
mittelgroße Stadt
https://mil.brandenburg.de/media_fast/4055/Harald%20Jahnke%202017-10-19%20Br%C3%BCssel.pdf</t>
        </r>
      </text>
    </comment>
    <comment ref="G35" authorId="0" shapeId="0" xr:uid="{969D866A-FBF0-4C74-BD2E-EF625023EC9C}">
      <text>
        <r>
          <rPr>
            <sz val="10"/>
            <rFont val="Arial"/>
            <family val="2"/>
            <charset val="1"/>
          </rPr>
          <t>80.67 EUR/MWh
MIXED PRICE
Source:
Slide 13
Ökologische und bezahlbare Fernwärme für eine
mittelgroße Stadt
https://mil.brandenburg.de/media_fast/4055/Harald%20Jahnke%202017-10-19%20Br%C3%BCssel.pdf</t>
        </r>
      </text>
    </comment>
    <comment ref="F39" authorId="0" shapeId="0" xr:uid="{FD95929F-71BC-47CD-9A6F-93E252DA1C77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G39" authorId="0" shapeId="0" xr:uid="{785F3861-DF0C-44DE-A330-F0423DA76711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H39" authorId="0" shapeId="0" xr:uid="{64D0EC42-849E-4BCF-9CE2-D38F76A7F80F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C42" authorId="0" shapeId="0" xr:uid="{A925D261-D842-41A2-8B84-E3F5EA6B7418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D42" authorId="0" shapeId="0" xr:uid="{27AEDA44-DF80-4561-A817-043C9BAD7CE3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43" authorId="0" shapeId="0" xr:uid="{CCB60691-B0BA-4911-922B-85C006E60E36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44" authorId="0" shapeId="0" xr:uid="{8776061D-51D5-4C94-A278-15CFF19DE93A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45" authorId="0" shapeId="0" xr:uid="{31BCC10C-A58D-48BD-B7A4-2818A871BA06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46" authorId="0" shapeId="0" xr:uid="{5244982E-6DD5-4412-8D02-3C518A91C111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47" authorId="0" shapeId="0" xr:uid="{C31EBCB8-60CC-4B9B-9D3E-1C43EE1C6E3B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F72" authorId="0" shapeId="0" xr:uid="{17DBAAD8-0BDF-48DD-A086-85E665D04774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CB435B3-F827-4CA0-88A5-FAAEA1AA373B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G8" authorId="0" shapeId="0" xr:uid="{A5BDC8B4-2002-4B1F-BF35-8CF252CA1406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H8" authorId="0" shapeId="0" xr:uid="{1D3BF7EC-2E90-4CB2-8198-37F8E48942B8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F9" authorId="0" shapeId="0" xr:uid="{15692605-D02B-4B46-AB22-DAF3A7EAF329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G9" authorId="0" shapeId="0" xr:uid="{D2991CEC-F875-404F-ADA7-0C0427642379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H9" authorId="0" shapeId="0" xr:uid="{F4BB6E23-0D58-4EE2-BCF0-D682611C3D3C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F10" authorId="0" shapeId="0" xr:uid="{A1243D6D-8AF7-4644-8B0A-BE07A704B481}">
      <text>
        <r>
          <rPr>
            <b/>
            <sz val="9"/>
            <color indexed="81"/>
            <rFont val="Arial"/>
            <family val="2"/>
            <charset val="1"/>
          </rPr>
          <t xml:space="preserve"> Electric Efficiency of natural gas BHKW 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BHKW-Kenndaten 2011
https://asue.de/sites/default/files/asue/themen/blockheizkraftwerke/2011/broschueren/05_07_11_asue-bhkw-kenndaten-0311.pdf
</t>
        </r>
      </text>
    </comment>
    <comment ref="D12" authorId="0" shapeId="0" xr:uid="{46975584-F19A-4EA2-89F1-94870DE254FF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13" authorId="0" shapeId="0" xr:uid="{A069813D-46C5-4C42-BBCA-749AF5008F00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F14" authorId="0" shapeId="0" xr:uid="{FEFA5D19-591C-4ED3-8264-85397DD3161D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G14" authorId="0" shapeId="0" xr:uid="{54DEB60A-7ABD-4CBC-8710-0F31A860A075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H14" authorId="0" shapeId="0" xr:uid="{6CC26F1F-5F4B-418A-B856-6E1C773E61C9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F18" authorId="0" shapeId="0" xr:uid="{C1CB6132-921A-4C61-8AA2-3CA855BBA53D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G18" authorId="0" shapeId="0" xr:uid="{5255F8E2-E1A3-4BC8-A142-5E9E87EC3282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H18" authorId="0" shapeId="0" xr:uid="{7F9BD154-A338-4C5B-AC30-B350A11B06C9}">
      <text>
        <r>
          <rPr>
            <sz val="10"/>
            <rFont val="Arial"/>
            <family val="2"/>
            <charset val="1"/>
          </rPr>
          <t>366 MW
Total gas capacity for Schwedt + Prenzlau cities (CHP + gas boilers)</t>
        </r>
      </text>
    </comment>
    <comment ref="C21" authorId="0" shapeId="0" xr:uid="{D7089A06-4104-4DBC-895F-DDF200363B92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2" authorId="0" shapeId="0" xr:uid="{CFAC39D5-7A5C-435E-830D-88B8C8BD30CB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3" authorId="0" shapeId="0" xr:uid="{C4922241-29DF-49EF-BDE6-84371C6137A7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4" authorId="0" shapeId="0" xr:uid="{39C2A389-7975-44F8-9128-B6B05873F466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5" authorId="0" shapeId="0" xr:uid="{7D7706E8-9CC5-4AA4-9B52-A848A956F079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6" authorId="0" shapeId="0" xr:uid="{096799CB-2546-4DA3-B896-B47EF943F6C6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7" authorId="0" shapeId="0" xr:uid="{A616D22C-448D-4029-9AAB-C11D86DC6201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8" authorId="0" shapeId="0" xr:uid="{3B87F0BD-8234-4905-9ACD-5A552C425A2C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29" authorId="0" shapeId="0" xr:uid="{C56227EB-8E51-43F2-981D-DC4CB634BDAF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D53" authorId="0" shapeId="0" xr:uid="{73782015-5ECD-498F-A456-A2A0F15F7D0C}">
      <text>
        <r>
          <rPr>
            <sz val="10"/>
            <rFont val="Arial"/>
            <family val="2"/>
            <charset val="1"/>
          </rPr>
          <t>MW</t>
        </r>
      </text>
    </comment>
    <comment ref="D57" authorId="0" shapeId="0" xr:uid="{1F38F174-0BB5-4106-94AF-753EAF757CC0}">
      <text>
        <r>
          <rPr>
            <sz val="10"/>
            <rFont val="Arial"/>
            <family val="2"/>
            <charset val="1"/>
          </rPr>
          <t>MW</t>
        </r>
      </text>
    </comment>
    <comment ref="D59" authorId="0" shapeId="0" xr:uid="{0C1605A8-5EAF-4CCA-B232-91DD6A58331B}">
      <text>
        <r>
          <rPr>
            <sz val="10"/>
            <rFont val="Arial"/>
            <family val="2"/>
            <charset val="1"/>
          </rPr>
          <t>MW</t>
        </r>
      </text>
    </comment>
    <comment ref="D61" authorId="0" shapeId="0" xr:uid="{6BA7D7C0-C9A8-4C5B-B2B5-87C21BE2FBA7}">
      <text>
        <r>
          <rPr>
            <sz val="10"/>
            <rFont val="Arial"/>
            <family val="2"/>
            <charset val="1"/>
          </rPr>
          <t>MW</t>
        </r>
      </text>
    </comment>
    <comment ref="D63" authorId="0" shapeId="0" xr:uid="{4D93889B-060B-4CC1-9152-1198D6B39806}">
      <text>
        <r>
          <rPr>
            <sz val="10"/>
            <rFont val="Arial"/>
            <family val="2"/>
            <charset val="1"/>
          </rPr>
          <t>MW</t>
        </r>
      </text>
    </comment>
    <comment ref="D65" authorId="0" shapeId="0" xr:uid="{C0DF02B9-9BE7-446C-9A43-2E9CA0331A36}">
      <text>
        <r>
          <rPr>
            <sz val="10"/>
            <rFont val="Arial"/>
            <family val="2"/>
            <charset val="1"/>
          </rPr>
          <t>MW</t>
        </r>
      </text>
    </comment>
    <comment ref="F66" authorId="0" shapeId="0" xr:uid="{D1A43B5F-7940-4374-9B71-83C12977BDFF}">
      <text>
        <r>
          <rPr>
            <b/>
            <sz val="9"/>
            <color indexed="81"/>
            <rFont val="Segoe UI"/>
            <family val="2"/>
          </rPr>
          <t>\cite{Ausfelder2015}</t>
        </r>
      </text>
    </comment>
    <comment ref="D67" authorId="0" shapeId="0" xr:uid="{97EE4B12-C74A-45A2-B1E7-EBC061E99A4D}">
      <text>
        <r>
          <rPr>
            <sz val="10"/>
            <rFont val="Arial"/>
            <family val="2"/>
            <charset val="1"/>
          </rPr>
          <t>MW</t>
        </r>
      </text>
    </comment>
    <comment ref="D69" authorId="0" shapeId="0" xr:uid="{51B93CF3-65A8-48AA-AFEF-07BF7EA9E543}">
      <text>
        <r>
          <rPr>
            <sz val="10"/>
            <rFont val="Arial"/>
            <family val="2"/>
            <charset val="1"/>
          </rPr>
          <t>MW</t>
        </r>
      </text>
    </comment>
    <comment ref="F70" authorId="0" shapeId="0" xr:uid="{1F2C2EAB-7E82-4AA8-921C-DE1BB9289599}">
      <text>
        <r>
          <rPr>
            <sz val="9"/>
            <color indexed="81"/>
            <rFont val="Segoe UI"/>
            <family val="2"/>
          </rPr>
          <t xml:space="preserve">
\cite{Ausfelder2015} </t>
        </r>
      </text>
    </comment>
    <comment ref="D71" authorId="0" shapeId="0" xr:uid="{F693BD59-929B-4D27-971C-9E1ABBE32E1B}">
      <text>
        <r>
          <rPr>
            <sz val="10"/>
            <rFont val="Arial"/>
            <family val="2"/>
            <charset val="1"/>
          </rPr>
          <t>MW</t>
        </r>
      </text>
    </comment>
    <comment ref="D73" authorId="0" shapeId="0" xr:uid="{7D1ECC68-0816-4719-98DE-64B2D6A07E86}">
      <text>
        <r>
          <rPr>
            <sz val="10"/>
            <rFont val="Arial"/>
            <family val="2"/>
            <charset val="1"/>
          </rPr>
          <t>MW</t>
        </r>
      </text>
    </comment>
    <comment ref="D75" authorId="0" shapeId="0" xr:uid="{9AC2A229-66D3-44A8-9AD6-5B3B9E8FC638}">
      <text>
        <r>
          <rPr>
            <sz val="10"/>
            <rFont val="Arial"/>
            <family val="2"/>
            <charset val="1"/>
          </rPr>
          <t>MW</t>
        </r>
      </text>
    </comment>
    <comment ref="D77" authorId="0" shapeId="0" xr:uid="{EEDBDF3B-482D-40C5-9471-1CBCB580F38D}">
      <text>
        <r>
          <rPr>
            <sz val="10"/>
            <rFont val="Arial"/>
            <family val="2"/>
            <charset val="1"/>
          </rPr>
          <t>MW</t>
        </r>
      </text>
    </comment>
    <comment ref="D78" authorId="0" shapeId="0" xr:uid="{1024BDBF-CF68-44B8-B0DE-0D00A7AD3F9E}">
      <text>
        <r>
          <rPr>
            <sz val="10"/>
            <rFont val="Arial"/>
            <family val="2"/>
            <charset val="1"/>
          </rPr>
          <t>MW</t>
        </r>
      </text>
    </comment>
    <comment ref="D80" authorId="0" shapeId="0" xr:uid="{ED5080C6-22D9-4504-8BE4-4C2FC51BDE9C}">
      <text>
        <r>
          <rPr>
            <sz val="10"/>
            <rFont val="Arial"/>
            <family val="2"/>
            <charset val="1"/>
          </rPr>
          <t>MW</t>
        </r>
      </text>
    </comment>
    <comment ref="D88" authorId="0" shapeId="0" xr:uid="{E3E8E68C-E78B-4C96-B0BD-03B0F3C5F0A9}">
      <text>
        <r>
          <rPr>
            <sz val="10"/>
            <rFont val="Arial"/>
            <family val="2"/>
            <charset val="1"/>
          </rPr>
          <t>MW</t>
        </r>
      </text>
    </comment>
    <comment ref="D95" authorId="0" shapeId="0" xr:uid="{3EBC9CA7-F997-450F-8C23-D6F0894E8729}">
      <text>
        <r>
          <rPr>
            <sz val="10"/>
            <rFont val="Arial"/>
            <family val="2"/>
            <charset val="1"/>
          </rPr>
          <t>MW</t>
        </r>
      </text>
    </comment>
    <comment ref="C97" authorId="0" shapeId="0" xr:uid="{DF183C35-816F-4FCE-B4A7-FE20C5DF8E5B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99" authorId="0" shapeId="0" xr:uid="{6A6EB1A2-2C72-4204-A449-6E7C38EDC960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00" authorId="0" shapeId="0" xr:uid="{2E0A49CC-28A6-4E20-B1E7-6F51F1350BCF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01" authorId="0" shapeId="0" xr:uid="{699E8520-9D52-4B13-94A1-D76C429835F0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02" authorId="0" shapeId="0" xr:uid="{2F65F343-18FB-4AE0-AE7D-A84C5E06FE39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03" authorId="0" shapeId="0" xr:uid="{A7976974-528E-4B37-AC3B-519D1190A71C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D103" authorId="0" shapeId="0" xr:uid="{C6234CE2-EA5D-4B55-BBB8-B114632EAA8C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104" authorId="0" shapeId="0" xr:uid="{D3D76406-E10C-4EB0-9592-343AAE340902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D104" authorId="0" shapeId="0" xr:uid="{AE2A15AE-6467-4D92-8F09-CD723CAB1AFD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F104" authorId="0" shapeId="0" xr:uid="{301FA947-5C71-4630-AC68-674C239E6554}">
      <text>
        <r>
          <rPr>
            <b/>
            <sz val="9"/>
            <color indexed="81"/>
            <rFont val="Arial"/>
            <family val="2"/>
            <charset val="1"/>
          </rPr>
          <t>MW</t>
        </r>
        <r>
          <rPr>
            <sz val="9"/>
            <color indexed="81"/>
            <rFont val="Arial"/>
            <family val="2"/>
            <charset val="1"/>
          </rPr>
          <t xml:space="preserve">
PCK refinery in Schwedt.
It is not well defined how much heat do they supply to the district heating system; however an estimation has been done.
Source:
https://www.pck.de/en/company/divisions/
</t>
        </r>
      </text>
    </comment>
    <comment ref="F108" authorId="0" shapeId="0" xr:uid="{B1307C84-B63D-43D2-BFC1-3D022503E8F4}">
      <text>
        <r>
          <rPr>
            <sz val="10"/>
            <rFont val="Arial"/>
            <family val="2"/>
            <charset val="1"/>
          </rPr>
          <t>99%
Source:
Page 32.
European Commission
Long term (2050) projections of techno-economic performance of
large- scale heating and cooling in the EU 
http://publications.jrc.ec.europa.eu/repository/bitstream/JRC109006/kjna28859enn.pdf</t>
        </r>
      </text>
    </comment>
    <comment ref="D109" authorId="0" shapeId="0" xr:uid="{27C018FF-A020-476C-8869-D7FB8F8A7406}">
      <text>
        <r>
          <rPr>
            <sz val="10"/>
            <rFont val="Arial"/>
            <family val="2"/>
            <charset val="1"/>
          </rPr>
          <t>MW</t>
        </r>
      </text>
    </comment>
    <comment ref="D111" authorId="0" shapeId="0" xr:uid="{3E341A3E-7287-4040-BED3-6FD51941A4E4}">
      <text>
        <r>
          <rPr>
            <sz val="10"/>
            <rFont val="Arial"/>
            <family val="2"/>
            <charset val="1"/>
          </rPr>
          <t>MW</t>
        </r>
      </text>
    </comment>
    <comment ref="F203" authorId="0" shapeId="0" xr:uid="{6B6951DD-1213-4E46-8E9E-BBAB1DDCBBA2}">
      <text>
        <r>
          <rPr>
            <sz val="10"/>
            <rFont val="Arial"/>
            <family val="2"/>
            <charset val="1"/>
          </rPr>
          <t>Electric Efficiency of natural gas BHKW 
Min: 25%
Max: 49%
Source:
Pag.9
BHKW-Kenndaten 2011
https://asue.de/sites/default/files/asue/themen/blockheizkraftwerke/2011/broschueren/05_07_11_asue-bhkw-kenndaten-0311.pdf</t>
        </r>
      </text>
    </comment>
    <comment ref="D205" authorId="0" shapeId="0" xr:uid="{FE4D0E6D-4B4B-4F39-80E8-F80DABE71A4B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206" authorId="0" shapeId="0" xr:uid="{56CA2CAF-AD18-448C-B20B-D1188DADF742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210" authorId="0" shapeId="0" xr:uid="{DA7F6EC3-2597-4CA1-81EC-01CA2738F9E8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211" authorId="0" shapeId="0" xr:uid="{DF4FD5BA-F35E-4374-A9CC-7F96BDAD27EE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F211" authorId="0" shapeId="0" xr:uid="{26D59A6C-A793-41F1-A089-0F99813F40AE}">
      <text>
        <r>
          <rPr>
            <sz val="10"/>
            <rFont val="Arial"/>
            <family val="2"/>
            <charset val="1"/>
          </rPr>
          <t>MW
PCK refinery in Schwedt.
It is not well defined how much heat do they supply to the district heating system; however an estimation has been done.
Source:
https://www.pck.de/en/company/divisions/</t>
        </r>
      </text>
    </comment>
  </commentList>
</comments>
</file>

<file path=xl/sharedStrings.xml><?xml version="1.0" encoding="utf-8"?>
<sst xmlns="http://schemas.openxmlformats.org/spreadsheetml/2006/main" count="923" uniqueCount="208">
  <si>
    <t>ptg</t>
  </si>
  <si>
    <t>batt</t>
  </si>
  <si>
    <t>\cite{Große2017} S. 32</t>
  </si>
  <si>
    <t>pth</t>
  </si>
  <si>
    <t>\cite{Große2017} S. 102</t>
  </si>
  <si>
    <t>kwk groß (&gt;250 MW_el)</t>
  </si>
  <si>
    <t>\cite{Große2017} S. 99</t>
  </si>
  <si>
    <t>kwk mittel (30-250 MW_el)</t>
  </si>
  <si>
    <t>\cite{Große2017} S. 96</t>
  </si>
  <si>
    <t>kwk klein (0.5-30 MW_el)</t>
  </si>
  <si>
    <t>\cite{Große2017} S. 21</t>
  </si>
  <si>
    <t>hot water tube boiler (20-250 MW_th)</t>
  </si>
  <si>
    <t>\cite{Große2017} S. 19</t>
  </si>
  <si>
    <t>hot water boiler (1-30 MW_th)</t>
  </si>
  <si>
    <t xml:space="preserve"> €/MW/a</t>
  </si>
  <si>
    <t>fixed O&amp;M</t>
  </si>
  <si>
    <t xml:space="preserve"> €/MWh</t>
  </si>
  <si>
    <t>variable O&amp;M</t>
  </si>
  <si>
    <t>Invest</t>
  </si>
  <si>
    <t>\cite{Zapf2017} S. 115</t>
  </si>
  <si>
    <t>Fernwärmepreis</t>
  </si>
  <si>
    <t>€/MWh</t>
  </si>
  <si>
    <t>Heat</t>
  </si>
  <si>
    <t>EE-Anteil</t>
  </si>
  <si>
    <t>%</t>
  </si>
  <si>
    <t>Strom-Mix</t>
  </si>
  <si>
    <t>\cite{Graichen2018} S. 32, 34</t>
  </si>
  <si>
    <t>CO2-Steuer</t>
  </si>
  <si>
    <t>\cite{Graichen2018} S. 32</t>
  </si>
  <si>
    <t>ETC-Handelspreis</t>
  </si>
  <si>
    <t>€/tCO2</t>
  </si>
  <si>
    <t>Strommix</t>
  </si>
  <si>
    <t>\cite{Buchner2018} S.148</t>
  </si>
  <si>
    <t>Gas</t>
  </si>
  <si>
    <t>tCO2/MWh</t>
  </si>
  <si>
    <t xml:space="preserve">Messung/Betrieb/
Abrechnung </t>
  </si>
  <si>
    <t>\cite{E.DISAG2016a} S.7</t>
  </si>
  <si>
    <t>GP_a</t>
  </si>
  <si>
    <t>€/a</t>
  </si>
  <si>
    <t>LP für Netznutzung</t>
  </si>
  <si>
    <t>Zone 2</t>
  </si>
  <si>
    <t>\cite{E.DISAG2016a} S.4</t>
  </si>
  <si>
    <t>KP</t>
  </si>
  <si>
    <t>für den Abnahmefall 116 MWh/Jahr</t>
  </si>
  <si>
    <t>\cite{Bundesnetzagentur2016a} S 340</t>
  </si>
  <si>
    <t>Konzessionsabgaben</t>
  </si>
  <si>
    <t>gas CO2-Kosten</t>
  </si>
  <si>
    <t>gas Steuer</t>
  </si>
  <si>
    <t>gas price</t>
  </si>
  <si>
    <t>§ 18 Absatz 1+2 absch. L.</t>
  </si>
  <si>
    <t xml:space="preserve">Offshore-Haftungsumlage </t>
  </si>
  <si>
    <t xml:space="preserve">KWK Umlage </t>
  </si>
  <si>
    <t>§ 3 StromStG</t>
  </si>
  <si>
    <t xml:space="preserve">Stromsteuer </t>
  </si>
  <si>
    <t xml:space="preserve">§ 19-StromNEV-Umlage </t>
  </si>
  <si>
    <t xml:space="preserve">EEG-Umlage </t>
  </si>
  <si>
    <t xml:space="preserve">AP für Netznutzung </t>
  </si>
  <si>
    <t>Electricity</t>
  </si>
  <si>
    <t>output_costs</t>
  </si>
  <si>
    <t>input_costs</t>
  </si>
  <si>
    <t>storage_th_sch</t>
  </si>
  <si>
    <t>storage_th_pr</t>
  </si>
  <si>
    <t>storages</t>
  </si>
  <si>
    <t>variable_costs</t>
  </si>
  <si>
    <t>cs_electric</t>
  </si>
  <si>
    <t>cs_gas</t>
  </si>
  <si>
    <t>cs</t>
  </si>
  <si>
    <t>el_demand_uck</t>
  </si>
  <si>
    <t>dist_heat_pr</t>
  </si>
  <si>
    <t>dist_heat_sch</t>
  </si>
  <si>
    <t>spot_market_sink</t>
  </si>
  <si>
    <t>demand</t>
  </si>
  <si>
    <t>pv_neg_spot</t>
  </si>
  <si>
    <t>pv_curtailment</t>
  </si>
  <si>
    <t>pv_using</t>
  </si>
  <si>
    <t>meth</t>
  </si>
  <si>
    <t>ptg_out</t>
  </si>
  <si>
    <t>spot_to_flex</t>
  </si>
  <si>
    <t>negative_spot</t>
  </si>
  <si>
    <t>wind_neg_spot</t>
  </si>
  <si>
    <t>wind_using</t>
  </si>
  <si>
    <t>wind_curtailment</t>
  </si>
  <si>
    <t>boiler_sch</t>
  </si>
  <si>
    <t>boiler_pr</t>
  </si>
  <si>
    <t>pth_pr</t>
  </si>
  <si>
    <t>pth_sch_out</t>
  </si>
  <si>
    <t>pth_sch</t>
  </si>
  <si>
    <t>Transformer</t>
  </si>
  <si>
    <t>FlexFriendly</t>
  </si>
  <si>
    <t>Agora Groß</t>
  </si>
  <si>
    <t>Agora Mittel</t>
  </si>
  <si>
    <t>SITENG-V</t>
  </si>
  <si>
    <t>Status quo</t>
  </si>
  <si>
    <t>3</t>
  </si>
  <si>
    <t>SCENARIO SELECTION Reg Rahmen</t>
  </si>
  <si>
    <t>On the orange cell, insert the number of the scenenario: 1,2 or 3</t>
  </si>
  <si>
    <t>Select the desired scenario</t>
  </si>
  <si>
    <t>Notes</t>
  </si>
  <si>
    <t>SCENARIO DESCRIPTION</t>
  </si>
  <si>
    <t>\cite{Bundesnetzagentur2016} S. II Sz B 2035</t>
  </si>
  <si>
    <t>\cite{Faktor-iGmbH2018}</t>
  </si>
  <si>
    <t>solar</t>
  </si>
  <si>
    <t>Wind</t>
  </si>
  <si>
    <t>MW</t>
  </si>
  <si>
    <t>EE-Erzeugung</t>
  </si>
  <si>
    <t>Wasserstoff</t>
  </si>
  <si>
    <t>Strom</t>
  </si>
  <si>
    <t>Kosten Energie</t>
  </si>
  <si>
    <t>\cite{Graichen2018} S. 34</t>
  </si>
  <si>
    <t>CO2-Steuer (Agora Groß)</t>
  </si>
  <si>
    <t>CO2-Steuer (Agora Mittel)</t>
  </si>
  <si>
    <t>\cite{UmweltbundesamtUBA2014} S. 7</t>
  </si>
  <si>
    <t>Schadenskosten (Weu / 1%)</t>
  </si>
  <si>
    <t>\cite{UmweltbundesamtUBA2014} S. 6</t>
  </si>
  <si>
    <t>Vermeidungskosten mittel</t>
  </si>
  <si>
    <t>CO2-Kosten</t>
  </si>
  <si>
    <t>a</t>
  </si>
  <si>
    <t>power max</t>
  </si>
  <si>
    <t>power min</t>
  </si>
  <si>
    <t>el efficiency max</t>
  </si>
  <si>
    <t>el efficiency min</t>
  </si>
  <si>
    <t>Effizienz chp_sch</t>
  </si>
  <si>
    <t>Effizienz chp_pr</t>
  </si>
  <si>
    <t>\cite{Ausfelder2015}</t>
  </si>
  <si>
    <t>Effizienz</t>
  </si>
  <si>
    <t>capacity</t>
  </si>
  <si>
    <t>efficiency</t>
  </si>
  <si>
    <t>capacity max</t>
  </si>
  <si>
    <t>capacity min</t>
  </si>
  <si>
    <t>initial capacity</t>
  </si>
  <si>
    <t>efficiency outflow</t>
  </si>
  <si>
    <t>efficiency inflow</t>
  </si>
  <si>
    <t>capacity loss</t>
  </si>
  <si>
    <t>nominal output value</t>
  </si>
  <si>
    <t>nominal input value</t>
  </si>
  <si>
    <t>nominal capacity</t>
  </si>
  <si>
    <t>Storages</t>
  </si>
  <si>
    <t>pv_synth</t>
  </si>
  <si>
    <t>wind_synth</t>
  </si>
  <si>
    <t>renwables</t>
  </si>
  <si>
    <t>nominal value</t>
  </si>
  <si>
    <t>chp_sch</t>
  </si>
  <si>
    <t>chp_pr</t>
  </si>
  <si>
    <t>chp</t>
  </si>
  <si>
    <t>2</t>
  </si>
  <si>
    <t>1</t>
  </si>
  <si>
    <t>SCENARIO SELECTION Year</t>
  </si>
  <si>
    <t xml:space="preserve">Select the desired scenario </t>
  </si>
  <si>
    <t>Annahme: feste Einspeisevergütung / anzulgende Wert = 40€/MWh</t>
  </si>
  <si>
    <t>curtailment</t>
  </si>
  <si>
    <t>chp_sch_el</t>
  </si>
  <si>
    <t>chp_pr_el</t>
  </si>
  <si>
    <t>CO2-Intensität</t>
  </si>
  <si>
    <t>transformer</t>
  </si>
  <si>
    <t>Kosten-Zeitreihe</t>
  </si>
  <si>
    <t>KWK-Zulagen</t>
  </si>
  <si>
    <t>für den KWK-Leistungsanteil von bis zu 50 Kilowatt: 8 Cent je Kilowattstunde,</t>
  </si>
  <si>
    <t>für den KWK-Leistungsanteil von mehr als 50 Kilowatt und bis zu 100 Kilowatt: 6 Cent je Kilowattstunde,</t>
  </si>
  <si>
    <t>für den KWK-Leistungsanteil von mehr als 100 Kilowatt bis zu 250 Kilowatt: 5 Cent je Kilowattstunde,</t>
  </si>
  <si>
    <t>für den KWK-Leistungsanteil von mehr als 250 Kilowatt bis zu 2 Megawatt: 4,4 Cent je Kilowattstunde und</t>
  </si>
  <si>
    <t>für den KWK-Leistungsanteil von mehr als 2 Megawatt: 3,1 Cent je Kilowattstunde.</t>
  </si>
  <si>
    <t>KWK bis 0.05 MW</t>
  </si>
  <si>
    <t>KWK bis 0.1 MW</t>
  </si>
  <si>
    <t>KWK bis 0.25 MW</t>
  </si>
  <si>
    <t>KWK  bis 2 MW</t>
  </si>
  <si>
    <t>KWK &gt; 2 MW</t>
  </si>
  <si>
    <t>https://www.gesetze-im-internet.de/kwkg_2016/__7.html</t>
  </si>
  <si>
    <t>Test ohne Var.Costs</t>
  </si>
  <si>
    <t>lifetime</t>
  </si>
  <si>
    <t>planning+installation</t>
  </si>
  <si>
    <t>% von Invest</t>
  </si>
  <si>
    <t>LP (+KP) für Netznutzung</t>
  </si>
  <si>
    <t>Component</t>
  </si>
  <si>
    <t>Sort</t>
  </si>
  <si>
    <t>Parameter</t>
  </si>
  <si>
    <t>Component.Prameter</t>
  </si>
  <si>
    <t xml:space="preserve"> €/MW</t>
  </si>
  <si>
    <t>Invest. Eq.</t>
  </si>
  <si>
    <t>Invest. Installation</t>
  </si>
  <si>
    <t>Mess./Abrechn./(GP)</t>
  </si>
  <si>
    <t>Li-Ion Batt</t>
  </si>
  <si>
    <t>\cite{Elsner2015a} S. 31</t>
  </si>
  <si>
    <t>cycle lifetime</t>
  </si>
  <si>
    <t>#</t>
  </si>
  <si>
    <t>% per month</t>
  </si>
  <si>
    <t>Li-Ion_Großspeicher</t>
  </si>
  <si>
    <t>Li-Ion_HH-Speicher</t>
  </si>
  <si>
    <t>Umrichter_bidirektional</t>
  </si>
  <si>
    <t>€/MW</t>
  </si>
  <si>
    <t>% von Invest/a</t>
  </si>
  <si>
    <t>\cite{Elsner2015a} S. 32</t>
  </si>
  <si>
    <t>KWK_1MW_el</t>
  </si>
  <si>
    <t>Kaltstartkosten</t>
  </si>
  <si>
    <t>KWK_20kW_el</t>
  </si>
  <si>
    <t>Warmstartkosten</t>
  </si>
  <si>
    <t>€/MW_el*Vorgang</t>
  </si>
  <si>
    <t>\cite{Henning2015a} S. 21</t>
  </si>
  <si>
    <t>Status quo_kostenloser Abregelungsstrom</t>
  </si>
  <si>
    <t>\cite{UTEC2014} s. 11</t>
  </si>
  <si>
    <t>Wärmepreis für Einspeisung</t>
  </si>
  <si>
    <t>\cite{Jahnke2017} s. 13</t>
  </si>
  <si>
    <t>Fernwärmepreis für Endkunden in Prenzlau</t>
  </si>
  <si>
    <t>Annahme</t>
  </si>
  <si>
    <t>t/MWh</t>
  </si>
  <si>
    <t>\cite{Pfluger2017a} S. 246</t>
  </si>
  <si>
    <t>Strom-Mix-CO2_Emiss BMWi Basis</t>
  </si>
  <si>
    <t>Strom-Mix-CO2_Emiss BMWi Ref</t>
  </si>
  <si>
    <t>\cite{Pfluger2017a} S.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</si>
</sst>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3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sz val="11"/>
      <color theme="1"/>
      <name val="Open Sans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rgb="FF999999"/>
      </left>
      <right style="hair">
        <color rgb="FF99999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0" fontId="1" fillId="0" borderId="0" xfId="1" applyAlignment="1"/>
    <xf numFmtId="0" fontId="2" fillId="0" borderId="0" xfId="1" applyFont="1" applyBorder="1" applyAlignment="1">
      <alignment vertical="center" textRotation="90"/>
    </xf>
    <xf numFmtId="0" fontId="2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textRotation="90" wrapText="1"/>
    </xf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right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/>
    <xf numFmtId="0" fontId="2" fillId="0" borderId="1" xfId="1" applyFont="1" applyFill="1" applyBorder="1" applyAlignment="1"/>
    <xf numFmtId="0" fontId="1" fillId="0" borderId="1" xfId="1" applyFill="1" applyBorder="1"/>
    <xf numFmtId="0" fontId="4" fillId="7" borderId="0" xfId="1" applyFont="1" applyFill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49" fontId="4" fillId="7" borderId="0" xfId="1" applyNumberFormat="1" applyFont="1" applyFill="1" applyAlignment="1">
      <alignment horizontal="right" vertical="center"/>
    </xf>
    <xf numFmtId="0" fontId="2" fillId="8" borderId="0" xfId="1" applyFont="1" applyFill="1" applyAlignment="1">
      <alignment horizontal="center" vertical="center"/>
    </xf>
    <xf numFmtId="49" fontId="4" fillId="5" borderId="0" xfId="1" applyNumberFormat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vertical="center"/>
    </xf>
    <xf numFmtId="49" fontId="4" fillId="9" borderId="0" xfId="1" applyNumberFormat="1" applyFont="1" applyFill="1" applyBorder="1" applyAlignment="1">
      <alignment horizontal="left" vertical="center"/>
    </xf>
    <xf numFmtId="49" fontId="4" fillId="5" borderId="0" xfId="1" applyNumberFormat="1" applyFont="1" applyFill="1" applyBorder="1" applyAlignment="1">
      <alignment vertical="center"/>
    </xf>
    <xf numFmtId="49" fontId="4" fillId="9" borderId="0" xfId="1" applyNumberFormat="1" applyFont="1" applyFill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textRotation="90" wrapText="1"/>
    </xf>
    <xf numFmtId="0" fontId="5" fillId="0" borderId="0" xfId="1" applyFont="1"/>
    <xf numFmtId="0" fontId="2" fillId="0" borderId="0" xfId="1" applyFont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2" fillId="0" borderId="0" xfId="1" applyFont="1" applyAlignment="1">
      <alignment vertical="center" wrapText="1"/>
    </xf>
    <xf numFmtId="0" fontId="5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10" borderId="1" xfId="1" applyFont="1" applyFill="1" applyBorder="1" applyAlignment="1">
      <alignment vertical="center"/>
    </xf>
    <xf numFmtId="0" fontId="2" fillId="10" borderId="1" xfId="1" applyFont="1" applyFill="1" applyBorder="1"/>
    <xf numFmtId="0" fontId="1" fillId="10" borderId="1" xfId="1" applyFill="1" applyBorder="1"/>
    <xf numFmtId="0" fontId="2" fillId="0" borderId="0" xfId="1" applyFont="1" applyFill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vertical="center" textRotation="90"/>
    </xf>
    <xf numFmtId="0" fontId="1" fillId="0" borderId="1" xfId="1" applyBorder="1"/>
    <xf numFmtId="0" fontId="1" fillId="0" borderId="1" xfId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8" borderId="0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textRotation="90" wrapText="1"/>
    </xf>
    <xf numFmtId="0" fontId="2" fillId="5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/>
    </xf>
    <xf numFmtId="0" fontId="2" fillId="4" borderId="1" xfId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2" fontId="10" fillId="0" borderId="0" xfId="0" applyNumberFormat="1" applyFont="1" applyBorder="1" applyAlignment="1">
      <alignment horizontal="right" vertical="top" wrapText="1"/>
    </xf>
    <xf numFmtId="0" fontId="2" fillId="11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 wrapText="1"/>
    </xf>
    <xf numFmtId="164" fontId="1" fillId="0" borderId="1" xfId="1" applyNumberFormat="1" applyBorder="1"/>
    <xf numFmtId="164" fontId="1" fillId="0" borderId="1" xfId="1" applyNumberFormat="1" applyFill="1" applyBorder="1"/>
    <xf numFmtId="0" fontId="2" fillId="0" borderId="1" xfId="1" applyFont="1" applyBorder="1" applyAlignment="1">
      <alignment horizontal="center" vertical="center" textRotation="90" wrapText="1"/>
    </xf>
    <xf numFmtId="0" fontId="2" fillId="12" borderId="0" xfId="1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2" fontId="2" fillId="4" borderId="1" xfId="1" applyNumberFormat="1" applyFont="1" applyFill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" fillId="0" borderId="1" xfId="1" applyNumberFormat="1" applyFont="1" applyFill="1" applyBorder="1" applyAlignment="1">
      <alignment vertical="center"/>
    </xf>
    <xf numFmtId="2" fontId="2" fillId="12" borderId="1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5" fontId="2" fillId="12" borderId="1" xfId="1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vertical="center"/>
    </xf>
    <xf numFmtId="166" fontId="2" fillId="12" borderId="1" xfId="1" applyNumberFormat="1" applyFont="1" applyFill="1" applyBorder="1" applyAlignment="1">
      <alignment vertical="center"/>
    </xf>
    <xf numFmtId="0" fontId="4" fillId="7" borderId="0" xfId="1" applyNumberFormat="1" applyFont="1" applyFill="1" applyAlignment="1">
      <alignment horizontal="right" vertical="center"/>
    </xf>
    <xf numFmtId="164" fontId="2" fillId="0" borderId="0" xfId="1" applyNumberFormat="1" applyFont="1" applyBorder="1" applyAlignment="1">
      <alignment vertical="center"/>
    </xf>
    <xf numFmtId="0" fontId="1" fillId="0" borderId="1" xfId="1" applyBorder="1" applyAlignment="1"/>
    <xf numFmtId="0" fontId="2" fillId="0" borderId="3" xfId="1" applyFont="1" applyBorder="1" applyAlignment="1">
      <alignment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Border="1" applyAlignment="1"/>
    <xf numFmtId="0" fontId="5" fillId="0" borderId="0" xfId="0" applyFont="1" applyAlignment="1">
      <alignment wrapText="1"/>
    </xf>
    <xf numFmtId="0" fontId="2" fillId="5" borderId="1" xfId="1" applyFont="1" applyFill="1" applyBorder="1" applyAlignment="1">
      <alignment horizontal="center" vertical="center" wrapText="1"/>
    </xf>
    <xf numFmtId="0" fontId="1" fillId="5" borderId="1" xfId="1" applyFill="1" applyBorder="1"/>
    <xf numFmtId="0" fontId="1" fillId="8" borderId="1" xfId="1" applyFill="1" applyBorder="1" applyAlignment="1">
      <alignment horizontal="left"/>
    </xf>
    <xf numFmtId="0" fontId="2" fillId="8" borderId="1" xfId="1" applyFont="1" applyFill="1" applyBorder="1" applyAlignment="1"/>
    <xf numFmtId="49" fontId="4" fillId="7" borderId="0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21C60FED-BAA5-401E-8864-F97FE8E18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B7C8-F504-4514-81DF-7878BC986B64}">
  <sheetPr>
    <tabColor theme="8"/>
  </sheetPr>
  <dimension ref="A1:R182"/>
  <sheetViews>
    <sheetView showGridLines="0" tabSelected="1" zoomScaleNormal="100" workbookViewId="0">
      <pane xSplit="5" ySplit="7" topLeftCell="G85" activePane="bottomRight" state="frozen"/>
      <selection pane="topRight" activeCell="C1" sqref="C1"/>
      <selection pane="bottomLeft" activeCell="A8" sqref="A8"/>
      <selection pane="bottomRight" activeCell="I102" sqref="I102"/>
    </sheetView>
  </sheetViews>
  <sheetFormatPr baseColWidth="10" defaultRowHeight="12.75"/>
  <cols>
    <col min="1" max="1" width="4" style="1" hidden="1" customWidth="1"/>
    <col min="2" max="2" width="21.140625" style="1" customWidth="1"/>
    <col min="3" max="3" width="14.85546875" style="3" customWidth="1"/>
    <col min="4" max="4" width="19.28515625" style="2" customWidth="1"/>
    <col min="5" max="5" width="10.7109375" style="2" customWidth="1"/>
    <col min="6" max="8" width="24.140625" style="1" customWidth="1"/>
    <col min="9" max="13" width="19.5703125" style="1" customWidth="1"/>
    <col min="14" max="14" width="14.28515625" style="1" customWidth="1"/>
    <col min="15" max="24" width="19.5703125" style="1" customWidth="1"/>
    <col min="25" max="30" width="16.7109375" style="1" customWidth="1"/>
    <col min="31" max="16384" width="11.42578125" style="1"/>
  </cols>
  <sheetData>
    <row r="1" spans="1:18">
      <c r="C1" s="35" t="s">
        <v>98</v>
      </c>
      <c r="D1" s="32"/>
      <c r="E1" s="34"/>
      <c r="L1" s="72" t="s">
        <v>154</v>
      </c>
    </row>
    <row r="2" spans="1:18">
      <c r="C2" s="28" t="s">
        <v>97</v>
      </c>
      <c r="F2" s="2" t="s">
        <v>96</v>
      </c>
      <c r="G2" s="2"/>
      <c r="H2" s="2"/>
    </row>
    <row r="3" spans="1:18">
      <c r="C3" s="2"/>
      <c r="F3" s="2" t="s">
        <v>95</v>
      </c>
      <c r="G3" s="2"/>
      <c r="H3" s="2"/>
    </row>
    <row r="4" spans="1:18">
      <c r="C4" s="33" t="s">
        <v>94</v>
      </c>
      <c r="D4" s="32"/>
      <c r="E4" s="31"/>
      <c r="F4" s="30">
        <v>2</v>
      </c>
      <c r="G4" s="30"/>
      <c r="H4" s="30"/>
    </row>
    <row r="6" spans="1:18">
      <c r="A6" s="1">
        <v>6</v>
      </c>
      <c r="D6" s="28"/>
      <c r="E6" s="94"/>
      <c r="F6" s="83">
        <v>1</v>
      </c>
      <c r="G6" s="83">
        <f t="shared" ref="G6:M6" si="0">F6+1</f>
        <v>2</v>
      </c>
      <c r="H6" s="83">
        <f t="shared" si="0"/>
        <v>3</v>
      </c>
      <c r="I6" s="83">
        <f t="shared" si="0"/>
        <v>4</v>
      </c>
      <c r="J6" s="83">
        <f t="shared" si="0"/>
        <v>5</v>
      </c>
      <c r="K6" s="83">
        <f t="shared" si="0"/>
        <v>6</v>
      </c>
      <c r="L6" s="83">
        <f t="shared" si="0"/>
        <v>7</v>
      </c>
      <c r="M6" s="83">
        <f t="shared" si="0"/>
        <v>8</v>
      </c>
      <c r="N6" s="2"/>
      <c r="O6" s="2"/>
      <c r="P6" s="2"/>
      <c r="Q6" s="2"/>
      <c r="R6" s="2"/>
    </row>
    <row r="7" spans="1:18">
      <c r="A7" s="1">
        <f>A6+1</f>
        <v>7</v>
      </c>
      <c r="D7" s="28"/>
      <c r="E7" s="94"/>
      <c r="F7" s="27" t="s">
        <v>92</v>
      </c>
      <c r="G7" s="27" t="s">
        <v>197</v>
      </c>
      <c r="H7" s="27" t="s">
        <v>167</v>
      </c>
      <c r="I7" s="27" t="s">
        <v>91</v>
      </c>
      <c r="J7" s="27" t="s">
        <v>90</v>
      </c>
      <c r="K7" s="27" t="s">
        <v>89</v>
      </c>
      <c r="L7" s="27" t="s">
        <v>88</v>
      </c>
      <c r="M7" s="27" t="s">
        <v>88</v>
      </c>
      <c r="N7" s="2"/>
      <c r="O7" s="2"/>
      <c r="P7" s="2"/>
      <c r="Q7" s="2"/>
      <c r="R7" s="2"/>
    </row>
    <row r="8" spans="1:18" ht="12.75" customHeight="1">
      <c r="A8" s="49" t="s">
        <v>87</v>
      </c>
      <c r="B8" s="86" t="s">
        <v>153</v>
      </c>
      <c r="C8" s="25" t="s">
        <v>86</v>
      </c>
      <c r="D8" s="24" t="s">
        <v>63</v>
      </c>
      <c r="E8" s="23" t="str">
        <f t="shared" ref="E8:E49" si="1">C8&amp;"."&amp;D8</f>
        <v>pth_sch.variable_costs</v>
      </c>
      <c r="F8" s="77">
        <f>SUM(F56:F64)*1000+F108</f>
        <v>136.63000000000002</v>
      </c>
      <c r="G8" s="77">
        <v>0</v>
      </c>
      <c r="H8" s="79"/>
      <c r="I8" s="23"/>
      <c r="J8" s="23"/>
      <c r="K8" s="23"/>
      <c r="L8" s="23"/>
      <c r="M8" s="23"/>
    </row>
    <row r="9" spans="1:18">
      <c r="A9" s="49"/>
      <c r="B9" s="86" t="s">
        <v>153</v>
      </c>
      <c r="C9" s="25" t="s">
        <v>85</v>
      </c>
      <c r="D9" s="24" t="s">
        <v>63</v>
      </c>
      <c r="E9" s="23" t="str">
        <f t="shared" si="1"/>
        <v>pth_sch_out.variable_costs</v>
      </c>
      <c r="F9" s="77">
        <v>0</v>
      </c>
      <c r="G9" s="77">
        <f t="shared" ref="G9:G53" si="2">F9</f>
        <v>0</v>
      </c>
      <c r="H9" s="79"/>
      <c r="I9" s="23"/>
      <c r="J9" s="23"/>
      <c r="K9" s="23"/>
      <c r="L9" s="23"/>
      <c r="M9" s="23"/>
    </row>
    <row r="10" spans="1:18">
      <c r="A10" s="49"/>
      <c r="B10" s="86" t="s">
        <v>153</v>
      </c>
      <c r="C10" s="25" t="s">
        <v>84</v>
      </c>
      <c r="D10" s="24" t="s">
        <v>63</v>
      </c>
      <c r="E10" s="23" t="str">
        <f t="shared" si="1"/>
        <v>pth_pr.variable_costs</v>
      </c>
      <c r="F10" s="77">
        <v>0</v>
      </c>
      <c r="G10" s="77">
        <f t="shared" si="2"/>
        <v>0</v>
      </c>
      <c r="H10" s="79"/>
      <c r="I10" s="23"/>
      <c r="J10" s="23"/>
      <c r="K10" s="23"/>
      <c r="L10" s="23"/>
      <c r="M10" s="23"/>
    </row>
    <row r="11" spans="1:18">
      <c r="A11" s="49"/>
      <c r="B11" s="86" t="s">
        <v>153</v>
      </c>
      <c r="C11" s="25" t="s">
        <v>83</v>
      </c>
      <c r="D11" s="24" t="s">
        <v>63</v>
      </c>
      <c r="E11" s="23" t="str">
        <f t="shared" si="1"/>
        <v>boiler_pr.variable_costs</v>
      </c>
      <c r="F11" s="77">
        <f>F103</f>
        <v>0.5</v>
      </c>
      <c r="G11" s="77">
        <f t="shared" si="2"/>
        <v>0.5</v>
      </c>
      <c r="H11" s="79"/>
      <c r="I11" s="23"/>
      <c r="J11" s="23"/>
      <c r="K11" s="23"/>
      <c r="L11" s="23"/>
      <c r="M11" s="23"/>
    </row>
    <row r="12" spans="1:18">
      <c r="A12" s="49"/>
      <c r="B12" s="86" t="s">
        <v>153</v>
      </c>
      <c r="C12" s="25" t="s">
        <v>82</v>
      </c>
      <c r="D12" s="24" t="s">
        <v>63</v>
      </c>
      <c r="E12" s="23" t="str">
        <f t="shared" si="1"/>
        <v>boiler_sch.variable_costs</v>
      </c>
      <c r="F12" s="77">
        <f>F104</f>
        <v>0.2</v>
      </c>
      <c r="G12" s="77">
        <f t="shared" si="2"/>
        <v>0.2</v>
      </c>
      <c r="H12" s="79"/>
      <c r="I12" s="23"/>
      <c r="J12" s="23"/>
      <c r="K12" s="23"/>
      <c r="L12" s="23"/>
      <c r="M12" s="23"/>
    </row>
    <row r="13" spans="1:18">
      <c r="A13" s="49"/>
      <c r="B13" s="86" t="s">
        <v>153</v>
      </c>
      <c r="C13" s="25" t="s">
        <v>81</v>
      </c>
      <c r="D13" s="24" t="s">
        <v>63</v>
      </c>
      <c r="E13" s="23" t="str">
        <f t="shared" si="1"/>
        <v>wind_curtailment.variable_costs</v>
      </c>
      <c r="F13" s="77">
        <v>-40</v>
      </c>
      <c r="G13" s="77">
        <f t="shared" si="2"/>
        <v>-40</v>
      </c>
      <c r="H13" s="79"/>
      <c r="I13" s="23"/>
      <c r="J13" s="23"/>
      <c r="K13" s="23"/>
      <c r="L13" s="23"/>
      <c r="M13" s="23"/>
      <c r="N13" s="1" t="s">
        <v>148</v>
      </c>
    </row>
    <row r="14" spans="1:18">
      <c r="A14" s="49"/>
      <c r="B14" s="86" t="s">
        <v>153</v>
      </c>
      <c r="C14" s="25" t="s">
        <v>80</v>
      </c>
      <c r="D14" s="24" t="s">
        <v>63</v>
      </c>
      <c r="E14" s="23" t="str">
        <f t="shared" si="1"/>
        <v>wind_using.variable_costs</v>
      </c>
      <c r="F14" s="77">
        <v>-40</v>
      </c>
      <c r="G14" s="77">
        <f t="shared" si="2"/>
        <v>-40</v>
      </c>
      <c r="H14" s="79"/>
      <c r="I14" s="23"/>
      <c r="J14" s="23"/>
      <c r="K14" s="23"/>
      <c r="L14" s="23"/>
      <c r="M14" s="23"/>
      <c r="N14" s="1" t="s">
        <v>148</v>
      </c>
    </row>
    <row r="15" spans="1:18">
      <c r="A15" s="49"/>
      <c r="B15" s="86" t="s">
        <v>153</v>
      </c>
      <c r="C15" s="25" t="s">
        <v>79</v>
      </c>
      <c r="D15" s="24" t="s">
        <v>63</v>
      </c>
      <c r="E15" s="23" t="str">
        <f t="shared" si="1"/>
        <v>wind_neg_spot.variable_costs</v>
      </c>
      <c r="F15" s="77">
        <v>-40</v>
      </c>
      <c r="G15" s="77">
        <f t="shared" si="2"/>
        <v>-40</v>
      </c>
      <c r="H15" s="79"/>
      <c r="I15" s="23"/>
      <c r="J15" s="23"/>
      <c r="K15" s="23"/>
      <c r="L15" s="23"/>
      <c r="M15" s="23"/>
      <c r="N15" s="1" t="s">
        <v>148</v>
      </c>
    </row>
    <row r="16" spans="1:18">
      <c r="A16" s="49"/>
      <c r="B16" s="86" t="s">
        <v>153</v>
      </c>
      <c r="C16" s="25" t="s">
        <v>78</v>
      </c>
      <c r="D16" s="24" t="s">
        <v>63</v>
      </c>
      <c r="E16" s="23" t="str">
        <f t="shared" si="1"/>
        <v>negative_spot.variable_costs</v>
      </c>
      <c r="F16" s="78">
        <v>0</v>
      </c>
      <c r="G16" s="78">
        <f t="shared" si="2"/>
        <v>0</v>
      </c>
      <c r="H16" s="80"/>
      <c r="I16" s="23"/>
      <c r="J16" s="23"/>
      <c r="K16" s="23"/>
      <c r="L16" s="23"/>
      <c r="M16" s="23"/>
    </row>
    <row r="17" spans="1:14">
      <c r="A17" s="49"/>
      <c r="B17" s="86" t="s">
        <v>153</v>
      </c>
      <c r="C17" s="25" t="s">
        <v>77</v>
      </c>
      <c r="D17" s="24" t="s">
        <v>63</v>
      </c>
      <c r="E17" s="23" t="str">
        <f t="shared" si="1"/>
        <v>spot_to_flex.variable_costs</v>
      </c>
      <c r="F17" s="78">
        <v>0</v>
      </c>
      <c r="G17" s="78">
        <f t="shared" si="2"/>
        <v>0</v>
      </c>
      <c r="H17" s="80"/>
      <c r="I17" s="23">
        <v>10</v>
      </c>
      <c r="J17" s="23"/>
      <c r="K17" s="23"/>
      <c r="L17" s="23"/>
      <c r="M17" s="23"/>
    </row>
    <row r="18" spans="1:14">
      <c r="A18" s="49"/>
      <c r="B18" s="86" t="s">
        <v>153</v>
      </c>
      <c r="C18" s="25" t="s">
        <v>0</v>
      </c>
      <c r="D18" s="24" t="s">
        <v>63</v>
      </c>
      <c r="E18" s="23" t="str">
        <f t="shared" si="1"/>
        <v>ptg.variable_costs</v>
      </c>
      <c r="F18" s="77">
        <f>SUM(F57:F63)*1000</f>
        <v>105.83000000000001</v>
      </c>
      <c r="G18" s="77">
        <v>0</v>
      </c>
      <c r="H18" s="79"/>
      <c r="I18" s="23">
        <v>40</v>
      </c>
      <c r="J18" s="23"/>
      <c r="K18" s="23"/>
      <c r="L18" s="23"/>
      <c r="M18" s="23"/>
    </row>
    <row r="19" spans="1:14">
      <c r="A19" s="49"/>
      <c r="B19" s="86" t="s">
        <v>153</v>
      </c>
      <c r="C19" s="25" t="s">
        <v>76</v>
      </c>
      <c r="D19" s="24" t="s">
        <v>63</v>
      </c>
      <c r="E19" s="23" t="str">
        <f t="shared" si="1"/>
        <v>ptg_out.variable_costs</v>
      </c>
      <c r="F19" s="77">
        <f>-F72-F74</f>
        <v>-9.66</v>
      </c>
      <c r="G19" s="77">
        <f t="shared" si="2"/>
        <v>-9.66</v>
      </c>
      <c r="H19" s="79"/>
      <c r="I19" s="23"/>
      <c r="J19" s="23"/>
      <c r="K19" s="23"/>
      <c r="L19" s="23"/>
      <c r="M19" s="23"/>
    </row>
    <row r="20" spans="1:14">
      <c r="A20" s="49"/>
      <c r="B20" s="86" t="s">
        <v>153</v>
      </c>
      <c r="C20" s="25" t="s">
        <v>75</v>
      </c>
      <c r="D20" s="24" t="s">
        <v>63</v>
      </c>
      <c r="E20" s="23" t="str">
        <f t="shared" si="1"/>
        <v>meth.variable_costs</v>
      </c>
      <c r="F20" s="77">
        <v>0</v>
      </c>
      <c r="G20" s="77">
        <f t="shared" si="2"/>
        <v>0</v>
      </c>
      <c r="H20" s="79"/>
      <c r="I20" s="23"/>
      <c r="J20" s="23"/>
      <c r="K20" s="23"/>
      <c r="L20" s="23"/>
      <c r="M20" s="23"/>
    </row>
    <row r="21" spans="1:14">
      <c r="A21" s="49"/>
      <c r="B21" s="86" t="s">
        <v>153</v>
      </c>
      <c r="C21" s="24" t="s">
        <v>150</v>
      </c>
      <c r="D21" s="24" t="s">
        <v>63</v>
      </c>
      <c r="E21" s="23" t="str">
        <f t="shared" si="1"/>
        <v>chp_sch_el.variable_costs</v>
      </c>
      <c r="F21" s="78"/>
      <c r="G21" s="78">
        <f t="shared" si="2"/>
        <v>0</v>
      </c>
      <c r="H21" s="80"/>
      <c r="I21" s="23"/>
      <c r="J21" s="23"/>
      <c r="K21" s="23"/>
      <c r="L21" s="23"/>
      <c r="M21" s="23"/>
    </row>
    <row r="22" spans="1:14">
      <c r="A22" s="49"/>
      <c r="B22" s="86" t="s">
        <v>153</v>
      </c>
      <c r="C22" s="24" t="s">
        <v>151</v>
      </c>
      <c r="D22" s="24" t="s">
        <v>63</v>
      </c>
      <c r="E22" s="23" t="str">
        <f t="shared" si="1"/>
        <v>chp_pr_el.variable_costs</v>
      </c>
      <c r="F22" s="78"/>
      <c r="G22" s="78">
        <f t="shared" si="2"/>
        <v>0</v>
      </c>
      <c r="H22" s="80"/>
      <c r="I22" s="23"/>
      <c r="J22" s="23"/>
      <c r="K22" s="23"/>
      <c r="L22" s="23"/>
      <c r="M22" s="23"/>
    </row>
    <row r="23" spans="1:14">
      <c r="A23" s="49"/>
      <c r="B23" s="86" t="s">
        <v>153</v>
      </c>
      <c r="C23" s="25"/>
      <c r="D23" s="24"/>
      <c r="E23" s="23"/>
      <c r="F23" s="77"/>
      <c r="G23" s="77">
        <f t="shared" si="2"/>
        <v>0</v>
      </c>
      <c r="H23" s="79"/>
      <c r="I23" s="23"/>
      <c r="J23" s="23"/>
      <c r="K23" s="23"/>
      <c r="L23" s="23"/>
      <c r="M23" s="23"/>
    </row>
    <row r="24" spans="1:14">
      <c r="A24" s="49"/>
      <c r="B24" s="86" t="s">
        <v>153</v>
      </c>
      <c r="C24" s="25" t="s">
        <v>74</v>
      </c>
      <c r="D24" s="24" t="s">
        <v>63</v>
      </c>
      <c r="E24" s="23" t="str">
        <f t="shared" si="1"/>
        <v>pv_using.variable_costs</v>
      </c>
      <c r="F24" s="77">
        <v>-40</v>
      </c>
      <c r="G24" s="77">
        <f t="shared" si="2"/>
        <v>-40</v>
      </c>
      <c r="H24" s="79"/>
      <c r="I24" s="23"/>
      <c r="J24" s="23"/>
      <c r="K24" s="23"/>
      <c r="L24" s="23"/>
      <c r="M24" s="23"/>
      <c r="N24" s="1" t="s">
        <v>148</v>
      </c>
    </row>
    <row r="25" spans="1:14">
      <c r="A25" s="49"/>
      <c r="B25" s="86" t="s">
        <v>153</v>
      </c>
      <c r="C25" s="25" t="s">
        <v>73</v>
      </c>
      <c r="D25" s="24" t="s">
        <v>63</v>
      </c>
      <c r="E25" s="23" t="str">
        <f t="shared" si="1"/>
        <v>pv_curtailment.variable_costs</v>
      </c>
      <c r="F25" s="77">
        <v>-40</v>
      </c>
      <c r="G25" s="77">
        <f t="shared" si="2"/>
        <v>-40</v>
      </c>
      <c r="H25" s="79"/>
      <c r="I25" s="23"/>
      <c r="J25" s="23"/>
      <c r="K25" s="23"/>
      <c r="L25" s="23"/>
      <c r="M25" s="23"/>
      <c r="N25" s="1" t="s">
        <v>148</v>
      </c>
    </row>
    <row r="26" spans="1:14">
      <c r="A26" s="49"/>
      <c r="B26" s="86" t="s">
        <v>153</v>
      </c>
      <c r="C26" s="25" t="s">
        <v>72</v>
      </c>
      <c r="D26" s="24" t="s">
        <v>63</v>
      </c>
      <c r="E26" s="23" t="str">
        <f t="shared" si="1"/>
        <v>pv_neg_spot.variable_costs</v>
      </c>
      <c r="F26" s="77">
        <v>-40</v>
      </c>
      <c r="G26" s="77">
        <f t="shared" si="2"/>
        <v>-40</v>
      </c>
      <c r="H26" s="79"/>
      <c r="I26" s="23"/>
      <c r="J26" s="23"/>
      <c r="K26" s="23"/>
      <c r="L26" s="23"/>
      <c r="M26" s="23"/>
      <c r="N26" s="1" t="s">
        <v>148</v>
      </c>
    </row>
    <row r="27" spans="1:14">
      <c r="A27" s="58"/>
      <c r="B27" s="43"/>
      <c r="C27" s="25"/>
      <c r="D27" s="24"/>
      <c r="E27" s="23"/>
      <c r="F27" s="77"/>
      <c r="G27" s="77">
        <f t="shared" si="2"/>
        <v>0</v>
      </c>
      <c r="H27" s="23"/>
      <c r="I27" s="23"/>
      <c r="J27" s="23"/>
      <c r="K27" s="23"/>
      <c r="L27" s="23"/>
      <c r="M27" s="23"/>
    </row>
    <row r="28" spans="1:14" ht="12.75" customHeight="1">
      <c r="A28" s="58"/>
      <c r="B28" s="86" t="s">
        <v>143</v>
      </c>
      <c r="C28" s="25" t="s">
        <v>141</v>
      </c>
      <c r="D28" s="24" t="s">
        <v>63</v>
      </c>
      <c r="E28" s="23" t="str">
        <f t="shared" ref="E28:E30" si="3">C28&amp;"."&amp;D28</f>
        <v>chp_sch.variable_costs</v>
      </c>
      <c r="F28" s="77">
        <f>F105</f>
        <v>8</v>
      </c>
      <c r="G28" s="77">
        <f t="shared" si="2"/>
        <v>8</v>
      </c>
      <c r="H28" s="81"/>
      <c r="I28" s="23"/>
      <c r="J28" s="23"/>
      <c r="K28" s="23"/>
      <c r="L28" s="23"/>
      <c r="M28" s="23"/>
    </row>
    <row r="29" spans="1:14" ht="12.75" customHeight="1">
      <c r="A29" s="58"/>
      <c r="B29" s="86" t="s">
        <v>143</v>
      </c>
      <c r="C29" s="25" t="s">
        <v>141</v>
      </c>
      <c r="D29" s="24" t="s">
        <v>171</v>
      </c>
      <c r="E29" s="23" t="str">
        <f t="shared" si="3"/>
        <v>chp_sch.LP (+KP) für Netznutzung</v>
      </c>
      <c r="F29" s="77">
        <f>SUM(F$77:F$78)*VLOOKUP(C29&amp;"."&amp;"power max",'Year Selection'!E:J,'Year Selection'!$F$4+1,0)</f>
        <v>369360</v>
      </c>
      <c r="G29" s="77">
        <f t="shared" si="2"/>
        <v>369360</v>
      </c>
      <c r="H29" s="81"/>
      <c r="I29" s="23"/>
      <c r="J29" s="23"/>
      <c r="K29" s="23"/>
      <c r="L29" s="23"/>
      <c r="M29" s="23"/>
    </row>
    <row r="30" spans="1:14">
      <c r="A30" s="58"/>
      <c r="B30" s="86" t="s">
        <v>143</v>
      </c>
      <c r="C30" s="25" t="s">
        <v>142</v>
      </c>
      <c r="D30" s="24" t="s">
        <v>63</v>
      </c>
      <c r="E30" s="23" t="str">
        <f t="shared" si="3"/>
        <v>chp_pr.variable_costs</v>
      </c>
      <c r="F30" s="77">
        <f>F105</f>
        <v>8</v>
      </c>
      <c r="G30" s="77">
        <f t="shared" si="2"/>
        <v>8</v>
      </c>
      <c r="H30" s="81"/>
      <c r="I30" s="23"/>
      <c r="J30" s="23"/>
      <c r="K30" s="23"/>
      <c r="L30" s="23"/>
      <c r="M30" s="23"/>
    </row>
    <row r="31" spans="1:14">
      <c r="A31" s="58"/>
      <c r="B31" s="43"/>
      <c r="C31" s="25"/>
      <c r="D31" s="24"/>
      <c r="E31" s="23"/>
      <c r="F31" s="77"/>
      <c r="G31" s="77">
        <f t="shared" si="2"/>
        <v>0</v>
      </c>
      <c r="H31" s="81"/>
      <c r="I31" s="23"/>
      <c r="J31" s="23"/>
      <c r="K31" s="23"/>
      <c r="L31" s="23"/>
      <c r="M31" s="23"/>
    </row>
    <row r="32" spans="1:14">
      <c r="A32" s="8"/>
      <c r="B32" s="8"/>
      <c r="C32" s="22"/>
      <c r="D32" s="23"/>
      <c r="E32" s="23" t="str">
        <f t="shared" si="1"/>
        <v>.</v>
      </c>
      <c r="F32" s="77"/>
      <c r="G32" s="77">
        <f t="shared" si="2"/>
        <v>0</v>
      </c>
      <c r="H32" s="81"/>
      <c r="I32" s="23"/>
      <c r="J32" s="23"/>
      <c r="K32" s="23"/>
      <c r="L32" s="23"/>
      <c r="M32" s="23"/>
    </row>
    <row r="33" spans="1:14" ht="12.75" customHeight="1">
      <c r="A33" s="8"/>
      <c r="B33" s="86" t="s">
        <v>71</v>
      </c>
      <c r="C33" s="25" t="s">
        <v>70</v>
      </c>
      <c r="D33" s="24" t="s">
        <v>63</v>
      </c>
      <c r="E33" s="23" t="str">
        <f t="shared" si="1"/>
        <v>spot_market_sink.variable_costs</v>
      </c>
      <c r="F33" s="78"/>
      <c r="G33" s="78">
        <f t="shared" si="2"/>
        <v>0</v>
      </c>
      <c r="H33" s="82"/>
      <c r="I33" s="23"/>
      <c r="J33" s="23"/>
      <c r="K33" s="23"/>
      <c r="L33" s="23"/>
      <c r="M33" s="23"/>
    </row>
    <row r="34" spans="1:14">
      <c r="A34" s="8"/>
      <c r="B34" s="86" t="s">
        <v>71</v>
      </c>
      <c r="C34" s="25" t="s">
        <v>69</v>
      </c>
      <c r="D34" s="24" t="s">
        <v>63</v>
      </c>
      <c r="E34" s="23" t="str">
        <f t="shared" si="1"/>
        <v>dist_heat_sch.variable_costs</v>
      </c>
      <c r="F34" s="77">
        <f>-F92</f>
        <v>-50</v>
      </c>
      <c r="G34" s="77">
        <f t="shared" si="2"/>
        <v>-50</v>
      </c>
      <c r="H34" s="81"/>
      <c r="I34" s="23"/>
      <c r="J34" s="23"/>
      <c r="K34" s="23"/>
      <c r="L34" s="23"/>
      <c r="M34" s="23"/>
    </row>
    <row r="35" spans="1:14">
      <c r="A35" s="8"/>
      <c r="B35" s="86" t="s">
        <v>71</v>
      </c>
      <c r="C35" s="25" t="s">
        <v>68</v>
      </c>
      <c r="D35" s="24" t="s">
        <v>63</v>
      </c>
      <c r="E35" s="23" t="str">
        <f t="shared" si="1"/>
        <v>dist_heat_pr.variable_costs</v>
      </c>
      <c r="F35" s="77">
        <f>-F92</f>
        <v>-50</v>
      </c>
      <c r="G35" s="77">
        <f t="shared" si="2"/>
        <v>-50</v>
      </c>
      <c r="H35" s="81"/>
      <c r="I35" s="23"/>
      <c r="J35" s="23"/>
      <c r="K35" s="23"/>
      <c r="L35" s="23"/>
      <c r="M35" s="23"/>
    </row>
    <row r="36" spans="1:14">
      <c r="A36" s="8"/>
      <c r="B36" s="86" t="s">
        <v>71</v>
      </c>
      <c r="C36" s="51" t="s">
        <v>149</v>
      </c>
      <c r="D36" s="24" t="s">
        <v>63</v>
      </c>
      <c r="E36" s="23" t="str">
        <f t="shared" si="1"/>
        <v>curtailment.variable_costs</v>
      </c>
      <c r="F36" s="77">
        <v>0</v>
      </c>
      <c r="G36" s="77">
        <f t="shared" si="2"/>
        <v>0</v>
      </c>
      <c r="H36" s="81"/>
      <c r="I36" s="23"/>
      <c r="J36" s="23"/>
      <c r="K36" s="23"/>
      <c r="L36" s="23"/>
      <c r="M36" s="23"/>
      <c r="N36" s="1" t="s">
        <v>148</v>
      </c>
    </row>
    <row r="37" spans="1:14">
      <c r="A37" s="8"/>
      <c r="B37" s="86" t="s">
        <v>71</v>
      </c>
      <c r="C37" s="25" t="s">
        <v>67</v>
      </c>
      <c r="D37" s="24" t="s">
        <v>63</v>
      </c>
      <c r="E37" s="23" t="str">
        <f t="shared" si="1"/>
        <v>el_demand_uck.variable_costs</v>
      </c>
      <c r="F37" s="77">
        <v>0</v>
      </c>
      <c r="G37" s="77">
        <f t="shared" si="2"/>
        <v>0</v>
      </c>
      <c r="H37" s="81"/>
      <c r="I37" s="23"/>
      <c r="J37" s="23"/>
      <c r="K37" s="23"/>
      <c r="L37" s="23"/>
      <c r="M37" s="23"/>
    </row>
    <row r="38" spans="1:14">
      <c r="A38" s="8"/>
      <c r="B38" s="8"/>
      <c r="C38" s="22"/>
      <c r="D38" s="23"/>
      <c r="E38" s="23" t="str">
        <f t="shared" si="1"/>
        <v>.</v>
      </c>
      <c r="F38" s="77"/>
      <c r="G38" s="77">
        <f t="shared" si="2"/>
        <v>0</v>
      </c>
      <c r="H38" s="81"/>
      <c r="I38" s="23"/>
      <c r="J38" s="23"/>
      <c r="K38" s="23"/>
      <c r="L38" s="23"/>
      <c r="M38" s="23"/>
    </row>
    <row r="39" spans="1:14" ht="12.75" customHeight="1">
      <c r="A39" s="8"/>
      <c r="B39" s="86" t="s">
        <v>66</v>
      </c>
      <c r="C39" s="25" t="s">
        <v>65</v>
      </c>
      <c r="D39" s="24" t="s">
        <v>63</v>
      </c>
      <c r="E39" s="23" t="str">
        <f t="shared" si="1"/>
        <v>cs_gas.variable_costs</v>
      </c>
      <c r="F39" s="77">
        <f>SUM(F70:F76)</f>
        <v>40.209999999999994</v>
      </c>
      <c r="G39" s="77">
        <f t="shared" si="2"/>
        <v>40.209999999999994</v>
      </c>
      <c r="H39" s="81">
        <f>SUM(H70:H76)</f>
        <v>40.209999999999994</v>
      </c>
      <c r="I39" s="23"/>
      <c r="J39" s="23"/>
      <c r="K39" s="23"/>
      <c r="L39" s="23"/>
      <c r="M39" s="23"/>
    </row>
    <row r="40" spans="1:14">
      <c r="A40" s="8"/>
      <c r="B40" s="86" t="s">
        <v>66</v>
      </c>
      <c r="C40" s="25" t="s">
        <v>64</v>
      </c>
      <c r="D40" s="24" t="s">
        <v>63</v>
      </c>
      <c r="E40" s="23" t="str">
        <f t="shared" si="1"/>
        <v>cs_electric.variable_costs</v>
      </c>
      <c r="F40" s="78">
        <v>0</v>
      </c>
      <c r="G40" s="78">
        <f t="shared" si="2"/>
        <v>0</v>
      </c>
      <c r="H40" s="82"/>
      <c r="I40" s="23"/>
      <c r="J40" s="23"/>
      <c r="K40" s="23"/>
      <c r="L40" s="23"/>
      <c r="M40" s="23"/>
    </row>
    <row r="41" spans="1:14">
      <c r="A41" s="8"/>
      <c r="B41" s="8"/>
      <c r="C41" s="22"/>
      <c r="D41" s="23"/>
      <c r="E41" s="23" t="str">
        <f t="shared" si="1"/>
        <v>.</v>
      </c>
      <c r="F41" s="77"/>
      <c r="G41" s="77">
        <f t="shared" si="2"/>
        <v>0</v>
      </c>
      <c r="H41" s="81"/>
      <c r="I41" s="23"/>
      <c r="J41" s="23"/>
      <c r="K41" s="23"/>
      <c r="L41" s="23"/>
      <c r="M41" s="23"/>
    </row>
    <row r="42" spans="1:14" ht="12.75" customHeight="1">
      <c r="A42" s="8"/>
      <c r="B42" s="86" t="s">
        <v>62</v>
      </c>
      <c r="C42" s="25" t="s">
        <v>61</v>
      </c>
      <c r="D42" s="24" t="s">
        <v>59</v>
      </c>
      <c r="E42" s="23" t="str">
        <f t="shared" si="1"/>
        <v>storage_th_pr.input_costs</v>
      </c>
      <c r="F42" s="77">
        <v>5.0000000000000001E-3</v>
      </c>
      <c r="G42" s="77">
        <f t="shared" si="2"/>
        <v>5.0000000000000001E-3</v>
      </c>
      <c r="H42" s="81"/>
      <c r="I42" s="23"/>
      <c r="J42" s="23"/>
      <c r="K42" s="23"/>
      <c r="L42" s="23"/>
      <c r="M42" s="23"/>
    </row>
    <row r="43" spans="1:14">
      <c r="A43" s="8"/>
      <c r="B43" s="86" t="s">
        <v>62</v>
      </c>
      <c r="C43" s="25" t="s">
        <v>61</v>
      </c>
      <c r="D43" s="24" t="s">
        <v>58</v>
      </c>
      <c r="E43" s="23" t="str">
        <f t="shared" si="1"/>
        <v>storage_th_pr.output_costs</v>
      </c>
      <c r="F43" s="77">
        <v>0</v>
      </c>
      <c r="G43" s="77">
        <f t="shared" si="2"/>
        <v>0</v>
      </c>
      <c r="H43" s="81"/>
      <c r="I43" s="23"/>
      <c r="J43" s="23"/>
      <c r="K43" s="23"/>
      <c r="L43" s="23"/>
      <c r="M43" s="23"/>
    </row>
    <row r="44" spans="1:14">
      <c r="A44" s="8"/>
      <c r="B44" s="86" t="s">
        <v>62</v>
      </c>
      <c r="C44" s="25" t="s">
        <v>60</v>
      </c>
      <c r="D44" s="24" t="s">
        <v>59</v>
      </c>
      <c r="E44" s="23" t="str">
        <f t="shared" si="1"/>
        <v>storage_th_sch.input_costs</v>
      </c>
      <c r="F44" s="77">
        <v>5.0000000000000001E-3</v>
      </c>
      <c r="G44" s="77">
        <f t="shared" si="2"/>
        <v>5.0000000000000001E-3</v>
      </c>
      <c r="H44" s="81"/>
      <c r="I44" s="23"/>
      <c r="J44" s="23"/>
      <c r="K44" s="23"/>
      <c r="L44" s="23"/>
      <c r="M44" s="23"/>
    </row>
    <row r="45" spans="1:14">
      <c r="A45" s="8"/>
      <c r="B45" s="86" t="s">
        <v>62</v>
      </c>
      <c r="C45" s="25" t="s">
        <v>60</v>
      </c>
      <c r="D45" s="24" t="s">
        <v>58</v>
      </c>
      <c r="E45" s="23" t="str">
        <f t="shared" si="1"/>
        <v>storage_th_sch.output_costs</v>
      </c>
      <c r="F45" s="77">
        <v>0</v>
      </c>
      <c r="G45" s="77">
        <f t="shared" si="2"/>
        <v>0</v>
      </c>
      <c r="H45" s="81"/>
      <c r="I45" s="23"/>
      <c r="J45" s="23"/>
      <c r="K45" s="23"/>
      <c r="L45" s="23"/>
      <c r="M45" s="23"/>
    </row>
    <row r="46" spans="1:14">
      <c r="A46" s="8"/>
      <c r="B46" s="86" t="s">
        <v>62</v>
      </c>
      <c r="C46" s="25" t="s">
        <v>1</v>
      </c>
      <c r="D46" s="24" t="s">
        <v>59</v>
      </c>
      <c r="E46" s="23" t="str">
        <f t="shared" si="1"/>
        <v>batt.input_costs</v>
      </c>
      <c r="F46" s="78">
        <f>(F57+F58+F59+F60+F61+F62+F63)*1000</f>
        <v>105.83000000000001</v>
      </c>
      <c r="G46" s="78">
        <f t="shared" si="2"/>
        <v>105.83000000000001</v>
      </c>
      <c r="H46" s="82"/>
      <c r="I46" s="23"/>
      <c r="J46" s="23"/>
      <c r="K46" s="23"/>
      <c r="L46" s="23"/>
      <c r="M46" s="23"/>
    </row>
    <row r="47" spans="1:14">
      <c r="A47" s="8"/>
      <c r="B47" s="86" t="s">
        <v>62</v>
      </c>
      <c r="C47" s="25" t="s">
        <v>1</v>
      </c>
      <c r="D47" s="24" t="s">
        <v>58</v>
      </c>
      <c r="E47" s="23" t="str">
        <f t="shared" si="1"/>
        <v>batt.output_costs</v>
      </c>
      <c r="F47" s="78">
        <f>-F57*1000</f>
        <v>-63.5</v>
      </c>
      <c r="G47" s="78">
        <f t="shared" si="2"/>
        <v>-63.5</v>
      </c>
      <c r="H47" s="82"/>
      <c r="I47" s="23"/>
      <c r="J47" s="23"/>
      <c r="K47" s="23"/>
      <c r="L47" s="23"/>
      <c r="M47" s="23"/>
    </row>
    <row r="48" spans="1:14" s="4" customFormat="1">
      <c r="A48" s="23"/>
      <c r="B48" s="23"/>
      <c r="C48" s="22"/>
      <c r="D48" s="21"/>
      <c r="E48" s="20"/>
      <c r="F48" s="77"/>
      <c r="G48" s="77">
        <f t="shared" si="2"/>
        <v>0</v>
      </c>
      <c r="H48" s="23"/>
      <c r="I48" s="19"/>
      <c r="J48" s="19"/>
      <c r="K48" s="19"/>
      <c r="L48" s="19"/>
      <c r="M48" s="19"/>
    </row>
    <row r="49" spans="1:14" s="4" customFormat="1">
      <c r="A49" s="23"/>
      <c r="B49" s="86" t="s">
        <v>153</v>
      </c>
      <c r="C49" s="25" t="s">
        <v>82</v>
      </c>
      <c r="D49" s="24" t="s">
        <v>171</v>
      </c>
      <c r="E49" s="23" t="str">
        <f t="shared" si="1"/>
        <v>boiler_sch.LP (+KP) für Netznutzung</v>
      </c>
      <c r="F49" s="77">
        <f>SUM(F$77:F$78)*VLOOKUP(C49&amp;"."&amp;"capacity",'Year Selection'!E:J,'Year Selection'!$F$4+1,0)</f>
        <v>719280</v>
      </c>
      <c r="G49" s="77">
        <f t="shared" si="2"/>
        <v>719280</v>
      </c>
      <c r="H49" s="23"/>
      <c r="I49" s="19"/>
      <c r="J49" s="19"/>
      <c r="K49" s="19"/>
      <c r="L49" s="19"/>
      <c r="M49" s="19"/>
    </row>
    <row r="50" spans="1:14" s="4" customFormat="1">
      <c r="A50" s="23"/>
      <c r="B50" s="86" t="s">
        <v>153</v>
      </c>
      <c r="C50" s="25" t="s">
        <v>83</v>
      </c>
      <c r="D50" s="24" t="s">
        <v>171</v>
      </c>
      <c r="E50" s="23" t="str">
        <f t="shared" ref="E50:E52" si="4">C50&amp;"."&amp;D50</f>
        <v>boiler_pr.LP (+KP) für Netznutzung</v>
      </c>
      <c r="F50" s="77">
        <f>SUM(F$77:F$78)*VLOOKUP(C50&amp;"."&amp;"capacity",'Year Selection'!E:J,'Year Selection'!$F$4+1,0)</f>
        <v>719280</v>
      </c>
      <c r="G50" s="77">
        <f t="shared" si="2"/>
        <v>719280</v>
      </c>
      <c r="H50" s="23"/>
      <c r="I50" s="19"/>
      <c r="J50" s="19"/>
      <c r="K50" s="19"/>
      <c r="L50" s="19"/>
      <c r="M50" s="19"/>
    </row>
    <row r="51" spans="1:14" s="4" customFormat="1">
      <c r="A51" s="23"/>
      <c r="B51" s="23"/>
      <c r="C51" s="22"/>
      <c r="D51" s="21"/>
      <c r="E51" s="20"/>
      <c r="F51" s="23"/>
      <c r="G51" s="77">
        <f t="shared" si="2"/>
        <v>0</v>
      </c>
      <c r="H51" s="23"/>
      <c r="I51" s="19"/>
      <c r="J51" s="19"/>
      <c r="K51" s="19"/>
      <c r="L51" s="19"/>
      <c r="M51" s="19"/>
    </row>
    <row r="52" spans="1:14" s="4" customFormat="1">
      <c r="A52" s="23"/>
      <c r="B52" s="86" t="s">
        <v>153</v>
      </c>
      <c r="C52" s="25" t="s">
        <v>82</v>
      </c>
      <c r="D52" s="21" t="s">
        <v>179</v>
      </c>
      <c r="E52" s="23" t="str">
        <f t="shared" si="4"/>
        <v>boiler_sch.Mess./Abrechn./(GP)</v>
      </c>
      <c r="F52" s="23">
        <f>SUM(F79:F80)</f>
        <v>1344.48</v>
      </c>
      <c r="G52" s="77">
        <f t="shared" si="2"/>
        <v>1344.48</v>
      </c>
      <c r="H52" s="23"/>
      <c r="I52" s="19"/>
      <c r="J52" s="19"/>
      <c r="K52" s="19"/>
      <c r="L52" s="19"/>
      <c r="M52" s="19"/>
    </row>
    <row r="53" spans="1:14" s="4" customFormat="1">
      <c r="A53" s="23"/>
      <c r="B53" s="86" t="s">
        <v>153</v>
      </c>
      <c r="C53" s="25" t="s">
        <v>83</v>
      </c>
      <c r="D53" s="21" t="s">
        <v>179</v>
      </c>
      <c r="E53" s="23" t="str">
        <f t="shared" ref="E53" si="5">C53&amp;"."&amp;D53</f>
        <v>boiler_pr.Mess./Abrechn./(GP)</v>
      </c>
      <c r="F53" s="23">
        <f>SUM(F79:F80)</f>
        <v>1344.48</v>
      </c>
      <c r="G53" s="77">
        <f t="shared" si="2"/>
        <v>1344.48</v>
      </c>
      <c r="H53" s="23"/>
      <c r="I53" s="19"/>
      <c r="J53" s="19"/>
      <c r="K53" s="19"/>
      <c r="L53" s="19"/>
      <c r="M53" s="19"/>
    </row>
    <row r="54" spans="1:14" s="4" customFormat="1">
      <c r="A54" s="23"/>
      <c r="B54" s="23"/>
      <c r="C54" s="22"/>
      <c r="D54" s="21"/>
      <c r="E54" s="20"/>
      <c r="F54" s="19"/>
      <c r="G54" s="19"/>
      <c r="H54" s="19"/>
      <c r="I54" s="19"/>
      <c r="J54" s="19"/>
      <c r="K54" s="19"/>
      <c r="L54" s="19"/>
      <c r="M54" s="19"/>
    </row>
    <row r="55" spans="1:14" s="4" customFormat="1">
      <c r="A55" s="23"/>
      <c r="B55" s="23"/>
      <c r="C55" s="22"/>
      <c r="D55" s="21"/>
      <c r="E55" s="20"/>
      <c r="F55" s="19"/>
      <c r="G55" s="19"/>
      <c r="H55" s="19"/>
      <c r="I55" s="19"/>
      <c r="J55" s="19"/>
      <c r="K55" s="19"/>
      <c r="L55" s="19"/>
      <c r="M55" s="19"/>
    </row>
    <row r="56" spans="1:14" ht="12.75" customHeight="1">
      <c r="A56" s="8" t="e">
        <f>#REF!+1</f>
        <v>#REF!</v>
      </c>
      <c r="B56" s="64" t="s">
        <v>57</v>
      </c>
      <c r="C56" s="97" t="s">
        <v>21</v>
      </c>
      <c r="D56" s="18" t="s">
        <v>56</v>
      </c>
      <c r="E56" s="23" t="str">
        <f>B56&amp;"."&amp;D56</f>
        <v xml:space="preserve">Electricity.AP für Netznutzung </v>
      </c>
      <c r="F56" s="10">
        <v>3.0599999999999999E-2</v>
      </c>
      <c r="G56" s="10"/>
      <c r="H56" s="10"/>
      <c r="I56" s="10">
        <v>0</v>
      </c>
      <c r="J56" s="10"/>
      <c r="K56" s="10">
        <f>F56</f>
        <v>3.0599999999999999E-2</v>
      </c>
      <c r="L56" s="10">
        <v>2.35E-2</v>
      </c>
      <c r="M56" s="10">
        <v>7.0000000000000001E-3</v>
      </c>
    </row>
    <row r="57" spans="1:14">
      <c r="A57" s="8" t="e">
        <f t="shared" ref="A57:A71" si="6">A56+1</f>
        <v>#REF!</v>
      </c>
      <c r="B57" s="64" t="s">
        <v>57</v>
      </c>
      <c r="C57" s="97"/>
      <c r="D57" s="18" t="s">
        <v>55</v>
      </c>
      <c r="E57" s="23" t="str">
        <f t="shared" ref="E57:E126" si="7">B57&amp;"."&amp;D57</f>
        <v xml:space="preserve">Electricity.EEG-Umlage </v>
      </c>
      <c r="F57" s="10">
        <v>6.3500000000000001E-2</v>
      </c>
      <c r="G57" s="10"/>
      <c r="H57" s="10"/>
      <c r="I57" s="10">
        <v>2.5400000000000002E-2</v>
      </c>
      <c r="J57" s="10"/>
      <c r="K57" s="10">
        <v>0</v>
      </c>
      <c r="L57" s="10">
        <v>6.3500000000000001E-2</v>
      </c>
      <c r="M57" s="10">
        <v>6.3500000000000001E-2</v>
      </c>
    </row>
    <row r="58" spans="1:14" ht="25.5">
      <c r="A58" s="8" t="e">
        <f t="shared" si="6"/>
        <v>#REF!</v>
      </c>
      <c r="B58" s="64" t="s">
        <v>57</v>
      </c>
      <c r="C58" s="97"/>
      <c r="D58" s="18" t="s">
        <v>45</v>
      </c>
      <c r="E58" s="23" t="str">
        <f t="shared" si="7"/>
        <v>Electricity.Konzessionsabgaben</v>
      </c>
      <c r="F58" s="10">
        <v>1.32E-2</v>
      </c>
      <c r="G58" s="10"/>
      <c r="H58" s="10"/>
      <c r="I58" s="10">
        <v>1.32E-2</v>
      </c>
      <c r="J58" s="10"/>
      <c r="K58" s="10">
        <v>1.32E-2</v>
      </c>
      <c r="L58" s="10">
        <v>1.32E-2</v>
      </c>
      <c r="M58" s="10">
        <v>1.32E-2</v>
      </c>
    </row>
    <row r="59" spans="1:14" ht="25.5">
      <c r="A59" s="8" t="e">
        <f t="shared" si="6"/>
        <v>#REF!</v>
      </c>
      <c r="B59" s="64" t="s">
        <v>57</v>
      </c>
      <c r="C59" s="97"/>
      <c r="D59" s="18" t="s">
        <v>54</v>
      </c>
      <c r="E59" s="23" t="str">
        <f t="shared" si="7"/>
        <v xml:space="preserve">Electricity.§ 19-StromNEV-Umlage </v>
      </c>
      <c r="F59" s="10">
        <v>3.7799999999999999E-3</v>
      </c>
      <c r="G59" s="10"/>
      <c r="H59" s="10"/>
      <c r="I59" s="10">
        <v>0</v>
      </c>
      <c r="J59" s="10"/>
      <c r="K59" s="10">
        <v>0</v>
      </c>
      <c r="L59" s="10">
        <v>3.7799999999999999E-3</v>
      </c>
      <c r="M59" s="10">
        <v>3.7799999999999999E-3</v>
      </c>
    </row>
    <row r="60" spans="1:14">
      <c r="A60" s="8" t="e">
        <f t="shared" si="6"/>
        <v>#REF!</v>
      </c>
      <c r="B60" s="64" t="s">
        <v>57</v>
      </c>
      <c r="C60" s="97"/>
      <c r="D60" s="18" t="s">
        <v>53</v>
      </c>
      <c r="E60" s="23" t="str">
        <f t="shared" si="7"/>
        <v xml:space="preserve">Electricity.Stromsteuer </v>
      </c>
      <c r="F60" s="10">
        <v>2.0499999999999997E-2</v>
      </c>
      <c r="G60" s="10"/>
      <c r="H60" s="10"/>
      <c r="I60" s="10">
        <v>2.0499999999999997E-2</v>
      </c>
      <c r="J60" s="10"/>
      <c r="K60" s="10">
        <v>0</v>
      </c>
      <c r="L60" s="10">
        <v>2.0499999999999997E-2</v>
      </c>
      <c r="M60" s="10">
        <v>2.0499999999999997E-2</v>
      </c>
      <c r="N60" s="1" t="s">
        <v>52</v>
      </c>
    </row>
    <row r="61" spans="1:14">
      <c r="A61" s="8" t="e">
        <f t="shared" si="6"/>
        <v>#REF!</v>
      </c>
      <c r="B61" s="64" t="s">
        <v>57</v>
      </c>
      <c r="C61" s="97"/>
      <c r="D61" s="18" t="s">
        <v>27</v>
      </c>
      <c r="E61" s="23" t="str">
        <f t="shared" si="7"/>
        <v>Electricity.CO2-Steuer</v>
      </c>
      <c r="F61" s="10">
        <v>0</v>
      </c>
      <c r="G61" s="10"/>
      <c r="H61" s="10"/>
      <c r="I61" s="10">
        <v>0</v>
      </c>
      <c r="J61" s="10">
        <f>J85*J83</f>
        <v>21.15</v>
      </c>
      <c r="K61" s="10">
        <f>K85*K83</f>
        <v>58.75</v>
      </c>
      <c r="L61" s="10">
        <v>0</v>
      </c>
      <c r="M61" s="10">
        <v>0</v>
      </c>
    </row>
    <row r="62" spans="1:14">
      <c r="A62" s="8" t="e">
        <f t="shared" si="6"/>
        <v>#REF!</v>
      </c>
      <c r="B62" s="64" t="s">
        <v>57</v>
      </c>
      <c r="C62" s="97"/>
      <c r="D62" s="18" t="s">
        <v>51</v>
      </c>
      <c r="E62" s="23" t="str">
        <f t="shared" si="7"/>
        <v xml:space="preserve">Electricity.KWK Umlage </v>
      </c>
      <c r="F62" s="10">
        <v>4.45E-3</v>
      </c>
      <c r="G62" s="10"/>
      <c r="H62" s="10"/>
      <c r="I62" s="10">
        <v>0</v>
      </c>
      <c r="J62" s="10"/>
      <c r="K62" s="10"/>
      <c r="L62" s="10">
        <v>4.45E-3</v>
      </c>
      <c r="M62" s="10">
        <v>4.45E-3</v>
      </c>
    </row>
    <row r="63" spans="1:14" ht="25.5">
      <c r="A63" s="8" t="e">
        <f t="shared" si="6"/>
        <v>#REF!</v>
      </c>
      <c r="B63" s="64" t="s">
        <v>57</v>
      </c>
      <c r="C63" s="97"/>
      <c r="D63" s="18" t="s">
        <v>50</v>
      </c>
      <c r="E63" s="23" t="str">
        <f t="shared" si="7"/>
        <v xml:space="preserve">Electricity.Offshore-Haftungsumlage </v>
      </c>
      <c r="F63" s="10">
        <v>4.0000000000000002E-4</v>
      </c>
      <c r="G63" s="10"/>
      <c r="H63" s="10"/>
      <c r="I63" s="10">
        <v>0</v>
      </c>
      <c r="J63" s="10"/>
      <c r="K63" s="10">
        <v>0</v>
      </c>
      <c r="L63" s="10">
        <v>4.0000000000000002E-4</v>
      </c>
      <c r="M63" s="10">
        <v>4.0000000000000002E-4</v>
      </c>
    </row>
    <row r="64" spans="1:14" ht="25.5">
      <c r="A64" s="8" t="e">
        <f t="shared" si="6"/>
        <v>#REF!</v>
      </c>
      <c r="B64" s="64" t="s">
        <v>57</v>
      </c>
      <c r="C64" s="97"/>
      <c r="D64" s="18" t="s">
        <v>49</v>
      </c>
      <c r="E64" s="23" t="str">
        <f t="shared" si="7"/>
        <v>Electricity.§ 18 Absatz 1+2 absch. L.</v>
      </c>
      <c r="F64" s="10">
        <v>0</v>
      </c>
      <c r="G64" s="10"/>
      <c r="H64" s="10"/>
      <c r="I64" s="10">
        <v>0</v>
      </c>
      <c r="J64" s="10"/>
      <c r="K64" s="10">
        <v>0</v>
      </c>
      <c r="L64" s="10">
        <v>0</v>
      </c>
      <c r="M64" s="10">
        <v>0</v>
      </c>
    </row>
    <row r="65" spans="1:15">
      <c r="A65" s="8" t="e">
        <f t="shared" si="6"/>
        <v>#REF!</v>
      </c>
      <c r="B65" s="64" t="s">
        <v>57</v>
      </c>
      <c r="C65" s="98" t="s">
        <v>14</v>
      </c>
      <c r="D65" s="16" t="s">
        <v>42</v>
      </c>
      <c r="E65" s="23" t="str">
        <f t="shared" si="7"/>
        <v>Electricity.KP</v>
      </c>
      <c r="F65" s="7">
        <v>0</v>
      </c>
      <c r="G65" s="7"/>
      <c r="H65" s="7"/>
      <c r="I65" s="7">
        <v>0</v>
      </c>
      <c r="J65" s="7"/>
      <c r="K65" s="7"/>
      <c r="L65" s="7">
        <v>5.72</v>
      </c>
      <c r="M65" s="7">
        <v>11.91</v>
      </c>
    </row>
    <row r="66" spans="1:15">
      <c r="A66" s="8" t="e">
        <f t="shared" si="6"/>
        <v>#REF!</v>
      </c>
      <c r="B66" s="64" t="s">
        <v>57</v>
      </c>
      <c r="C66" s="98"/>
      <c r="D66" s="16" t="s">
        <v>39</v>
      </c>
      <c r="E66" s="23" t="str">
        <f t="shared" si="7"/>
        <v>Electricity.LP für Netznutzung</v>
      </c>
      <c r="F66" s="7">
        <v>36.6</v>
      </c>
      <c r="G66" s="7"/>
      <c r="H66" s="7"/>
      <c r="I66" s="7">
        <v>0</v>
      </c>
      <c r="J66" s="7"/>
      <c r="K66" s="7">
        <f>F66</f>
        <v>36.6</v>
      </c>
      <c r="L66" s="7">
        <v>10.08</v>
      </c>
      <c r="M66" s="7">
        <v>0</v>
      </c>
    </row>
    <row r="67" spans="1:15">
      <c r="A67" s="8" t="e">
        <f t="shared" si="6"/>
        <v>#REF!</v>
      </c>
      <c r="B67" s="64" t="s">
        <v>57</v>
      </c>
      <c r="C67" s="99" t="s">
        <v>38</v>
      </c>
      <c r="D67" s="15" t="s">
        <v>37</v>
      </c>
      <c r="E67" s="23" t="str">
        <f t="shared" si="7"/>
        <v>Electricity.GP_a</v>
      </c>
      <c r="F67" s="14">
        <v>0</v>
      </c>
      <c r="G67" s="14"/>
      <c r="H67" s="14"/>
      <c r="I67" s="14">
        <v>0</v>
      </c>
      <c r="J67" s="14"/>
      <c r="K67" s="14">
        <v>0</v>
      </c>
      <c r="L67" s="14">
        <v>3920</v>
      </c>
      <c r="M67" s="14">
        <v>8160</v>
      </c>
    </row>
    <row r="68" spans="1:15" ht="25.5">
      <c r="A68" s="8" t="e">
        <f t="shared" si="6"/>
        <v>#REF!</v>
      </c>
      <c r="B68" s="64" t="s">
        <v>57</v>
      </c>
      <c r="C68" s="99"/>
      <c r="D68" s="15" t="s">
        <v>35</v>
      </c>
      <c r="E68" s="23" t="str">
        <f t="shared" si="7"/>
        <v xml:space="preserve">Electricity.Messung/Betrieb/
Abrechnung </v>
      </c>
      <c r="F68" s="14">
        <v>1939.56</v>
      </c>
      <c r="G68" s="14"/>
      <c r="H68" s="14"/>
      <c r="I68" s="14">
        <v>1939.56</v>
      </c>
      <c r="J68" s="14"/>
      <c r="K68" s="14">
        <f>F68</f>
        <v>1939.56</v>
      </c>
      <c r="L68" s="14">
        <v>1939.56</v>
      </c>
      <c r="M68" s="14">
        <v>1939.56</v>
      </c>
    </row>
    <row r="69" spans="1:15" s="2" customFormat="1">
      <c r="A69" s="8" t="e">
        <f t="shared" si="6"/>
        <v>#REF!</v>
      </c>
      <c r="B69" s="8"/>
      <c r="C69" s="17"/>
      <c r="D69" s="9"/>
      <c r="E69" s="23" t="str">
        <f t="shared" si="7"/>
        <v>.</v>
      </c>
      <c r="F69" s="8"/>
      <c r="G69" s="8"/>
      <c r="H69" s="8"/>
      <c r="I69" s="8"/>
      <c r="J69" s="8"/>
      <c r="K69" s="8"/>
      <c r="L69" s="8"/>
      <c r="M69" s="8"/>
    </row>
    <row r="70" spans="1:15" ht="12.75" customHeight="1">
      <c r="A70" s="8" t="e">
        <f t="shared" si="6"/>
        <v>#REF!</v>
      </c>
      <c r="B70" s="64" t="s">
        <v>107</v>
      </c>
      <c r="C70" s="68" t="s">
        <v>21</v>
      </c>
      <c r="D70" s="63" t="s">
        <v>48</v>
      </c>
      <c r="E70" s="23" t="str">
        <f t="shared" si="7"/>
        <v>Kosten Energie.gas price</v>
      </c>
      <c r="F70" s="75">
        <f>VLOOKUP($E70,'Year Selection'!$E:$M,'Year Selection'!$F$4+1,0)</f>
        <v>29.11</v>
      </c>
      <c r="G70" s="75"/>
      <c r="H70" s="75">
        <f>VLOOKUP($E70,'Year Selection'!$E:$M,'Year Selection'!$F$4+1,0)</f>
        <v>29.11</v>
      </c>
      <c r="I70" s="10">
        <f>VLOOKUP($E70,'Year Selection'!$E:$M,'Year Selection'!$F$4+1,0)</f>
        <v>29.11</v>
      </c>
      <c r="J70" s="10">
        <f>VLOOKUP($E70,'Year Selection'!$E:$M,'Year Selection'!$F$4+1,0)</f>
        <v>29.11</v>
      </c>
      <c r="K70" s="10">
        <f>VLOOKUP($E70,'Year Selection'!$E:$M,'Year Selection'!$F$4+1,0)</f>
        <v>29.11</v>
      </c>
      <c r="L70" s="10">
        <f>VLOOKUP($E70,'Year Selection'!$E:$M,'Year Selection'!$F$4+1,0)</f>
        <v>29.11</v>
      </c>
      <c r="M70" s="10">
        <f>VLOOKUP($E70,'Year Selection'!$E:$M,'Year Selection'!$F$4+1,0)</f>
        <v>29.11</v>
      </c>
      <c r="O70" s="1" t="s">
        <v>40</v>
      </c>
    </row>
    <row r="71" spans="1:15" s="2" customFormat="1">
      <c r="A71" s="8" t="e">
        <f t="shared" si="6"/>
        <v>#REF!</v>
      </c>
      <c r="B71" s="8"/>
      <c r="C71" s="56"/>
      <c r="D71" s="56"/>
      <c r="E71" s="23" t="str">
        <f t="shared" ref="E71" si="8">B71&amp;"."&amp;D71</f>
        <v>.</v>
      </c>
      <c r="F71" s="76"/>
      <c r="G71" s="76"/>
      <c r="H71" s="76"/>
      <c r="I71" s="8"/>
      <c r="J71" s="8"/>
      <c r="K71" s="8"/>
      <c r="L71" s="8"/>
      <c r="M71" s="8"/>
    </row>
    <row r="72" spans="1:15" ht="12.75" customHeight="1">
      <c r="A72" s="8"/>
      <c r="B72" s="64" t="s">
        <v>33</v>
      </c>
      <c r="C72" s="100" t="s">
        <v>21</v>
      </c>
      <c r="D72" s="18" t="s">
        <v>56</v>
      </c>
      <c r="E72" s="23" t="str">
        <f t="shared" si="7"/>
        <v xml:space="preserve">Gas.AP für Netznutzung </v>
      </c>
      <c r="F72" s="75">
        <f>0.416*10</f>
        <v>4.16</v>
      </c>
      <c r="G72" s="75"/>
      <c r="H72" s="75">
        <f>0.416*10</f>
        <v>4.16</v>
      </c>
      <c r="I72" s="10"/>
      <c r="J72" s="10"/>
      <c r="K72" s="10"/>
      <c r="L72" s="10"/>
      <c r="M72" s="10"/>
      <c r="N72" s="1" t="s">
        <v>41</v>
      </c>
    </row>
    <row r="73" spans="1:15" ht="12.75" customHeight="1">
      <c r="A73" s="8"/>
      <c r="B73" s="64" t="s">
        <v>33</v>
      </c>
      <c r="C73" s="101"/>
      <c r="D73" s="10"/>
      <c r="E73" s="23" t="str">
        <f t="shared" si="7"/>
        <v>Gas.</v>
      </c>
      <c r="F73" s="75"/>
      <c r="G73" s="75"/>
      <c r="H73" s="75"/>
      <c r="I73" s="10"/>
      <c r="J73" s="10"/>
      <c r="K73" s="10"/>
      <c r="L73" s="10"/>
      <c r="M73" s="10"/>
    </row>
    <row r="74" spans="1:15">
      <c r="A74" s="8" t="e">
        <f>A70+1</f>
        <v>#REF!</v>
      </c>
      <c r="B74" s="64" t="s">
        <v>33</v>
      </c>
      <c r="C74" s="101"/>
      <c r="D74" s="10" t="s">
        <v>47</v>
      </c>
      <c r="E74" s="23" t="str">
        <f t="shared" si="7"/>
        <v>Gas.gas Steuer</v>
      </c>
      <c r="F74" s="75">
        <f>0.55/100*1000</f>
        <v>5.5000000000000009</v>
      </c>
      <c r="G74" s="75"/>
      <c r="H74" s="75">
        <f>0.55/100*1000</f>
        <v>5.5000000000000009</v>
      </c>
      <c r="I74" s="10"/>
      <c r="J74" s="10"/>
      <c r="K74" s="10"/>
      <c r="L74" s="10"/>
      <c r="M74" s="10"/>
      <c r="N74" s="1" t="s">
        <v>44</v>
      </c>
      <c r="O74" s="1" t="s">
        <v>43</v>
      </c>
    </row>
    <row r="75" spans="1:15">
      <c r="A75" s="8"/>
      <c r="B75" s="64" t="s">
        <v>33</v>
      </c>
      <c r="C75" s="101"/>
      <c r="D75" s="10" t="s">
        <v>46</v>
      </c>
      <c r="E75" s="23" t="str">
        <f t="shared" si="7"/>
        <v>Gas.gas CO2-Kosten</v>
      </c>
      <c r="F75" s="75">
        <f t="shared" ref="F75:I75" si="9">(F85+F84)*F82</f>
        <v>1.4000000000000001</v>
      </c>
      <c r="G75" s="75"/>
      <c r="H75" s="75">
        <f t="shared" ref="H75" si="10">(H85+H84)*H82</f>
        <v>1.4000000000000001</v>
      </c>
      <c r="I75" s="10">
        <f t="shared" si="9"/>
        <v>1.4000000000000001</v>
      </c>
      <c r="J75" s="10">
        <f>(J85+J84)*J82</f>
        <v>10.4</v>
      </c>
      <c r="K75" s="10">
        <f>(K85+K84)*K82</f>
        <v>26.400000000000002</v>
      </c>
      <c r="L75" s="10">
        <f>(L85+L84)*L82</f>
        <v>1.4000000000000001</v>
      </c>
      <c r="M75" s="10">
        <f>(M85+M84)*M82</f>
        <v>1.4000000000000001</v>
      </c>
    </row>
    <row r="76" spans="1:15">
      <c r="A76" s="8" t="e">
        <f>A74+1</f>
        <v>#REF!</v>
      </c>
      <c r="B76" s="64" t="s">
        <v>33</v>
      </c>
      <c r="C76" s="102"/>
      <c r="D76" s="10" t="s">
        <v>45</v>
      </c>
      <c r="E76" s="23" t="str">
        <f t="shared" si="7"/>
        <v>Gas.Konzessionsabgaben</v>
      </c>
      <c r="F76" s="75">
        <v>0.04</v>
      </c>
      <c r="G76" s="75"/>
      <c r="H76" s="75">
        <v>0.04</v>
      </c>
      <c r="I76" s="10"/>
      <c r="J76" s="10"/>
      <c r="K76" s="10"/>
      <c r="L76" s="10"/>
      <c r="M76" s="10"/>
      <c r="N76" s="1" t="s">
        <v>44</v>
      </c>
      <c r="O76" s="1" t="s">
        <v>43</v>
      </c>
    </row>
    <row r="77" spans="1:15" ht="23.25" customHeight="1">
      <c r="A77" s="8" t="e">
        <f>#REF!+1</f>
        <v>#REF!</v>
      </c>
      <c r="B77" s="64" t="s">
        <v>33</v>
      </c>
      <c r="C77" s="98" t="s">
        <v>14</v>
      </c>
      <c r="D77" s="16" t="s">
        <v>42</v>
      </c>
      <c r="E77" s="23" t="str">
        <f t="shared" si="7"/>
        <v>Gas.KP</v>
      </c>
      <c r="F77" s="7"/>
      <c r="G77" s="7"/>
      <c r="H77" s="7"/>
      <c r="I77" s="7"/>
      <c r="J77" s="7"/>
      <c r="K77" s="7"/>
      <c r="L77" s="7"/>
      <c r="M77" s="7"/>
      <c r="N77" s="1" t="s">
        <v>41</v>
      </c>
      <c r="O77" s="1" t="s">
        <v>40</v>
      </c>
    </row>
    <row r="78" spans="1:15" ht="23.25" customHeight="1">
      <c r="A78" s="8" t="e">
        <f>A77+1</f>
        <v>#REF!</v>
      </c>
      <c r="B78" s="64" t="s">
        <v>33</v>
      </c>
      <c r="C78" s="98"/>
      <c r="D78" s="16" t="s">
        <v>39</v>
      </c>
      <c r="E78" s="23" t="str">
        <f t="shared" si="7"/>
        <v>Gas.LP für Netznutzung</v>
      </c>
      <c r="F78" s="7">
        <f>19.44*1000</f>
        <v>19440</v>
      </c>
      <c r="G78" s="7"/>
      <c r="H78" s="7"/>
      <c r="I78" s="7"/>
      <c r="J78" s="7"/>
      <c r="K78" s="7"/>
      <c r="L78" s="7"/>
      <c r="M78" s="7"/>
    </row>
    <row r="79" spans="1:15">
      <c r="A79" s="8" t="e">
        <f>A78+1</f>
        <v>#REF!</v>
      </c>
      <c r="B79" s="64" t="s">
        <v>33</v>
      </c>
      <c r="C79" s="99" t="s">
        <v>38</v>
      </c>
      <c r="D79" s="15" t="s">
        <v>37</v>
      </c>
      <c r="E79" s="23" t="str">
        <f t="shared" si="7"/>
        <v>Gas.GP_a</v>
      </c>
      <c r="F79" s="14"/>
      <c r="G79" s="14"/>
      <c r="H79" s="14"/>
      <c r="I79" s="14"/>
      <c r="J79" s="14"/>
      <c r="K79" s="14"/>
      <c r="L79" s="14"/>
      <c r="M79" s="14"/>
      <c r="N79" s="1" t="s">
        <v>36</v>
      </c>
    </row>
    <row r="80" spans="1:15" ht="25.5">
      <c r="A80" s="8" t="e">
        <f>A79+1</f>
        <v>#REF!</v>
      </c>
      <c r="B80" s="64" t="s">
        <v>33</v>
      </c>
      <c r="C80" s="99"/>
      <c r="D80" s="15" t="s">
        <v>35</v>
      </c>
      <c r="E80" s="23" t="str">
        <f t="shared" si="7"/>
        <v xml:space="preserve">Gas.Messung/Betrieb/
Abrechnung </v>
      </c>
      <c r="F80" s="14">
        <f>259.32+590.76+196.92+297.48</f>
        <v>1344.48</v>
      </c>
      <c r="G80" s="14"/>
      <c r="H80" s="14"/>
      <c r="I80" s="14"/>
      <c r="J80" s="14"/>
      <c r="K80" s="14"/>
      <c r="L80" s="14"/>
      <c r="M80" s="14"/>
    </row>
    <row r="81" spans="1:14" s="2" customFormat="1">
      <c r="A81" s="8" t="e">
        <f>#REF!+1</f>
        <v>#REF!</v>
      </c>
      <c r="B81" s="8"/>
      <c r="C81" s="8"/>
      <c r="D81" s="8"/>
      <c r="E81" s="23" t="str">
        <f t="shared" si="7"/>
        <v>.</v>
      </c>
      <c r="F81" s="8"/>
      <c r="G81" s="8"/>
      <c r="H81" s="8"/>
      <c r="I81" s="8"/>
      <c r="J81" s="8"/>
      <c r="K81" s="8"/>
      <c r="L81" s="8"/>
      <c r="M81" s="8"/>
    </row>
    <row r="82" spans="1:14" ht="14.25" customHeight="1">
      <c r="A82" s="8"/>
      <c r="B82" s="64" t="s">
        <v>152</v>
      </c>
      <c r="C82" s="104" t="s">
        <v>34</v>
      </c>
      <c r="D82" s="10" t="s">
        <v>33</v>
      </c>
      <c r="E82" s="23" t="str">
        <f t="shared" si="7"/>
        <v>CO2-Intensität.Gas</v>
      </c>
      <c r="F82" s="10">
        <f>0.2</f>
        <v>0.2</v>
      </c>
      <c r="G82" s="10"/>
      <c r="H82" s="10">
        <f>0.2</f>
        <v>0.2</v>
      </c>
      <c r="I82" s="10">
        <f t="shared" ref="I82:M82" si="11">0.2</f>
        <v>0.2</v>
      </c>
      <c r="J82" s="10">
        <f t="shared" si="11"/>
        <v>0.2</v>
      </c>
      <c r="K82" s="10">
        <f t="shared" si="11"/>
        <v>0.2</v>
      </c>
      <c r="L82" s="10">
        <f t="shared" si="11"/>
        <v>0.2</v>
      </c>
      <c r="M82" s="10">
        <f t="shared" si="11"/>
        <v>0.2</v>
      </c>
      <c r="N82" s="1" t="s">
        <v>32</v>
      </c>
    </row>
    <row r="83" spans="1:14" ht="14.25" customHeight="1">
      <c r="A83" s="8"/>
      <c r="B83" s="64" t="s">
        <v>152</v>
      </c>
      <c r="C83" s="104"/>
      <c r="D83" s="10" t="s">
        <v>31</v>
      </c>
      <c r="E83" s="23" t="str">
        <f t="shared" si="7"/>
        <v>CO2-Intensität.Strommix</v>
      </c>
      <c r="F83" s="10"/>
      <c r="G83" s="10"/>
      <c r="H83" s="10"/>
      <c r="I83" s="10"/>
      <c r="J83" s="10">
        <v>0.47</v>
      </c>
      <c r="K83" s="10">
        <v>0.47</v>
      </c>
      <c r="L83" s="10"/>
      <c r="M83" s="10"/>
    </row>
    <row r="84" spans="1:14" ht="14.25" customHeight="1">
      <c r="A84" s="8"/>
      <c r="B84" s="64" t="s">
        <v>115</v>
      </c>
      <c r="C84" s="103" t="s">
        <v>30</v>
      </c>
      <c r="D84" s="63" t="s">
        <v>29</v>
      </c>
      <c r="E84" s="23" t="str">
        <f t="shared" si="7"/>
        <v>CO2-Kosten.ETC-Handelspreis</v>
      </c>
      <c r="F84" s="10">
        <f>VLOOKUP($E84,'Year Selection'!$E:$M,'Year Selection'!$F$4+1,0)</f>
        <v>7</v>
      </c>
      <c r="G84" s="10"/>
      <c r="H84" s="10">
        <f>VLOOKUP($E84,'Year Selection'!$E:$M,'Year Selection'!$F$4+1,0)</f>
        <v>7</v>
      </c>
      <c r="I84" s="10">
        <f>VLOOKUP($E84,'Year Selection'!$E:$M,'Year Selection'!$F$4+1,0)</f>
        <v>7</v>
      </c>
      <c r="J84" s="10">
        <f>VLOOKUP($E84,'Year Selection'!$E:$M,'Year Selection'!$F$4+1,0)</f>
        <v>7</v>
      </c>
      <c r="K84" s="10">
        <f>VLOOKUP($E84,'Year Selection'!$E:$M,'Year Selection'!$F$4+1,0)</f>
        <v>7</v>
      </c>
      <c r="L84" s="10">
        <f>VLOOKUP($E84,'Year Selection'!$E:$M,'Year Selection'!$F$4+1,0)</f>
        <v>7</v>
      </c>
      <c r="M84" s="10">
        <f>VLOOKUP($E84,'Year Selection'!$E:$M,'Year Selection'!$F$4+1,0)</f>
        <v>7</v>
      </c>
      <c r="N84" s="1" t="s">
        <v>28</v>
      </c>
    </row>
    <row r="85" spans="1:14" ht="14.25" customHeight="1">
      <c r="A85" s="8"/>
      <c r="B85" s="64" t="s">
        <v>115</v>
      </c>
      <c r="C85" s="103"/>
      <c r="D85" s="12" t="s">
        <v>27</v>
      </c>
      <c r="E85" s="23" t="str">
        <f t="shared" si="7"/>
        <v>CO2-Kosten.CO2-Steuer</v>
      </c>
      <c r="F85" s="12"/>
      <c r="G85" s="12"/>
      <c r="H85" s="12"/>
      <c r="I85" s="12"/>
      <c r="J85" s="12">
        <v>45</v>
      </c>
      <c r="K85" s="12">
        <v>125</v>
      </c>
      <c r="L85" s="12"/>
      <c r="M85" s="12"/>
      <c r="N85" s="1" t="s">
        <v>26</v>
      </c>
    </row>
    <row r="86" spans="1:14" s="2" customFormat="1">
      <c r="A86" s="8"/>
      <c r="B86" s="8"/>
      <c r="C86" s="8"/>
      <c r="D86" s="8"/>
      <c r="E86" s="23" t="str">
        <f t="shared" si="7"/>
        <v>.</v>
      </c>
      <c r="F86" s="8"/>
      <c r="G86" s="8"/>
      <c r="H86" s="8"/>
      <c r="I86" s="8"/>
      <c r="J86" s="8"/>
      <c r="K86" s="8"/>
      <c r="L86" s="8"/>
      <c r="M86" s="8"/>
    </row>
    <row r="87" spans="1:14" ht="12.75" customHeight="1">
      <c r="A87" s="8"/>
      <c r="B87" s="64" t="s">
        <v>25</v>
      </c>
      <c r="C87" s="13" t="s">
        <v>24</v>
      </c>
      <c r="D87" s="63" t="s">
        <v>23</v>
      </c>
      <c r="E87" s="23" t="str">
        <f t="shared" si="7"/>
        <v>Strom-Mix.EE-Anteil</v>
      </c>
      <c r="F87" s="12" t="e">
        <f>VLOOKUP($E87,'Year Selection'!$E:$M,'Year Selection'!$F$4+1,0)</f>
        <v>#N/A</v>
      </c>
      <c r="G87" s="12"/>
      <c r="H87" s="12"/>
      <c r="I87" s="12" t="e">
        <f>VLOOKUP($E87,'Year Selection'!$E:$M,'Year Selection'!$F$4+1,0)</f>
        <v>#N/A</v>
      </c>
      <c r="J87" s="12" t="e">
        <f>VLOOKUP($E87,'Year Selection'!$E:$M,'Year Selection'!$F$4+1,0)</f>
        <v>#N/A</v>
      </c>
      <c r="K87" s="12" t="e">
        <f>VLOOKUP($E87,'Year Selection'!$E:$M,'Year Selection'!$F$4+1,0)</f>
        <v>#N/A</v>
      </c>
      <c r="L87" s="12" t="e">
        <f>VLOOKUP($E87,'Year Selection'!$E:$M,'Year Selection'!$F$4+1,0)</f>
        <v>#N/A</v>
      </c>
      <c r="M87" s="12" t="e">
        <f>VLOOKUP($E87,'Year Selection'!$E:$M,'Year Selection'!$F$4+1,0)</f>
        <v>#N/A</v>
      </c>
    </row>
    <row r="88" spans="1:14">
      <c r="A88" s="8"/>
      <c r="B88" s="64" t="s">
        <v>25</v>
      </c>
      <c r="C88" s="103"/>
      <c r="D88" s="63"/>
      <c r="E88" s="23" t="str">
        <f t="shared" si="7"/>
        <v>Strom-Mix.</v>
      </c>
      <c r="F88" s="12" t="e">
        <f>VLOOKUP($E88,'Year Selection'!$E:$M,'Year Selection'!$F$4+1,0)</f>
        <v>#N/A</v>
      </c>
      <c r="G88" s="12"/>
      <c r="H88" s="12"/>
      <c r="I88" s="12" t="e">
        <f>VLOOKUP($E88,'Year Selection'!$E:$M,'Year Selection'!$F$4+1,0)</f>
        <v>#N/A</v>
      </c>
      <c r="J88" s="12" t="e">
        <f>VLOOKUP($E88,'Year Selection'!$E:$M,'Year Selection'!$F$4+1,0)</f>
        <v>#N/A</v>
      </c>
      <c r="K88" s="12" t="e">
        <f>VLOOKUP($E88,'Year Selection'!$E:$M,'Year Selection'!$F$4+1,0)</f>
        <v>#N/A</v>
      </c>
      <c r="L88" s="12" t="e">
        <f>VLOOKUP($E88,'Year Selection'!$E:$M,'Year Selection'!$F$4+1,0)</f>
        <v>#N/A</v>
      </c>
      <c r="M88" s="12" t="e">
        <f>VLOOKUP($E88,'Year Selection'!$E:$M,'Year Selection'!$F$4+1,0)</f>
        <v>#N/A</v>
      </c>
    </row>
    <row r="89" spans="1:14">
      <c r="A89" s="8"/>
      <c r="B89" s="64" t="s">
        <v>25</v>
      </c>
      <c r="C89" s="103"/>
      <c r="D89" s="63"/>
      <c r="E89" s="23" t="str">
        <f t="shared" si="7"/>
        <v>Strom-Mix.</v>
      </c>
      <c r="F89" s="12" t="e">
        <f>VLOOKUP($E89,'Year Selection'!$E:$M,'Year Selection'!$F$4+1,0)</f>
        <v>#N/A</v>
      </c>
      <c r="G89" s="12"/>
      <c r="H89" s="12"/>
      <c r="I89" s="12" t="e">
        <f>VLOOKUP($E89,'Year Selection'!$E:$M,'Year Selection'!$F$4+1,0)</f>
        <v>#N/A</v>
      </c>
      <c r="J89" s="12" t="e">
        <f>VLOOKUP($E89,'Year Selection'!$E:$M,'Year Selection'!$F$4+1,0)</f>
        <v>#N/A</v>
      </c>
      <c r="K89" s="12" t="e">
        <f>VLOOKUP($E89,'Year Selection'!$E:$M,'Year Selection'!$F$4+1,0)</f>
        <v>#N/A</v>
      </c>
      <c r="L89" s="12" t="e">
        <f>VLOOKUP($E89,'Year Selection'!$E:$M,'Year Selection'!$F$4+1,0)</f>
        <v>#N/A</v>
      </c>
      <c r="M89" s="12" t="e">
        <f>VLOOKUP($E89,'Year Selection'!$E:$M,'Year Selection'!$F$4+1,0)</f>
        <v>#N/A</v>
      </c>
    </row>
    <row r="90" spans="1:14" s="2" customFormat="1">
      <c r="A90" s="8"/>
      <c r="B90" s="8"/>
      <c r="C90" s="8"/>
      <c r="D90" s="8"/>
      <c r="E90" s="23" t="str">
        <f t="shared" si="7"/>
        <v>.</v>
      </c>
      <c r="F90" s="8"/>
      <c r="G90" s="8"/>
      <c r="H90" s="8"/>
      <c r="I90" s="8"/>
      <c r="J90" s="8"/>
      <c r="K90" s="8"/>
      <c r="L90" s="8"/>
      <c r="M90" s="8"/>
    </row>
    <row r="91" spans="1:14" s="2" customFormat="1">
      <c r="A91" s="8"/>
      <c r="B91" s="8"/>
      <c r="C91" s="8"/>
      <c r="D91" s="8"/>
      <c r="E91" s="23" t="str">
        <f t="shared" si="7"/>
        <v>.</v>
      </c>
      <c r="F91" s="8"/>
      <c r="G91" s="8"/>
      <c r="H91" s="8"/>
      <c r="I91" s="8"/>
      <c r="J91" s="8"/>
      <c r="K91" s="8"/>
      <c r="L91" s="8"/>
      <c r="M91" s="8"/>
    </row>
    <row r="92" spans="1:14">
      <c r="A92" s="8" t="e">
        <f>A81+1</f>
        <v>#REF!</v>
      </c>
      <c r="B92" s="65" t="s">
        <v>22</v>
      </c>
      <c r="C92" s="11" t="s">
        <v>21</v>
      </c>
      <c r="D92" s="63" t="s">
        <v>20</v>
      </c>
      <c r="E92" s="23" t="str">
        <f t="shared" si="7"/>
        <v>Heat.Fernwärmepreis</v>
      </c>
      <c r="F92" s="10">
        <f>VLOOKUP($E92,'Year Selection'!$E:$M,'Year Selection'!$F$4+1,0)</f>
        <v>50</v>
      </c>
      <c r="G92" s="10"/>
      <c r="H92" s="10"/>
      <c r="I92" s="10">
        <f>VLOOKUP($E92,'Year Selection'!$E:$M,'Year Selection'!$F$4+1,0)</f>
        <v>50</v>
      </c>
      <c r="J92" s="10">
        <f>VLOOKUP($E92,'Year Selection'!$E:$M,'Year Selection'!$F$4+1,0)</f>
        <v>50</v>
      </c>
      <c r="K92" s="10">
        <f>VLOOKUP($E92,'Year Selection'!$E:$M,'Year Selection'!$F$4+1,0)</f>
        <v>50</v>
      </c>
      <c r="L92" s="10">
        <f>VLOOKUP($E92,'Year Selection'!$E:$M,'Year Selection'!$F$4+1,0)</f>
        <v>50</v>
      </c>
      <c r="M92" s="10">
        <f>VLOOKUP($E92,'Year Selection'!$E:$M,'Year Selection'!$F$4+1,0)</f>
        <v>50</v>
      </c>
      <c r="N92" s="1" t="s">
        <v>19</v>
      </c>
    </row>
    <row r="93" spans="1:14" s="2" customFormat="1">
      <c r="A93" s="8" t="e">
        <f t="shared" ref="A93:A127" si="12">A92+1</f>
        <v>#REF!</v>
      </c>
      <c r="B93" s="8"/>
      <c r="C93" s="8"/>
      <c r="D93" s="8"/>
      <c r="E93" s="23" t="str">
        <f t="shared" si="7"/>
        <v>.</v>
      </c>
      <c r="F93" s="8"/>
      <c r="G93" s="8"/>
      <c r="H93" s="8"/>
      <c r="I93" s="8"/>
      <c r="J93" s="8"/>
      <c r="K93" s="8"/>
      <c r="L93" s="8"/>
      <c r="M93" s="8"/>
    </row>
    <row r="94" spans="1:14" ht="12.75" customHeight="1">
      <c r="A94" s="8" t="e">
        <f t="shared" si="12"/>
        <v>#REF!</v>
      </c>
      <c r="B94" s="64" t="s">
        <v>18</v>
      </c>
      <c r="C94" s="96" t="s">
        <v>14</v>
      </c>
      <c r="D94" s="63" t="s">
        <v>13</v>
      </c>
      <c r="E94" s="23" t="str">
        <f t="shared" si="7"/>
        <v>Invest.hot water boiler (1-30 MW_th)</v>
      </c>
      <c r="F94" s="7" t="e">
        <f>VLOOKUP($E94,'Year Selection'!$E:$M,'Year Selection'!$F$4+1,0)</f>
        <v>#N/A</v>
      </c>
      <c r="G94" s="7"/>
      <c r="H94" s="7"/>
      <c r="I94" s="7" t="e">
        <f>VLOOKUP($E94,'Year Selection'!$E:$M,'Year Selection'!$F$4+1,0)</f>
        <v>#N/A</v>
      </c>
      <c r="J94" s="7" t="e">
        <f>VLOOKUP($E94,'Year Selection'!$E:$M,'Year Selection'!$F$4+1,0)</f>
        <v>#N/A</v>
      </c>
      <c r="K94" s="7" t="e">
        <f>VLOOKUP($E94,'Year Selection'!$E:$M,'Year Selection'!$F$4+1,0)</f>
        <v>#N/A</v>
      </c>
      <c r="L94" s="7" t="e">
        <f>VLOOKUP($E94,'Year Selection'!$E:$M,'Year Selection'!$F$4+1,0)</f>
        <v>#N/A</v>
      </c>
      <c r="M94" s="7" t="e">
        <f>VLOOKUP($E94,'Year Selection'!$E:$M,'Year Selection'!$F$4+1,0)</f>
        <v>#N/A</v>
      </c>
      <c r="N94" s="1" t="s">
        <v>12</v>
      </c>
    </row>
    <row r="95" spans="1:14">
      <c r="A95" s="8" t="e">
        <f t="shared" si="12"/>
        <v>#REF!</v>
      </c>
      <c r="B95" s="64" t="s">
        <v>18</v>
      </c>
      <c r="C95" s="96"/>
      <c r="D95" s="63" t="s">
        <v>11</v>
      </c>
      <c r="E95" s="23" t="str">
        <f t="shared" si="7"/>
        <v>Invest.hot water tube boiler (20-250 MW_th)</v>
      </c>
      <c r="F95" s="7" t="e">
        <f>VLOOKUP($E95,'Year Selection'!$E:$M,'Year Selection'!$F$4+1,0)</f>
        <v>#N/A</v>
      </c>
      <c r="G95" s="7"/>
      <c r="H95" s="7"/>
      <c r="I95" s="7" t="e">
        <f>VLOOKUP($E95,'Year Selection'!$E:$M,'Year Selection'!$F$4+1,0)</f>
        <v>#N/A</v>
      </c>
      <c r="J95" s="7" t="e">
        <f>VLOOKUP($E95,'Year Selection'!$E:$M,'Year Selection'!$F$4+1,0)</f>
        <v>#N/A</v>
      </c>
      <c r="K95" s="7" t="e">
        <f>VLOOKUP($E95,'Year Selection'!$E:$M,'Year Selection'!$F$4+1,0)</f>
        <v>#N/A</v>
      </c>
      <c r="L95" s="7" t="e">
        <f>VLOOKUP($E95,'Year Selection'!$E:$M,'Year Selection'!$F$4+1,0)</f>
        <v>#N/A</v>
      </c>
      <c r="M95" s="7" t="e">
        <f>VLOOKUP($E95,'Year Selection'!$E:$M,'Year Selection'!$F$4+1,0)</f>
        <v>#N/A</v>
      </c>
      <c r="N95" s="1" t="s">
        <v>10</v>
      </c>
    </row>
    <row r="96" spans="1:14" ht="12.75" customHeight="1">
      <c r="A96" s="8" t="e">
        <f t="shared" si="12"/>
        <v>#REF!</v>
      </c>
      <c r="B96" s="64" t="s">
        <v>18</v>
      </c>
      <c r="C96" s="96"/>
      <c r="D96" s="63" t="s">
        <v>9</v>
      </c>
      <c r="E96" s="23" t="str">
        <f t="shared" si="7"/>
        <v>Invest.kwk klein (0.5-30 MW_el)</v>
      </c>
      <c r="F96" s="7" t="e">
        <f>VLOOKUP($E96,'Year Selection'!$E:$M,'Year Selection'!$F$4+1,0)</f>
        <v>#N/A</v>
      </c>
      <c r="G96" s="7"/>
      <c r="H96" s="7"/>
      <c r="I96" s="7" t="e">
        <f>VLOOKUP($E96,'Year Selection'!$E:$M,'Year Selection'!$F$4+1,0)</f>
        <v>#N/A</v>
      </c>
      <c r="J96" s="7" t="e">
        <f>VLOOKUP($E96,'Year Selection'!$E:$M,'Year Selection'!$F$4+1,0)</f>
        <v>#N/A</v>
      </c>
      <c r="K96" s="7" t="e">
        <f>VLOOKUP($E96,'Year Selection'!$E:$M,'Year Selection'!$F$4+1,0)</f>
        <v>#N/A</v>
      </c>
      <c r="L96" s="7" t="e">
        <f>VLOOKUP($E96,'Year Selection'!$E:$M,'Year Selection'!$F$4+1,0)</f>
        <v>#N/A</v>
      </c>
      <c r="M96" s="7" t="e">
        <f>VLOOKUP($E96,'Year Selection'!$E:$M,'Year Selection'!$F$4+1,0)</f>
        <v>#N/A</v>
      </c>
      <c r="N96" s="1" t="s">
        <v>8</v>
      </c>
    </row>
    <row r="97" spans="1:14">
      <c r="A97" s="8" t="e">
        <f t="shared" si="12"/>
        <v>#REF!</v>
      </c>
      <c r="B97" s="64" t="s">
        <v>18</v>
      </c>
      <c r="C97" s="96"/>
      <c r="D97" s="63" t="s">
        <v>7</v>
      </c>
      <c r="E97" s="23" t="str">
        <f t="shared" si="7"/>
        <v>Invest.kwk mittel (30-250 MW_el)</v>
      </c>
      <c r="F97" s="7">
        <f>VLOOKUP($E97,'Year Selection'!$E:$M,'Year Selection'!$F$4+1,0)</f>
        <v>0</v>
      </c>
      <c r="G97" s="7"/>
      <c r="H97" s="7"/>
      <c r="I97" s="7">
        <f>VLOOKUP($E97,'Year Selection'!$E:$M,'Year Selection'!$F$4+1,0)</f>
        <v>0</v>
      </c>
      <c r="J97" s="7">
        <f>VLOOKUP($E97,'Year Selection'!$E:$M,'Year Selection'!$F$4+1,0)</f>
        <v>0</v>
      </c>
      <c r="K97" s="7">
        <f>VLOOKUP($E97,'Year Selection'!$E:$M,'Year Selection'!$F$4+1,0)</f>
        <v>0</v>
      </c>
      <c r="L97" s="7">
        <f>VLOOKUP($E97,'Year Selection'!$E:$M,'Year Selection'!$F$4+1,0)</f>
        <v>0</v>
      </c>
      <c r="M97" s="7">
        <f>VLOOKUP($E97,'Year Selection'!$E:$M,'Year Selection'!$F$4+1,0)</f>
        <v>0</v>
      </c>
      <c r="N97" s="1" t="s">
        <v>6</v>
      </c>
    </row>
    <row r="98" spans="1:14">
      <c r="A98" s="8" t="e">
        <f t="shared" si="12"/>
        <v>#REF!</v>
      </c>
      <c r="B98" s="64" t="s">
        <v>18</v>
      </c>
      <c r="C98" s="96"/>
      <c r="D98" s="63" t="s">
        <v>5</v>
      </c>
      <c r="E98" s="23" t="str">
        <f t="shared" si="7"/>
        <v>Invest.kwk groß (&gt;250 MW_el)</v>
      </c>
      <c r="F98" s="7">
        <f>VLOOKUP($E98,'Year Selection'!$E:$M,'Year Selection'!$F$4+1,0)</f>
        <v>0</v>
      </c>
      <c r="G98" s="7"/>
      <c r="H98" s="7"/>
      <c r="I98" s="7">
        <f>VLOOKUP($E98,'Year Selection'!$E:$M,'Year Selection'!$F$4+1,0)</f>
        <v>0</v>
      </c>
      <c r="J98" s="7">
        <f>VLOOKUP($E98,'Year Selection'!$E:$M,'Year Selection'!$F$4+1,0)</f>
        <v>0</v>
      </c>
      <c r="K98" s="7">
        <f>VLOOKUP($E98,'Year Selection'!$E:$M,'Year Selection'!$F$4+1,0)</f>
        <v>0</v>
      </c>
      <c r="L98" s="7">
        <f>VLOOKUP($E98,'Year Selection'!$E:$M,'Year Selection'!$F$4+1,0)</f>
        <v>0</v>
      </c>
      <c r="M98" s="7">
        <f>VLOOKUP($E98,'Year Selection'!$E:$M,'Year Selection'!$F$4+1,0)</f>
        <v>0</v>
      </c>
      <c r="N98" s="1" t="s">
        <v>4</v>
      </c>
    </row>
    <row r="99" spans="1:14">
      <c r="A99" s="8" t="e">
        <f t="shared" si="12"/>
        <v>#REF!</v>
      </c>
      <c r="B99" s="64" t="s">
        <v>18</v>
      </c>
      <c r="C99" s="96"/>
      <c r="D99" s="63" t="s">
        <v>3</v>
      </c>
      <c r="E99" s="23" t="str">
        <f t="shared" si="7"/>
        <v>Invest.pth</v>
      </c>
      <c r="F99" s="7">
        <f>VLOOKUP($E99,'Year Selection'!$E:$M,'Year Selection'!$F$4+1,0)</f>
        <v>0</v>
      </c>
      <c r="G99" s="7"/>
      <c r="H99" s="7"/>
      <c r="I99" s="7">
        <f>VLOOKUP($E99,'Year Selection'!$E:$M,'Year Selection'!$F$4+1,0)</f>
        <v>0</v>
      </c>
      <c r="J99" s="7">
        <f>VLOOKUP($E99,'Year Selection'!$E:$M,'Year Selection'!$F$4+1,0)</f>
        <v>0</v>
      </c>
      <c r="K99" s="7">
        <f>VLOOKUP($E99,'Year Selection'!$E:$M,'Year Selection'!$F$4+1,0)</f>
        <v>0</v>
      </c>
      <c r="L99" s="7">
        <f>VLOOKUP($E99,'Year Selection'!$E:$M,'Year Selection'!$F$4+1,0)</f>
        <v>0</v>
      </c>
      <c r="M99" s="7">
        <f>VLOOKUP($E99,'Year Selection'!$E:$M,'Year Selection'!$F$4+1,0)</f>
        <v>0</v>
      </c>
      <c r="N99" s="1" t="s">
        <v>2</v>
      </c>
    </row>
    <row r="100" spans="1:14">
      <c r="A100" s="8" t="e">
        <f t="shared" si="12"/>
        <v>#REF!</v>
      </c>
      <c r="B100" s="64" t="s">
        <v>18</v>
      </c>
      <c r="C100" s="96"/>
      <c r="D100" s="63" t="s">
        <v>1</v>
      </c>
      <c r="E100" s="23" t="str">
        <f t="shared" si="7"/>
        <v>Invest.batt</v>
      </c>
      <c r="F100" s="7">
        <f>VLOOKUP($E100,'Year Selection'!$E:$M,'Year Selection'!$F$4+1,0)</f>
        <v>0</v>
      </c>
      <c r="G100" s="7"/>
      <c r="H100" s="7"/>
      <c r="I100" s="7">
        <f>VLOOKUP($E100,'Year Selection'!$E:$M,'Year Selection'!$F$4+1,0)</f>
        <v>0</v>
      </c>
      <c r="J100" s="7">
        <f>VLOOKUP($E100,'Year Selection'!$E:$M,'Year Selection'!$F$4+1,0)</f>
        <v>0</v>
      </c>
      <c r="K100" s="7">
        <f>VLOOKUP($E100,'Year Selection'!$E:$M,'Year Selection'!$F$4+1,0)</f>
        <v>0</v>
      </c>
      <c r="L100" s="7">
        <f>VLOOKUP($E100,'Year Selection'!$E:$M,'Year Selection'!$F$4+1,0)</f>
        <v>0</v>
      </c>
      <c r="M100" s="7">
        <f>VLOOKUP($E100,'Year Selection'!$E:$M,'Year Selection'!$F$4+1,0)</f>
        <v>0</v>
      </c>
    </row>
    <row r="101" spans="1:14">
      <c r="A101" s="8" t="e">
        <f t="shared" si="12"/>
        <v>#REF!</v>
      </c>
      <c r="B101" s="64" t="s">
        <v>18</v>
      </c>
      <c r="C101" s="96"/>
      <c r="D101" s="63" t="s">
        <v>0</v>
      </c>
      <c r="E101" s="23" t="str">
        <f t="shared" si="7"/>
        <v>Invest.ptg</v>
      </c>
      <c r="F101" s="7">
        <f>VLOOKUP($E101,'Year Selection'!$E:$M,'Year Selection'!$F$4+1,0)</f>
        <v>0</v>
      </c>
      <c r="G101" s="7"/>
      <c r="H101" s="7"/>
      <c r="I101" s="7">
        <f>VLOOKUP($E101,'Year Selection'!$E:$M,'Year Selection'!$F$4+1,0)</f>
        <v>0</v>
      </c>
      <c r="J101" s="7">
        <f>VLOOKUP($E101,'Year Selection'!$E:$M,'Year Selection'!$F$4+1,0)</f>
        <v>0</v>
      </c>
      <c r="K101" s="7">
        <f>VLOOKUP($E101,'Year Selection'!$E:$M,'Year Selection'!$F$4+1,0)</f>
        <v>0</v>
      </c>
      <c r="L101" s="7">
        <f>VLOOKUP($E101,'Year Selection'!$E:$M,'Year Selection'!$F$4+1,0)</f>
        <v>0</v>
      </c>
      <c r="M101" s="7">
        <f>VLOOKUP($E101,'Year Selection'!$E:$M,'Year Selection'!$F$4+1,0)</f>
        <v>0</v>
      </c>
    </row>
    <row r="102" spans="1:14" s="2" customFormat="1">
      <c r="A102" s="8" t="e">
        <f t="shared" si="12"/>
        <v>#REF!</v>
      </c>
      <c r="B102" s="8"/>
      <c r="C102" s="8"/>
      <c r="D102" s="8"/>
      <c r="E102" s="23" t="str">
        <f t="shared" si="7"/>
        <v>.</v>
      </c>
      <c r="F102" s="8"/>
      <c r="G102" s="8"/>
      <c r="H102" s="8"/>
      <c r="I102" s="8"/>
      <c r="J102" s="8"/>
      <c r="K102" s="8"/>
      <c r="L102" s="8"/>
      <c r="M102" s="8"/>
    </row>
    <row r="103" spans="1:14" ht="12.75" customHeight="1">
      <c r="A103" s="8" t="e">
        <f t="shared" si="12"/>
        <v>#REF!</v>
      </c>
      <c r="B103" s="64" t="s">
        <v>17</v>
      </c>
      <c r="C103" s="95" t="s">
        <v>16</v>
      </c>
      <c r="D103" s="63" t="s">
        <v>13</v>
      </c>
      <c r="E103" s="23" t="str">
        <f t="shared" si="7"/>
        <v>variable O&amp;M.hot water boiler (1-30 MW_th)</v>
      </c>
      <c r="F103" s="10">
        <f>VLOOKUP($E103,'Year Selection'!$E:$M,'Year Selection'!$F$4+1,0)</f>
        <v>0.5</v>
      </c>
      <c r="G103" s="10"/>
      <c r="H103" s="10"/>
      <c r="I103" s="10">
        <f>VLOOKUP($E103,'Year Selection'!$E:$M,'Year Selection'!$F$4+1,0)</f>
        <v>0.5</v>
      </c>
      <c r="J103" s="10">
        <f>VLOOKUP($E103,'Year Selection'!$E:$M,'Year Selection'!$F$4+1,0)</f>
        <v>0.5</v>
      </c>
      <c r="K103" s="10">
        <f>VLOOKUP($E103,'Year Selection'!$E:$M,'Year Selection'!$F$4+1,0)</f>
        <v>0.5</v>
      </c>
      <c r="L103" s="10">
        <f>VLOOKUP($E103,'Year Selection'!$E:$M,'Year Selection'!$F$4+1,0)</f>
        <v>0.5</v>
      </c>
      <c r="M103" s="10">
        <f>VLOOKUP($E103,'Year Selection'!$E:$M,'Year Selection'!$F$4+1,0)</f>
        <v>0.5</v>
      </c>
      <c r="N103" s="1" t="s">
        <v>12</v>
      </c>
    </row>
    <row r="104" spans="1:14">
      <c r="A104" s="8" t="e">
        <f t="shared" si="12"/>
        <v>#REF!</v>
      </c>
      <c r="B104" s="64" t="s">
        <v>17</v>
      </c>
      <c r="C104" s="95"/>
      <c r="D104" s="63" t="s">
        <v>11</v>
      </c>
      <c r="E104" s="23" t="str">
        <f t="shared" si="7"/>
        <v>variable O&amp;M.hot water tube boiler (20-250 MW_th)</v>
      </c>
      <c r="F104" s="10">
        <f>VLOOKUP($E104,'Year Selection'!$E:$M,'Year Selection'!$F$4+1,0)</f>
        <v>0.2</v>
      </c>
      <c r="G104" s="10"/>
      <c r="H104" s="10"/>
      <c r="I104" s="10">
        <f>VLOOKUP($E104,'Year Selection'!$E:$M,'Year Selection'!$F$4+1,0)</f>
        <v>0.2</v>
      </c>
      <c r="J104" s="10">
        <f>VLOOKUP($E104,'Year Selection'!$E:$M,'Year Selection'!$F$4+1,0)</f>
        <v>0.2</v>
      </c>
      <c r="K104" s="10">
        <f>VLOOKUP($E104,'Year Selection'!$E:$M,'Year Selection'!$F$4+1,0)</f>
        <v>0.2</v>
      </c>
      <c r="L104" s="10">
        <f>VLOOKUP($E104,'Year Selection'!$E:$M,'Year Selection'!$F$4+1,0)</f>
        <v>0.2</v>
      </c>
      <c r="M104" s="10">
        <f>VLOOKUP($E104,'Year Selection'!$E:$M,'Year Selection'!$F$4+1,0)</f>
        <v>0.2</v>
      </c>
      <c r="N104" s="1" t="s">
        <v>10</v>
      </c>
    </row>
    <row r="105" spans="1:14">
      <c r="A105" s="8" t="e">
        <f t="shared" si="12"/>
        <v>#REF!</v>
      </c>
      <c r="B105" s="64" t="s">
        <v>17</v>
      </c>
      <c r="C105" s="95"/>
      <c r="D105" s="63" t="s">
        <v>9</v>
      </c>
      <c r="E105" s="23" t="str">
        <f t="shared" si="7"/>
        <v>variable O&amp;M.kwk klein (0.5-30 MW_el)</v>
      </c>
      <c r="F105" s="10">
        <f>VLOOKUP($E105,'Year Selection'!$E:$M,'Year Selection'!$F$4+1,0)</f>
        <v>8</v>
      </c>
      <c r="G105" s="10"/>
      <c r="H105" s="10"/>
      <c r="I105" s="10">
        <f>VLOOKUP($E105,'Year Selection'!$E:$M,'Year Selection'!$F$4+1,0)</f>
        <v>8</v>
      </c>
      <c r="J105" s="10">
        <f>VLOOKUP($E105,'Year Selection'!$E:$M,'Year Selection'!$F$4+1,0)</f>
        <v>8</v>
      </c>
      <c r="K105" s="10">
        <f>VLOOKUP($E105,'Year Selection'!$E:$M,'Year Selection'!$F$4+1,0)</f>
        <v>8</v>
      </c>
      <c r="L105" s="10">
        <f>VLOOKUP($E105,'Year Selection'!$E:$M,'Year Selection'!$F$4+1,0)</f>
        <v>8</v>
      </c>
      <c r="M105" s="10">
        <f>VLOOKUP($E105,'Year Selection'!$E:$M,'Year Selection'!$F$4+1,0)</f>
        <v>8</v>
      </c>
      <c r="N105" s="1" t="s">
        <v>8</v>
      </c>
    </row>
    <row r="106" spans="1:14">
      <c r="A106" s="8" t="e">
        <f t="shared" si="12"/>
        <v>#REF!</v>
      </c>
      <c r="B106" s="64" t="s">
        <v>17</v>
      </c>
      <c r="C106" s="95"/>
      <c r="D106" s="63" t="s">
        <v>7</v>
      </c>
      <c r="E106" s="23" t="str">
        <f t="shared" si="7"/>
        <v>variable O&amp;M.kwk mittel (30-250 MW_el)</v>
      </c>
      <c r="F106" s="10">
        <f>VLOOKUP($E106,'Year Selection'!$E:$M,'Year Selection'!$F$4+1,0)</f>
        <v>7</v>
      </c>
      <c r="G106" s="10"/>
      <c r="H106" s="10"/>
      <c r="I106" s="10">
        <f>VLOOKUP($E106,'Year Selection'!$E:$M,'Year Selection'!$F$4+1,0)</f>
        <v>7</v>
      </c>
      <c r="J106" s="10">
        <f>VLOOKUP($E106,'Year Selection'!$E:$M,'Year Selection'!$F$4+1,0)</f>
        <v>7</v>
      </c>
      <c r="K106" s="10">
        <f>VLOOKUP($E106,'Year Selection'!$E:$M,'Year Selection'!$F$4+1,0)</f>
        <v>7</v>
      </c>
      <c r="L106" s="10">
        <f>VLOOKUP($E106,'Year Selection'!$E:$M,'Year Selection'!$F$4+1,0)</f>
        <v>7</v>
      </c>
      <c r="M106" s="10">
        <f>VLOOKUP($E106,'Year Selection'!$E:$M,'Year Selection'!$F$4+1,0)</f>
        <v>7</v>
      </c>
      <c r="N106" s="1" t="s">
        <v>6</v>
      </c>
    </row>
    <row r="107" spans="1:14">
      <c r="A107" s="8" t="e">
        <f t="shared" si="12"/>
        <v>#REF!</v>
      </c>
      <c r="B107" s="64" t="s">
        <v>17</v>
      </c>
      <c r="C107" s="95"/>
      <c r="D107" s="63" t="s">
        <v>5</v>
      </c>
      <c r="E107" s="23" t="str">
        <f t="shared" si="7"/>
        <v>variable O&amp;M.kwk groß (&gt;250 MW_el)</v>
      </c>
      <c r="F107" s="10">
        <f>VLOOKUP($E107,'Year Selection'!$E:$M,'Year Selection'!$F$4+1,0)</f>
        <v>5</v>
      </c>
      <c r="G107" s="10"/>
      <c r="H107" s="10"/>
      <c r="I107" s="10">
        <f>VLOOKUP($E107,'Year Selection'!$E:$M,'Year Selection'!$F$4+1,0)</f>
        <v>5</v>
      </c>
      <c r="J107" s="10">
        <f>VLOOKUP($E107,'Year Selection'!$E:$M,'Year Selection'!$F$4+1,0)</f>
        <v>5</v>
      </c>
      <c r="K107" s="10">
        <f>VLOOKUP($E107,'Year Selection'!$E:$M,'Year Selection'!$F$4+1,0)</f>
        <v>5</v>
      </c>
      <c r="L107" s="10">
        <f>VLOOKUP($E107,'Year Selection'!$E:$M,'Year Selection'!$F$4+1,0)</f>
        <v>5</v>
      </c>
      <c r="M107" s="10">
        <f>VLOOKUP($E107,'Year Selection'!$E:$M,'Year Selection'!$F$4+1,0)</f>
        <v>5</v>
      </c>
      <c r="N107" s="1" t="s">
        <v>4</v>
      </c>
    </row>
    <row r="108" spans="1:14">
      <c r="A108" s="8" t="e">
        <f>A107+1</f>
        <v>#REF!</v>
      </c>
      <c r="B108" s="64" t="s">
        <v>17</v>
      </c>
      <c r="C108" s="95"/>
      <c r="D108" s="63" t="s">
        <v>3</v>
      </c>
      <c r="E108" s="23" t="str">
        <f t="shared" si="7"/>
        <v>variable O&amp;M.pth</v>
      </c>
      <c r="F108" s="10">
        <f>VLOOKUP($E108,'Year Selection'!$E:$M,'Year Selection'!$F$4+1,0)</f>
        <v>0.2</v>
      </c>
      <c r="G108" s="10"/>
      <c r="H108" s="10"/>
      <c r="I108" s="10">
        <f>VLOOKUP($E108,'Year Selection'!$E:$M,'Year Selection'!$F$4+1,0)</f>
        <v>0.2</v>
      </c>
      <c r="J108" s="10">
        <f>VLOOKUP($E108,'Year Selection'!$E:$M,'Year Selection'!$F$4+1,0)</f>
        <v>0.2</v>
      </c>
      <c r="K108" s="10">
        <f>VLOOKUP($E108,'Year Selection'!$E:$M,'Year Selection'!$F$4+1,0)</f>
        <v>0.2</v>
      </c>
      <c r="L108" s="10">
        <f>VLOOKUP($E108,'Year Selection'!$E:$M,'Year Selection'!$F$4+1,0)</f>
        <v>0.2</v>
      </c>
      <c r="M108" s="10">
        <f>VLOOKUP($E108,'Year Selection'!$E:$M,'Year Selection'!$F$4+1,0)</f>
        <v>0.2</v>
      </c>
      <c r="N108" s="1" t="s">
        <v>2</v>
      </c>
    </row>
    <row r="109" spans="1:14">
      <c r="A109" s="8" t="e">
        <f t="shared" si="12"/>
        <v>#REF!</v>
      </c>
      <c r="B109" s="64" t="s">
        <v>17</v>
      </c>
      <c r="C109" s="95"/>
      <c r="D109" s="63" t="s">
        <v>1</v>
      </c>
      <c r="E109" s="23" t="str">
        <f t="shared" si="7"/>
        <v>variable O&amp;M.batt</v>
      </c>
      <c r="F109" s="10">
        <f>VLOOKUP($E109,'Year Selection'!$E:$M,'Year Selection'!$F$4+1,0)</f>
        <v>0</v>
      </c>
      <c r="G109" s="10"/>
      <c r="H109" s="10"/>
      <c r="I109" s="10">
        <f>VLOOKUP($E109,'Year Selection'!$E:$M,'Year Selection'!$F$4+1,0)</f>
        <v>0</v>
      </c>
      <c r="J109" s="10">
        <f>VLOOKUP($E109,'Year Selection'!$E:$M,'Year Selection'!$F$4+1,0)</f>
        <v>0</v>
      </c>
      <c r="K109" s="10">
        <f>VLOOKUP($E109,'Year Selection'!$E:$M,'Year Selection'!$F$4+1,0)</f>
        <v>0</v>
      </c>
      <c r="L109" s="10">
        <f>VLOOKUP($E109,'Year Selection'!$E:$M,'Year Selection'!$F$4+1,0)</f>
        <v>0</v>
      </c>
      <c r="M109" s="10">
        <f>VLOOKUP($E109,'Year Selection'!$E:$M,'Year Selection'!$F$4+1,0)</f>
        <v>0</v>
      </c>
    </row>
    <row r="110" spans="1:14">
      <c r="A110" s="8" t="e">
        <f t="shared" si="12"/>
        <v>#REF!</v>
      </c>
      <c r="B110" s="64" t="s">
        <v>17</v>
      </c>
      <c r="C110" s="95"/>
      <c r="D110" s="63" t="s">
        <v>0</v>
      </c>
      <c r="E110" s="23" t="str">
        <f t="shared" si="7"/>
        <v>variable O&amp;M.ptg</v>
      </c>
      <c r="F110" s="10">
        <f>VLOOKUP($E110,'Year Selection'!$E:$M,'Year Selection'!$F$4+1,0)</f>
        <v>0</v>
      </c>
      <c r="G110" s="10"/>
      <c r="H110" s="10"/>
      <c r="I110" s="10">
        <f>VLOOKUP($E110,'Year Selection'!$E:$M,'Year Selection'!$F$4+1,0)</f>
        <v>0</v>
      </c>
      <c r="J110" s="10">
        <f>VLOOKUP($E110,'Year Selection'!$E:$M,'Year Selection'!$F$4+1,0)</f>
        <v>0</v>
      </c>
      <c r="K110" s="10">
        <f>VLOOKUP($E110,'Year Selection'!$E:$M,'Year Selection'!$F$4+1,0)</f>
        <v>0</v>
      </c>
      <c r="L110" s="10">
        <f>VLOOKUP($E110,'Year Selection'!$E:$M,'Year Selection'!$F$4+1,0)</f>
        <v>0</v>
      </c>
      <c r="M110" s="10">
        <f>VLOOKUP($E110,'Year Selection'!$E:$M,'Year Selection'!$F$4+1,0)</f>
        <v>0</v>
      </c>
    </row>
    <row r="111" spans="1:14" s="2" customFormat="1">
      <c r="A111" s="8" t="e">
        <f t="shared" si="12"/>
        <v>#REF!</v>
      </c>
      <c r="B111" s="8"/>
      <c r="C111" s="8"/>
      <c r="D111" s="8"/>
      <c r="E111" s="23" t="str">
        <f t="shared" si="7"/>
        <v>.</v>
      </c>
      <c r="F111" s="8"/>
      <c r="G111" s="8"/>
      <c r="H111" s="8"/>
      <c r="I111" s="8"/>
      <c r="J111" s="8"/>
      <c r="K111" s="8"/>
      <c r="L111" s="8"/>
      <c r="M111" s="8"/>
    </row>
    <row r="112" spans="1:14" s="2" customFormat="1">
      <c r="A112" s="8"/>
      <c r="B112" s="64" t="s">
        <v>155</v>
      </c>
      <c r="C112" s="59" t="s">
        <v>21</v>
      </c>
      <c r="D112" s="8" t="s">
        <v>161</v>
      </c>
      <c r="E112" s="23" t="str">
        <f t="shared" si="7"/>
        <v>KWK-Zulagen.KWK bis 0.05 MW</v>
      </c>
      <c r="F112" s="10">
        <v>80</v>
      </c>
      <c r="G112" s="10"/>
      <c r="H112" s="10"/>
      <c r="I112" s="10"/>
      <c r="J112" s="10"/>
      <c r="K112" s="10"/>
      <c r="L112" s="10"/>
      <c r="M112" s="10"/>
      <c r="N112" s="2" t="s">
        <v>166</v>
      </c>
    </row>
    <row r="113" spans="1:14" s="2" customFormat="1">
      <c r="A113" s="8"/>
      <c r="B113" s="64" t="s">
        <v>155</v>
      </c>
      <c r="C113" s="59" t="s">
        <v>21</v>
      </c>
      <c r="D113" s="8" t="s">
        <v>162</v>
      </c>
      <c r="E113" s="23" t="str">
        <f t="shared" si="7"/>
        <v>KWK-Zulagen.KWK bis 0.1 MW</v>
      </c>
      <c r="F113" s="10">
        <v>60</v>
      </c>
      <c r="G113" s="10"/>
      <c r="H113" s="10"/>
      <c r="I113" s="10"/>
      <c r="J113" s="10"/>
      <c r="K113" s="10"/>
      <c r="L113" s="10"/>
      <c r="M113" s="10"/>
      <c r="N113" s="2" t="s">
        <v>166</v>
      </c>
    </row>
    <row r="114" spans="1:14" s="2" customFormat="1">
      <c r="A114" s="8"/>
      <c r="B114" s="64" t="s">
        <v>155</v>
      </c>
      <c r="C114" s="59" t="s">
        <v>21</v>
      </c>
      <c r="D114" s="8" t="s">
        <v>163</v>
      </c>
      <c r="E114" s="23" t="str">
        <f t="shared" si="7"/>
        <v>KWK-Zulagen.KWK bis 0.25 MW</v>
      </c>
      <c r="F114" s="10">
        <v>50</v>
      </c>
      <c r="G114" s="10"/>
      <c r="H114" s="10"/>
      <c r="I114" s="10"/>
      <c r="J114" s="10"/>
      <c r="K114" s="10"/>
      <c r="L114" s="10"/>
      <c r="M114" s="10"/>
      <c r="N114" s="2" t="s">
        <v>166</v>
      </c>
    </row>
    <row r="115" spans="1:14" s="2" customFormat="1">
      <c r="A115" s="8"/>
      <c r="B115" s="64" t="s">
        <v>155</v>
      </c>
      <c r="C115" s="59" t="s">
        <v>21</v>
      </c>
      <c r="D115" s="8" t="s">
        <v>164</v>
      </c>
      <c r="E115" s="23" t="str">
        <f t="shared" si="7"/>
        <v>KWK-Zulagen.KWK  bis 2 MW</v>
      </c>
      <c r="F115" s="10">
        <v>44</v>
      </c>
      <c r="G115" s="10"/>
      <c r="H115" s="10"/>
      <c r="I115" s="10"/>
      <c r="J115" s="10"/>
      <c r="K115" s="10"/>
      <c r="L115" s="10"/>
      <c r="M115" s="10"/>
      <c r="N115" s="2" t="s">
        <v>166</v>
      </c>
    </row>
    <row r="116" spans="1:14" s="2" customFormat="1">
      <c r="A116" s="8"/>
      <c r="B116" s="64" t="s">
        <v>155</v>
      </c>
      <c r="C116" s="59" t="s">
        <v>21</v>
      </c>
      <c r="D116" s="8" t="s">
        <v>165</v>
      </c>
      <c r="E116" s="23" t="str">
        <f t="shared" si="7"/>
        <v>KWK-Zulagen.KWK &gt; 2 MW</v>
      </c>
      <c r="F116" s="10">
        <v>31</v>
      </c>
      <c r="G116" s="10"/>
      <c r="H116" s="10"/>
      <c r="I116" s="10"/>
      <c r="J116" s="10"/>
      <c r="K116" s="10"/>
      <c r="L116" s="10"/>
      <c r="M116" s="10"/>
      <c r="N116" s="2" t="s">
        <v>166</v>
      </c>
    </row>
    <row r="117" spans="1:14" s="2" customFormat="1">
      <c r="A117" s="8"/>
      <c r="B117" s="8"/>
      <c r="C117" s="8"/>
      <c r="D117" s="8"/>
      <c r="E117" s="23"/>
      <c r="F117" s="8"/>
      <c r="G117" s="8"/>
      <c r="H117" s="8"/>
      <c r="I117" s="8"/>
      <c r="J117" s="8"/>
      <c r="K117" s="8"/>
      <c r="L117" s="8"/>
      <c r="M117" s="8"/>
    </row>
    <row r="118" spans="1:14" s="2" customFormat="1">
      <c r="A118" s="8"/>
      <c r="B118" s="8"/>
      <c r="C118" s="8"/>
      <c r="D118" s="8"/>
      <c r="E118" s="23"/>
      <c r="F118" s="8"/>
      <c r="G118" s="8"/>
      <c r="H118" s="8"/>
      <c r="I118" s="8"/>
      <c r="J118" s="8"/>
      <c r="K118" s="8"/>
      <c r="L118" s="8"/>
      <c r="M118" s="8"/>
    </row>
    <row r="119" spans="1:14" ht="12.75" customHeight="1">
      <c r="A119" s="8" t="e">
        <f>A111+1</f>
        <v>#REF!</v>
      </c>
      <c r="B119" s="64" t="s">
        <v>15</v>
      </c>
      <c r="C119" s="96" t="s">
        <v>14</v>
      </c>
      <c r="D119" s="63" t="s">
        <v>13</v>
      </c>
      <c r="E119" s="23" t="str">
        <f t="shared" si="7"/>
        <v>fixed O&amp;M.hot water boiler (1-30 MW_th)</v>
      </c>
      <c r="F119" s="7">
        <f>VLOOKUP($E119,'Year Selection'!$E:$M,'Year Selection'!$F$4+1,0)</f>
        <v>3000</v>
      </c>
      <c r="G119" s="7"/>
      <c r="H119" s="7"/>
      <c r="I119" s="7">
        <f>VLOOKUP($E119,'Year Selection'!$E:$M,'Year Selection'!$F$4+1,0)</f>
        <v>3000</v>
      </c>
      <c r="J119" s="7">
        <f>VLOOKUP($E119,'Year Selection'!$E:$M,'Year Selection'!$F$4+1,0)</f>
        <v>3000</v>
      </c>
      <c r="K119" s="7">
        <f>VLOOKUP($E119,'Year Selection'!$E:$M,'Year Selection'!$F$4+1,0)</f>
        <v>3000</v>
      </c>
      <c r="L119" s="7">
        <f>VLOOKUP($E119,'Year Selection'!$E:$M,'Year Selection'!$F$4+1,0)</f>
        <v>3000</v>
      </c>
      <c r="M119" s="7">
        <f>VLOOKUP($E119,'Year Selection'!$E:$M,'Year Selection'!$F$4+1,0)</f>
        <v>3000</v>
      </c>
      <c r="N119" s="1" t="s">
        <v>12</v>
      </c>
    </row>
    <row r="120" spans="1:14">
      <c r="A120" s="8" t="e">
        <f t="shared" si="12"/>
        <v>#REF!</v>
      </c>
      <c r="B120" s="64" t="s">
        <v>15</v>
      </c>
      <c r="C120" s="96"/>
      <c r="D120" s="63" t="s">
        <v>11</v>
      </c>
      <c r="E120" s="23" t="str">
        <f t="shared" si="7"/>
        <v>fixed O&amp;M.hot water tube boiler (20-250 MW_th)</v>
      </c>
      <c r="F120" s="7">
        <f>VLOOKUP($E120,'Year Selection'!$E:$M,'Year Selection'!$F$4+1,0)</f>
        <v>2000</v>
      </c>
      <c r="G120" s="7"/>
      <c r="H120" s="7"/>
      <c r="I120" s="7">
        <f>VLOOKUP($E120,'Year Selection'!$E:$M,'Year Selection'!$F$4+1,0)</f>
        <v>2000</v>
      </c>
      <c r="J120" s="7">
        <f>VLOOKUP($E120,'Year Selection'!$E:$M,'Year Selection'!$F$4+1,0)</f>
        <v>2000</v>
      </c>
      <c r="K120" s="7">
        <f>VLOOKUP($E120,'Year Selection'!$E:$M,'Year Selection'!$F$4+1,0)</f>
        <v>2000</v>
      </c>
      <c r="L120" s="7">
        <f>VLOOKUP($E120,'Year Selection'!$E:$M,'Year Selection'!$F$4+1,0)</f>
        <v>2000</v>
      </c>
      <c r="M120" s="7">
        <f>VLOOKUP($E120,'Year Selection'!$E:$M,'Year Selection'!$F$4+1,0)</f>
        <v>2000</v>
      </c>
      <c r="N120" s="1" t="s">
        <v>10</v>
      </c>
    </row>
    <row r="121" spans="1:14">
      <c r="A121" s="8" t="e">
        <f t="shared" si="12"/>
        <v>#REF!</v>
      </c>
      <c r="B121" s="64" t="s">
        <v>15</v>
      </c>
      <c r="C121" s="96"/>
      <c r="D121" s="63" t="s">
        <v>9</v>
      </c>
      <c r="E121" s="23" t="str">
        <f t="shared" si="7"/>
        <v>fixed O&amp;M.kwk klein (0.5-30 MW_el)</v>
      </c>
      <c r="F121" s="7">
        <f>VLOOKUP($E121,'Year Selection'!$E:$M,'Year Selection'!$F$4+1,0)</f>
        <v>10000</v>
      </c>
      <c r="G121" s="7"/>
      <c r="H121" s="7"/>
      <c r="I121" s="7">
        <f>VLOOKUP($E121,'Year Selection'!$E:$M,'Year Selection'!$F$4+1,0)</f>
        <v>10000</v>
      </c>
      <c r="J121" s="7">
        <f>VLOOKUP($E121,'Year Selection'!$E:$M,'Year Selection'!$F$4+1,0)</f>
        <v>10000</v>
      </c>
      <c r="K121" s="7">
        <f>VLOOKUP($E121,'Year Selection'!$E:$M,'Year Selection'!$F$4+1,0)</f>
        <v>10000</v>
      </c>
      <c r="L121" s="7">
        <f>VLOOKUP($E121,'Year Selection'!$E:$M,'Year Selection'!$F$4+1,0)</f>
        <v>10000</v>
      </c>
      <c r="M121" s="7">
        <f>VLOOKUP($E121,'Year Selection'!$E:$M,'Year Selection'!$F$4+1,0)</f>
        <v>10000</v>
      </c>
      <c r="N121" s="1" t="s">
        <v>8</v>
      </c>
    </row>
    <row r="122" spans="1:14">
      <c r="A122" s="8" t="e">
        <f t="shared" si="12"/>
        <v>#REF!</v>
      </c>
      <c r="B122" s="64" t="s">
        <v>15</v>
      </c>
      <c r="C122" s="96"/>
      <c r="D122" s="63" t="s">
        <v>7</v>
      </c>
      <c r="E122" s="23" t="str">
        <f t="shared" si="7"/>
        <v>fixed O&amp;M.kwk mittel (30-250 MW_el)</v>
      </c>
      <c r="F122" s="7">
        <f>VLOOKUP($E122,'Year Selection'!$E:$M,'Year Selection'!$F$4+1,0)</f>
        <v>0</v>
      </c>
      <c r="G122" s="7"/>
      <c r="H122" s="7"/>
      <c r="I122" s="7">
        <f>VLOOKUP($E122,'Year Selection'!$E:$M,'Year Selection'!$F$4+1,0)</f>
        <v>0</v>
      </c>
      <c r="J122" s="7">
        <f>VLOOKUP($E122,'Year Selection'!$E:$M,'Year Selection'!$F$4+1,0)</f>
        <v>0</v>
      </c>
      <c r="K122" s="7">
        <f>VLOOKUP($E122,'Year Selection'!$E:$M,'Year Selection'!$F$4+1,0)</f>
        <v>0</v>
      </c>
      <c r="L122" s="7">
        <f>VLOOKUP($E122,'Year Selection'!$E:$M,'Year Selection'!$F$4+1,0)</f>
        <v>0</v>
      </c>
      <c r="M122" s="7">
        <f>VLOOKUP($E122,'Year Selection'!$E:$M,'Year Selection'!$F$4+1,0)</f>
        <v>0</v>
      </c>
      <c r="N122" s="1" t="s">
        <v>6</v>
      </c>
    </row>
    <row r="123" spans="1:14">
      <c r="A123" s="8" t="e">
        <f t="shared" si="12"/>
        <v>#REF!</v>
      </c>
      <c r="B123" s="64" t="s">
        <v>15</v>
      </c>
      <c r="C123" s="96"/>
      <c r="D123" s="63" t="s">
        <v>5</v>
      </c>
      <c r="E123" s="23" t="str">
        <f t="shared" si="7"/>
        <v>fixed O&amp;M.kwk groß (&gt;250 MW_el)</v>
      </c>
      <c r="F123" s="7">
        <f>VLOOKUP($E123,'Year Selection'!$E:$M,'Year Selection'!$F$4+1,0)</f>
        <v>0</v>
      </c>
      <c r="G123" s="7"/>
      <c r="H123" s="7"/>
      <c r="I123" s="7">
        <f>VLOOKUP($E123,'Year Selection'!$E:$M,'Year Selection'!$F$4+1,0)</f>
        <v>0</v>
      </c>
      <c r="J123" s="7">
        <f>VLOOKUP($E123,'Year Selection'!$E:$M,'Year Selection'!$F$4+1,0)</f>
        <v>0</v>
      </c>
      <c r="K123" s="7">
        <f>VLOOKUP($E123,'Year Selection'!$E:$M,'Year Selection'!$F$4+1,0)</f>
        <v>0</v>
      </c>
      <c r="L123" s="7">
        <f>VLOOKUP($E123,'Year Selection'!$E:$M,'Year Selection'!$F$4+1,0)</f>
        <v>0</v>
      </c>
      <c r="M123" s="7">
        <f>VLOOKUP($E123,'Year Selection'!$E:$M,'Year Selection'!$F$4+1,0)</f>
        <v>0</v>
      </c>
      <c r="N123" s="1" t="s">
        <v>4</v>
      </c>
    </row>
    <row r="124" spans="1:14">
      <c r="A124" s="8" t="e">
        <f t="shared" si="12"/>
        <v>#REF!</v>
      </c>
      <c r="B124" s="64" t="s">
        <v>15</v>
      </c>
      <c r="C124" s="96"/>
      <c r="D124" s="63" t="s">
        <v>3</v>
      </c>
      <c r="E124" s="23" t="str">
        <f t="shared" si="7"/>
        <v>fixed O&amp;M.pth</v>
      </c>
      <c r="F124" s="7">
        <f>VLOOKUP($E124,'Year Selection'!$E:$M,'Year Selection'!$F$4+1,0)</f>
        <v>5000</v>
      </c>
      <c r="G124" s="7"/>
      <c r="H124" s="7"/>
      <c r="I124" s="7">
        <f>VLOOKUP($E124,'Year Selection'!$E:$M,'Year Selection'!$F$4+1,0)</f>
        <v>5000</v>
      </c>
      <c r="J124" s="7">
        <f>VLOOKUP($E124,'Year Selection'!$E:$M,'Year Selection'!$F$4+1,0)</f>
        <v>5000</v>
      </c>
      <c r="K124" s="7">
        <f>VLOOKUP($E124,'Year Selection'!$E:$M,'Year Selection'!$F$4+1,0)</f>
        <v>5000</v>
      </c>
      <c r="L124" s="7">
        <f>VLOOKUP($E124,'Year Selection'!$E:$M,'Year Selection'!$F$4+1,0)</f>
        <v>5000</v>
      </c>
      <c r="M124" s="7">
        <f>VLOOKUP($E124,'Year Selection'!$E:$M,'Year Selection'!$F$4+1,0)</f>
        <v>5000</v>
      </c>
      <c r="N124" s="1" t="s">
        <v>2</v>
      </c>
    </row>
    <row r="125" spans="1:14">
      <c r="A125" s="8" t="e">
        <f t="shared" si="12"/>
        <v>#REF!</v>
      </c>
      <c r="B125" s="64" t="s">
        <v>15</v>
      </c>
      <c r="C125" s="96"/>
      <c r="D125" s="63" t="s">
        <v>1</v>
      </c>
      <c r="E125" s="23" t="str">
        <f t="shared" si="7"/>
        <v>fixed O&amp;M.batt</v>
      </c>
      <c r="F125" s="7">
        <f>VLOOKUP($E125,'Year Selection'!$E:$M,'Year Selection'!$F$4+1,0)</f>
        <v>0</v>
      </c>
      <c r="G125" s="7"/>
      <c r="H125" s="7"/>
      <c r="I125" s="7">
        <f>VLOOKUP($E125,'Year Selection'!$E:$M,'Year Selection'!$F$4+1,0)</f>
        <v>0</v>
      </c>
      <c r="J125" s="7">
        <f>VLOOKUP($E125,'Year Selection'!$E:$M,'Year Selection'!$F$4+1,0)</f>
        <v>0</v>
      </c>
      <c r="K125" s="7">
        <f>VLOOKUP($E125,'Year Selection'!$E:$M,'Year Selection'!$F$4+1,0)</f>
        <v>0</v>
      </c>
      <c r="L125" s="7">
        <f>VLOOKUP($E125,'Year Selection'!$E:$M,'Year Selection'!$F$4+1,0)</f>
        <v>0</v>
      </c>
      <c r="M125" s="7">
        <f>VLOOKUP($E125,'Year Selection'!$E:$M,'Year Selection'!$F$4+1,0)</f>
        <v>0</v>
      </c>
    </row>
    <row r="126" spans="1:14">
      <c r="A126" s="8" t="e">
        <f t="shared" si="12"/>
        <v>#REF!</v>
      </c>
      <c r="B126" s="64" t="s">
        <v>15</v>
      </c>
      <c r="C126" s="96"/>
      <c r="D126" s="63" t="s">
        <v>0</v>
      </c>
      <c r="E126" s="23" t="str">
        <f t="shared" si="7"/>
        <v>fixed O&amp;M.ptg</v>
      </c>
      <c r="F126" s="7">
        <f>VLOOKUP($E126,'Year Selection'!$E:$M,'Year Selection'!$F$4+1,0)</f>
        <v>0</v>
      </c>
      <c r="G126" s="7"/>
      <c r="H126" s="7"/>
      <c r="I126" s="7">
        <f>VLOOKUP($E126,'Year Selection'!$E:$M,'Year Selection'!$F$4+1,0)</f>
        <v>0</v>
      </c>
      <c r="J126" s="7">
        <f>VLOOKUP($E126,'Year Selection'!$E:$M,'Year Selection'!$F$4+1,0)</f>
        <v>0</v>
      </c>
      <c r="K126" s="7">
        <f>VLOOKUP($E126,'Year Selection'!$E:$M,'Year Selection'!$F$4+1,0)</f>
        <v>0</v>
      </c>
      <c r="L126" s="7">
        <f>VLOOKUP($E126,'Year Selection'!$E:$M,'Year Selection'!$F$4+1,0)</f>
        <v>0</v>
      </c>
      <c r="M126" s="7">
        <f>VLOOKUP($E126,'Year Selection'!$E:$M,'Year Selection'!$F$4+1,0)</f>
        <v>0</v>
      </c>
    </row>
    <row r="127" spans="1:14">
      <c r="A127" s="1" t="e">
        <f t="shared" si="12"/>
        <v>#REF!</v>
      </c>
      <c r="D127" s="6"/>
    </row>
    <row r="128" spans="1:14">
      <c r="C128" s="1"/>
      <c r="D128" s="1"/>
      <c r="E128" s="1"/>
    </row>
    <row r="129" spans="3:5">
      <c r="C129" s="1"/>
      <c r="D129" s="73">
        <v>1</v>
      </c>
      <c r="E129" s="1"/>
    </row>
    <row r="130" spans="3:5" ht="71.25">
      <c r="C130" s="1"/>
      <c r="D130" s="74" t="s">
        <v>156</v>
      </c>
      <c r="E130" s="1"/>
    </row>
    <row r="131" spans="3:5">
      <c r="C131" s="1"/>
      <c r="D131" s="73">
        <v>2</v>
      </c>
      <c r="E131" s="1"/>
    </row>
    <row r="132" spans="3:5" ht="99.75">
      <c r="C132" s="1"/>
      <c r="D132" s="74" t="s">
        <v>157</v>
      </c>
      <c r="E132" s="1"/>
    </row>
    <row r="133" spans="3:5">
      <c r="C133" s="1"/>
      <c r="D133" s="73">
        <v>3</v>
      </c>
      <c r="E133" s="1"/>
    </row>
    <row r="134" spans="3:5" ht="85.5">
      <c r="C134" s="1"/>
      <c r="D134" s="74" t="s">
        <v>158</v>
      </c>
      <c r="E134" s="1"/>
    </row>
    <row r="135" spans="3:5">
      <c r="C135" s="1"/>
      <c r="D135" s="73">
        <v>4</v>
      </c>
      <c r="E135" s="1"/>
    </row>
    <row r="136" spans="3:5" ht="99.75">
      <c r="D136" s="74" t="s">
        <v>159</v>
      </c>
    </row>
    <row r="137" spans="3:5">
      <c r="D137" s="73">
        <v>5</v>
      </c>
    </row>
    <row r="138" spans="3:5" ht="71.25">
      <c r="D138" s="74" t="s">
        <v>160</v>
      </c>
    </row>
    <row r="172" spans="3:5">
      <c r="E172" s="4" t="str">
        <f t="shared" ref="E172:E182" si="13">C172&amp;D172</f>
        <v/>
      </c>
    </row>
    <row r="173" spans="3:5">
      <c r="E173" s="4" t="str">
        <f t="shared" si="13"/>
        <v/>
      </c>
    </row>
    <row r="174" spans="3:5">
      <c r="E174" s="4" t="str">
        <f t="shared" si="13"/>
        <v/>
      </c>
    </row>
    <row r="175" spans="3:5">
      <c r="C175" s="5"/>
      <c r="E175" s="4" t="str">
        <f t="shared" si="13"/>
        <v/>
      </c>
    </row>
    <row r="176" spans="3:5">
      <c r="C176" s="5"/>
      <c r="E176" s="4" t="str">
        <f t="shared" si="13"/>
        <v/>
      </c>
    </row>
    <row r="177" spans="5:5">
      <c r="E177" s="4" t="str">
        <f t="shared" si="13"/>
        <v/>
      </c>
    </row>
    <row r="178" spans="5:5">
      <c r="E178" s="4" t="str">
        <f t="shared" si="13"/>
        <v/>
      </c>
    </row>
    <row r="179" spans="5:5">
      <c r="E179" s="4" t="str">
        <f t="shared" si="13"/>
        <v/>
      </c>
    </row>
    <row r="180" spans="5:5">
      <c r="E180" s="4" t="str">
        <f t="shared" si="13"/>
        <v/>
      </c>
    </row>
    <row r="181" spans="5:5">
      <c r="E181" s="4" t="str">
        <f t="shared" si="13"/>
        <v/>
      </c>
    </row>
    <row r="182" spans="5:5">
      <c r="E182" s="4" t="str">
        <f t="shared" si="13"/>
        <v/>
      </c>
    </row>
  </sheetData>
  <mergeCells count="13">
    <mergeCell ref="E6:E7"/>
    <mergeCell ref="C103:C110"/>
    <mergeCell ref="C119:C126"/>
    <mergeCell ref="C56:C64"/>
    <mergeCell ref="C65:C66"/>
    <mergeCell ref="C67:C68"/>
    <mergeCell ref="C77:C78"/>
    <mergeCell ref="C79:C80"/>
    <mergeCell ref="C72:C76"/>
    <mergeCell ref="C94:C101"/>
    <mergeCell ref="C84:C85"/>
    <mergeCell ref="C88:C89"/>
    <mergeCell ref="C82:C83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3C6-61B7-4691-A1A5-8E0BDE67761C}">
  <sheetPr>
    <tabColor theme="5"/>
  </sheetPr>
  <dimension ref="A1:V314"/>
  <sheetViews>
    <sheetView showGridLines="0" zoomScaleNormal="100" workbookViewId="0">
      <pane xSplit="5" ySplit="7" topLeftCell="F80" activePane="bottomRight" state="frozen"/>
      <selection pane="topRight" activeCell="C1" sqref="C1"/>
      <selection pane="bottomLeft" activeCell="A8" sqref="A8"/>
      <selection pane="bottomRight" activeCell="B97" sqref="B97"/>
    </sheetView>
  </sheetViews>
  <sheetFormatPr baseColWidth="10" defaultRowHeight="12.75"/>
  <cols>
    <col min="1" max="1" width="4" style="1" hidden="1" customWidth="1"/>
    <col min="2" max="2" width="28" style="37" customWidth="1"/>
    <col min="3" max="3" width="16.7109375" style="36" customWidth="1"/>
    <col min="4" max="4" width="26.85546875" style="2" customWidth="1"/>
    <col min="5" max="5" width="20" style="2" customWidth="1"/>
    <col min="6" max="6" width="20" style="1" customWidth="1"/>
    <col min="7" max="8" width="19.5703125" style="1" customWidth="1"/>
    <col min="9" max="9" width="26.42578125" style="1" customWidth="1"/>
    <col min="10" max="10" width="19.5703125" style="1" customWidth="1"/>
    <col min="11" max="22" width="9.7109375" style="1" customWidth="1"/>
    <col min="23" max="25" width="16.7109375" style="1" customWidth="1"/>
    <col min="26" max="16384" width="11.42578125" style="1"/>
  </cols>
  <sheetData>
    <row r="1" spans="1:21">
      <c r="C1" s="33" t="s">
        <v>98</v>
      </c>
      <c r="D1" s="35"/>
      <c r="E1" s="34"/>
    </row>
    <row r="2" spans="1:21">
      <c r="C2" s="52" t="s">
        <v>97</v>
      </c>
      <c r="D2" s="28"/>
      <c r="F2" s="2" t="s">
        <v>147</v>
      </c>
    </row>
    <row r="3" spans="1:21">
      <c r="C3" s="53"/>
      <c r="F3" s="2" t="s">
        <v>95</v>
      </c>
    </row>
    <row r="4" spans="1:21">
      <c r="C4" s="33" t="s">
        <v>146</v>
      </c>
      <c r="D4" s="33"/>
      <c r="E4" s="31"/>
      <c r="F4" s="54">
        <v>1</v>
      </c>
    </row>
    <row r="5" spans="1:21">
      <c r="C5" s="53"/>
    </row>
    <row r="6" spans="1:21">
      <c r="A6" s="1">
        <v>6</v>
      </c>
      <c r="C6" s="52"/>
      <c r="D6" s="28"/>
      <c r="E6" s="8"/>
      <c r="F6" s="29" t="s">
        <v>145</v>
      </c>
      <c r="G6" s="29" t="s">
        <v>144</v>
      </c>
      <c r="H6" s="29" t="s">
        <v>93</v>
      </c>
      <c r="I6" s="2"/>
      <c r="J6" s="2"/>
      <c r="K6" s="2"/>
      <c r="L6" s="2"/>
      <c r="M6" s="2"/>
    </row>
    <row r="7" spans="1:21">
      <c r="A7" s="1">
        <f>A6+1</f>
        <v>7</v>
      </c>
      <c r="B7" s="8" t="s">
        <v>173</v>
      </c>
      <c r="C7" s="8" t="s">
        <v>172</v>
      </c>
      <c r="D7" s="8" t="s">
        <v>174</v>
      </c>
      <c r="E7" s="8" t="s">
        <v>175</v>
      </c>
      <c r="F7" s="27">
        <v>2016</v>
      </c>
      <c r="G7" s="27">
        <v>2035</v>
      </c>
      <c r="H7" s="27">
        <v>2050</v>
      </c>
      <c r="I7" s="2"/>
      <c r="J7" s="2"/>
      <c r="K7" s="2"/>
      <c r="L7" s="2"/>
      <c r="M7" s="2"/>
    </row>
    <row r="8" spans="1:21">
      <c r="A8" s="1" t="e">
        <f>#REF!+1</f>
        <v>#REF!</v>
      </c>
      <c r="B8" s="8" t="s">
        <v>66</v>
      </c>
      <c r="C8" s="51" t="s">
        <v>65</v>
      </c>
      <c r="D8" s="50" t="s">
        <v>125</v>
      </c>
      <c r="E8" s="85" t="str">
        <f t="shared" ref="E8:E53" si="0">C8&amp;"."&amp;D8</f>
        <v>cs_gas.capacity</v>
      </c>
      <c r="F8" s="50">
        <v>1000000000</v>
      </c>
      <c r="G8" s="50">
        <v>1000000000</v>
      </c>
      <c r="H8" s="50">
        <v>1000000000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B9" s="8" t="s">
        <v>66</v>
      </c>
      <c r="C9" s="51" t="s">
        <v>64</v>
      </c>
      <c r="D9" s="50" t="s">
        <v>125</v>
      </c>
      <c r="E9" s="85" t="str">
        <f t="shared" si="0"/>
        <v>cs_electric.capacity</v>
      </c>
      <c r="F9" s="50">
        <v>1000000000</v>
      </c>
      <c r="G9" s="50">
        <v>1000000000</v>
      </c>
      <c r="H9" s="50">
        <v>1000000000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B10" s="8" t="s">
        <v>143</v>
      </c>
      <c r="C10" s="51" t="s">
        <v>142</v>
      </c>
      <c r="D10" s="50" t="s">
        <v>120</v>
      </c>
      <c r="E10" s="85" t="str">
        <f t="shared" si="0"/>
        <v>chp_pr.el efficiency min</v>
      </c>
      <c r="F10" s="50">
        <v>0.25</v>
      </c>
      <c r="G10" s="50">
        <v>0.25</v>
      </c>
      <c r="H10" s="50">
        <v>0.25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B11" s="8" t="s">
        <v>143</v>
      </c>
      <c r="C11" s="51" t="s">
        <v>142</v>
      </c>
      <c r="D11" s="50" t="s">
        <v>119</v>
      </c>
      <c r="E11" s="85" t="str">
        <f t="shared" si="0"/>
        <v>chp_pr.el efficiency max</v>
      </c>
      <c r="F11" s="8">
        <v>0.49</v>
      </c>
      <c r="G11" s="8">
        <v>0.49</v>
      </c>
      <c r="H11" s="8">
        <v>0.49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B12" s="8" t="s">
        <v>143</v>
      </c>
      <c r="C12" s="51" t="s">
        <v>142</v>
      </c>
      <c r="D12" s="50" t="s">
        <v>118</v>
      </c>
      <c r="E12" s="85" t="str">
        <f t="shared" si="0"/>
        <v>chp_pr.power min</v>
      </c>
      <c r="F12" s="8">
        <v>0.9</v>
      </c>
      <c r="G12" s="8">
        <v>0.9</v>
      </c>
      <c r="H12" s="8">
        <v>0.9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B13" s="8" t="s">
        <v>143</v>
      </c>
      <c r="C13" s="51" t="s">
        <v>142</v>
      </c>
      <c r="D13" s="50" t="s">
        <v>117</v>
      </c>
      <c r="E13" s="85" t="str">
        <f t="shared" si="0"/>
        <v>chp_pr.power max</v>
      </c>
      <c r="F13" s="8">
        <v>2.7</v>
      </c>
      <c r="G13" s="8">
        <v>2.7</v>
      </c>
      <c r="H13" s="8">
        <v>2.7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B14" s="8" t="s">
        <v>71</v>
      </c>
      <c r="C14" s="51" t="s">
        <v>70</v>
      </c>
      <c r="D14" s="50" t="s">
        <v>140</v>
      </c>
      <c r="E14" s="85" t="str">
        <f t="shared" si="0"/>
        <v>spot_market_sink.nominal value</v>
      </c>
      <c r="F14" s="50">
        <v>1000000000</v>
      </c>
      <c r="G14" s="50">
        <v>1000000000</v>
      </c>
      <c r="H14" s="50">
        <v>1000000000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B15" s="8" t="s">
        <v>71</v>
      </c>
      <c r="C15" s="51" t="s">
        <v>69</v>
      </c>
      <c r="D15" s="50" t="s">
        <v>140</v>
      </c>
      <c r="E15" s="85" t="str">
        <f t="shared" si="0"/>
        <v>dist_heat_sch.nominal value</v>
      </c>
      <c r="F15" s="8">
        <v>52</v>
      </c>
      <c r="G15" s="8"/>
      <c r="H15" s="8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B16" s="8" t="s">
        <v>71</v>
      </c>
      <c r="C16" s="51" t="s">
        <v>68</v>
      </c>
      <c r="D16" s="50" t="s">
        <v>140</v>
      </c>
      <c r="E16" s="85" t="str">
        <f t="shared" si="0"/>
        <v>dist_heat_pr.nominal value</v>
      </c>
      <c r="F16" s="8">
        <v>13.21</v>
      </c>
      <c r="G16" s="8"/>
      <c r="H16" s="8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2:21">
      <c r="B17" s="8" t="s">
        <v>71</v>
      </c>
      <c r="C17" s="51" t="s">
        <v>149</v>
      </c>
      <c r="D17" s="50" t="s">
        <v>140</v>
      </c>
      <c r="E17" s="85" t="str">
        <f t="shared" si="0"/>
        <v>curtailment.nominal value</v>
      </c>
      <c r="F17" s="84">
        <f>F$19+F$20</f>
        <v>789.77099999999996</v>
      </c>
      <c r="G17" s="8"/>
      <c r="H17" s="8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>
      <c r="B18" s="8" t="s">
        <v>71</v>
      </c>
      <c r="C18" s="51" t="s">
        <v>67</v>
      </c>
      <c r="D18" s="50" t="s">
        <v>140</v>
      </c>
      <c r="E18" s="85" t="str">
        <f t="shared" si="0"/>
        <v>el_demand_uck.nominal value</v>
      </c>
      <c r="F18" s="50">
        <v>1000000000</v>
      </c>
      <c r="G18" s="50">
        <v>1000000000</v>
      </c>
      <c r="H18" s="50">
        <v>1000000000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>
      <c r="B19" s="8" t="s">
        <v>139</v>
      </c>
      <c r="C19" s="51" t="s">
        <v>138</v>
      </c>
      <c r="D19" s="50" t="s">
        <v>125</v>
      </c>
      <c r="E19" s="85" t="str">
        <f t="shared" si="0"/>
        <v>wind_synth.capacity</v>
      </c>
      <c r="F19" s="40">
        <f>F$232</f>
        <v>717.51</v>
      </c>
      <c r="G19" s="40">
        <f>G232</f>
        <v>1004.4537864077669</v>
      </c>
      <c r="H19" s="40">
        <f>H232</f>
        <v>1244.3999429197574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>
      <c r="B20" s="8" t="s">
        <v>139</v>
      </c>
      <c r="C20" s="51" t="s">
        <v>137</v>
      </c>
      <c r="D20" s="50" t="s">
        <v>125</v>
      </c>
      <c r="E20" s="85" t="str">
        <f t="shared" si="0"/>
        <v>pv_synth.capacity</v>
      </c>
      <c r="F20" s="40">
        <f>F$233</f>
        <v>72.260999999999996</v>
      </c>
      <c r="G20" s="40">
        <f>G233</f>
        <v>117.14520250381679</v>
      </c>
      <c r="H20" s="40">
        <f>H233</f>
        <v>156.41940973508827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>
      <c r="B21" s="8" t="s">
        <v>136</v>
      </c>
      <c r="C21" s="51" t="s">
        <v>61</v>
      </c>
      <c r="D21" s="50" t="s">
        <v>135</v>
      </c>
      <c r="E21" s="85" t="str">
        <f t="shared" si="0"/>
        <v>storage_th_pr.nominal capacity</v>
      </c>
      <c r="F21" s="8">
        <v>66</v>
      </c>
      <c r="G21" s="8"/>
      <c r="H21" s="8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>
      <c r="B22" s="8" t="s">
        <v>136</v>
      </c>
      <c r="C22" s="51" t="s">
        <v>61</v>
      </c>
      <c r="D22" s="50" t="s">
        <v>134</v>
      </c>
      <c r="E22" s="85" t="str">
        <f t="shared" si="0"/>
        <v>storage_th_pr.nominal input value</v>
      </c>
      <c r="F22" s="8"/>
      <c r="G22" s="8"/>
      <c r="H22" s="8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>
      <c r="B23" s="8" t="s">
        <v>136</v>
      </c>
      <c r="C23" s="51" t="s">
        <v>61</v>
      </c>
      <c r="D23" s="50" t="s">
        <v>133</v>
      </c>
      <c r="E23" s="85" t="str">
        <f t="shared" si="0"/>
        <v>storage_th_pr.nominal output value</v>
      </c>
      <c r="F23" s="8"/>
      <c r="G23" s="8"/>
      <c r="H23" s="8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>
      <c r="B24" s="8" t="s">
        <v>136</v>
      </c>
      <c r="C24" s="51" t="s">
        <v>61</v>
      </c>
      <c r="D24" s="50" t="s">
        <v>132</v>
      </c>
      <c r="E24" s="85" t="str">
        <f t="shared" si="0"/>
        <v>storage_th_pr.capacity loss</v>
      </c>
      <c r="F24" s="8">
        <v>0.01</v>
      </c>
      <c r="G24" s="8"/>
      <c r="H24" s="8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>
      <c r="B25" s="8" t="s">
        <v>136</v>
      </c>
      <c r="C25" s="51" t="s">
        <v>61</v>
      </c>
      <c r="D25" s="50" t="s">
        <v>131</v>
      </c>
      <c r="E25" s="85" t="str">
        <f t="shared" si="0"/>
        <v>storage_th_pr.efficiency inflow</v>
      </c>
      <c r="F25" s="8">
        <v>0.98</v>
      </c>
      <c r="G25" s="8"/>
      <c r="H25" s="8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>
      <c r="B26" s="8" t="s">
        <v>136</v>
      </c>
      <c r="C26" s="51" t="s">
        <v>61</v>
      </c>
      <c r="D26" s="50" t="s">
        <v>130</v>
      </c>
      <c r="E26" s="85" t="str">
        <f t="shared" si="0"/>
        <v>storage_th_pr.efficiency outflow</v>
      </c>
      <c r="F26" s="8">
        <v>0.98</v>
      </c>
      <c r="G26" s="8"/>
      <c r="H26" s="8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>
      <c r="B27" s="8" t="s">
        <v>136</v>
      </c>
      <c r="C27" s="51" t="s">
        <v>61</v>
      </c>
      <c r="D27" s="50" t="s">
        <v>129</v>
      </c>
      <c r="E27" s="85" t="str">
        <f t="shared" si="0"/>
        <v>storage_th_pr.initial capacity</v>
      </c>
      <c r="F27" s="8">
        <v>0</v>
      </c>
      <c r="G27" s="8"/>
      <c r="H27" s="8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>
      <c r="B28" s="8" t="s">
        <v>136</v>
      </c>
      <c r="C28" s="51" t="s">
        <v>61</v>
      </c>
      <c r="D28" s="50" t="s">
        <v>128</v>
      </c>
      <c r="E28" s="85" t="str">
        <f t="shared" si="0"/>
        <v>storage_th_pr.capacity min</v>
      </c>
      <c r="F28" s="8">
        <v>0</v>
      </c>
      <c r="G28" s="8"/>
      <c r="H28" s="8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21" ht="12.75" customHeight="1">
      <c r="B29" s="8" t="s">
        <v>136</v>
      </c>
      <c r="C29" s="51" t="s">
        <v>61</v>
      </c>
      <c r="D29" s="50" t="s">
        <v>127</v>
      </c>
      <c r="E29" s="85" t="str">
        <f t="shared" si="0"/>
        <v>storage_th_pr.capacity max</v>
      </c>
      <c r="F29" s="8">
        <v>1</v>
      </c>
      <c r="G29" s="8"/>
      <c r="H29" s="8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1">
      <c r="B30" s="8" t="s">
        <v>136</v>
      </c>
      <c r="C30" s="51" t="s">
        <v>60</v>
      </c>
      <c r="D30" s="50" t="s">
        <v>135</v>
      </c>
      <c r="E30" s="85" t="str">
        <f t="shared" si="0"/>
        <v>storage_th_sch.nominal capacity</v>
      </c>
      <c r="F30" s="8">
        <v>101</v>
      </c>
      <c r="G30" s="8"/>
      <c r="H30" s="8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21">
      <c r="B31" s="8" t="s">
        <v>136</v>
      </c>
      <c r="C31" s="51" t="s">
        <v>60</v>
      </c>
      <c r="D31" s="50" t="s">
        <v>134</v>
      </c>
      <c r="E31" s="85" t="str">
        <f t="shared" si="0"/>
        <v>storage_th_sch.nominal input value</v>
      </c>
      <c r="F31" s="8"/>
      <c r="G31" s="8"/>
      <c r="H31" s="8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2:21">
      <c r="B32" s="8" t="s">
        <v>136</v>
      </c>
      <c r="C32" s="51" t="s">
        <v>60</v>
      </c>
      <c r="D32" s="50" t="s">
        <v>133</v>
      </c>
      <c r="E32" s="85" t="str">
        <f t="shared" si="0"/>
        <v>storage_th_sch.nominal output value</v>
      </c>
      <c r="F32" s="8"/>
      <c r="G32" s="8"/>
      <c r="H32" s="8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2:21">
      <c r="B33" s="8" t="s">
        <v>136</v>
      </c>
      <c r="C33" s="51" t="s">
        <v>60</v>
      </c>
      <c r="D33" s="50" t="s">
        <v>132</v>
      </c>
      <c r="E33" s="85" t="str">
        <f t="shared" si="0"/>
        <v>storage_th_sch.capacity loss</v>
      </c>
      <c r="F33" s="8">
        <v>0.01</v>
      </c>
      <c r="G33" s="8"/>
      <c r="H33" s="8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2:21">
      <c r="B34" s="8" t="s">
        <v>136</v>
      </c>
      <c r="C34" s="51" t="s">
        <v>60</v>
      </c>
      <c r="D34" s="50" t="s">
        <v>131</v>
      </c>
      <c r="E34" s="85" t="str">
        <f t="shared" si="0"/>
        <v>storage_th_sch.efficiency inflow</v>
      </c>
      <c r="F34" s="8">
        <v>0.98</v>
      </c>
      <c r="G34" s="8"/>
      <c r="H34" s="8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>
      <c r="B35" s="8" t="s">
        <v>136</v>
      </c>
      <c r="C35" s="51" t="s">
        <v>60</v>
      </c>
      <c r="D35" s="50" t="s">
        <v>130</v>
      </c>
      <c r="E35" s="85" t="str">
        <f t="shared" si="0"/>
        <v>storage_th_sch.efficiency outflow</v>
      </c>
      <c r="F35" s="8">
        <v>0.98</v>
      </c>
      <c r="G35" s="8"/>
      <c r="H35" s="8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2:21">
      <c r="B36" s="8" t="s">
        <v>136</v>
      </c>
      <c r="C36" s="51" t="s">
        <v>60</v>
      </c>
      <c r="D36" s="50" t="s">
        <v>129</v>
      </c>
      <c r="E36" s="85" t="str">
        <f t="shared" si="0"/>
        <v>storage_th_sch.initial capacity</v>
      </c>
      <c r="F36" s="8">
        <v>0</v>
      </c>
      <c r="G36" s="8"/>
      <c r="H36" s="8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2:21">
      <c r="B37" s="8" t="s">
        <v>136</v>
      </c>
      <c r="C37" s="51" t="s">
        <v>60</v>
      </c>
      <c r="D37" s="50" t="s">
        <v>128</v>
      </c>
      <c r="E37" s="85" t="str">
        <f t="shared" si="0"/>
        <v>storage_th_sch.capacity min</v>
      </c>
      <c r="F37" s="8">
        <v>0</v>
      </c>
      <c r="G37" s="8"/>
      <c r="H37" s="8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2:21" ht="12.75" customHeight="1">
      <c r="B38" s="8" t="s">
        <v>136</v>
      </c>
      <c r="C38" s="51" t="s">
        <v>60</v>
      </c>
      <c r="D38" s="50" t="s">
        <v>127</v>
      </c>
      <c r="E38" s="85" t="str">
        <f t="shared" si="0"/>
        <v>storage_th_sch.capacity max</v>
      </c>
      <c r="F38" s="8">
        <v>1</v>
      </c>
      <c r="G38" s="8"/>
      <c r="H38" s="8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2:21">
      <c r="B39" s="8" t="s">
        <v>136</v>
      </c>
      <c r="C39" s="51" t="s">
        <v>1</v>
      </c>
      <c r="D39" s="50" t="s">
        <v>135</v>
      </c>
      <c r="E39" s="85" t="str">
        <f t="shared" si="0"/>
        <v>batt.nominal capacity</v>
      </c>
      <c r="F39" s="8">
        <v>10</v>
      </c>
      <c r="G39" s="8"/>
      <c r="H39" s="8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>
      <c r="B40" s="8" t="s">
        <v>136</v>
      </c>
      <c r="C40" s="51" t="s">
        <v>1</v>
      </c>
      <c r="D40" s="50" t="s">
        <v>134</v>
      </c>
      <c r="E40" s="85" t="str">
        <f t="shared" si="0"/>
        <v>batt.nominal input value</v>
      </c>
      <c r="F40" s="8">
        <v>5</v>
      </c>
      <c r="G40" s="8"/>
      <c r="H40" s="8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2:21">
      <c r="B41" s="8" t="s">
        <v>136</v>
      </c>
      <c r="C41" s="51" t="s">
        <v>1</v>
      </c>
      <c r="D41" s="50" t="s">
        <v>133</v>
      </c>
      <c r="E41" s="85" t="str">
        <f t="shared" si="0"/>
        <v>batt.nominal output value</v>
      </c>
      <c r="F41" s="8">
        <v>5</v>
      </c>
      <c r="G41" s="8"/>
      <c r="H41" s="8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21">
      <c r="B42" s="8" t="s">
        <v>136</v>
      </c>
      <c r="C42" s="51" t="s">
        <v>1</v>
      </c>
      <c r="D42" s="50" t="s">
        <v>132</v>
      </c>
      <c r="E42" s="85" t="str">
        <f t="shared" si="0"/>
        <v>batt.capacity loss</v>
      </c>
      <c r="F42" s="8">
        <v>0.02</v>
      </c>
      <c r="G42" s="8"/>
      <c r="H42" s="8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21">
      <c r="B43" s="8" t="s">
        <v>136</v>
      </c>
      <c r="C43" s="51" t="s">
        <v>1</v>
      </c>
      <c r="D43" s="50" t="s">
        <v>131</v>
      </c>
      <c r="E43" s="85" t="str">
        <f t="shared" si="0"/>
        <v>batt.efficiency inflow</v>
      </c>
      <c r="F43" s="8">
        <v>0.98</v>
      </c>
      <c r="G43" s="8"/>
      <c r="H43" s="8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>
      <c r="B44" s="8" t="s">
        <v>136</v>
      </c>
      <c r="C44" s="51" t="s">
        <v>1</v>
      </c>
      <c r="D44" s="50" t="s">
        <v>130</v>
      </c>
      <c r="E44" s="85" t="str">
        <f t="shared" si="0"/>
        <v>batt.efficiency outflow</v>
      </c>
      <c r="F44" s="8">
        <v>0.98</v>
      </c>
      <c r="G44" s="8"/>
      <c r="H44" s="8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21">
      <c r="B45" s="8" t="s">
        <v>136</v>
      </c>
      <c r="C45" s="51" t="s">
        <v>1</v>
      </c>
      <c r="D45" s="50" t="s">
        <v>129</v>
      </c>
      <c r="E45" s="85" t="str">
        <f t="shared" si="0"/>
        <v>batt.initial capacity</v>
      </c>
      <c r="F45" s="8">
        <v>0</v>
      </c>
      <c r="G45" s="8"/>
      <c r="H45" s="8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21">
      <c r="B46" s="8" t="s">
        <v>136</v>
      </c>
      <c r="C46" s="51" t="s">
        <v>1</v>
      </c>
      <c r="D46" s="50" t="s">
        <v>128</v>
      </c>
      <c r="E46" s="85" t="str">
        <f t="shared" si="0"/>
        <v>batt.capacity min</v>
      </c>
      <c r="F46" s="8">
        <v>0</v>
      </c>
      <c r="G46" s="8"/>
      <c r="H46" s="8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21">
      <c r="B47" s="8" t="s">
        <v>136</v>
      </c>
      <c r="C47" s="51" t="s">
        <v>1</v>
      </c>
      <c r="D47" s="50" t="s">
        <v>127</v>
      </c>
      <c r="E47" s="85" t="str">
        <f t="shared" si="0"/>
        <v>batt.capacity max</v>
      </c>
      <c r="F47" s="8">
        <v>0.9</v>
      </c>
      <c r="G47" s="8"/>
      <c r="H47" s="8"/>
      <c r="L47" s="2"/>
      <c r="M47" s="2"/>
      <c r="N47" s="2"/>
      <c r="O47" s="2"/>
      <c r="P47" s="2"/>
      <c r="Q47" s="2"/>
      <c r="R47" s="2"/>
      <c r="S47" s="2"/>
      <c r="T47" s="2"/>
      <c r="U47" s="2"/>
    </row>
    <row r="52" spans="2:21">
      <c r="B52" s="8" t="s">
        <v>87</v>
      </c>
      <c r="C52" s="51" t="s">
        <v>84</v>
      </c>
      <c r="D52" s="50" t="s">
        <v>126</v>
      </c>
      <c r="E52" s="85" t="str">
        <f t="shared" si="0"/>
        <v>pth_pr.efficiency</v>
      </c>
      <c r="F52" s="50">
        <v>0.99</v>
      </c>
      <c r="G52" s="8"/>
      <c r="H52" s="8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2:21">
      <c r="B53" s="8" t="s">
        <v>87</v>
      </c>
      <c r="C53" s="51" t="s">
        <v>84</v>
      </c>
      <c r="D53" s="50" t="s">
        <v>125</v>
      </c>
      <c r="E53" s="85" t="str">
        <f t="shared" si="0"/>
        <v>pth_pr.capacity</v>
      </c>
      <c r="F53" s="50">
        <v>6.6</v>
      </c>
      <c r="G53" s="8"/>
      <c r="H53" s="8"/>
      <c r="L53" s="2"/>
      <c r="M53" s="2"/>
      <c r="N53" s="2"/>
      <c r="O53" s="2"/>
      <c r="P53" s="2"/>
      <c r="Q53" s="2"/>
      <c r="R53" s="2"/>
      <c r="S53" s="2"/>
      <c r="T53" s="2"/>
      <c r="U53" s="2"/>
    </row>
    <row r="56" spans="2:21">
      <c r="B56" s="8" t="s">
        <v>87</v>
      </c>
      <c r="C56" s="51" t="s">
        <v>81</v>
      </c>
      <c r="D56" s="50" t="s">
        <v>126</v>
      </c>
      <c r="E56" s="85" t="str">
        <f t="shared" ref="E56:E81" si="1">C56&amp;"."&amp;D56</f>
        <v>wind_curtailment.efficiency</v>
      </c>
      <c r="F56" s="50">
        <v>1</v>
      </c>
      <c r="G56" s="8"/>
      <c r="H56" s="8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>
      <c r="B57" s="8" t="s">
        <v>87</v>
      </c>
      <c r="C57" s="51" t="s">
        <v>81</v>
      </c>
      <c r="D57" s="50" t="s">
        <v>125</v>
      </c>
      <c r="E57" s="85" t="str">
        <f t="shared" si="1"/>
        <v>wind_curtailment.capacity</v>
      </c>
      <c r="F57" s="69">
        <f>F$19</f>
        <v>717.51</v>
      </c>
      <c r="G57" s="8"/>
      <c r="H57" s="8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>
      <c r="B58" s="8" t="s">
        <v>87</v>
      </c>
      <c r="C58" s="51" t="s">
        <v>80</v>
      </c>
      <c r="D58" s="50" t="s">
        <v>126</v>
      </c>
      <c r="E58" s="85" t="str">
        <f t="shared" si="1"/>
        <v>wind_using.efficiency</v>
      </c>
      <c r="F58" s="26">
        <v>1</v>
      </c>
      <c r="G58" s="8"/>
      <c r="H58" s="8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>
      <c r="B59" s="8" t="s">
        <v>87</v>
      </c>
      <c r="C59" s="51" t="s">
        <v>80</v>
      </c>
      <c r="D59" s="50" t="s">
        <v>125</v>
      </c>
      <c r="E59" s="85" t="str">
        <f t="shared" si="1"/>
        <v>wind_using.capacity</v>
      </c>
      <c r="F59" s="70">
        <f>F$19</f>
        <v>717.51</v>
      </c>
      <c r="G59" s="8"/>
      <c r="H59" s="8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>
      <c r="B60" s="8" t="s">
        <v>87</v>
      </c>
      <c r="C60" s="51" t="s">
        <v>79</v>
      </c>
      <c r="D60" s="50" t="s">
        <v>126</v>
      </c>
      <c r="E60" s="85" t="str">
        <f t="shared" si="1"/>
        <v>wind_neg_spot.efficiency</v>
      </c>
      <c r="F60" s="26">
        <v>1</v>
      </c>
      <c r="G60" s="8"/>
      <c r="H60" s="8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>
      <c r="B61" s="8" t="s">
        <v>87</v>
      </c>
      <c r="C61" s="51" t="s">
        <v>79</v>
      </c>
      <c r="D61" s="50" t="s">
        <v>125</v>
      </c>
      <c r="E61" s="85" t="str">
        <f t="shared" si="1"/>
        <v>wind_neg_spot.capacity</v>
      </c>
      <c r="F61" s="70">
        <f>F$19</f>
        <v>717.51</v>
      </c>
      <c r="G61" s="8"/>
      <c r="H61" s="8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>
      <c r="B62" s="8" t="s">
        <v>87</v>
      </c>
      <c r="C62" s="51" t="s">
        <v>78</v>
      </c>
      <c r="D62" s="50" t="s">
        <v>126</v>
      </c>
      <c r="E62" s="85" t="str">
        <f t="shared" si="1"/>
        <v>negative_spot.efficiency</v>
      </c>
      <c r="F62" s="50">
        <v>1</v>
      </c>
      <c r="G62" s="8"/>
      <c r="H62" s="8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>
      <c r="B63" s="8" t="s">
        <v>87</v>
      </c>
      <c r="C63" s="51" t="s">
        <v>78</v>
      </c>
      <c r="D63" s="50" t="s">
        <v>125</v>
      </c>
      <c r="E63" s="85" t="str">
        <f t="shared" si="1"/>
        <v>negative_spot.capacity</v>
      </c>
      <c r="F63" s="50">
        <v>30000</v>
      </c>
      <c r="G63" s="8"/>
      <c r="H63" s="8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>
      <c r="B64" s="8" t="s">
        <v>87</v>
      </c>
      <c r="C64" s="51" t="s">
        <v>77</v>
      </c>
      <c r="D64" s="50" t="s">
        <v>126</v>
      </c>
      <c r="E64" s="85" t="str">
        <f t="shared" si="1"/>
        <v>spot_to_flex.efficiency</v>
      </c>
      <c r="F64" s="50">
        <v>1</v>
      </c>
      <c r="G64" s="8"/>
      <c r="H64" s="8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>
      <c r="B65" s="8" t="s">
        <v>87</v>
      </c>
      <c r="C65" s="51" t="s">
        <v>77</v>
      </c>
      <c r="D65" s="50" t="s">
        <v>125</v>
      </c>
      <c r="E65" s="85" t="str">
        <f t="shared" si="1"/>
        <v>spot_to_flex.capacity</v>
      </c>
      <c r="F65" s="50">
        <v>390</v>
      </c>
      <c r="G65" s="8"/>
      <c r="H65" s="8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>
      <c r="B66" s="8" t="s">
        <v>87</v>
      </c>
      <c r="C66" s="51" t="s">
        <v>0</v>
      </c>
      <c r="D66" s="50" t="s">
        <v>126</v>
      </c>
      <c r="E66" s="85" t="str">
        <f t="shared" si="1"/>
        <v>ptg.efficiency</v>
      </c>
      <c r="F66" s="50">
        <f>F$201</f>
        <v>0.7</v>
      </c>
      <c r="G66" s="8"/>
      <c r="H66" s="8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>
      <c r="B67" s="8" t="s">
        <v>87</v>
      </c>
      <c r="C67" s="51" t="s">
        <v>0</v>
      </c>
      <c r="D67" s="50" t="s">
        <v>125</v>
      </c>
      <c r="E67" s="85" t="str">
        <f t="shared" si="1"/>
        <v>ptg.capacity</v>
      </c>
      <c r="F67" s="50">
        <v>5</v>
      </c>
      <c r="G67" s="8"/>
      <c r="H67" s="8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>
      <c r="B68" s="8" t="s">
        <v>87</v>
      </c>
      <c r="C68" s="51" t="s">
        <v>76</v>
      </c>
      <c r="D68" s="50" t="s">
        <v>126</v>
      </c>
      <c r="E68" s="85" t="str">
        <f t="shared" si="1"/>
        <v>ptg_out.efficiency</v>
      </c>
      <c r="F68" s="50">
        <v>1</v>
      </c>
      <c r="G68" s="8"/>
      <c r="H68" s="8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>
      <c r="B69" s="8" t="s">
        <v>87</v>
      </c>
      <c r="C69" s="51" t="s">
        <v>76</v>
      </c>
      <c r="D69" s="50" t="s">
        <v>125</v>
      </c>
      <c r="E69" s="85" t="str">
        <f t="shared" si="1"/>
        <v>ptg_out.capacity</v>
      </c>
      <c r="F69" s="50">
        <v>5</v>
      </c>
      <c r="G69" s="8"/>
      <c r="H69" s="8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>
      <c r="B70" s="8" t="s">
        <v>87</v>
      </c>
      <c r="C70" s="51" t="s">
        <v>75</v>
      </c>
      <c r="D70" s="50" t="s">
        <v>126</v>
      </c>
      <c r="E70" s="85" t="str">
        <f t="shared" si="1"/>
        <v>meth.efficiency</v>
      </c>
      <c r="F70" s="50">
        <v>0.8</v>
      </c>
      <c r="G70" s="8"/>
      <c r="H70" s="8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>
      <c r="B71" s="8" t="s">
        <v>87</v>
      </c>
      <c r="C71" s="51" t="s">
        <v>75</v>
      </c>
      <c r="D71" s="50" t="s">
        <v>125</v>
      </c>
      <c r="E71" s="85" t="str">
        <f t="shared" si="1"/>
        <v>meth.capacity</v>
      </c>
      <c r="F71" s="50">
        <v>5</v>
      </c>
      <c r="G71" s="8"/>
      <c r="H71" s="8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>
      <c r="B72" s="8" t="s">
        <v>87</v>
      </c>
      <c r="C72" s="51" t="s">
        <v>74</v>
      </c>
      <c r="D72" s="50" t="s">
        <v>126</v>
      </c>
      <c r="E72" s="85" t="str">
        <f t="shared" si="1"/>
        <v>pv_using.efficiency</v>
      </c>
      <c r="F72" s="26">
        <v>1</v>
      </c>
      <c r="G72" s="8"/>
      <c r="H72" s="8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>
      <c r="B73" s="8" t="s">
        <v>87</v>
      </c>
      <c r="C73" s="51" t="s">
        <v>74</v>
      </c>
      <c r="D73" s="50" t="s">
        <v>125</v>
      </c>
      <c r="E73" s="85" t="str">
        <f t="shared" si="1"/>
        <v>pv_using.capacity</v>
      </c>
      <c r="F73" s="26">
        <f>VLOOKUP($C$20&amp;"."&amp;$D73,E:J,$F$4+1,0)</f>
        <v>72.260999999999996</v>
      </c>
      <c r="G73" s="8"/>
      <c r="H73" s="8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>
      <c r="B74" s="8" t="s">
        <v>87</v>
      </c>
      <c r="C74" s="51" t="s">
        <v>73</v>
      </c>
      <c r="D74" s="50" t="s">
        <v>126</v>
      </c>
      <c r="E74" s="85" t="str">
        <f t="shared" si="1"/>
        <v>pv_curtailment.efficiency</v>
      </c>
      <c r="F74" s="26">
        <v>1</v>
      </c>
      <c r="G74" s="8"/>
      <c r="H74" s="8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>
      <c r="B75" s="8" t="s">
        <v>87</v>
      </c>
      <c r="C75" s="51" t="s">
        <v>73</v>
      </c>
      <c r="D75" s="50" t="s">
        <v>125</v>
      </c>
      <c r="E75" s="85" t="str">
        <f t="shared" si="1"/>
        <v>pv_curtailment.capacity</v>
      </c>
      <c r="F75" s="26">
        <f>VLOOKUP($C$20&amp;"."&amp;$D75,E:J,$F$4+1,0)</f>
        <v>72.260999999999996</v>
      </c>
      <c r="G75" s="8"/>
      <c r="H75" s="8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>
      <c r="B76" s="8" t="s">
        <v>87</v>
      </c>
      <c r="C76" s="51" t="s">
        <v>72</v>
      </c>
      <c r="D76" s="50" t="s">
        <v>126</v>
      </c>
      <c r="E76" s="85" t="str">
        <f t="shared" si="1"/>
        <v>pv_neg_spot.efficiency</v>
      </c>
      <c r="F76" s="26">
        <v>1</v>
      </c>
      <c r="G76" s="8"/>
      <c r="H76" s="8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>
      <c r="B77" s="8" t="s">
        <v>87</v>
      </c>
      <c r="C77" s="51" t="s">
        <v>72</v>
      </c>
      <c r="D77" s="50" t="s">
        <v>125</v>
      </c>
      <c r="E77" s="85" t="str">
        <f t="shared" si="1"/>
        <v>pv_neg_spot.capacity</v>
      </c>
      <c r="F77" s="26">
        <f>VLOOKUP($C$20&amp;"."&amp;$D77,E:J,$F$4+1,0)</f>
        <v>72.260999999999996</v>
      </c>
      <c r="G77" s="8"/>
      <c r="H77" s="8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ht="15" customHeight="1">
      <c r="B78" s="8" t="s">
        <v>87</v>
      </c>
      <c r="C78" s="60" t="s">
        <v>150</v>
      </c>
      <c r="D78" s="50" t="s">
        <v>125</v>
      </c>
      <c r="E78" s="85" t="str">
        <f t="shared" si="1"/>
        <v>chp_sch_el.capacity</v>
      </c>
      <c r="F78" s="26">
        <f>F$104</f>
        <v>19</v>
      </c>
      <c r="G78" s="8"/>
      <c r="H78" s="8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ht="15" customHeight="1">
      <c r="B79" s="8" t="s">
        <v>87</v>
      </c>
      <c r="C79" s="60" t="s">
        <v>150</v>
      </c>
      <c r="D79" s="50" t="s">
        <v>126</v>
      </c>
      <c r="E79" s="85" t="str">
        <f t="shared" si="1"/>
        <v>chp_sch_el.efficiency</v>
      </c>
      <c r="F79" s="2">
        <v>1</v>
      </c>
      <c r="G79" s="8"/>
      <c r="H79" s="8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ht="15" customHeight="1">
      <c r="B80" s="8" t="s">
        <v>87</v>
      </c>
      <c r="C80" s="61" t="s">
        <v>151</v>
      </c>
      <c r="D80" s="50" t="s">
        <v>125</v>
      </c>
      <c r="E80" s="85" t="str">
        <f t="shared" si="1"/>
        <v>chp_pr_el.capacity</v>
      </c>
      <c r="F80" s="26">
        <f>F$13</f>
        <v>2.7</v>
      </c>
      <c r="G80" s="8"/>
      <c r="H80" s="8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ht="15" customHeight="1">
      <c r="B81" s="8" t="s">
        <v>87</v>
      </c>
      <c r="C81" s="61" t="s">
        <v>151</v>
      </c>
      <c r="D81" s="50" t="s">
        <v>126</v>
      </c>
      <c r="E81" s="85" t="str">
        <f t="shared" si="1"/>
        <v>chp_pr_el.efficiency</v>
      </c>
      <c r="F81" s="26">
        <v>1</v>
      </c>
      <c r="G81" s="8"/>
      <c r="H81" s="8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ht="15" customHeight="1">
      <c r="B82" s="8"/>
      <c r="C82" s="61"/>
      <c r="D82" s="50"/>
      <c r="E82" s="85"/>
      <c r="F82" s="26"/>
      <c r="G82" s="8"/>
      <c r="H82" s="8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2:21">
      <c r="B83" s="8" t="s">
        <v>87</v>
      </c>
      <c r="C83" s="93" t="s">
        <v>82</v>
      </c>
      <c r="D83" s="50" t="s">
        <v>177</v>
      </c>
      <c r="E83" s="85" t="str">
        <f t="shared" ref="E83:E88" si="2">C83&amp;"."&amp;D83</f>
        <v>boiler_sch.Invest. Eq.</v>
      </c>
      <c r="F83" s="26">
        <f>F$126*VLOOKUP($C83&amp;"."&amp;"capacity",$E:$J,F$6+1,0)</f>
        <v>2220000</v>
      </c>
      <c r="G83" s="26">
        <f>G$126*VLOOKUP($C83&amp;"."&amp;"capacity",$E:$J,G$6+1,0)</f>
        <v>2220000</v>
      </c>
      <c r="H83" s="26">
        <f>H$126*VLOOKUP($C83&amp;"."&amp;"capacity",$E:$J,H$6+1,0)</f>
        <v>2220000</v>
      </c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>
      <c r="B84" s="8" t="s">
        <v>87</v>
      </c>
      <c r="C84" s="93" t="s">
        <v>82</v>
      </c>
      <c r="D84" s="50" t="s">
        <v>15</v>
      </c>
      <c r="E84" s="85" t="str">
        <f t="shared" si="2"/>
        <v>boiler_sch.fixed O&amp;M</v>
      </c>
      <c r="F84" s="26">
        <f>F$128*VLOOKUP($C84&amp;"."&amp;"capacity",$E:$J,F$6+1,0)</f>
        <v>74000</v>
      </c>
      <c r="G84" s="26">
        <f>G$128*VLOOKUP($C84&amp;"."&amp;"capacity",$E:$J,G$6+1,0)</f>
        <v>70300</v>
      </c>
      <c r="H84" s="26">
        <f>H$128*VLOOKUP($C84&amp;"."&amp;"capacity",$E:$J,H$6+1,0)</f>
        <v>66600</v>
      </c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>
      <c r="B85" s="8" t="s">
        <v>87</v>
      </c>
      <c r="C85" s="93" t="s">
        <v>82</v>
      </c>
      <c r="D85" s="50" t="s">
        <v>168</v>
      </c>
      <c r="E85" s="85" t="str">
        <f t="shared" si="2"/>
        <v>boiler_sch.lifetime</v>
      </c>
      <c r="F85" s="26">
        <f>F$130</f>
        <v>30</v>
      </c>
      <c r="G85" s="26">
        <f t="shared" ref="G85:H85" si="3">G$130</f>
        <v>30</v>
      </c>
      <c r="H85" s="26">
        <f t="shared" si="3"/>
        <v>40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>
      <c r="B86" s="8" t="s">
        <v>87</v>
      </c>
      <c r="C86" s="93" t="s">
        <v>82</v>
      </c>
      <c r="D86" s="50" t="s">
        <v>178</v>
      </c>
      <c r="E86" s="85" t="str">
        <f t="shared" si="2"/>
        <v>boiler_sch.Invest. Installation</v>
      </c>
      <c r="F86" s="26">
        <f>F$127*VLOOKUP($C86&amp;"."&amp;"capacity",$E:$J,F$6+1,0)</f>
        <v>1480000</v>
      </c>
      <c r="G86" s="26">
        <f>G$127*VLOOKUP($C86&amp;"."&amp;"capacity",$E:$J,G$6+1,0)</f>
        <v>1480000</v>
      </c>
      <c r="H86" s="26">
        <f>H$127*VLOOKUP($C86&amp;"."&amp;"capacity",$E:$J,H$6+1,0)</f>
        <v>1480000</v>
      </c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>
      <c r="B87" s="8" t="s">
        <v>87</v>
      </c>
      <c r="C87" s="92" t="s">
        <v>82</v>
      </c>
      <c r="D87" s="50" t="s">
        <v>126</v>
      </c>
      <c r="E87" s="85" t="str">
        <f t="shared" si="2"/>
        <v>boiler_sch.efficiency</v>
      </c>
      <c r="F87" s="91">
        <v>0.9</v>
      </c>
      <c r="G87" s="91">
        <v>0.9</v>
      </c>
      <c r="H87" s="91">
        <v>0.9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>
      <c r="B88" s="8" t="s">
        <v>87</v>
      </c>
      <c r="C88" s="92" t="s">
        <v>82</v>
      </c>
      <c r="D88" s="50" t="s">
        <v>125</v>
      </c>
      <c r="E88" s="85" t="str">
        <f t="shared" si="2"/>
        <v>boiler_sch.capacity</v>
      </c>
      <c r="F88" s="91">
        <v>37</v>
      </c>
      <c r="G88" s="91">
        <v>37</v>
      </c>
      <c r="H88" s="91">
        <v>37</v>
      </c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>
      <c r="B89" s="71"/>
      <c r="C89" s="25"/>
      <c r="D89" s="50"/>
      <c r="E89" s="85"/>
      <c r="F89" s="26"/>
      <c r="G89" s="8"/>
      <c r="H89" s="8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2:21">
      <c r="B90" s="8" t="s">
        <v>87</v>
      </c>
      <c r="C90" s="92" t="s">
        <v>83</v>
      </c>
      <c r="D90" s="50" t="s">
        <v>177</v>
      </c>
      <c r="E90" s="85" t="str">
        <f t="shared" ref="E90:E92" si="4">C90&amp;"."&amp;D90</f>
        <v>boiler_pr.Invest. Eq.</v>
      </c>
      <c r="F90" s="26">
        <f>F$118*VLOOKUP($C90&amp;"."&amp;"capacity",$E:$J,F$6+1,0)</f>
        <v>2590000</v>
      </c>
      <c r="G90" s="26">
        <f>G$118*VLOOKUP($C90&amp;"."&amp;"capacity",$E:$J,G$6+1,0)</f>
        <v>2590000</v>
      </c>
      <c r="H90" s="26">
        <f>H$118*VLOOKUP($C90&amp;"."&amp;"capacity",$E:$J,H$6+1,0)</f>
        <v>2590000</v>
      </c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>
      <c r="B91" s="8" t="s">
        <v>87</v>
      </c>
      <c r="C91" s="92" t="s">
        <v>83</v>
      </c>
      <c r="D91" s="50" t="s">
        <v>15</v>
      </c>
      <c r="E91" s="85" t="str">
        <f t="shared" si="4"/>
        <v>boiler_pr.fixed O&amp;M</v>
      </c>
      <c r="F91" s="26">
        <f>F$120*VLOOKUP($C91&amp;"."&amp;"capacity",$E:$J,F$6+1,0)</f>
        <v>111000</v>
      </c>
      <c r="G91" s="26">
        <f>G$120*VLOOKUP($C91&amp;"."&amp;"capacity",$E:$J,G$6+1,0)</f>
        <v>92500</v>
      </c>
      <c r="H91" s="26">
        <f>H$120*VLOOKUP($C91&amp;"."&amp;"capacity",$E:$J,H$6+1,0)</f>
        <v>74000</v>
      </c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>
      <c r="B92" s="8" t="s">
        <v>87</v>
      </c>
      <c r="C92" s="92" t="s">
        <v>83</v>
      </c>
      <c r="D92" s="50" t="s">
        <v>168</v>
      </c>
      <c r="E92" s="85" t="str">
        <f t="shared" si="4"/>
        <v>boiler_pr.lifetime</v>
      </c>
      <c r="F92" s="26">
        <f>F$122</f>
        <v>25</v>
      </c>
      <c r="G92" s="26">
        <f t="shared" ref="G92:H92" si="5">G$122</f>
        <v>25</v>
      </c>
      <c r="H92" s="26">
        <f t="shared" si="5"/>
        <v>25</v>
      </c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>
      <c r="B93" s="8" t="s">
        <v>87</v>
      </c>
      <c r="C93" s="93" t="s">
        <v>83</v>
      </c>
      <c r="D93" s="50" t="s">
        <v>178</v>
      </c>
      <c r="E93" s="85" t="str">
        <f>C93&amp;"."&amp;D93</f>
        <v>boiler_pr.Invest. Installation</v>
      </c>
      <c r="F93" s="26">
        <f>F$119*VLOOKUP($C93&amp;"."&amp;"capacity",$E:$J,F$6+1,0)</f>
        <v>1480000</v>
      </c>
      <c r="G93" s="26">
        <f>G$119*VLOOKUP($C93&amp;"."&amp;"capacity",$E:$J,G$6+1,0)</f>
        <v>1480000</v>
      </c>
      <c r="H93" s="26">
        <f>H$119*VLOOKUP($C93&amp;"."&amp;"capacity",$E:$J,H$6+1,0)</f>
        <v>1480000</v>
      </c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>
      <c r="B94" s="8" t="s">
        <v>87</v>
      </c>
      <c r="C94" s="92" t="s">
        <v>83</v>
      </c>
      <c r="D94" s="50" t="s">
        <v>126</v>
      </c>
      <c r="E94" s="85" t="str">
        <f>C94&amp;"."&amp;D94</f>
        <v>boiler_pr.efficiency</v>
      </c>
      <c r="F94" s="91">
        <v>0.9</v>
      </c>
      <c r="G94" s="91">
        <v>0.9</v>
      </c>
      <c r="H94" s="91">
        <v>0.9</v>
      </c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>
      <c r="B95" s="8" t="s">
        <v>87</v>
      </c>
      <c r="C95" s="92" t="s">
        <v>83</v>
      </c>
      <c r="D95" s="50" t="s">
        <v>125</v>
      </c>
      <c r="E95" s="85" t="str">
        <f>C95&amp;"."&amp;D95</f>
        <v>boiler_pr.capacity</v>
      </c>
      <c r="F95" s="91">
        <v>37</v>
      </c>
      <c r="G95" s="91">
        <v>37</v>
      </c>
      <c r="H95" s="91">
        <v>37</v>
      </c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>
      <c r="B96" s="8"/>
      <c r="C96" s="51"/>
      <c r="D96" s="50"/>
      <c r="E96" s="85"/>
      <c r="F96" s="50"/>
      <c r="G96" s="8"/>
      <c r="H96" s="8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>
      <c r="B97" s="8" t="s">
        <v>143</v>
      </c>
      <c r="C97" s="92" t="s">
        <v>141</v>
      </c>
      <c r="D97" s="50" t="s">
        <v>177</v>
      </c>
      <c r="E97" s="85" t="str">
        <f t="shared" ref="E97:E100" si="6">C97&amp;"."&amp;D97</f>
        <v>chp_sch.Invest. Eq.</v>
      </c>
      <c r="F97" s="26">
        <f>F$126*VLOOKUP($C97&amp;"."&amp;"power max",$E:$J,$F$4+1,0)</f>
        <v>1140000</v>
      </c>
      <c r="G97" s="26">
        <f>G$126*VLOOKUP($C97&amp;"."&amp;"power max",$E:$J,$F$4+1,0)</f>
        <v>1140000</v>
      </c>
      <c r="H97" s="26">
        <f>H$126*VLOOKUP($C97&amp;"."&amp;"power max",$E:$J,$F$4+1,0)</f>
        <v>1140000</v>
      </c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>
      <c r="B98" s="8" t="s">
        <v>143</v>
      </c>
      <c r="C98" s="92" t="s">
        <v>141</v>
      </c>
      <c r="D98" s="50" t="s">
        <v>178</v>
      </c>
      <c r="E98" s="85" t="str">
        <f t="shared" ref="E98" si="7">C98&amp;"."&amp;D98</f>
        <v>chp_sch.Invest. Installation</v>
      </c>
      <c r="F98" s="26">
        <f>F$127*VLOOKUP($C98&amp;"."&amp;"power max",$E:$J,$F$4+1,0)</f>
        <v>760000</v>
      </c>
      <c r="G98" s="26">
        <f>G$127*VLOOKUP($C98&amp;"."&amp;"power max",$E:$J,$F$4+1,0)</f>
        <v>760000</v>
      </c>
      <c r="H98" s="26">
        <f>H$127*VLOOKUP($C98&amp;"."&amp;"power max",$E:$J,$F$4+1,0)</f>
        <v>760000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>
      <c r="B99" s="8" t="s">
        <v>143</v>
      </c>
      <c r="C99" s="92" t="s">
        <v>141</v>
      </c>
      <c r="D99" s="50" t="s">
        <v>15</v>
      </c>
      <c r="E99" s="85" t="str">
        <f t="shared" si="6"/>
        <v>chp_sch.fixed O&amp;M</v>
      </c>
      <c r="F99" s="26">
        <f>F$136*VLOOKUP($C99&amp;"."&amp;"power max",$E:$J,$F$4+1,0)</f>
        <v>190000</v>
      </c>
      <c r="G99" s="26">
        <f>G$136*VLOOKUP($C99&amp;"."&amp;"power max",$E:$J,$F$4+1,0)</f>
        <v>171000</v>
      </c>
      <c r="H99" s="26">
        <f>H$136*VLOOKUP($C99&amp;"."&amp;"power max",$E:$J,$F$4+1,0)</f>
        <v>152000</v>
      </c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>
      <c r="B100" s="8" t="s">
        <v>143</v>
      </c>
      <c r="C100" s="92" t="s">
        <v>141</v>
      </c>
      <c r="D100" s="50" t="s">
        <v>168</v>
      </c>
      <c r="E100" s="85" t="str">
        <f t="shared" si="6"/>
        <v>chp_sch.lifetime</v>
      </c>
      <c r="F100" s="26">
        <f>F$138</f>
        <v>30</v>
      </c>
      <c r="G100" s="26">
        <f t="shared" ref="G100:H100" si="8">G$138</f>
        <v>35</v>
      </c>
      <c r="H100" s="26">
        <f t="shared" si="8"/>
        <v>35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>
      <c r="B101" s="8" t="s">
        <v>143</v>
      </c>
      <c r="C101" s="92" t="s">
        <v>141</v>
      </c>
      <c r="D101" s="50" t="s">
        <v>120</v>
      </c>
      <c r="E101" s="85" t="str">
        <f>C101&amp;"."&amp;D101</f>
        <v>chp_sch.el efficiency min</v>
      </c>
      <c r="F101" s="12">
        <v>0.25</v>
      </c>
      <c r="G101" s="12">
        <v>0.25</v>
      </c>
      <c r="H101" s="12">
        <v>0.25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>
      <c r="B102" s="8" t="s">
        <v>143</v>
      </c>
      <c r="C102" s="92" t="s">
        <v>141</v>
      </c>
      <c r="D102" s="50" t="s">
        <v>119</v>
      </c>
      <c r="E102" s="85" t="str">
        <f>C102&amp;"."&amp;D102</f>
        <v>chp_sch.el efficiency max</v>
      </c>
      <c r="F102" s="12">
        <v>0.49</v>
      </c>
      <c r="G102" s="12">
        <v>0.49</v>
      </c>
      <c r="H102" s="12">
        <v>0.49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>
      <c r="B103" s="8" t="s">
        <v>143</v>
      </c>
      <c r="C103" s="92" t="s">
        <v>141</v>
      </c>
      <c r="D103" s="50" t="s">
        <v>118</v>
      </c>
      <c r="E103" s="85" t="str">
        <f>C103&amp;"."&amp;D103</f>
        <v>chp_sch.power min</v>
      </c>
      <c r="F103" s="12">
        <v>8</v>
      </c>
      <c r="G103" s="12">
        <v>8</v>
      </c>
      <c r="H103" s="12">
        <v>8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>
      <c r="B104" s="8" t="s">
        <v>143</v>
      </c>
      <c r="C104" s="92" t="s">
        <v>141</v>
      </c>
      <c r="D104" s="50" t="s">
        <v>117</v>
      </c>
      <c r="E104" s="85" t="str">
        <f>C104&amp;"."&amp;D104</f>
        <v>chp_sch.power max</v>
      </c>
      <c r="F104" s="12">
        <v>19</v>
      </c>
      <c r="G104" s="12">
        <v>19</v>
      </c>
      <c r="H104" s="12">
        <v>19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>
      <c r="B105" s="71"/>
      <c r="C105" s="25"/>
      <c r="D105" s="50"/>
      <c r="E105" s="85"/>
      <c r="F105" s="26"/>
      <c r="G105" s="8"/>
      <c r="H105" s="8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>
      <c r="B106" s="8" t="s">
        <v>87</v>
      </c>
      <c r="C106" s="92" t="s">
        <v>86</v>
      </c>
      <c r="D106" s="50" t="s">
        <v>177</v>
      </c>
      <c r="E106" s="85" t="str">
        <f t="shared" ref="E106" si="9">C106&amp;"."&amp;D106</f>
        <v>pth_sch.Invest. Eq.</v>
      </c>
      <c r="F106" s="26">
        <f>F$140*VLOOKUP($C106&amp;"."&amp;"capacity",$E:$J,$F$4+1,0)</f>
        <v>880000</v>
      </c>
      <c r="G106" s="26">
        <f>G$140*VLOOKUP($C106&amp;"."&amp;"capacity",$E:$J,$F$4+1,0)</f>
        <v>880000</v>
      </c>
      <c r="H106" s="26">
        <f>H$140*VLOOKUP($C106&amp;"."&amp;"capacity",$E:$J,$F$4+1,0)</f>
        <v>880000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>
      <c r="B107" s="8" t="s">
        <v>87</v>
      </c>
      <c r="C107" s="92" t="s">
        <v>86</v>
      </c>
      <c r="D107" s="50" t="s">
        <v>178</v>
      </c>
      <c r="E107" s="85" t="str">
        <f t="shared" ref="E107" si="10">C107&amp;"."&amp;D107</f>
        <v>pth_sch.Invest. Installation</v>
      </c>
      <c r="F107" s="26">
        <f>F$141*VLOOKUP($C107&amp;"."&amp;"capacity",$E:$J,$F$4+1,0)</f>
        <v>440000</v>
      </c>
      <c r="G107" s="26">
        <f>G$141*VLOOKUP($C107&amp;"."&amp;"capacity",$E:$J,$F$4+1,0)</f>
        <v>440000</v>
      </c>
      <c r="H107" s="26">
        <f>H$141*VLOOKUP($C107&amp;"."&amp;"capacity",$E:$J,$F$4+1,0)</f>
        <v>440000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>
      <c r="B108" s="8" t="s">
        <v>87</v>
      </c>
      <c r="C108" s="92" t="s">
        <v>86</v>
      </c>
      <c r="D108" s="50" t="s">
        <v>126</v>
      </c>
      <c r="E108" s="85" t="str">
        <f>C108&amp;"."&amp;D108</f>
        <v>pth_sch.efficiency</v>
      </c>
      <c r="F108" s="12">
        <v>0.99</v>
      </c>
      <c r="G108" s="12">
        <v>0.99</v>
      </c>
      <c r="H108" s="12">
        <v>0.99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2:21">
      <c r="B109" s="8" t="s">
        <v>87</v>
      </c>
      <c r="C109" s="92" t="s">
        <v>86</v>
      </c>
      <c r="D109" s="50" t="s">
        <v>125</v>
      </c>
      <c r="E109" s="85" t="str">
        <f>C109&amp;"."&amp;D109</f>
        <v>pth_sch.capacity</v>
      </c>
      <c r="F109" s="12">
        <v>11</v>
      </c>
      <c r="G109" s="12">
        <v>11</v>
      </c>
      <c r="H109" s="12">
        <v>11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>
      <c r="B110" s="8" t="s">
        <v>87</v>
      </c>
      <c r="C110" s="92" t="s">
        <v>85</v>
      </c>
      <c r="D110" s="50" t="s">
        <v>126</v>
      </c>
      <c r="E110" s="85" t="str">
        <f>C110&amp;"."&amp;D110</f>
        <v>pth_sch_out.efficiency</v>
      </c>
      <c r="F110" s="12">
        <v>1</v>
      </c>
      <c r="G110" s="12">
        <v>1</v>
      </c>
      <c r="H110" s="12">
        <v>1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>
      <c r="B111" s="8" t="s">
        <v>87</v>
      </c>
      <c r="C111" s="92" t="s">
        <v>85</v>
      </c>
      <c r="D111" s="50" t="s">
        <v>125</v>
      </c>
      <c r="E111" s="85" t="str">
        <f>C111&amp;"."&amp;D111</f>
        <v>pth_sch_out.capacity</v>
      </c>
      <c r="F111" s="50">
        <f>F109</f>
        <v>11</v>
      </c>
      <c r="G111" s="50">
        <f t="shared" ref="G111:H111" si="11">G109</f>
        <v>11</v>
      </c>
      <c r="H111" s="50">
        <f t="shared" si="11"/>
        <v>11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>
      <c r="B112" s="8" t="s">
        <v>87</v>
      </c>
      <c r="C112" s="92" t="s">
        <v>86</v>
      </c>
      <c r="D112" s="50" t="s">
        <v>168</v>
      </c>
      <c r="E112" s="85" t="str">
        <f t="shared" ref="E112:E113" si="12">C112&amp;"."&amp;D112</f>
        <v>pth_sch.lifetime</v>
      </c>
      <c r="F112" s="26">
        <f>$F$144</f>
        <v>20</v>
      </c>
      <c r="G112" s="26">
        <f t="shared" ref="G112:H112" si="13">$F$144</f>
        <v>20</v>
      </c>
      <c r="H112" s="26">
        <f t="shared" si="13"/>
        <v>20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B113" s="8" t="s">
        <v>87</v>
      </c>
      <c r="C113" s="92" t="s">
        <v>86</v>
      </c>
      <c r="D113" s="50" t="s">
        <v>15</v>
      </c>
      <c r="E113" s="85" t="str">
        <f t="shared" si="12"/>
        <v>pth_sch.fixed O&amp;M</v>
      </c>
      <c r="F113" s="26">
        <f>F$142*VLOOKUP($C113&amp;"."&amp;"capacity",$E:$J,$F$4+1,0)</f>
        <v>55000</v>
      </c>
      <c r="G113" s="26">
        <f>G$142*VLOOKUP($C113&amp;"."&amp;"capacity",$E:$J,$F$4+1,0)</f>
        <v>55000</v>
      </c>
      <c r="H113" s="26">
        <f>H$142*VLOOKUP($C113&amp;"."&amp;"capacity",$E:$J,$F$4+1,0)</f>
        <v>55000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B114" s="71"/>
      <c r="C114" s="25"/>
      <c r="D114" s="50"/>
      <c r="E114" s="85"/>
      <c r="F114" s="26"/>
      <c r="G114" s="8"/>
      <c r="H114" s="8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B115" s="71"/>
      <c r="C115" s="25"/>
      <c r="D115" s="50"/>
      <c r="E115" s="85"/>
      <c r="F115" s="26"/>
      <c r="G115" s="8"/>
      <c r="H115" s="8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B116" s="9"/>
      <c r="C116" s="43"/>
      <c r="D116" s="49"/>
      <c r="E116" s="85" t="str">
        <f t="shared" ref="E116:E117" si="14">C116&amp;"."&amp;D116</f>
        <v>.</v>
      </c>
      <c r="F116" s="8"/>
      <c r="G116" s="8"/>
      <c r="H116" s="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1" t="e">
        <f>#REF!+1</f>
        <v>#REF!</v>
      </c>
      <c r="B117" s="9"/>
      <c r="C117" s="43"/>
      <c r="D117" s="49"/>
      <c r="E117" s="85" t="str">
        <f t="shared" si="14"/>
        <v>.</v>
      </c>
      <c r="F117" s="8"/>
      <c r="G117" s="8"/>
      <c r="H117" s="8"/>
    </row>
    <row r="118" spans="1:21" ht="12.75" customHeight="1">
      <c r="A118" s="1" t="e">
        <f t="shared" ref="A118:A198" si="15">A117+1</f>
        <v>#REF!</v>
      </c>
      <c r="B118" s="66" t="s">
        <v>177</v>
      </c>
      <c r="C118" s="7" t="s">
        <v>176</v>
      </c>
      <c r="D118" s="7" t="s">
        <v>13</v>
      </c>
      <c r="E118" s="85" t="str">
        <f>B118&amp;"."&amp;D118</f>
        <v>Invest. Eq..hot water boiler (1-30 MW_th)</v>
      </c>
      <c r="F118" s="8">
        <f>0.07*10^6</f>
        <v>70000</v>
      </c>
      <c r="G118" s="8">
        <f>0.07*10^6</f>
        <v>70000</v>
      </c>
      <c r="H118" s="8">
        <f>0.07*10^6</f>
        <v>70000</v>
      </c>
      <c r="I118" s="1" t="s">
        <v>12</v>
      </c>
    </row>
    <row r="119" spans="1:21" ht="12.75" customHeight="1">
      <c r="B119" s="66" t="s">
        <v>178</v>
      </c>
      <c r="C119" s="7" t="s">
        <v>176</v>
      </c>
      <c r="D119" s="7" t="s">
        <v>13</v>
      </c>
      <c r="E119" s="85" t="str">
        <f t="shared" ref="E119:E120" si="16">B119&amp;"."&amp;D119</f>
        <v>Invest. Installation.hot water boiler (1-30 MW_th)</v>
      </c>
      <c r="F119" s="8">
        <f>0.04*10^6</f>
        <v>40000</v>
      </c>
      <c r="G119" s="8">
        <f>0.04*10^6</f>
        <v>40000</v>
      </c>
      <c r="H119" s="8">
        <f>0.04*10^6</f>
        <v>40000</v>
      </c>
      <c r="I119" s="1" t="s">
        <v>12</v>
      </c>
    </row>
    <row r="120" spans="1:21" ht="12.75" customHeight="1">
      <c r="B120" s="66" t="s">
        <v>15</v>
      </c>
      <c r="C120" s="7" t="s">
        <v>14</v>
      </c>
      <c r="D120" s="7" t="s">
        <v>13</v>
      </c>
      <c r="E120" s="85" t="str">
        <f t="shared" si="16"/>
        <v>fixed O&amp;M.hot water boiler (1-30 MW_th)</v>
      </c>
      <c r="F120" s="8">
        <v>3000</v>
      </c>
      <c r="G120" s="8">
        <v>2500</v>
      </c>
      <c r="H120" s="8">
        <v>2000</v>
      </c>
      <c r="I120" s="1" t="s">
        <v>12</v>
      </c>
    </row>
    <row r="121" spans="1:21" ht="12.75" customHeight="1">
      <c r="A121" s="1" t="e">
        <f>A153+1</f>
        <v>#REF!</v>
      </c>
      <c r="B121" s="66" t="s">
        <v>17</v>
      </c>
      <c r="C121" s="10" t="s">
        <v>16</v>
      </c>
      <c r="D121" s="10" t="s">
        <v>13</v>
      </c>
      <c r="E121" s="85" t="str">
        <f>B121&amp;"."&amp;D121</f>
        <v>variable O&amp;M.hot water boiler (1-30 MW_th)</v>
      </c>
      <c r="F121" s="8">
        <v>0.5</v>
      </c>
      <c r="G121" s="8">
        <v>0.5</v>
      </c>
      <c r="H121" s="8">
        <v>0.2</v>
      </c>
      <c r="I121" s="1" t="s">
        <v>12</v>
      </c>
    </row>
    <row r="122" spans="1:21" ht="12.75" customHeight="1">
      <c r="A122" s="1" t="e">
        <f>A212+1</f>
        <v>#REF!</v>
      </c>
      <c r="B122" s="66" t="s">
        <v>168</v>
      </c>
      <c r="C122" s="44" t="s">
        <v>116</v>
      </c>
      <c r="D122" s="44" t="s">
        <v>13</v>
      </c>
      <c r="E122" s="85" t="str">
        <f>B122&amp;"."&amp;D122</f>
        <v>lifetime.hot water boiler (1-30 MW_th)</v>
      </c>
      <c r="F122" s="8">
        <v>25</v>
      </c>
      <c r="G122" s="8">
        <v>25</v>
      </c>
      <c r="H122" s="8">
        <v>25</v>
      </c>
      <c r="I122" s="1" t="s">
        <v>12</v>
      </c>
    </row>
    <row r="123" spans="1:21" ht="12.75" customHeight="1">
      <c r="B123" s="66"/>
      <c r="C123" s="10"/>
      <c r="D123" s="10"/>
      <c r="E123" s="85"/>
      <c r="F123" s="8"/>
      <c r="G123" s="8"/>
      <c r="H123" s="8"/>
    </row>
    <row r="124" spans="1:21" ht="12.75" customHeight="1">
      <c r="B124" s="66"/>
      <c r="C124" s="10"/>
      <c r="D124" s="10"/>
      <c r="E124" s="85"/>
      <c r="F124" s="8"/>
      <c r="G124" s="8"/>
      <c r="H124" s="8"/>
    </row>
    <row r="125" spans="1:21" ht="12.75" customHeight="1">
      <c r="B125" s="66"/>
      <c r="C125" s="7"/>
      <c r="D125" s="7"/>
      <c r="E125" s="85"/>
      <c r="F125" s="8"/>
      <c r="G125" s="8"/>
      <c r="H125" s="8"/>
    </row>
    <row r="126" spans="1:21">
      <c r="A126" s="1" t="e">
        <f>A118+1</f>
        <v>#REF!</v>
      </c>
      <c r="B126" s="66" t="s">
        <v>177</v>
      </c>
      <c r="C126" s="7" t="s">
        <v>176</v>
      </c>
      <c r="D126" s="7" t="s">
        <v>11</v>
      </c>
      <c r="E126" s="85" t="str">
        <f t="shared" ref="E126:E231" si="17">B126&amp;"."&amp;D126</f>
        <v>Invest. Eq..hot water tube boiler (20-250 MW_th)</v>
      </c>
      <c r="F126" s="8">
        <f>0.06*1000000</f>
        <v>60000</v>
      </c>
      <c r="G126" s="8">
        <f>0.06*1000000</f>
        <v>60000</v>
      </c>
      <c r="H126" s="8">
        <f>0.06*1000000</f>
        <v>60000</v>
      </c>
      <c r="I126" s="1" t="s">
        <v>10</v>
      </c>
    </row>
    <row r="127" spans="1:21">
      <c r="B127" s="66" t="s">
        <v>178</v>
      </c>
      <c r="C127" s="7" t="s">
        <v>176</v>
      </c>
      <c r="D127" s="7" t="s">
        <v>11</v>
      </c>
      <c r="E127" s="85" t="str">
        <f t="shared" si="17"/>
        <v>Invest. Installation.hot water tube boiler (20-250 MW_th)</v>
      </c>
      <c r="F127" s="8">
        <f>0.04*10^6</f>
        <v>40000</v>
      </c>
      <c r="G127" s="8">
        <f>0.04*1000000</f>
        <v>40000</v>
      </c>
      <c r="H127" s="8">
        <f>0.04*1000000</f>
        <v>40000</v>
      </c>
      <c r="I127" s="1" t="s">
        <v>10</v>
      </c>
    </row>
    <row r="128" spans="1:21">
      <c r="B128" s="66" t="s">
        <v>15</v>
      </c>
      <c r="C128" s="7" t="s">
        <v>14</v>
      </c>
      <c r="D128" s="7" t="s">
        <v>11</v>
      </c>
      <c r="E128" s="85" t="str">
        <f t="shared" si="17"/>
        <v>fixed O&amp;M.hot water tube boiler (20-250 MW_th)</v>
      </c>
      <c r="F128" s="8">
        <v>2000</v>
      </c>
      <c r="G128" s="8">
        <v>1900</v>
      </c>
      <c r="H128" s="8">
        <v>1800</v>
      </c>
      <c r="I128" s="1" t="s">
        <v>10</v>
      </c>
    </row>
    <row r="129" spans="1:9">
      <c r="A129" s="1" t="e">
        <f>A121+1</f>
        <v>#REF!</v>
      </c>
      <c r="B129" s="66" t="s">
        <v>17</v>
      </c>
      <c r="C129" s="10" t="s">
        <v>16</v>
      </c>
      <c r="D129" s="10" t="s">
        <v>11</v>
      </c>
      <c r="E129" s="85" t="str">
        <f>B129&amp;"."&amp;D129</f>
        <v>variable O&amp;M.hot water tube boiler (20-250 MW_th)</v>
      </c>
      <c r="F129" s="8">
        <v>0.2</v>
      </c>
      <c r="G129" s="8">
        <v>0.2</v>
      </c>
      <c r="H129" s="8">
        <v>0.2</v>
      </c>
      <c r="I129" s="1" t="s">
        <v>10</v>
      </c>
    </row>
    <row r="130" spans="1:9">
      <c r="A130" s="1" t="e">
        <f>A122+1</f>
        <v>#REF!</v>
      </c>
      <c r="B130" s="66" t="s">
        <v>168</v>
      </c>
      <c r="C130" s="44" t="s">
        <v>116</v>
      </c>
      <c r="D130" s="44" t="s">
        <v>11</v>
      </c>
      <c r="E130" s="85" t="str">
        <f>B130&amp;"."&amp;D130</f>
        <v>lifetime.hot water tube boiler (20-250 MW_th)</v>
      </c>
      <c r="F130" s="8">
        <v>30</v>
      </c>
      <c r="G130" s="8">
        <v>30</v>
      </c>
      <c r="H130" s="8">
        <v>40</v>
      </c>
      <c r="I130" s="1" t="s">
        <v>10</v>
      </c>
    </row>
    <row r="131" spans="1:9">
      <c r="B131" s="66"/>
      <c r="C131" s="10"/>
      <c r="D131" s="10"/>
      <c r="E131" s="85"/>
      <c r="F131" s="8"/>
      <c r="G131" s="8"/>
      <c r="H131" s="8"/>
    </row>
    <row r="132" spans="1:9">
      <c r="B132" s="66"/>
      <c r="C132" s="10"/>
      <c r="D132" s="10"/>
      <c r="E132" s="85"/>
      <c r="F132" s="8"/>
      <c r="G132" s="8"/>
      <c r="H132" s="8"/>
    </row>
    <row r="133" spans="1:9">
      <c r="B133" s="66"/>
      <c r="C133" s="7"/>
      <c r="D133" s="7"/>
      <c r="E133" s="85"/>
      <c r="F133" s="8"/>
      <c r="G133" s="8"/>
      <c r="H133" s="8"/>
    </row>
    <row r="134" spans="1:9">
      <c r="A134" s="1" t="e">
        <f>A126+1</f>
        <v>#REF!</v>
      </c>
      <c r="B134" s="66" t="s">
        <v>177</v>
      </c>
      <c r="C134" s="7" t="s">
        <v>176</v>
      </c>
      <c r="D134" s="7" t="s">
        <v>9</v>
      </c>
      <c r="E134" s="85" t="str">
        <f t="shared" si="17"/>
        <v>Invest. Eq..kwk klein (0.5-30 MW_el)</v>
      </c>
      <c r="F134" s="8">
        <f>0.63*1000000</f>
        <v>630000</v>
      </c>
      <c r="G134" s="8">
        <f>0.54*1000000</f>
        <v>540000</v>
      </c>
      <c r="H134" s="8">
        <f>0.45*1000000</f>
        <v>450000</v>
      </c>
      <c r="I134" s="1" t="s">
        <v>8</v>
      </c>
    </row>
    <row r="135" spans="1:9">
      <c r="B135" s="66" t="s">
        <v>178</v>
      </c>
      <c r="C135" s="7" t="s">
        <v>176</v>
      </c>
      <c r="D135" s="7" t="s">
        <v>9</v>
      </c>
      <c r="E135" s="85" t="str">
        <f t="shared" si="17"/>
        <v>Invest. Installation.kwk klein (0.5-30 MW_el)</v>
      </c>
      <c r="F135" s="8">
        <f>0.36*1000000</f>
        <v>360000</v>
      </c>
      <c r="G135" s="8">
        <f t="shared" ref="G135:H135" si="18">0.36*1000000</f>
        <v>360000</v>
      </c>
      <c r="H135" s="8">
        <f t="shared" si="18"/>
        <v>360000</v>
      </c>
      <c r="I135" s="1" t="s">
        <v>8</v>
      </c>
    </row>
    <row r="136" spans="1:9">
      <c r="B136" s="66" t="s">
        <v>15</v>
      </c>
      <c r="C136" s="7" t="s">
        <v>14</v>
      </c>
      <c r="D136" s="7" t="s">
        <v>9</v>
      </c>
      <c r="E136" s="85" t="str">
        <f t="shared" si="17"/>
        <v>fixed O&amp;M.kwk klein (0.5-30 MW_el)</v>
      </c>
      <c r="F136" s="8">
        <v>10000</v>
      </c>
      <c r="G136" s="8">
        <v>9000</v>
      </c>
      <c r="H136" s="8">
        <v>8000</v>
      </c>
      <c r="I136" s="1" t="s">
        <v>8</v>
      </c>
    </row>
    <row r="137" spans="1:9">
      <c r="A137" s="1" t="e">
        <f>A129+1</f>
        <v>#REF!</v>
      </c>
      <c r="B137" s="66" t="s">
        <v>17</v>
      </c>
      <c r="C137" s="10" t="s">
        <v>16</v>
      </c>
      <c r="D137" s="10" t="s">
        <v>9</v>
      </c>
      <c r="E137" s="85" t="str">
        <f>B137&amp;"."&amp;D137</f>
        <v>variable O&amp;M.kwk klein (0.5-30 MW_el)</v>
      </c>
      <c r="F137" s="8">
        <v>8</v>
      </c>
      <c r="G137" s="8">
        <v>8</v>
      </c>
      <c r="H137" s="8">
        <v>8</v>
      </c>
      <c r="I137" s="1" t="s">
        <v>8</v>
      </c>
    </row>
    <row r="138" spans="1:9">
      <c r="A138" s="1" t="e">
        <f>A130+1</f>
        <v>#REF!</v>
      </c>
      <c r="B138" s="64" t="s">
        <v>168</v>
      </c>
      <c r="C138" s="44" t="s">
        <v>116</v>
      </c>
      <c r="D138" s="44" t="s">
        <v>9</v>
      </c>
      <c r="E138" s="85" t="str">
        <f>B138&amp;"."&amp;D138</f>
        <v>lifetime.kwk klein (0.5-30 MW_el)</v>
      </c>
      <c r="F138" s="8">
        <v>30</v>
      </c>
      <c r="G138" s="8">
        <v>35</v>
      </c>
      <c r="H138" s="8">
        <v>35</v>
      </c>
      <c r="I138" s="1" t="s">
        <v>8</v>
      </c>
    </row>
    <row r="139" spans="1:9">
      <c r="B139" s="64"/>
      <c r="C139" s="10"/>
      <c r="D139" s="10"/>
      <c r="E139" s="85"/>
      <c r="F139" s="8"/>
      <c r="G139" s="8"/>
      <c r="H139" s="8"/>
    </row>
    <row r="140" spans="1:9">
      <c r="B140" s="66" t="s">
        <v>177</v>
      </c>
      <c r="C140" s="7" t="s">
        <v>176</v>
      </c>
      <c r="D140" s="7" t="s">
        <v>3</v>
      </c>
      <c r="E140" s="85" t="str">
        <f t="shared" ref="E140:E144" si="19">B140&amp;"."&amp;D140</f>
        <v>Invest. Eq..pth</v>
      </c>
      <c r="F140" s="8">
        <f>0.08*1000000</f>
        <v>80000</v>
      </c>
      <c r="G140" s="8">
        <f t="shared" ref="G140:H140" si="20">0.08*1000000</f>
        <v>80000</v>
      </c>
      <c r="H140" s="8">
        <f t="shared" si="20"/>
        <v>80000</v>
      </c>
      <c r="I140" s="1" t="s">
        <v>2</v>
      </c>
    </row>
    <row r="141" spans="1:9">
      <c r="B141" s="66" t="s">
        <v>178</v>
      </c>
      <c r="C141" s="7" t="s">
        <v>176</v>
      </c>
      <c r="D141" s="7" t="s">
        <v>3</v>
      </c>
      <c r="E141" s="85" t="str">
        <f t="shared" si="19"/>
        <v>Invest. Installation.pth</v>
      </c>
      <c r="F141" s="8">
        <f>0.04*1000000</f>
        <v>40000</v>
      </c>
      <c r="G141" s="8">
        <f t="shared" ref="G141:H141" si="21">0.04*1000000</f>
        <v>40000</v>
      </c>
      <c r="H141" s="8">
        <f t="shared" si="21"/>
        <v>40000</v>
      </c>
      <c r="I141" s="1" t="s">
        <v>2</v>
      </c>
    </row>
    <row r="142" spans="1:9">
      <c r="B142" s="66" t="s">
        <v>15</v>
      </c>
      <c r="C142" s="7" t="s">
        <v>14</v>
      </c>
      <c r="D142" s="7" t="s">
        <v>3</v>
      </c>
      <c r="E142" s="85" t="str">
        <f t="shared" si="19"/>
        <v>fixed O&amp;M.pth</v>
      </c>
      <c r="F142" s="8">
        <v>5000</v>
      </c>
      <c r="G142" s="8">
        <v>5000</v>
      </c>
      <c r="H142" s="8">
        <v>5000</v>
      </c>
      <c r="I142" s="1" t="s">
        <v>2</v>
      </c>
    </row>
    <row r="143" spans="1:9">
      <c r="B143" s="66" t="s">
        <v>17</v>
      </c>
      <c r="C143" s="10" t="s">
        <v>16</v>
      </c>
      <c r="D143" s="7" t="s">
        <v>3</v>
      </c>
      <c r="E143" s="85" t="str">
        <f t="shared" si="19"/>
        <v>variable O&amp;M.pth</v>
      </c>
      <c r="F143" s="8">
        <v>0.2</v>
      </c>
      <c r="G143" s="8">
        <v>0.2</v>
      </c>
      <c r="H143" s="8">
        <v>0.2</v>
      </c>
      <c r="I143" s="1" t="s">
        <v>2</v>
      </c>
    </row>
    <row r="144" spans="1:9">
      <c r="B144" s="64" t="s">
        <v>168</v>
      </c>
      <c r="C144" s="44" t="s">
        <v>116</v>
      </c>
      <c r="D144" s="7" t="s">
        <v>3</v>
      </c>
      <c r="E144" s="85" t="str">
        <f t="shared" si="19"/>
        <v>lifetime.pth</v>
      </c>
      <c r="F144" s="8">
        <v>20</v>
      </c>
      <c r="G144" s="8">
        <v>20</v>
      </c>
      <c r="H144" s="8">
        <v>20</v>
      </c>
      <c r="I144" s="1" t="s">
        <v>2</v>
      </c>
    </row>
    <row r="145" spans="1:9">
      <c r="B145" s="64"/>
      <c r="C145" s="10"/>
      <c r="D145" s="10"/>
      <c r="E145" s="85"/>
      <c r="F145" s="8"/>
      <c r="G145" s="8"/>
      <c r="H145" s="8"/>
    </row>
    <row r="146" spans="1:9">
      <c r="B146" s="64"/>
      <c r="C146" s="10"/>
      <c r="D146" s="10"/>
      <c r="E146" s="85"/>
      <c r="F146" s="8"/>
      <c r="G146" s="8"/>
      <c r="H146" s="8"/>
    </row>
    <row r="147" spans="1:9">
      <c r="B147" s="66"/>
      <c r="C147" s="7"/>
      <c r="D147" s="7"/>
      <c r="E147" s="85"/>
      <c r="F147" s="8"/>
      <c r="G147" s="8"/>
      <c r="H147" s="8"/>
    </row>
    <row r="148" spans="1:9">
      <c r="A148" s="1" t="e">
        <f>A134+1</f>
        <v>#REF!</v>
      </c>
      <c r="B148" s="66" t="s">
        <v>18</v>
      </c>
      <c r="C148" s="7" t="s">
        <v>176</v>
      </c>
      <c r="D148" s="7" t="s">
        <v>7</v>
      </c>
      <c r="E148" s="85" t="str">
        <f t="shared" si="17"/>
        <v>Invest.kwk mittel (30-250 MW_el)</v>
      </c>
      <c r="F148" s="8"/>
      <c r="G148" s="8"/>
      <c r="H148" s="8"/>
      <c r="I148" s="1" t="s">
        <v>6</v>
      </c>
    </row>
    <row r="149" spans="1:9">
      <c r="A149" s="1" t="e">
        <f t="shared" si="15"/>
        <v>#REF!</v>
      </c>
      <c r="B149" s="66" t="s">
        <v>18</v>
      </c>
      <c r="C149" s="7" t="s">
        <v>176</v>
      </c>
      <c r="D149" s="7" t="s">
        <v>5</v>
      </c>
      <c r="E149" s="85" t="str">
        <f t="shared" si="17"/>
        <v>Invest.kwk groß (&gt;250 MW_el)</v>
      </c>
      <c r="F149" s="8"/>
      <c r="G149" s="8"/>
      <c r="H149" s="8"/>
      <c r="I149" s="1" t="s">
        <v>4</v>
      </c>
    </row>
    <row r="150" spans="1:9">
      <c r="A150" s="1" t="e">
        <f t="shared" si="15"/>
        <v>#REF!</v>
      </c>
      <c r="B150" s="66" t="s">
        <v>18</v>
      </c>
      <c r="C150" s="7" t="s">
        <v>176</v>
      </c>
      <c r="D150" s="7" t="s">
        <v>3</v>
      </c>
      <c r="E150" s="85" t="str">
        <f t="shared" si="17"/>
        <v>Invest.pth</v>
      </c>
      <c r="G150" s="8">
        <f>0.12*1000000</f>
        <v>120000</v>
      </c>
      <c r="H150" s="8">
        <f>0.12*1000000</f>
        <v>120000</v>
      </c>
      <c r="I150" s="1" t="s">
        <v>2</v>
      </c>
    </row>
    <row r="151" spans="1:9">
      <c r="A151" s="1" t="e">
        <f t="shared" si="15"/>
        <v>#REF!</v>
      </c>
      <c r="B151" s="66" t="s">
        <v>18</v>
      </c>
      <c r="C151" s="7" t="s">
        <v>176</v>
      </c>
      <c r="D151" s="7" t="s">
        <v>1</v>
      </c>
      <c r="E151" s="85" t="str">
        <f t="shared" si="17"/>
        <v>Invest.batt</v>
      </c>
      <c r="F151" s="8"/>
      <c r="G151" s="8"/>
      <c r="H151" s="8"/>
    </row>
    <row r="152" spans="1:9">
      <c r="A152" s="1" t="e">
        <f t="shared" si="15"/>
        <v>#REF!</v>
      </c>
      <c r="B152" s="66" t="s">
        <v>18</v>
      </c>
      <c r="C152" s="7" t="s">
        <v>176</v>
      </c>
      <c r="D152" s="7" t="s">
        <v>0</v>
      </c>
      <c r="E152" s="85" t="str">
        <f t="shared" si="17"/>
        <v>Invest.ptg</v>
      </c>
      <c r="F152" s="8"/>
      <c r="G152" s="8"/>
      <c r="H152" s="8"/>
    </row>
    <row r="153" spans="1:9">
      <c r="A153" s="1" t="e">
        <f t="shared" si="15"/>
        <v>#REF!</v>
      </c>
      <c r="B153" s="17"/>
      <c r="C153" s="43"/>
      <c r="D153" s="8"/>
      <c r="E153" s="85" t="str">
        <f t="shared" si="17"/>
        <v>.</v>
      </c>
      <c r="F153" s="8"/>
      <c r="G153" s="8"/>
      <c r="H153" s="8"/>
    </row>
    <row r="154" spans="1:9">
      <c r="B154" s="87"/>
      <c r="E154" s="88"/>
      <c r="F154" s="2"/>
      <c r="G154" s="2"/>
      <c r="H154" s="2"/>
    </row>
    <row r="155" spans="1:9">
      <c r="B155" s="66" t="s">
        <v>126</v>
      </c>
      <c r="C155" s="36" t="s">
        <v>24</v>
      </c>
      <c r="D155" s="88" t="s">
        <v>180</v>
      </c>
      <c r="E155" s="85" t="str">
        <f t="shared" si="17"/>
        <v>efficiency.Li-Ion Batt</v>
      </c>
      <c r="F155" s="2">
        <v>0.87</v>
      </c>
      <c r="G155" s="2">
        <v>0.9</v>
      </c>
      <c r="H155" s="2">
        <v>0.95</v>
      </c>
      <c r="I155" s="1" t="s">
        <v>181</v>
      </c>
    </row>
    <row r="156" spans="1:9">
      <c r="B156" s="66" t="s">
        <v>132</v>
      </c>
      <c r="C156" s="36" t="s">
        <v>184</v>
      </c>
      <c r="D156" s="88" t="s">
        <v>180</v>
      </c>
      <c r="E156" s="85" t="str">
        <f t="shared" si="17"/>
        <v>capacity loss.Li-Ion Batt</v>
      </c>
      <c r="F156" s="2">
        <v>0.03</v>
      </c>
      <c r="G156" s="2">
        <v>0.02</v>
      </c>
      <c r="H156" s="2">
        <v>0.01</v>
      </c>
      <c r="I156" s="1" t="s">
        <v>181</v>
      </c>
    </row>
    <row r="157" spans="1:9">
      <c r="B157" s="66" t="s">
        <v>168</v>
      </c>
      <c r="C157" s="36" t="s">
        <v>116</v>
      </c>
      <c r="D157" s="88" t="s">
        <v>180</v>
      </c>
      <c r="E157" s="85" t="str">
        <f t="shared" si="17"/>
        <v>lifetime.Li-Ion Batt</v>
      </c>
      <c r="F157" s="2">
        <v>15</v>
      </c>
      <c r="G157" s="2">
        <v>21</v>
      </c>
      <c r="H157" s="2">
        <v>30</v>
      </c>
      <c r="I157" s="1" t="s">
        <v>181</v>
      </c>
    </row>
    <row r="158" spans="1:9">
      <c r="B158" s="66" t="s">
        <v>182</v>
      </c>
      <c r="C158" s="36" t="s">
        <v>183</v>
      </c>
      <c r="D158" s="88" t="s">
        <v>180</v>
      </c>
      <c r="E158" s="85" t="str">
        <f t="shared" si="17"/>
        <v>cycle lifetime.Li-Ion Batt</v>
      </c>
      <c r="F158" s="2">
        <v>5000</v>
      </c>
      <c r="G158" s="2">
        <v>7000</v>
      </c>
      <c r="H158" s="2">
        <v>12000</v>
      </c>
      <c r="I158" s="1" t="s">
        <v>181</v>
      </c>
    </row>
    <row r="159" spans="1:9">
      <c r="B159" s="66" t="s">
        <v>127</v>
      </c>
      <c r="C159" s="36" t="s">
        <v>24</v>
      </c>
      <c r="D159" s="88" t="s">
        <v>180</v>
      </c>
      <c r="E159" s="85" t="str">
        <f t="shared" si="17"/>
        <v>capacity max.Li-Ion Batt</v>
      </c>
      <c r="F159" s="1">
        <v>0.85</v>
      </c>
      <c r="G159" s="1">
        <v>0.95</v>
      </c>
      <c r="H159" s="1">
        <v>100</v>
      </c>
      <c r="I159" s="1" t="s">
        <v>181</v>
      </c>
    </row>
    <row r="160" spans="1:9">
      <c r="B160" s="66" t="s">
        <v>18</v>
      </c>
      <c r="C160" s="36" t="s">
        <v>21</v>
      </c>
      <c r="D160" s="88" t="s">
        <v>185</v>
      </c>
      <c r="E160" s="88" t="str">
        <f t="shared" si="17"/>
        <v>Invest.Li-Ion_Großspeicher</v>
      </c>
      <c r="F160" s="1">
        <f>(310+580)/2</f>
        <v>445</v>
      </c>
      <c r="G160" s="1">
        <f>(76+206)/2</f>
        <v>141</v>
      </c>
      <c r="H160" s="1">
        <f>(66+145)/2</f>
        <v>105.5</v>
      </c>
      <c r="I160" s="1" t="s">
        <v>190</v>
      </c>
    </row>
    <row r="161" spans="2:10">
      <c r="B161" s="66" t="s">
        <v>18</v>
      </c>
      <c r="C161" s="36" t="s">
        <v>21</v>
      </c>
      <c r="D161" s="88" t="s">
        <v>186</v>
      </c>
      <c r="E161" s="88" t="str">
        <f t="shared" si="17"/>
        <v>Invest.Li-Ion_HH-Speicher</v>
      </c>
      <c r="F161" s="1">
        <f>(580+2100)/2</f>
        <v>1340</v>
      </c>
      <c r="G161" s="1">
        <f>(158+720)/2</f>
        <v>439</v>
      </c>
      <c r="H161" s="1">
        <f>(145+445)/2</f>
        <v>295</v>
      </c>
      <c r="I161" s="1" t="s">
        <v>190</v>
      </c>
    </row>
    <row r="162" spans="2:10">
      <c r="B162" s="66" t="s">
        <v>18</v>
      </c>
      <c r="C162" s="36" t="s">
        <v>188</v>
      </c>
      <c r="D162" s="88" t="s">
        <v>187</v>
      </c>
      <c r="E162" s="88" t="str">
        <f t="shared" si="17"/>
        <v>Invest.Umrichter_bidirektional</v>
      </c>
      <c r="F162" s="1">
        <f>(140+180)/2</f>
        <v>160</v>
      </c>
      <c r="G162" s="1">
        <f>(55+90)/2</f>
        <v>72.5</v>
      </c>
      <c r="H162" s="1">
        <f>(30+60)/2</f>
        <v>45</v>
      </c>
      <c r="I162" s="1" t="s">
        <v>190</v>
      </c>
    </row>
    <row r="163" spans="2:10">
      <c r="B163" s="66" t="s">
        <v>17</v>
      </c>
      <c r="C163" s="36" t="s">
        <v>189</v>
      </c>
      <c r="D163" s="88" t="s">
        <v>180</v>
      </c>
      <c r="E163" s="88" t="str">
        <f t="shared" si="17"/>
        <v>variable O&amp;M.Li-Ion Batt</v>
      </c>
      <c r="F163" s="1">
        <v>0.01</v>
      </c>
      <c r="G163" s="1">
        <v>0.01</v>
      </c>
      <c r="H163" s="1">
        <v>0.01</v>
      </c>
      <c r="I163" s="1" t="s">
        <v>190</v>
      </c>
    </row>
    <row r="164" spans="2:10">
      <c r="B164" s="89"/>
      <c r="D164" s="88"/>
      <c r="E164" s="88" t="str">
        <f t="shared" si="17"/>
        <v>.</v>
      </c>
    </row>
    <row r="165" spans="2:10">
      <c r="B165" s="66" t="s">
        <v>18</v>
      </c>
      <c r="D165" s="88" t="s">
        <v>193</v>
      </c>
      <c r="E165" s="88" t="str">
        <f t="shared" si="17"/>
        <v>Invest.KWK_20kW_el</v>
      </c>
      <c r="G165" s="1">
        <f>150*1000</f>
        <v>150000</v>
      </c>
      <c r="H165" s="1">
        <f>150*1000</f>
        <v>150000</v>
      </c>
      <c r="I165" s="1" t="s">
        <v>196</v>
      </c>
    </row>
    <row r="166" spans="2:10">
      <c r="B166" s="66" t="s">
        <v>168</v>
      </c>
      <c r="D166" s="88" t="s">
        <v>193</v>
      </c>
      <c r="E166" s="88" t="str">
        <f t="shared" si="17"/>
        <v>lifetime.KWK_20kW_el</v>
      </c>
      <c r="G166" s="1">
        <v>17.5</v>
      </c>
      <c r="H166" s="1">
        <v>17.5</v>
      </c>
      <c r="I166" s="1" t="s">
        <v>196</v>
      </c>
    </row>
    <row r="167" spans="2:10">
      <c r="B167" s="66" t="s">
        <v>18</v>
      </c>
      <c r="D167" s="88" t="s">
        <v>191</v>
      </c>
      <c r="E167" s="88" t="str">
        <f t="shared" ref="E167:E171" si="22">B167&amp;"."&amp;D167</f>
        <v>Invest.KWK_1MW_el</v>
      </c>
      <c r="H167" s="1">
        <v>750000</v>
      </c>
      <c r="I167" s="1" t="s">
        <v>196</v>
      </c>
    </row>
    <row r="168" spans="2:10">
      <c r="B168" s="66" t="s">
        <v>168</v>
      </c>
      <c r="D168" s="88" t="s">
        <v>191</v>
      </c>
      <c r="E168" s="88" t="str">
        <f t="shared" si="22"/>
        <v>lifetime.KWK_1MW_el</v>
      </c>
      <c r="H168" s="1">
        <v>25</v>
      </c>
      <c r="I168" s="1" t="s">
        <v>196</v>
      </c>
    </row>
    <row r="169" spans="2:10">
      <c r="B169" s="66" t="s">
        <v>192</v>
      </c>
      <c r="C169" s="36" t="s">
        <v>195</v>
      </c>
      <c r="D169" s="88" t="s">
        <v>191</v>
      </c>
      <c r="E169" s="88" t="str">
        <f>B169&amp;"."&amp;D169</f>
        <v>Kaltstartkosten.KWK_1MW_el</v>
      </c>
      <c r="H169" s="1">
        <v>30</v>
      </c>
      <c r="I169" s="1" t="s">
        <v>196</v>
      </c>
    </row>
    <row r="170" spans="2:10">
      <c r="B170" s="66" t="s">
        <v>194</v>
      </c>
      <c r="C170" s="36" t="s">
        <v>195</v>
      </c>
      <c r="D170" s="88" t="s">
        <v>191</v>
      </c>
      <c r="E170" s="88" t="str">
        <f>B170&amp;"."&amp;D170</f>
        <v>Warmstartkosten.KWK_1MW_el</v>
      </c>
      <c r="H170" s="1">
        <v>5</v>
      </c>
      <c r="I170" s="1" t="s">
        <v>196</v>
      </c>
    </row>
    <row r="171" spans="2:10">
      <c r="B171" s="66" t="s">
        <v>17</v>
      </c>
      <c r="C171" s="36" t="s">
        <v>189</v>
      </c>
      <c r="D171" s="88" t="s">
        <v>191</v>
      </c>
      <c r="E171" s="88" t="str">
        <f t="shared" si="22"/>
        <v>variable O&amp;M.KWK_1MW_el</v>
      </c>
      <c r="H171" s="1">
        <v>0.09</v>
      </c>
      <c r="I171" s="1" t="s">
        <v>196</v>
      </c>
    </row>
    <row r="172" spans="2:10">
      <c r="B172" s="89"/>
      <c r="D172" s="88"/>
      <c r="E172" s="88"/>
    </row>
    <row r="173" spans="2:10">
      <c r="B173" s="89"/>
      <c r="C173" s="36" t="s">
        <v>21</v>
      </c>
      <c r="D173" s="88" t="s">
        <v>199</v>
      </c>
      <c r="E173" s="88"/>
      <c r="F173" s="1">
        <v>50</v>
      </c>
      <c r="I173" s="1" t="s">
        <v>198</v>
      </c>
      <c r="J173" s="1" t="s">
        <v>202</v>
      </c>
    </row>
    <row r="174" spans="2:10">
      <c r="B174" s="89"/>
      <c r="C174" s="36" t="s">
        <v>21</v>
      </c>
      <c r="D174" s="88" t="s">
        <v>201</v>
      </c>
      <c r="E174" s="88"/>
      <c r="F174" s="1">
        <v>80.67</v>
      </c>
      <c r="I174" s="1" t="s">
        <v>200</v>
      </c>
    </row>
    <row r="175" spans="2:10">
      <c r="B175" s="89"/>
      <c r="D175" s="88"/>
      <c r="E175" s="88"/>
    </row>
    <row r="176" spans="2:10">
      <c r="B176" s="89"/>
      <c r="D176" s="88"/>
      <c r="E176" s="88"/>
    </row>
    <row r="179" spans="1:9">
      <c r="A179" s="1" t="e">
        <f>A137+1</f>
        <v>#REF!</v>
      </c>
      <c r="B179" s="64" t="s">
        <v>17</v>
      </c>
      <c r="C179" s="10" t="s">
        <v>16</v>
      </c>
      <c r="D179" s="10" t="s">
        <v>7</v>
      </c>
      <c r="E179" s="85" t="str">
        <f t="shared" si="17"/>
        <v>variable O&amp;M.kwk mittel (30-250 MW_el)</v>
      </c>
      <c r="F179" s="8">
        <v>7</v>
      </c>
      <c r="G179" s="8">
        <v>7</v>
      </c>
      <c r="H179" s="8">
        <v>7</v>
      </c>
      <c r="I179" s="1" t="s">
        <v>6</v>
      </c>
    </row>
    <row r="180" spans="1:9">
      <c r="A180" s="1" t="e">
        <f t="shared" si="15"/>
        <v>#REF!</v>
      </c>
      <c r="B180" s="64" t="s">
        <v>17</v>
      </c>
      <c r="C180" s="10" t="s">
        <v>16</v>
      </c>
      <c r="D180" s="10" t="s">
        <v>5</v>
      </c>
      <c r="E180" s="85" t="str">
        <f t="shared" si="17"/>
        <v>variable O&amp;M.kwk groß (&gt;250 MW_el)</v>
      </c>
      <c r="F180" s="8">
        <v>5</v>
      </c>
      <c r="G180" s="8">
        <v>5</v>
      </c>
      <c r="H180" s="8">
        <v>5</v>
      </c>
      <c r="I180" s="1" t="s">
        <v>4</v>
      </c>
    </row>
    <row r="181" spans="1:9">
      <c r="A181" s="1" t="e">
        <f t="shared" si="15"/>
        <v>#REF!</v>
      </c>
      <c r="B181" s="64" t="s">
        <v>17</v>
      </c>
      <c r="C181" s="10" t="s">
        <v>16</v>
      </c>
      <c r="D181" s="10" t="s">
        <v>3</v>
      </c>
      <c r="E181" s="85" t="str">
        <f t="shared" si="17"/>
        <v>variable O&amp;M.pth</v>
      </c>
      <c r="F181" s="8">
        <v>0.2</v>
      </c>
      <c r="G181" s="8">
        <v>0.2</v>
      </c>
      <c r="H181" s="8">
        <v>0.2</v>
      </c>
      <c r="I181" s="1" t="s">
        <v>2</v>
      </c>
    </row>
    <row r="182" spans="1:9">
      <c r="A182" s="1" t="e">
        <f t="shared" si="15"/>
        <v>#REF!</v>
      </c>
      <c r="B182" s="64" t="s">
        <v>17</v>
      </c>
      <c r="C182" s="10" t="s">
        <v>16</v>
      </c>
      <c r="D182" s="10" t="s">
        <v>1</v>
      </c>
      <c r="E182" s="85" t="str">
        <f t="shared" si="17"/>
        <v>variable O&amp;M.batt</v>
      </c>
      <c r="F182" s="8"/>
      <c r="G182" s="8"/>
      <c r="H182" s="8"/>
    </row>
    <row r="183" spans="1:9">
      <c r="A183" s="1" t="e">
        <f t="shared" si="15"/>
        <v>#REF!</v>
      </c>
      <c r="B183" s="64" t="s">
        <v>17</v>
      </c>
      <c r="C183" s="10" t="s">
        <v>16</v>
      </c>
      <c r="D183" s="10" t="s">
        <v>0</v>
      </c>
      <c r="E183" s="85" t="str">
        <f t="shared" si="17"/>
        <v>variable O&amp;M.ptg</v>
      </c>
      <c r="F183" s="8"/>
      <c r="G183" s="8"/>
      <c r="H183" s="8"/>
    </row>
    <row r="184" spans="1:9">
      <c r="A184" s="1" t="e">
        <f t="shared" si="15"/>
        <v>#REF!</v>
      </c>
      <c r="B184" s="17"/>
      <c r="C184" s="43"/>
      <c r="D184" s="8"/>
      <c r="E184" s="85" t="str">
        <f t="shared" si="17"/>
        <v>.</v>
      </c>
      <c r="F184" s="8"/>
      <c r="G184" s="8"/>
      <c r="H184" s="8"/>
    </row>
    <row r="185" spans="1:9" ht="12.75" customHeight="1">
      <c r="A185" s="1" t="e">
        <f t="shared" si="15"/>
        <v>#REF!</v>
      </c>
      <c r="B185" s="64" t="s">
        <v>15</v>
      </c>
      <c r="C185" s="96" t="s">
        <v>14</v>
      </c>
      <c r="D185" s="7" t="s">
        <v>13</v>
      </c>
      <c r="E185" s="85" t="str">
        <f t="shared" si="17"/>
        <v>fixed O&amp;M.hot water boiler (1-30 MW_th)</v>
      </c>
      <c r="F185" s="8">
        <v>3000</v>
      </c>
      <c r="G185" s="8">
        <v>3000</v>
      </c>
      <c r="H185" s="8">
        <v>3000</v>
      </c>
      <c r="I185" s="1" t="s">
        <v>12</v>
      </c>
    </row>
    <row r="186" spans="1:9">
      <c r="A186" s="1" t="e">
        <f t="shared" si="15"/>
        <v>#REF!</v>
      </c>
      <c r="B186" s="64" t="s">
        <v>15</v>
      </c>
      <c r="C186" s="96"/>
      <c r="D186" s="7" t="s">
        <v>11</v>
      </c>
      <c r="E186" s="85" t="str">
        <f t="shared" si="17"/>
        <v>fixed O&amp;M.hot water tube boiler (20-250 MW_th)</v>
      </c>
      <c r="F186" s="8">
        <v>2000</v>
      </c>
      <c r="G186" s="8">
        <v>2000</v>
      </c>
      <c r="H186" s="8">
        <v>2000</v>
      </c>
      <c r="I186" s="1" t="s">
        <v>10</v>
      </c>
    </row>
    <row r="187" spans="1:9">
      <c r="A187" s="1" t="e">
        <f t="shared" si="15"/>
        <v>#REF!</v>
      </c>
      <c r="B187" s="64" t="s">
        <v>15</v>
      </c>
      <c r="C187" s="96"/>
      <c r="D187" s="7" t="s">
        <v>9</v>
      </c>
      <c r="E187" s="85" t="str">
        <f t="shared" si="17"/>
        <v>fixed O&amp;M.kwk klein (0.5-30 MW_el)</v>
      </c>
      <c r="F187" s="8"/>
      <c r="G187" s="8"/>
      <c r="H187" s="8"/>
      <c r="I187" s="1" t="s">
        <v>8</v>
      </c>
    </row>
    <row r="188" spans="1:9">
      <c r="A188" s="1" t="e">
        <f t="shared" si="15"/>
        <v>#REF!</v>
      </c>
      <c r="B188" s="64" t="s">
        <v>15</v>
      </c>
      <c r="C188" s="96"/>
      <c r="D188" s="7" t="s">
        <v>7</v>
      </c>
      <c r="E188" s="85" t="str">
        <f t="shared" si="17"/>
        <v>fixed O&amp;M.kwk mittel (30-250 MW_el)</v>
      </c>
      <c r="F188" s="8"/>
      <c r="G188" s="8"/>
      <c r="H188" s="8"/>
      <c r="I188" s="1" t="s">
        <v>6</v>
      </c>
    </row>
    <row r="189" spans="1:9">
      <c r="A189" s="1" t="e">
        <f t="shared" si="15"/>
        <v>#REF!</v>
      </c>
      <c r="B189" s="64" t="s">
        <v>15</v>
      </c>
      <c r="C189" s="96"/>
      <c r="D189" s="7" t="s">
        <v>5</v>
      </c>
      <c r="E189" s="85" t="str">
        <f t="shared" si="17"/>
        <v>fixed O&amp;M.kwk groß (&gt;250 MW_el)</v>
      </c>
      <c r="F189" s="8"/>
      <c r="G189" s="8"/>
      <c r="H189" s="8"/>
      <c r="I189" s="1" t="s">
        <v>4</v>
      </c>
    </row>
    <row r="190" spans="1:9">
      <c r="A190" s="1" t="e">
        <f t="shared" si="15"/>
        <v>#REF!</v>
      </c>
      <c r="B190" s="64" t="s">
        <v>15</v>
      </c>
      <c r="C190" s="96"/>
      <c r="D190" s="7" t="s">
        <v>3</v>
      </c>
      <c r="E190" s="85" t="str">
        <f t="shared" si="17"/>
        <v>fixed O&amp;M.pth</v>
      </c>
      <c r="F190" s="8">
        <v>500</v>
      </c>
      <c r="G190" s="8">
        <v>500</v>
      </c>
      <c r="H190" s="8">
        <v>500</v>
      </c>
      <c r="I190" s="1" t="s">
        <v>2</v>
      </c>
    </row>
    <row r="191" spans="1:9">
      <c r="A191" s="1" t="e">
        <f t="shared" si="15"/>
        <v>#REF!</v>
      </c>
      <c r="B191" s="64" t="s">
        <v>15</v>
      </c>
      <c r="C191" s="96"/>
      <c r="D191" s="7" t="s">
        <v>1</v>
      </c>
      <c r="E191" s="85" t="str">
        <f t="shared" si="17"/>
        <v>fixed O&amp;M.batt</v>
      </c>
      <c r="F191" s="8"/>
      <c r="G191" s="8"/>
      <c r="H191" s="8"/>
    </row>
    <row r="192" spans="1:9">
      <c r="A192" s="1" t="e">
        <f t="shared" si="15"/>
        <v>#REF!</v>
      </c>
      <c r="B192" s="64" t="s">
        <v>15</v>
      </c>
      <c r="C192" s="96"/>
      <c r="D192" s="7" t="s">
        <v>0</v>
      </c>
      <c r="E192" s="85" t="str">
        <f t="shared" si="17"/>
        <v>fixed O&amp;M.ptg</v>
      </c>
      <c r="F192" s="8"/>
      <c r="G192" s="8"/>
      <c r="H192" s="8"/>
    </row>
    <row r="193" spans="1:9">
      <c r="A193" s="1" t="e">
        <f t="shared" si="15"/>
        <v>#REF!</v>
      </c>
      <c r="B193" s="43"/>
      <c r="C193" s="43"/>
      <c r="D193" s="8"/>
      <c r="E193" s="85" t="str">
        <f t="shared" si="17"/>
        <v>.</v>
      </c>
      <c r="F193" s="8"/>
      <c r="G193" s="8"/>
      <c r="H193" s="8"/>
    </row>
    <row r="194" spans="1:9" ht="12.75" customHeight="1">
      <c r="A194" s="1" t="e">
        <f t="shared" si="15"/>
        <v>#REF!</v>
      </c>
      <c r="B194" s="64" t="s">
        <v>124</v>
      </c>
      <c r="C194" s="105"/>
      <c r="D194" s="44" t="s">
        <v>13</v>
      </c>
      <c r="E194" s="85" t="str">
        <f t="shared" si="17"/>
        <v>Effizienz.hot water boiler (1-30 MW_th)</v>
      </c>
      <c r="F194" s="8">
        <v>0.93</v>
      </c>
      <c r="G194" s="8">
        <v>0.93</v>
      </c>
      <c r="H194" s="8">
        <v>0.94</v>
      </c>
      <c r="I194" s="1" t="s">
        <v>12</v>
      </c>
    </row>
    <row r="195" spans="1:9">
      <c r="A195" s="1" t="e">
        <f t="shared" si="15"/>
        <v>#REF!</v>
      </c>
      <c r="B195" s="64" t="s">
        <v>124</v>
      </c>
      <c r="C195" s="105"/>
      <c r="D195" s="44" t="s">
        <v>11</v>
      </c>
      <c r="E195" s="85" t="str">
        <f t="shared" si="17"/>
        <v>Effizienz.hot water tube boiler (20-250 MW_th)</v>
      </c>
      <c r="F195" s="8">
        <v>0.87</v>
      </c>
      <c r="G195" s="8">
        <v>0.87</v>
      </c>
      <c r="H195" s="8">
        <v>0.87</v>
      </c>
      <c r="I195" s="1" t="s">
        <v>10</v>
      </c>
    </row>
    <row r="196" spans="1:9">
      <c r="A196" s="1" t="e">
        <f t="shared" si="15"/>
        <v>#REF!</v>
      </c>
      <c r="B196" s="64" t="s">
        <v>124</v>
      </c>
      <c r="C196" s="105"/>
      <c r="D196" s="44" t="s">
        <v>9</v>
      </c>
      <c r="E196" s="85" t="str">
        <f t="shared" si="17"/>
        <v>Effizienz.kwk klein (0.5-30 MW_el)</v>
      </c>
      <c r="F196" s="8"/>
      <c r="G196" s="8"/>
      <c r="H196" s="8"/>
      <c r="I196" s="1" t="s">
        <v>8</v>
      </c>
    </row>
    <row r="197" spans="1:9">
      <c r="A197" s="1" t="e">
        <f t="shared" si="15"/>
        <v>#REF!</v>
      </c>
      <c r="B197" s="64" t="s">
        <v>124</v>
      </c>
      <c r="C197" s="105"/>
      <c r="D197" s="44" t="s">
        <v>7</v>
      </c>
      <c r="E197" s="85" t="str">
        <f t="shared" si="17"/>
        <v>Effizienz.kwk mittel (30-250 MW_el)</v>
      </c>
      <c r="F197" s="8"/>
      <c r="G197" s="8"/>
      <c r="H197" s="8"/>
      <c r="I197" s="1" t="s">
        <v>6</v>
      </c>
    </row>
    <row r="198" spans="1:9">
      <c r="A198" s="1" t="e">
        <f t="shared" si="15"/>
        <v>#REF!</v>
      </c>
      <c r="B198" s="64" t="s">
        <v>124</v>
      </c>
      <c r="C198" s="105"/>
      <c r="D198" s="44" t="s">
        <v>5</v>
      </c>
      <c r="E198" s="85" t="str">
        <f t="shared" si="17"/>
        <v>Effizienz.kwk groß (&gt;250 MW_el)</v>
      </c>
      <c r="F198" s="8"/>
      <c r="G198" s="8"/>
      <c r="H198" s="8"/>
      <c r="I198" s="1" t="s">
        <v>4</v>
      </c>
    </row>
    <row r="199" spans="1:9">
      <c r="A199" s="1" t="e">
        <f t="shared" ref="A199:A220" si="23">A198+1</f>
        <v>#REF!</v>
      </c>
      <c r="B199" s="64" t="s">
        <v>124</v>
      </c>
      <c r="C199" s="105"/>
      <c r="D199" s="44" t="s">
        <v>3</v>
      </c>
      <c r="E199" s="85" t="str">
        <f t="shared" si="17"/>
        <v>Effizienz.pth</v>
      </c>
      <c r="F199" s="8">
        <v>0.98</v>
      </c>
      <c r="G199" s="8">
        <v>0.98</v>
      </c>
      <c r="H199" s="8">
        <v>0.98</v>
      </c>
      <c r="I199" s="1" t="s">
        <v>2</v>
      </c>
    </row>
    <row r="200" spans="1:9">
      <c r="A200" s="1" t="e">
        <f t="shared" si="23"/>
        <v>#REF!</v>
      </c>
      <c r="B200" s="64" t="s">
        <v>124</v>
      </c>
      <c r="C200" s="105"/>
      <c r="D200" s="44" t="s">
        <v>1</v>
      </c>
      <c r="E200" s="85" t="str">
        <f t="shared" si="17"/>
        <v>Effizienz.batt</v>
      </c>
      <c r="F200" s="8"/>
      <c r="G200" s="8"/>
      <c r="H200" s="8"/>
    </row>
    <row r="201" spans="1:9">
      <c r="A201" s="1" t="e">
        <f t="shared" si="23"/>
        <v>#REF!</v>
      </c>
      <c r="B201" s="64" t="s">
        <v>124</v>
      </c>
      <c r="C201" s="105"/>
      <c r="D201" s="44" t="s">
        <v>0</v>
      </c>
      <c r="E201" s="85" t="str">
        <f t="shared" si="17"/>
        <v>Effizienz.ptg</v>
      </c>
      <c r="F201" s="8">
        <v>0.7</v>
      </c>
      <c r="G201" s="8"/>
      <c r="H201" s="8"/>
      <c r="I201" s="1" t="s">
        <v>123</v>
      </c>
    </row>
    <row r="202" spans="1:9">
      <c r="A202" s="1" t="e">
        <f t="shared" si="23"/>
        <v>#REF!</v>
      </c>
      <c r="B202" s="43"/>
      <c r="C202" s="43"/>
      <c r="D202" s="8"/>
      <c r="E202" s="85" t="str">
        <f t="shared" si="17"/>
        <v>.</v>
      </c>
      <c r="F202" s="8"/>
      <c r="G202" s="8"/>
      <c r="H202" s="8"/>
    </row>
    <row r="203" spans="1:9" ht="12.75" customHeight="1">
      <c r="A203" s="1" t="e">
        <f t="shared" si="23"/>
        <v>#REF!</v>
      </c>
      <c r="B203" s="64" t="s">
        <v>122</v>
      </c>
      <c r="C203" s="105"/>
      <c r="D203" s="46" t="s">
        <v>120</v>
      </c>
      <c r="E203" s="85" t="str">
        <f t="shared" si="17"/>
        <v>Effizienz chp_pr.el efficiency min</v>
      </c>
      <c r="F203" s="8">
        <v>0.25</v>
      </c>
      <c r="G203" s="8"/>
      <c r="H203" s="8"/>
    </row>
    <row r="204" spans="1:9">
      <c r="A204" s="1" t="e">
        <f t="shared" si="23"/>
        <v>#REF!</v>
      </c>
      <c r="B204" s="64" t="s">
        <v>122</v>
      </c>
      <c r="C204" s="105"/>
      <c r="D204" s="45" t="s">
        <v>119</v>
      </c>
      <c r="E204" s="85" t="str">
        <f t="shared" si="17"/>
        <v>Effizienz chp_pr.el efficiency max</v>
      </c>
      <c r="F204" s="8">
        <v>0.49</v>
      </c>
      <c r="G204" s="8"/>
      <c r="H204" s="8"/>
    </row>
    <row r="205" spans="1:9">
      <c r="A205" s="1" t="e">
        <f t="shared" si="23"/>
        <v>#REF!</v>
      </c>
      <c r="B205" s="64" t="s">
        <v>122</v>
      </c>
      <c r="C205" s="105"/>
      <c r="D205" s="45" t="s">
        <v>118</v>
      </c>
      <c r="E205" s="85" t="str">
        <f t="shared" si="17"/>
        <v>Effizienz chp_pr.power min</v>
      </c>
      <c r="F205" s="8">
        <v>0.9</v>
      </c>
      <c r="G205" s="8"/>
      <c r="H205" s="8"/>
    </row>
    <row r="206" spans="1:9">
      <c r="A206" s="1" t="e">
        <f t="shared" si="23"/>
        <v>#REF!</v>
      </c>
      <c r="B206" s="64" t="s">
        <v>122</v>
      </c>
      <c r="C206" s="105"/>
      <c r="D206" s="45" t="s">
        <v>117</v>
      </c>
      <c r="E206" s="85" t="str">
        <f t="shared" si="17"/>
        <v>Effizienz chp_pr.power max</v>
      </c>
      <c r="F206" s="8">
        <v>2.7</v>
      </c>
      <c r="G206" s="8"/>
      <c r="H206" s="8"/>
    </row>
    <row r="207" spans="1:9" s="47" customFormat="1">
      <c r="A207" s="1" t="e">
        <f t="shared" si="23"/>
        <v>#REF!</v>
      </c>
      <c r="B207" s="67"/>
      <c r="C207" s="48"/>
      <c r="D207" s="24"/>
      <c r="E207" s="85" t="str">
        <f t="shared" si="17"/>
        <v>.</v>
      </c>
      <c r="F207" s="8"/>
      <c r="G207" s="23"/>
      <c r="H207" s="23"/>
    </row>
    <row r="208" spans="1:9" ht="12.75" customHeight="1">
      <c r="A208" s="1" t="e">
        <f t="shared" si="23"/>
        <v>#REF!</v>
      </c>
      <c r="B208" s="64" t="s">
        <v>121</v>
      </c>
      <c r="C208" s="105"/>
      <c r="D208" s="46" t="s">
        <v>120</v>
      </c>
      <c r="E208" s="85" t="str">
        <f t="shared" si="17"/>
        <v>Effizienz chp_sch.el efficiency min</v>
      </c>
      <c r="F208" s="8">
        <v>0.25</v>
      </c>
      <c r="G208" s="8"/>
      <c r="H208" s="8"/>
    </row>
    <row r="209" spans="1:22">
      <c r="A209" s="1" t="e">
        <f t="shared" si="23"/>
        <v>#REF!</v>
      </c>
      <c r="B209" s="64" t="s">
        <v>121</v>
      </c>
      <c r="C209" s="105"/>
      <c r="D209" s="45" t="s">
        <v>119</v>
      </c>
      <c r="E209" s="85" t="str">
        <f t="shared" si="17"/>
        <v>Effizienz chp_sch.el efficiency max</v>
      </c>
      <c r="F209" s="8">
        <v>0.49</v>
      </c>
      <c r="G209" s="8"/>
      <c r="H209" s="8"/>
    </row>
    <row r="210" spans="1:22">
      <c r="A210" s="1" t="e">
        <f t="shared" si="23"/>
        <v>#REF!</v>
      </c>
      <c r="B210" s="64" t="s">
        <v>121</v>
      </c>
      <c r="C210" s="105"/>
      <c r="D210" s="45" t="s">
        <v>118</v>
      </c>
      <c r="E210" s="85" t="str">
        <f t="shared" si="17"/>
        <v>Effizienz chp_sch.power min</v>
      </c>
      <c r="F210" s="8">
        <v>8</v>
      </c>
      <c r="G210" s="8"/>
      <c r="H210" s="8"/>
    </row>
    <row r="211" spans="1:22">
      <c r="A211" s="1" t="e">
        <f t="shared" si="23"/>
        <v>#REF!</v>
      </c>
      <c r="B211" s="64" t="s">
        <v>121</v>
      </c>
      <c r="C211" s="105"/>
      <c r="D211" s="45" t="s">
        <v>117</v>
      </c>
      <c r="E211" s="85" t="str">
        <f t="shared" si="17"/>
        <v>Effizienz chp_sch.power max</v>
      </c>
      <c r="F211" s="8">
        <v>19</v>
      </c>
      <c r="G211" s="8"/>
      <c r="H211" s="8"/>
    </row>
    <row r="212" spans="1:22">
      <c r="A212" s="1" t="e">
        <f t="shared" si="23"/>
        <v>#REF!</v>
      </c>
      <c r="B212" s="43"/>
      <c r="C212" s="43"/>
      <c r="D212" s="8"/>
      <c r="E212" s="85" t="str">
        <f t="shared" si="17"/>
        <v>.</v>
      </c>
      <c r="F212" s="8"/>
      <c r="G212" s="8"/>
      <c r="H212" s="8"/>
    </row>
    <row r="216" spans="1:22">
      <c r="A216" s="1" t="e">
        <f>A138+1</f>
        <v>#REF!</v>
      </c>
      <c r="B216" s="64" t="s">
        <v>168</v>
      </c>
      <c r="C216" s="44" t="s">
        <v>116</v>
      </c>
      <c r="D216" s="44" t="s">
        <v>7</v>
      </c>
      <c r="E216" s="85" t="str">
        <f t="shared" si="17"/>
        <v>lifetime.kwk mittel (30-250 MW_el)</v>
      </c>
      <c r="F216" s="8"/>
      <c r="G216" s="8"/>
      <c r="H216" s="8"/>
      <c r="I216" s="1" t="s">
        <v>6</v>
      </c>
    </row>
    <row r="217" spans="1:22">
      <c r="A217" s="1" t="e">
        <f t="shared" si="23"/>
        <v>#REF!</v>
      </c>
      <c r="B217" s="64" t="s">
        <v>168</v>
      </c>
      <c r="C217" s="44" t="s">
        <v>116</v>
      </c>
      <c r="D217" s="44" t="s">
        <v>5</v>
      </c>
      <c r="E217" s="85" t="str">
        <f t="shared" si="17"/>
        <v>lifetime.kwk groß (&gt;250 MW_el)</v>
      </c>
      <c r="F217" s="8"/>
      <c r="G217" s="8"/>
      <c r="H217" s="8"/>
      <c r="I217" s="1" t="s">
        <v>4</v>
      </c>
    </row>
    <row r="218" spans="1:22">
      <c r="A218" s="1" t="e">
        <f t="shared" si="23"/>
        <v>#REF!</v>
      </c>
      <c r="B218" s="64" t="s">
        <v>168</v>
      </c>
      <c r="C218" s="44" t="s">
        <v>116</v>
      </c>
      <c r="D218" s="44" t="s">
        <v>3</v>
      </c>
      <c r="E218" s="85" t="str">
        <f t="shared" si="17"/>
        <v>lifetime.pth</v>
      </c>
      <c r="F218" s="8">
        <v>20</v>
      </c>
      <c r="G218" s="8">
        <v>20</v>
      </c>
      <c r="H218" s="8">
        <v>20</v>
      </c>
      <c r="I218" s="1" t="s">
        <v>2</v>
      </c>
    </row>
    <row r="219" spans="1:22">
      <c r="A219" s="1" t="e">
        <f t="shared" si="23"/>
        <v>#REF!</v>
      </c>
      <c r="B219" s="64" t="s">
        <v>168</v>
      </c>
      <c r="C219" s="44" t="s">
        <v>116</v>
      </c>
      <c r="D219" s="44" t="s">
        <v>1</v>
      </c>
      <c r="E219" s="85" t="str">
        <f t="shared" si="17"/>
        <v>lifetime.batt</v>
      </c>
      <c r="F219" s="8"/>
      <c r="G219" s="8"/>
      <c r="H219" s="8"/>
    </row>
    <row r="220" spans="1:22">
      <c r="A220" s="1" t="e">
        <f t="shared" si="23"/>
        <v>#REF!</v>
      </c>
      <c r="B220" s="64" t="s">
        <v>168</v>
      </c>
      <c r="C220" s="44" t="s">
        <v>116</v>
      </c>
      <c r="D220" s="44" t="s">
        <v>0</v>
      </c>
      <c r="E220" s="85" t="str">
        <f t="shared" si="17"/>
        <v>lifetime.ptg</v>
      </c>
      <c r="F220" s="8"/>
      <c r="G220" s="8"/>
      <c r="H220" s="8"/>
    </row>
    <row r="221" spans="1:22">
      <c r="B221" s="43"/>
      <c r="C221" s="43"/>
      <c r="D221" s="42" t="str">
        <f>B221&amp;C221</f>
        <v/>
      </c>
      <c r="E221" s="85" t="str">
        <f t="shared" si="17"/>
        <v>.</v>
      </c>
      <c r="F221" s="8"/>
      <c r="G221" s="8"/>
      <c r="H221" s="8"/>
    </row>
    <row r="222" spans="1:22" s="41" customFormat="1" ht="25.5" customHeight="1">
      <c r="B222" s="64" t="s">
        <v>115</v>
      </c>
      <c r="C222" s="105" t="s">
        <v>30</v>
      </c>
      <c r="D222" s="12" t="s">
        <v>114</v>
      </c>
      <c r="E222" s="85" t="str">
        <f t="shared" si="17"/>
        <v>CO2-Kosten.Vermeidungskosten mittel</v>
      </c>
      <c r="F222" s="12">
        <f>77+(((104-77)/10)*6)</f>
        <v>93.2</v>
      </c>
      <c r="G222" s="12">
        <f>(139+186)/2</f>
        <v>162.5</v>
      </c>
      <c r="H222" s="12">
        <v>251</v>
      </c>
      <c r="I222" s="1" t="s">
        <v>113</v>
      </c>
      <c r="K222" s="1"/>
      <c r="L222" s="1"/>
      <c r="M222" s="1"/>
      <c r="P222" s="1"/>
      <c r="Q222" s="1"/>
      <c r="R222" s="1"/>
      <c r="S222" s="1"/>
      <c r="T222" s="1"/>
      <c r="U222" s="1"/>
      <c r="V222" s="1"/>
    </row>
    <row r="223" spans="1:22">
      <c r="B223" s="64" t="s">
        <v>115</v>
      </c>
      <c r="C223" s="105"/>
      <c r="D223" s="12" t="s">
        <v>112</v>
      </c>
      <c r="E223" s="85" t="str">
        <f t="shared" si="17"/>
        <v>CO2-Kosten.Schadenskosten (Weu / 1%)</v>
      </c>
      <c r="F223" s="12">
        <f>141.23+(((170.55-141.23)/10))</f>
        <v>144.16199999999998</v>
      </c>
      <c r="G223" s="12">
        <v>158.51</v>
      </c>
      <c r="H223" s="12">
        <f>164.96+(((225.95-164.96)/10)*5)</f>
        <v>195.45499999999998</v>
      </c>
      <c r="I223" s="1" t="s">
        <v>111</v>
      </c>
    </row>
    <row r="224" spans="1:22" ht="12.75" customHeight="1">
      <c r="B224" s="64" t="s">
        <v>115</v>
      </c>
      <c r="C224" s="105"/>
      <c r="D224" s="12" t="s">
        <v>110</v>
      </c>
      <c r="E224" s="85" t="str">
        <f t="shared" si="17"/>
        <v>CO2-Kosten.CO2-Steuer (Agora Mittel)</v>
      </c>
      <c r="F224" s="12"/>
      <c r="G224" s="12">
        <f>45+((86-45)/4)*(G7-2020)</f>
        <v>198.75</v>
      </c>
      <c r="H224" s="12">
        <f>45+((86-45)/4)*(H7-2020)</f>
        <v>352.5</v>
      </c>
      <c r="I224" s="1" t="s">
        <v>28</v>
      </c>
    </row>
    <row r="225" spans="2:10" ht="12.75" customHeight="1">
      <c r="B225" s="64" t="s">
        <v>115</v>
      </c>
      <c r="C225" s="105"/>
      <c r="D225" s="12" t="s">
        <v>29</v>
      </c>
      <c r="E225" s="85" t="str">
        <f t="shared" si="17"/>
        <v>CO2-Kosten.ETC-Handelspreis</v>
      </c>
      <c r="F225" s="62">
        <v>7</v>
      </c>
      <c r="G225" s="62">
        <v>33</v>
      </c>
      <c r="H225" s="62">
        <v>49.645166163141766</v>
      </c>
    </row>
    <row r="226" spans="2:10">
      <c r="B226" s="64" t="s">
        <v>115</v>
      </c>
      <c r="C226" s="105"/>
      <c r="D226" s="12" t="s">
        <v>109</v>
      </c>
      <c r="E226" s="85" t="str">
        <f t="shared" si="17"/>
        <v>CO2-Kosten.CO2-Steuer (Agora Groß)</v>
      </c>
      <c r="F226" s="12">
        <v>125</v>
      </c>
      <c r="G226" s="12">
        <v>125</v>
      </c>
      <c r="H226" s="12">
        <v>125</v>
      </c>
      <c r="I226" s="1" t="s">
        <v>108</v>
      </c>
    </row>
    <row r="227" spans="2:10">
      <c r="B227" s="1"/>
      <c r="C227" s="39"/>
      <c r="D227" s="1"/>
      <c r="E227" s="85" t="str">
        <f t="shared" si="17"/>
        <v>.</v>
      </c>
    </row>
    <row r="228" spans="2:10" ht="12.75" customHeight="1">
      <c r="B228" s="64" t="s">
        <v>107</v>
      </c>
      <c r="C228" s="95" t="s">
        <v>16</v>
      </c>
      <c r="D228" s="10" t="s">
        <v>106</v>
      </c>
      <c r="E228" s="85" t="str">
        <f t="shared" si="17"/>
        <v>Kosten Energie.Strom</v>
      </c>
      <c r="F228" s="8">
        <v>0.5</v>
      </c>
      <c r="G228" s="8">
        <v>0.5</v>
      </c>
      <c r="H228" s="8">
        <v>0.2</v>
      </c>
    </row>
    <row r="229" spans="2:10" ht="14.25">
      <c r="B229" s="64" t="s">
        <v>107</v>
      </c>
      <c r="C229" s="95"/>
      <c r="D229" s="10" t="s">
        <v>48</v>
      </c>
      <c r="E229" s="85" t="str">
        <f t="shared" si="17"/>
        <v>Kosten Energie.gas price</v>
      </c>
      <c r="F229" s="62">
        <v>29.11</v>
      </c>
      <c r="G229" s="62">
        <v>33.700000000000003</v>
      </c>
      <c r="H229" s="62">
        <v>37.121903323262814</v>
      </c>
    </row>
    <row r="230" spans="2:10">
      <c r="B230" s="64" t="s">
        <v>107</v>
      </c>
      <c r="C230" s="95"/>
      <c r="D230" s="10" t="s">
        <v>105</v>
      </c>
      <c r="E230" s="85" t="str">
        <f t="shared" si="17"/>
        <v>Kosten Energie.Wasserstoff</v>
      </c>
      <c r="F230" s="8">
        <v>8</v>
      </c>
      <c r="G230" s="8">
        <v>8</v>
      </c>
      <c r="H230" s="8">
        <v>8</v>
      </c>
    </row>
    <row r="231" spans="2:10">
      <c r="B231" s="1"/>
      <c r="C231" s="39"/>
      <c r="D231" s="1"/>
      <c r="E231" s="85" t="str">
        <f t="shared" si="17"/>
        <v>.</v>
      </c>
    </row>
    <row r="232" spans="2:10" ht="12.75" customHeight="1">
      <c r="B232" s="64" t="s">
        <v>104</v>
      </c>
      <c r="C232" s="95" t="s">
        <v>103</v>
      </c>
      <c r="D232" s="10" t="s">
        <v>102</v>
      </c>
      <c r="E232" s="85" t="str">
        <f t="shared" ref="E232:E233" si="24">B232&amp;"."&amp;D232</f>
        <v>EE-Erzeugung.Wind</v>
      </c>
      <c r="F232" s="40">
        <v>717.51</v>
      </c>
      <c r="G232" s="40">
        <v>1004.4537864077669</v>
      </c>
      <c r="H232" s="40">
        <v>1244.3999429197574</v>
      </c>
      <c r="I232" s="1" t="s">
        <v>100</v>
      </c>
      <c r="J232" s="1" t="s">
        <v>99</v>
      </c>
    </row>
    <row r="233" spans="2:10">
      <c r="B233" s="64" t="s">
        <v>104</v>
      </c>
      <c r="C233" s="95"/>
      <c r="D233" s="10" t="s">
        <v>101</v>
      </c>
      <c r="E233" s="85" t="str">
        <f t="shared" si="24"/>
        <v>EE-Erzeugung.solar</v>
      </c>
      <c r="F233" s="40">
        <v>72.260999999999996</v>
      </c>
      <c r="G233" s="40">
        <v>117.14520250381679</v>
      </c>
      <c r="H233" s="40">
        <v>156.41940973508827</v>
      </c>
      <c r="I233" s="1" t="s">
        <v>100</v>
      </c>
      <c r="J233" s="1" t="s">
        <v>99</v>
      </c>
    </row>
    <row r="234" spans="2:10">
      <c r="B234" s="1"/>
      <c r="C234" s="39"/>
      <c r="D234" s="1"/>
      <c r="E234" s="1"/>
    </row>
    <row r="235" spans="2:10">
      <c r="B235" s="64" t="s">
        <v>206</v>
      </c>
      <c r="C235" s="57" t="s">
        <v>203</v>
      </c>
      <c r="D235" s="12" t="s">
        <v>23</v>
      </c>
      <c r="E235" s="23" t="str">
        <f t="shared" ref="E235:E242" si="25">B235&amp;"."&amp;D235</f>
        <v>Strom-Mix-CO2_Emiss BMWi Ref.EE-Anteil</v>
      </c>
      <c r="F235" s="12">
        <f>(557+((490-557)/10*6))/1000</f>
        <v>0.51679999999999993</v>
      </c>
      <c r="G235" s="12">
        <f>(485+(430-485)/2)/1000</f>
        <v>0.45750000000000002</v>
      </c>
      <c r="H235" s="12">
        <v>0.35699999999999998</v>
      </c>
      <c r="I235" s="1" t="s">
        <v>207</v>
      </c>
    </row>
    <row r="236" spans="2:10">
      <c r="B236" s="64" t="s">
        <v>205</v>
      </c>
      <c r="C236" s="90" t="s">
        <v>203</v>
      </c>
      <c r="D236" s="12" t="s">
        <v>23</v>
      </c>
      <c r="E236" s="23" t="str">
        <f t="shared" ref="E236" si="26">B236&amp;"."&amp;D236</f>
        <v>Strom-Mix-CO2_Emiss BMWi Basis.EE-Anteil</v>
      </c>
      <c r="F236" s="12">
        <f>(557+((467-557)/10*6))/1000</f>
        <v>0.503</v>
      </c>
      <c r="G236" s="12">
        <f>(348+(160-348)/2)/1000</f>
        <v>0.254</v>
      </c>
      <c r="H236" s="12">
        <v>6.7000000000000004E-2</v>
      </c>
      <c r="I236" s="1" t="s">
        <v>204</v>
      </c>
    </row>
    <row r="237" spans="2:10">
      <c r="B237" s="8"/>
      <c r="C237" s="8"/>
      <c r="D237" s="8"/>
      <c r="E237" s="23" t="str">
        <f t="shared" si="25"/>
        <v>.</v>
      </c>
      <c r="F237" s="8"/>
      <c r="G237" s="8"/>
      <c r="H237" s="8"/>
      <c r="I237" s="2"/>
    </row>
    <row r="238" spans="2:10">
      <c r="B238" s="8"/>
      <c r="C238" s="8"/>
      <c r="D238" s="8"/>
      <c r="E238" s="23" t="str">
        <f t="shared" si="25"/>
        <v>.</v>
      </c>
      <c r="F238" s="8"/>
      <c r="G238" s="8"/>
      <c r="H238" s="8"/>
      <c r="I238" s="2"/>
    </row>
    <row r="239" spans="2:10">
      <c r="B239" s="64" t="s">
        <v>169</v>
      </c>
      <c r="C239" s="8" t="s">
        <v>170</v>
      </c>
      <c r="D239" s="8"/>
      <c r="E239" s="23"/>
      <c r="F239" s="8">
        <v>0.1</v>
      </c>
      <c r="G239" s="8"/>
      <c r="H239" s="8"/>
      <c r="I239" s="2"/>
    </row>
    <row r="240" spans="2:10">
      <c r="B240" s="8"/>
      <c r="C240" s="8"/>
      <c r="D240" s="8"/>
      <c r="E240" s="23"/>
      <c r="F240" s="8"/>
      <c r="G240" s="8"/>
      <c r="H240" s="8"/>
      <c r="I240" s="2"/>
    </row>
    <row r="241" spans="2:9">
      <c r="B241" s="8"/>
      <c r="C241" s="8"/>
      <c r="D241" s="8"/>
      <c r="E241" s="23"/>
      <c r="F241" s="8"/>
      <c r="G241" s="8"/>
      <c r="H241" s="8"/>
      <c r="I241" s="2"/>
    </row>
    <row r="242" spans="2:9">
      <c r="B242" s="65" t="s">
        <v>22</v>
      </c>
      <c r="C242" s="55" t="s">
        <v>21</v>
      </c>
      <c r="D242" s="10" t="s">
        <v>20</v>
      </c>
      <c r="E242" s="23" t="str">
        <f t="shared" si="25"/>
        <v>Heat.Fernwärmepreis</v>
      </c>
      <c r="F242" s="10">
        <f>5/100*1000</f>
        <v>50</v>
      </c>
      <c r="G242" s="10"/>
      <c r="H242" s="10"/>
      <c r="I242" s="1" t="s">
        <v>19</v>
      </c>
    </row>
    <row r="243" spans="2:9">
      <c r="B243" s="1"/>
      <c r="C243" s="39"/>
      <c r="D243" s="1"/>
      <c r="E243" s="1"/>
    </row>
    <row r="244" spans="2:9">
      <c r="B244" s="1"/>
      <c r="C244" s="39"/>
      <c r="D244" s="1"/>
      <c r="E244" s="1"/>
    </row>
    <row r="245" spans="2:9">
      <c r="B245" s="1"/>
      <c r="C245" s="39"/>
      <c r="D245" s="1"/>
      <c r="E245" s="1"/>
    </row>
    <row r="246" spans="2:9">
      <c r="B246" s="1"/>
      <c r="C246" s="39"/>
      <c r="D246" s="1"/>
      <c r="E246" s="1"/>
    </row>
    <row r="247" spans="2:9">
      <c r="B247" s="1"/>
      <c r="C247" s="39"/>
      <c r="D247" s="1"/>
      <c r="E247" s="1"/>
    </row>
    <row r="248" spans="2:9">
      <c r="B248" s="1"/>
      <c r="C248" s="39"/>
      <c r="D248" s="1"/>
      <c r="E248" s="1"/>
    </row>
    <row r="249" spans="2:9">
      <c r="B249" s="1"/>
      <c r="C249" s="39"/>
      <c r="D249" s="1"/>
      <c r="E249" s="1"/>
    </row>
    <row r="250" spans="2:9">
      <c r="B250" s="1"/>
      <c r="C250" s="39"/>
      <c r="D250" s="1"/>
      <c r="E250" s="1"/>
    </row>
    <row r="251" spans="2:9">
      <c r="B251" s="1"/>
      <c r="C251" s="39"/>
      <c r="D251" s="1"/>
      <c r="E251" s="1"/>
    </row>
    <row r="252" spans="2:9">
      <c r="B252" s="1"/>
      <c r="C252" s="39"/>
      <c r="D252" s="1"/>
      <c r="E252" s="1"/>
    </row>
    <row r="253" spans="2:9">
      <c r="B253" s="1"/>
      <c r="C253" s="39"/>
      <c r="D253" s="1"/>
      <c r="E253" s="1"/>
    </row>
    <row r="254" spans="2:9">
      <c r="B254" s="1"/>
      <c r="C254" s="39"/>
      <c r="D254" s="1"/>
      <c r="E254" s="1"/>
    </row>
    <row r="255" spans="2:9">
      <c r="B255" s="1"/>
      <c r="C255" s="39"/>
      <c r="D255" s="1"/>
      <c r="E255" s="1"/>
    </row>
    <row r="256" spans="2:9">
      <c r="B256" s="1"/>
      <c r="C256" s="39"/>
      <c r="D256" s="1"/>
      <c r="E256" s="1"/>
    </row>
    <row r="257" spans="2:5">
      <c r="B257" s="1"/>
      <c r="C257" s="39"/>
      <c r="D257" s="1"/>
      <c r="E257" s="1"/>
    </row>
    <row r="258" spans="2:5">
      <c r="B258" s="1"/>
      <c r="C258" s="39"/>
      <c r="D258" s="1"/>
      <c r="E258" s="1"/>
    </row>
    <row r="259" spans="2:5">
      <c r="B259" s="1"/>
      <c r="C259" s="39"/>
      <c r="D259" s="1"/>
      <c r="E259" s="1"/>
    </row>
    <row r="260" spans="2:5">
      <c r="B260" s="1"/>
      <c r="C260" s="39"/>
      <c r="D260" s="1"/>
      <c r="E260" s="1"/>
    </row>
    <row r="261" spans="2:5">
      <c r="B261" s="1"/>
      <c r="C261" s="39"/>
      <c r="D261" s="1"/>
      <c r="E261" s="1"/>
    </row>
    <row r="262" spans="2:5">
      <c r="B262" s="1"/>
      <c r="C262" s="39"/>
      <c r="D262" s="1"/>
      <c r="E262" s="1"/>
    </row>
    <row r="263" spans="2:5">
      <c r="B263" s="1"/>
      <c r="C263" s="39"/>
      <c r="D263" s="1"/>
      <c r="E263" s="1"/>
    </row>
    <row r="264" spans="2:5">
      <c r="B264" s="1"/>
      <c r="C264" s="39"/>
      <c r="D264" s="1"/>
      <c r="E264" s="1"/>
    </row>
    <row r="265" spans="2:5">
      <c r="B265" s="1"/>
      <c r="C265" s="39"/>
      <c r="D265" s="1"/>
      <c r="E265" s="1"/>
    </row>
    <row r="266" spans="2:5">
      <c r="B266" s="1"/>
      <c r="C266" s="39"/>
      <c r="D266" s="1"/>
      <c r="E266" s="1"/>
    </row>
    <row r="267" spans="2:5">
      <c r="B267" s="1"/>
      <c r="C267" s="39"/>
      <c r="D267" s="1"/>
      <c r="E267" s="1"/>
    </row>
    <row r="268" spans="2:5">
      <c r="B268" s="1"/>
      <c r="C268" s="39"/>
      <c r="D268" s="1"/>
      <c r="E268" s="1"/>
    </row>
    <row r="269" spans="2:5">
      <c r="B269" s="1"/>
      <c r="C269" s="39"/>
      <c r="D269" s="1"/>
      <c r="E269" s="1"/>
    </row>
    <row r="270" spans="2:5">
      <c r="B270" s="1"/>
      <c r="C270" s="39"/>
      <c r="D270" s="1"/>
      <c r="E270" s="1"/>
    </row>
    <row r="271" spans="2:5">
      <c r="B271" s="1"/>
      <c r="C271" s="39"/>
      <c r="D271" s="1"/>
      <c r="E271" s="1"/>
    </row>
    <row r="272" spans="2:5">
      <c r="B272" s="1"/>
      <c r="C272" s="39"/>
      <c r="D272" s="1"/>
      <c r="E272" s="1"/>
    </row>
    <row r="273" spans="2:5">
      <c r="B273" s="1"/>
      <c r="C273" s="39"/>
      <c r="D273" s="1"/>
      <c r="E273" s="1"/>
    </row>
    <row r="274" spans="2:5">
      <c r="B274" s="1"/>
      <c r="C274" s="39"/>
      <c r="D274" s="1"/>
      <c r="E274" s="1"/>
    </row>
    <row r="275" spans="2:5">
      <c r="B275" s="1"/>
      <c r="C275" s="39"/>
      <c r="D275" s="1"/>
      <c r="E275" s="1"/>
    </row>
    <row r="276" spans="2:5">
      <c r="B276" s="1"/>
      <c r="C276" s="39"/>
      <c r="D276" s="1"/>
      <c r="E276" s="1"/>
    </row>
    <row r="277" spans="2:5">
      <c r="B277" s="1"/>
      <c r="C277" s="39"/>
      <c r="D277" s="1"/>
      <c r="E277" s="1"/>
    </row>
    <row r="278" spans="2:5">
      <c r="B278" s="1"/>
      <c r="C278" s="39"/>
      <c r="D278" s="1"/>
      <c r="E278" s="1"/>
    </row>
    <row r="279" spans="2:5">
      <c r="B279" s="1"/>
      <c r="C279" s="39"/>
      <c r="D279" s="1"/>
      <c r="E279" s="1"/>
    </row>
    <row r="280" spans="2:5">
      <c r="B280" s="1"/>
      <c r="C280" s="39"/>
      <c r="D280" s="1"/>
      <c r="E280" s="1"/>
    </row>
    <row r="281" spans="2:5">
      <c r="B281" s="1"/>
      <c r="C281" s="39"/>
      <c r="D281" s="1"/>
      <c r="E281" s="1"/>
    </row>
    <row r="282" spans="2:5">
      <c r="B282" s="1"/>
      <c r="C282" s="39"/>
      <c r="D282" s="1"/>
      <c r="E282" s="1"/>
    </row>
    <row r="283" spans="2:5">
      <c r="B283" s="1"/>
      <c r="C283" s="39"/>
      <c r="D283" s="1"/>
      <c r="E283" s="1"/>
    </row>
    <row r="284" spans="2:5">
      <c r="B284" s="1"/>
      <c r="C284" s="39"/>
      <c r="D284" s="1"/>
      <c r="E284" s="1"/>
    </row>
    <row r="285" spans="2:5">
      <c r="B285" s="1"/>
      <c r="C285" s="39"/>
      <c r="D285" s="1"/>
      <c r="E285" s="1"/>
    </row>
    <row r="286" spans="2:5">
      <c r="B286" s="1"/>
      <c r="C286" s="39"/>
      <c r="D286" s="1"/>
      <c r="E286" s="1"/>
    </row>
    <row r="287" spans="2:5">
      <c r="B287" s="1"/>
      <c r="C287" s="39"/>
      <c r="D287" s="1"/>
      <c r="E287" s="1"/>
    </row>
    <row r="288" spans="2:5">
      <c r="B288" s="1"/>
      <c r="C288" s="39"/>
      <c r="D288" s="1"/>
      <c r="E288" s="1"/>
    </row>
    <row r="289" spans="2:5">
      <c r="B289" s="1"/>
      <c r="C289" s="39"/>
      <c r="D289" s="1"/>
      <c r="E289" s="1"/>
    </row>
    <row r="290" spans="2:5">
      <c r="B290" s="1"/>
      <c r="C290" s="39"/>
      <c r="D290" s="1"/>
      <c r="E290" s="1"/>
    </row>
    <row r="291" spans="2:5">
      <c r="B291" s="1"/>
      <c r="C291" s="39"/>
      <c r="D291" s="1"/>
      <c r="E291" s="1"/>
    </row>
    <row r="292" spans="2:5">
      <c r="B292" s="1"/>
      <c r="C292" s="39"/>
      <c r="D292" s="1"/>
      <c r="E292" s="1"/>
    </row>
    <row r="293" spans="2:5">
      <c r="B293" s="1"/>
      <c r="C293" s="39"/>
      <c r="D293" s="1"/>
      <c r="E293" s="1"/>
    </row>
    <row r="294" spans="2:5">
      <c r="B294" s="1"/>
      <c r="C294" s="39"/>
      <c r="D294" s="1"/>
      <c r="E294" s="1"/>
    </row>
    <row r="295" spans="2:5">
      <c r="B295" s="1"/>
      <c r="C295" s="39"/>
      <c r="D295" s="1"/>
      <c r="E295" s="1"/>
    </row>
    <row r="296" spans="2:5">
      <c r="B296" s="1"/>
      <c r="C296" s="39"/>
      <c r="D296" s="1"/>
      <c r="E296" s="1"/>
    </row>
    <row r="297" spans="2:5">
      <c r="B297" s="1"/>
      <c r="C297" s="39"/>
      <c r="D297" s="1"/>
      <c r="E297" s="1"/>
    </row>
    <row r="298" spans="2:5">
      <c r="B298" s="1"/>
      <c r="C298" s="39"/>
      <c r="D298" s="1"/>
      <c r="E298" s="1"/>
    </row>
    <row r="299" spans="2:5">
      <c r="B299" s="1"/>
      <c r="C299" s="39"/>
      <c r="D299" s="1"/>
      <c r="E299" s="1"/>
    </row>
    <row r="300" spans="2:5">
      <c r="B300" s="1"/>
      <c r="C300" s="39"/>
      <c r="D300" s="1"/>
      <c r="E300" s="1"/>
    </row>
    <row r="301" spans="2:5">
      <c r="B301" s="1"/>
      <c r="C301" s="39"/>
      <c r="D301" s="1"/>
      <c r="E301" s="1"/>
    </row>
    <row r="302" spans="2:5">
      <c r="B302" s="1"/>
      <c r="C302" s="39"/>
      <c r="D302" s="1"/>
      <c r="E302" s="1"/>
    </row>
    <row r="303" spans="2:5">
      <c r="B303" s="1"/>
      <c r="C303" s="39"/>
      <c r="D303" s="1"/>
      <c r="E303" s="1"/>
    </row>
    <row r="304" spans="2:5">
      <c r="B304" s="1"/>
      <c r="C304" s="39"/>
      <c r="D304" s="1"/>
      <c r="E304" s="1"/>
    </row>
    <row r="305" spans="2:5">
      <c r="B305" s="1"/>
      <c r="C305" s="39"/>
      <c r="D305" s="1"/>
      <c r="E305" s="1"/>
    </row>
    <row r="306" spans="2:5">
      <c r="B306" s="1"/>
      <c r="C306" s="39"/>
      <c r="D306" s="1"/>
      <c r="E306" s="1"/>
    </row>
    <row r="307" spans="2:5">
      <c r="B307" s="1"/>
      <c r="C307" s="39"/>
      <c r="D307" s="1"/>
      <c r="E307" s="1"/>
    </row>
    <row r="308" spans="2:5">
      <c r="B308" s="1"/>
      <c r="C308" s="39"/>
      <c r="D308" s="1"/>
      <c r="E308" s="1"/>
    </row>
    <row r="309" spans="2:5">
      <c r="B309" s="1"/>
      <c r="C309" s="39"/>
      <c r="D309" s="1"/>
      <c r="E309" s="1"/>
    </row>
    <row r="310" spans="2:5">
      <c r="B310" s="1"/>
      <c r="C310" s="39"/>
      <c r="D310" s="1"/>
      <c r="E310" s="1"/>
    </row>
    <row r="311" spans="2:5">
      <c r="B311" s="1"/>
      <c r="C311" s="39"/>
      <c r="D311" s="1"/>
      <c r="E311" s="1"/>
    </row>
    <row r="312" spans="2:5">
      <c r="B312" s="1"/>
      <c r="C312" s="39"/>
      <c r="D312" s="1"/>
      <c r="E312" s="1"/>
    </row>
    <row r="313" spans="2:5">
      <c r="B313" s="1"/>
      <c r="C313" s="39"/>
      <c r="D313" s="1"/>
      <c r="E313" s="1"/>
    </row>
    <row r="314" spans="2:5">
      <c r="D314" s="38" t="str">
        <f>B317&amp;C314</f>
        <v/>
      </c>
    </row>
  </sheetData>
  <mergeCells count="7">
    <mergeCell ref="C185:C192"/>
    <mergeCell ref="C194:C201"/>
    <mergeCell ref="C203:C206"/>
    <mergeCell ref="C228:C230"/>
    <mergeCell ref="C232:C233"/>
    <mergeCell ref="C208:C211"/>
    <mergeCell ref="C222:C226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Scenario Selection</vt:lpstr>
      <vt:lpstr>Year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2019-01-02T15:17:41Z</dcterms:modified>
</cp:coreProperties>
</file>