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/>
  <mc:AlternateContent xmlns:mc="http://schemas.openxmlformats.org/markup-compatibility/2006">
    <mc:Choice Requires="x15">
      <x15ac:absPath xmlns:x15ac="http://schemas.microsoft.com/office/spreadsheetml/2010/11/ac" url="C:\Users\canne\Desktop\prem\"/>
    </mc:Choice>
  </mc:AlternateContent>
  <xr:revisionPtr revIDLastSave="0" documentId="13_ncr:1_{719A164E-AEB2-4296-A172-C44451B81EBA}" xr6:coauthVersionLast="46" xr6:coauthVersionMax="46" xr10:uidLastSave="{00000000-0000-0000-0000-000000000000}"/>
  <bookViews>
    <workbookView xWindow="-108" yWindow="-108" windowWidth="23256" windowHeight="12576" firstSheet="7" activeTab="13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  <sheet name="Data Update Sequence" sheetId="27" r:id="rId17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="1" iterateDelta="9.9999999999994451E-4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9" i="10" l="1"/>
  <c r="E82" i="3"/>
  <c r="G82" i="3"/>
  <c r="F82" i="3"/>
  <c r="C186" i="10"/>
  <c r="G30" i="10"/>
  <c r="F30" i="10"/>
  <c r="E30" i="10"/>
  <c r="D30" i="10"/>
  <c r="C30" i="10"/>
  <c r="B30" i="10"/>
  <c r="A30" i="10"/>
  <c r="H30" i="10" s="1"/>
  <c r="G29" i="10"/>
  <c r="F29" i="10"/>
  <c r="E29" i="10"/>
  <c r="D29" i="10"/>
  <c r="C29" i="10"/>
  <c r="B29" i="10"/>
  <c r="A29" i="10"/>
  <c r="H29" i="10" s="1"/>
  <c r="G28" i="10"/>
  <c r="F28" i="10"/>
  <c r="E28" i="10"/>
  <c r="D28" i="10"/>
  <c r="C28" i="10"/>
  <c r="B28" i="10"/>
  <c r="A28" i="10"/>
  <c r="H28" i="10" s="1"/>
  <c r="G27" i="10"/>
  <c r="F27" i="10"/>
  <c r="E27" i="10"/>
  <c r="D27" i="10"/>
  <c r="C27" i="10"/>
  <c r="B27" i="10"/>
  <c r="A27" i="10"/>
  <c r="H27" i="10" s="1"/>
  <c r="G26" i="10"/>
  <c r="F26" i="10"/>
  <c r="E26" i="10"/>
  <c r="D26" i="10"/>
  <c r="C26" i="10"/>
  <c r="B26" i="10"/>
  <c r="A26" i="10"/>
  <c r="H26" i="10" s="1"/>
  <c r="G25" i="10"/>
  <c r="F25" i="10"/>
  <c r="E25" i="10"/>
  <c r="D25" i="10"/>
  <c r="C25" i="10"/>
  <c r="B25" i="10"/>
  <c r="A25" i="10"/>
  <c r="H25" i="10" s="1"/>
  <c r="G24" i="10"/>
  <c r="F24" i="10"/>
  <c r="E24" i="10"/>
  <c r="D24" i="10"/>
  <c r="C24" i="10"/>
  <c r="B24" i="10"/>
  <c r="A24" i="10"/>
  <c r="H24" i="10" s="1"/>
  <c r="G23" i="10"/>
  <c r="F23" i="10"/>
  <c r="E23" i="10"/>
  <c r="D23" i="10"/>
  <c r="C23" i="10"/>
  <c r="B23" i="10"/>
  <c r="A23" i="10"/>
  <c r="H23" i="10" s="1"/>
  <c r="G22" i="10"/>
  <c r="F22" i="10"/>
  <c r="E22" i="10"/>
  <c r="D22" i="10"/>
  <c r="C22" i="10"/>
  <c r="B22" i="10"/>
  <c r="A22" i="10"/>
  <c r="H22" i="10" s="1"/>
  <c r="G21" i="10"/>
  <c r="F21" i="10"/>
  <c r="E21" i="10"/>
  <c r="D21" i="10"/>
  <c r="C21" i="10"/>
  <c r="B21" i="10"/>
  <c r="A21" i="10"/>
  <c r="H21" i="10" s="1"/>
  <c r="G20" i="10"/>
  <c r="F20" i="10"/>
  <c r="E20" i="10"/>
  <c r="D20" i="10"/>
  <c r="C20" i="10"/>
  <c r="B20" i="10"/>
  <c r="A20" i="10"/>
  <c r="H20" i="10" s="1"/>
  <c r="G19" i="10"/>
  <c r="F19" i="10"/>
  <c r="E19" i="10"/>
  <c r="D19" i="10"/>
  <c r="C19" i="10"/>
  <c r="B19" i="10"/>
  <c r="A19" i="10"/>
  <c r="H19" i="10" s="1"/>
  <c r="G18" i="10"/>
  <c r="F18" i="10"/>
  <c r="E18" i="10"/>
  <c r="D18" i="10"/>
  <c r="C18" i="10"/>
  <c r="B18" i="10"/>
  <c r="A18" i="10"/>
  <c r="H18" i="10" s="1"/>
  <c r="G17" i="10"/>
  <c r="F17" i="10"/>
  <c r="E17" i="10"/>
  <c r="D17" i="10"/>
  <c r="C17" i="10"/>
  <c r="B17" i="10"/>
  <c r="A17" i="10"/>
  <c r="H17" i="10" s="1"/>
  <c r="G16" i="10"/>
  <c r="F16" i="10"/>
  <c r="E16" i="10"/>
  <c r="D16" i="10"/>
  <c r="C16" i="10"/>
  <c r="B16" i="10"/>
  <c r="A16" i="10"/>
  <c r="H16" i="10" s="1"/>
  <c r="G15" i="10"/>
  <c r="F15" i="10"/>
  <c r="E15" i="10"/>
  <c r="D15" i="10"/>
  <c r="C15" i="10"/>
  <c r="B15" i="10"/>
  <c r="A15" i="10"/>
  <c r="H15" i="10" s="1"/>
  <c r="G14" i="10"/>
  <c r="F14" i="10"/>
  <c r="E14" i="10"/>
  <c r="D14" i="10"/>
  <c r="C14" i="10"/>
  <c r="B14" i="10"/>
  <c r="A14" i="10"/>
  <c r="H14" i="10" s="1"/>
  <c r="G13" i="10"/>
  <c r="F13" i="10"/>
  <c r="E13" i="10"/>
  <c r="D13" i="10"/>
  <c r="C13" i="10"/>
  <c r="B13" i="10"/>
  <c r="A13" i="10"/>
  <c r="H13" i="10" s="1"/>
  <c r="G12" i="10"/>
  <c r="F12" i="10"/>
  <c r="E12" i="10"/>
  <c r="D12" i="10"/>
  <c r="C12" i="10"/>
  <c r="B12" i="10"/>
  <c r="A12" i="10"/>
  <c r="H12" i="10" s="1"/>
  <c r="G11" i="10"/>
  <c r="F11" i="10"/>
  <c r="E11" i="10"/>
  <c r="D11" i="10"/>
  <c r="C11" i="10"/>
  <c r="B11" i="10"/>
  <c r="A11" i="10"/>
  <c r="H11" i="10" s="1"/>
  <c r="G10" i="10"/>
  <c r="F10" i="10"/>
  <c r="E10" i="10"/>
  <c r="D10" i="10"/>
  <c r="C10" i="10"/>
  <c r="B10" i="10"/>
  <c r="A10" i="10"/>
  <c r="H10" i="10" s="1"/>
  <c r="G9" i="10"/>
  <c r="F9" i="10"/>
  <c r="E9" i="10"/>
  <c r="D9" i="10"/>
  <c r="C9" i="10"/>
  <c r="B9" i="10"/>
  <c r="A9" i="10"/>
  <c r="H9" i="10" s="1"/>
  <c r="G8" i="10"/>
  <c r="F8" i="10"/>
  <c r="E8" i="10"/>
  <c r="D8" i="10"/>
  <c r="C8" i="10"/>
  <c r="B8" i="10"/>
  <c r="A8" i="10"/>
  <c r="H8" i="10" s="1"/>
  <c r="G7" i="10"/>
  <c r="F7" i="10"/>
  <c r="E7" i="10"/>
  <c r="D7" i="10"/>
  <c r="C7" i="10"/>
  <c r="B7" i="10"/>
  <c r="A7" i="10"/>
  <c r="H7" i="10" s="1"/>
  <c r="G6" i="10"/>
  <c r="F6" i="10"/>
  <c r="E6" i="10"/>
  <c r="D6" i="10"/>
  <c r="C6" i="10"/>
  <c r="B6" i="10"/>
  <c r="A6" i="10"/>
  <c r="H6" i="10" s="1"/>
  <c r="G5" i="10"/>
  <c r="F5" i="10"/>
  <c r="E5" i="10"/>
  <c r="D5" i="10"/>
  <c r="C5" i="10"/>
  <c r="B5" i="10"/>
  <c r="A5" i="10"/>
  <c r="H5" i="10" s="1"/>
  <c r="G4" i="10"/>
  <c r="F4" i="10"/>
  <c r="E4" i="10"/>
  <c r="D4" i="10"/>
  <c r="C4" i="10"/>
  <c r="B4" i="10"/>
  <c r="A4" i="10"/>
  <c r="H4" i="10" s="1"/>
  <c r="G3" i="10"/>
  <c r="F3" i="10"/>
  <c r="E3" i="10"/>
  <c r="D3" i="10"/>
  <c r="C3" i="10"/>
  <c r="B3" i="10"/>
  <c r="A3" i="10"/>
  <c r="H3" i="10" s="1"/>
  <c r="G2" i="10"/>
  <c r="F2" i="10"/>
  <c r="E2" i="10"/>
  <c r="D2" i="10"/>
  <c r="C2" i="10"/>
  <c r="B2" i="10"/>
  <c r="A2" i="10"/>
  <c r="H2" i="10" s="1"/>
  <c r="C2" i="5" l="1"/>
  <c r="J76" i="5"/>
  <c r="J45" i="5"/>
  <c r="B158" i="9"/>
  <c r="B157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39" i="9"/>
  <c r="B138" i="9"/>
  <c r="B136" i="9"/>
  <c r="B133" i="9"/>
  <c r="B132" i="9"/>
  <c r="B131" i="9"/>
  <c r="B130" i="9"/>
  <c r="B129" i="9"/>
  <c r="B128" i="9"/>
  <c r="B127" i="9"/>
  <c r="B125" i="9"/>
  <c r="B124" i="9"/>
  <c r="B123" i="9"/>
  <c r="B122" i="9"/>
  <c r="B121" i="9"/>
  <c r="B120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8" i="9"/>
  <c r="B97" i="9"/>
  <c r="B96" i="9"/>
  <c r="B95" i="9"/>
  <c r="B94" i="9"/>
  <c r="B93" i="9"/>
  <c r="B92" i="9"/>
  <c r="B91" i="9"/>
  <c r="B90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C158" i="19"/>
  <c r="B158" i="19"/>
  <c r="C157" i="19"/>
  <c r="B157" i="19"/>
  <c r="C156" i="19"/>
  <c r="B156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C2" i="2"/>
  <c r="G158" i="19"/>
  <c r="F158" i="19"/>
  <c r="G157" i="19"/>
  <c r="F157" i="19"/>
  <c r="G156" i="19"/>
  <c r="F156" i="19"/>
  <c r="G155" i="19"/>
  <c r="B155" i="19" s="1"/>
  <c r="F155" i="19"/>
  <c r="C155" i="19" s="1"/>
  <c r="G154" i="19"/>
  <c r="B154" i="19" s="1"/>
  <c r="F154" i="19"/>
  <c r="C154" i="19" s="1"/>
  <c r="F153" i="19"/>
  <c r="G152" i="19"/>
  <c r="F152" i="19"/>
  <c r="G151" i="19"/>
  <c r="F151" i="19"/>
  <c r="G150" i="19"/>
  <c r="F150" i="19"/>
  <c r="G149" i="19"/>
  <c r="F149" i="19"/>
  <c r="G147" i="19"/>
  <c r="F147" i="19"/>
  <c r="G146" i="19"/>
  <c r="F146" i="19"/>
  <c r="G145" i="19"/>
  <c r="F145" i="19"/>
  <c r="G144" i="19"/>
  <c r="F144" i="19"/>
  <c r="G143" i="19"/>
  <c r="F143" i="19"/>
  <c r="G142" i="19"/>
  <c r="F142" i="19"/>
  <c r="G141" i="19"/>
  <c r="F141" i="19"/>
  <c r="G140" i="19"/>
  <c r="F140" i="19"/>
  <c r="G139" i="19"/>
  <c r="F139" i="19"/>
  <c r="G138" i="19"/>
  <c r="F138" i="19"/>
  <c r="G137" i="19"/>
  <c r="F137" i="19"/>
  <c r="G136" i="19"/>
  <c r="F136" i="19"/>
  <c r="G135" i="19"/>
  <c r="F135" i="19"/>
  <c r="G134" i="19"/>
  <c r="F134" i="19"/>
  <c r="G133" i="19"/>
  <c r="F133" i="19"/>
  <c r="G132" i="19"/>
  <c r="F132" i="19"/>
  <c r="G131" i="19"/>
  <c r="F131" i="19"/>
  <c r="G130" i="19"/>
  <c r="F130" i="19"/>
  <c r="G129" i="19"/>
  <c r="F129" i="19"/>
  <c r="G128" i="19"/>
  <c r="F128" i="19"/>
  <c r="G127" i="19"/>
  <c r="F127" i="19"/>
  <c r="G126" i="19"/>
  <c r="F126" i="19"/>
  <c r="G125" i="19"/>
  <c r="F125" i="19"/>
  <c r="G124" i="19"/>
  <c r="F124" i="19"/>
  <c r="G123" i="19"/>
  <c r="F123" i="19"/>
  <c r="G122" i="19"/>
  <c r="F122" i="19"/>
  <c r="G121" i="19"/>
  <c r="F121" i="19"/>
  <c r="G120" i="19"/>
  <c r="F120" i="19"/>
  <c r="G118" i="19"/>
  <c r="F118" i="19"/>
  <c r="G117" i="19"/>
  <c r="F117" i="19"/>
  <c r="G116" i="19"/>
  <c r="F116" i="19"/>
  <c r="G115" i="19"/>
  <c r="F115" i="19"/>
  <c r="G114" i="19"/>
  <c r="F114" i="19"/>
  <c r="G113" i="19"/>
  <c r="F113" i="19"/>
  <c r="G112" i="19"/>
  <c r="F112" i="19"/>
  <c r="G111" i="19"/>
  <c r="F111" i="19"/>
  <c r="G110" i="19"/>
  <c r="F110" i="19"/>
  <c r="G109" i="19"/>
  <c r="F109" i="19"/>
  <c r="G108" i="19"/>
  <c r="F108" i="19"/>
  <c r="G107" i="19"/>
  <c r="F107" i="19"/>
  <c r="G106" i="19"/>
  <c r="F106" i="19"/>
  <c r="G105" i="19"/>
  <c r="F105" i="19"/>
  <c r="G104" i="19"/>
  <c r="F104" i="19"/>
  <c r="G103" i="19"/>
  <c r="F103" i="19"/>
  <c r="G102" i="19"/>
  <c r="F102" i="19"/>
  <c r="G101" i="19"/>
  <c r="F101" i="19"/>
  <c r="G100" i="19"/>
  <c r="F100" i="19"/>
  <c r="G98" i="19"/>
  <c r="F98" i="19"/>
  <c r="G97" i="19"/>
  <c r="F97" i="19"/>
  <c r="G96" i="19"/>
  <c r="F96" i="19"/>
  <c r="G95" i="19"/>
  <c r="F95" i="19"/>
  <c r="G94" i="19"/>
  <c r="F94" i="19"/>
  <c r="G93" i="19"/>
  <c r="F93" i="19"/>
  <c r="G92" i="19"/>
  <c r="F92" i="19"/>
  <c r="G91" i="19"/>
  <c r="F91" i="19"/>
  <c r="G90" i="19"/>
  <c r="F90" i="19"/>
  <c r="G88" i="19"/>
  <c r="F88" i="19"/>
  <c r="G87" i="19"/>
  <c r="F87" i="19"/>
  <c r="G86" i="19"/>
  <c r="F86" i="19"/>
  <c r="G85" i="19"/>
  <c r="F85" i="19"/>
  <c r="G84" i="19"/>
  <c r="F84" i="19"/>
  <c r="G83" i="19"/>
  <c r="F83" i="19"/>
  <c r="G82" i="19"/>
  <c r="F82" i="19"/>
  <c r="G81" i="19"/>
  <c r="F81" i="19"/>
  <c r="G80" i="19"/>
  <c r="F80" i="19"/>
  <c r="G79" i="19"/>
  <c r="F79" i="19"/>
  <c r="G78" i="19"/>
  <c r="F78" i="19"/>
  <c r="G77" i="19"/>
  <c r="F77" i="19"/>
  <c r="G76" i="19"/>
  <c r="F76" i="19"/>
  <c r="G75" i="19"/>
  <c r="G74" i="19"/>
  <c r="F74" i="19"/>
  <c r="G73" i="19"/>
  <c r="F73" i="19"/>
  <c r="G72" i="19"/>
  <c r="F72" i="19"/>
  <c r="G71" i="19"/>
  <c r="F71" i="19"/>
  <c r="G70" i="19"/>
  <c r="F70" i="19"/>
  <c r="G69" i="19"/>
  <c r="F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2" i="19"/>
  <c r="F52" i="19"/>
  <c r="G51" i="19"/>
  <c r="F51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1" i="19"/>
  <c r="F41" i="19"/>
  <c r="G40" i="19"/>
  <c r="F40" i="19"/>
  <c r="G39" i="19"/>
  <c r="F39" i="19"/>
  <c r="G38" i="19"/>
  <c r="F38" i="19"/>
  <c r="G36" i="19"/>
  <c r="F36" i="19"/>
  <c r="G35" i="19"/>
  <c r="F35" i="19"/>
  <c r="G34" i="19"/>
  <c r="F34" i="19"/>
  <c r="G33" i="19"/>
  <c r="F33" i="19"/>
  <c r="G32" i="19"/>
  <c r="F32" i="19"/>
  <c r="G31" i="19"/>
  <c r="F31" i="19"/>
  <c r="G29" i="19"/>
  <c r="F29" i="19"/>
  <c r="G28" i="19"/>
  <c r="F28" i="19"/>
  <c r="G27" i="19"/>
  <c r="F27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7" i="19"/>
  <c r="F7" i="19"/>
  <c r="G6" i="19"/>
  <c r="F6" i="19"/>
  <c r="G5" i="19"/>
  <c r="F5" i="19"/>
  <c r="G3" i="19"/>
  <c r="F3" i="19"/>
  <c r="G2" i="19"/>
  <c r="F2" i="19"/>
  <c r="C144" i="24" l="1"/>
  <c r="C141" i="24"/>
  <c r="C135" i="24"/>
  <c r="C134" i="24"/>
  <c r="C126" i="24"/>
  <c r="C119" i="24"/>
  <c r="C106" i="24"/>
  <c r="C99" i="24"/>
  <c r="C92" i="24"/>
  <c r="C91" i="24"/>
  <c r="C88" i="24"/>
  <c r="C82" i="24"/>
  <c r="C79" i="24"/>
  <c r="C75" i="24"/>
  <c r="C63" i="24"/>
  <c r="C61" i="24"/>
  <c r="C41" i="24"/>
  <c r="C39" i="24"/>
  <c r="C37" i="24"/>
  <c r="C36" i="24"/>
  <c r="C35" i="24"/>
  <c r="C30" i="24"/>
  <c r="C18" i="24"/>
  <c r="C4" i="24"/>
  <c r="C2" i="24"/>
  <c r="D158" i="24"/>
  <c r="C158" i="24" s="1"/>
  <c r="D157" i="24"/>
  <c r="C157" i="24" s="1"/>
  <c r="D155" i="24"/>
  <c r="C155" i="24" s="1"/>
  <c r="D140" i="24"/>
  <c r="C140" i="24" s="1"/>
  <c r="D136" i="24"/>
  <c r="C136" i="24" s="1"/>
  <c r="D129" i="24"/>
  <c r="C129" i="24" s="1"/>
  <c r="D93" i="24"/>
  <c r="C93" i="24" s="1"/>
  <c r="D90" i="24"/>
  <c r="C90" i="24" s="1"/>
  <c r="D67" i="24"/>
  <c r="C67" i="24" s="1"/>
  <c r="J41" i="23"/>
  <c r="D156" i="5"/>
  <c r="D155" i="5"/>
  <c r="D151" i="5"/>
  <c r="D149" i="5"/>
  <c r="D148" i="5"/>
  <c r="D145" i="5"/>
  <c r="D144" i="5"/>
  <c r="D142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6" i="5"/>
  <c r="D105" i="5"/>
  <c r="D102" i="5"/>
  <c r="D101" i="5"/>
  <c r="D99" i="5"/>
  <c r="D98" i="5"/>
  <c r="D97" i="5"/>
  <c r="D96" i="5"/>
  <c r="D94" i="5"/>
  <c r="D93" i="5"/>
  <c r="D92" i="5"/>
  <c r="D91" i="5"/>
  <c r="D89" i="5"/>
  <c r="D88" i="5"/>
  <c r="D87" i="5"/>
  <c r="D85" i="5"/>
  <c r="D84" i="5"/>
  <c r="D82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7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6" i="5"/>
  <c r="D4" i="5"/>
  <c r="D3" i="5"/>
  <c r="A82" i="19" l="1"/>
  <c r="B79" i="24" l="1"/>
  <c r="K25" i="1"/>
  <c r="J27" i="1"/>
  <c r="J28" i="1"/>
  <c r="J29" i="1"/>
  <c r="C154" i="2"/>
  <c r="C155" i="2"/>
  <c r="C161" i="1" s="1"/>
  <c r="H82" i="3"/>
  <c r="D82" i="3"/>
  <c r="C82" i="2"/>
  <c r="C88" i="1" s="1"/>
  <c r="B82" i="2"/>
  <c r="A82" i="2"/>
  <c r="A82" i="3" s="1"/>
  <c r="I82" i="3" s="1"/>
  <c r="J107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5" i="5"/>
  <c r="J74" i="5"/>
  <c r="J73" i="5"/>
  <c r="J72" i="5"/>
  <c r="J71" i="5"/>
  <c r="J70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G87" i="6"/>
  <c r="H87" i="6"/>
  <c r="D87" i="6"/>
  <c r="H86" i="6"/>
  <c r="G86" i="6"/>
  <c r="D86" i="6"/>
  <c r="G85" i="6"/>
  <c r="H85" i="6"/>
  <c r="D85" i="6"/>
  <c r="G84" i="6"/>
  <c r="H84" i="6"/>
  <c r="D84" i="6"/>
  <c r="G83" i="6"/>
  <c r="H83" i="6"/>
  <c r="D83" i="6"/>
  <c r="G82" i="6"/>
  <c r="H82" i="6"/>
  <c r="D82" i="6"/>
  <c r="G81" i="6"/>
  <c r="H81" i="6"/>
  <c r="D81" i="6"/>
  <c r="H80" i="6"/>
  <c r="G80" i="6"/>
  <c r="D80" i="6"/>
  <c r="G79" i="6"/>
  <c r="H79" i="6"/>
  <c r="D79" i="6"/>
  <c r="H78" i="6"/>
  <c r="G78" i="6"/>
  <c r="D78" i="6"/>
  <c r="G77" i="6"/>
  <c r="H77" i="6"/>
  <c r="D77" i="6"/>
  <c r="G76" i="6"/>
  <c r="H76" i="6"/>
  <c r="D76" i="6"/>
  <c r="G75" i="6"/>
  <c r="H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H70" i="6"/>
  <c r="G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H64" i="6"/>
  <c r="G64" i="6"/>
  <c r="D64" i="6"/>
  <c r="G63" i="6"/>
  <c r="H63" i="6"/>
  <c r="D63" i="6"/>
  <c r="H62" i="6"/>
  <c r="G62" i="6"/>
  <c r="D62" i="6"/>
  <c r="H61" i="6"/>
  <c r="G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H56" i="6"/>
  <c r="G56" i="6"/>
  <c r="D56" i="6"/>
  <c r="G55" i="6"/>
  <c r="H55" i="6"/>
  <c r="D55" i="6"/>
  <c r="H54" i="6"/>
  <c r="G54" i="6"/>
  <c r="D54" i="6"/>
  <c r="H53" i="6"/>
  <c r="G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H46" i="6"/>
  <c r="G46" i="6"/>
  <c r="D46" i="6"/>
  <c r="H45" i="6"/>
  <c r="G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H38" i="6"/>
  <c r="G38" i="6"/>
  <c r="D38" i="6"/>
  <c r="H37" i="6"/>
  <c r="G37" i="6"/>
  <c r="D37" i="6"/>
  <c r="G36" i="6"/>
  <c r="H36" i="6"/>
  <c r="D36" i="6"/>
  <c r="G35" i="6"/>
  <c r="H35" i="6"/>
  <c r="D35" i="6"/>
  <c r="G34" i="6"/>
  <c r="H34" i="6"/>
  <c r="D34" i="6"/>
  <c r="G33" i="6"/>
  <c r="H33" i="6"/>
  <c r="D33" i="6"/>
  <c r="G32" i="6"/>
  <c r="H32" i="6"/>
  <c r="D32" i="6"/>
  <c r="G31" i="6"/>
  <c r="H31" i="6"/>
  <c r="D31" i="6"/>
  <c r="H30" i="6"/>
  <c r="G30" i="6"/>
  <c r="D30" i="6"/>
  <c r="H29" i="6"/>
  <c r="G29" i="6"/>
  <c r="D29" i="6"/>
  <c r="G28" i="6"/>
  <c r="H28" i="6"/>
  <c r="D28" i="6"/>
  <c r="G27" i="6"/>
  <c r="H27" i="6"/>
  <c r="D27" i="6"/>
  <c r="G26" i="6"/>
  <c r="H26" i="6"/>
  <c r="D26" i="6"/>
  <c r="G25" i="6"/>
  <c r="H25" i="6"/>
  <c r="D25" i="6"/>
  <c r="G24" i="6"/>
  <c r="H24" i="6"/>
  <c r="D24" i="6"/>
  <c r="G23" i="6"/>
  <c r="H23" i="6"/>
  <c r="D23" i="6"/>
  <c r="H22" i="6"/>
  <c r="G22" i="6"/>
  <c r="D22" i="6"/>
  <c r="H21" i="6"/>
  <c r="G21" i="6"/>
  <c r="D21" i="6"/>
  <c r="G20" i="6"/>
  <c r="H20" i="6"/>
  <c r="D20" i="6"/>
  <c r="G19" i="6"/>
  <c r="H19" i="6"/>
  <c r="D19" i="6"/>
  <c r="G18" i="6"/>
  <c r="H18" i="6"/>
  <c r="D18" i="6"/>
  <c r="G17" i="6"/>
  <c r="H17" i="6"/>
  <c r="D17" i="6"/>
  <c r="H16" i="6"/>
  <c r="G16" i="6"/>
  <c r="D16" i="6"/>
  <c r="G15" i="6"/>
  <c r="H15" i="6"/>
  <c r="D15" i="6"/>
  <c r="H14" i="6"/>
  <c r="G14" i="6"/>
  <c r="D14" i="6"/>
  <c r="H13" i="6"/>
  <c r="G13" i="6"/>
  <c r="D13" i="6"/>
  <c r="G12" i="6"/>
  <c r="H12" i="6"/>
  <c r="D12" i="6"/>
  <c r="G11" i="6"/>
  <c r="H11" i="6"/>
  <c r="D11" i="6"/>
  <c r="G10" i="6"/>
  <c r="H10" i="6"/>
  <c r="D10" i="6"/>
  <c r="G9" i="6"/>
  <c r="H9" i="6"/>
  <c r="D9" i="6"/>
  <c r="G8" i="6"/>
  <c r="H8" i="6"/>
  <c r="D8" i="6"/>
  <c r="G7" i="6"/>
  <c r="H7" i="6"/>
  <c r="D7" i="6"/>
  <c r="H6" i="6"/>
  <c r="G6" i="6"/>
  <c r="D6" i="6"/>
  <c r="H5" i="6"/>
  <c r="G5" i="6"/>
  <c r="D5" i="6"/>
  <c r="G4" i="6"/>
  <c r="H4" i="6"/>
  <c r="D4" i="6"/>
  <c r="D89" i="6"/>
  <c r="H89" i="6"/>
  <c r="H88" i="6"/>
  <c r="D88" i="6"/>
  <c r="D15" i="26"/>
  <c r="D16" i="26"/>
  <c r="D17" i="26" s="1"/>
  <c r="B2" i="26" s="1"/>
  <c r="B31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5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7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6" i="3"/>
  <c r="D4" i="3"/>
  <c r="D3" i="3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D193" i="10"/>
  <c r="C193" i="10"/>
  <c r="D192" i="10"/>
  <c r="C192" i="10"/>
  <c r="B186" i="1"/>
  <c r="B185" i="1"/>
  <c r="B181" i="1"/>
  <c r="B177" i="1"/>
  <c r="B169" i="1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30" i="3"/>
  <c r="B1" i="3"/>
  <c r="B2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3" i="3"/>
  <c r="B32" i="3"/>
  <c r="B31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H106" i="3"/>
  <c r="A181" i="1"/>
  <c r="C106" i="2"/>
  <c r="B106" i="2"/>
  <c r="A106" i="2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B30" i="17"/>
  <c r="B20" i="17"/>
  <c r="B19" i="17"/>
  <c r="B123" i="10"/>
  <c r="I122" i="10" s="1"/>
  <c r="F157" i="23"/>
  <c r="F156" i="23"/>
  <c r="F154" i="23"/>
  <c r="F143" i="23"/>
  <c r="F140" i="23"/>
  <c r="F139" i="23"/>
  <c r="F135" i="23"/>
  <c r="F134" i="23"/>
  <c r="F133" i="23"/>
  <c r="F128" i="23"/>
  <c r="F125" i="23"/>
  <c r="F118" i="23"/>
  <c r="F98" i="23"/>
  <c r="F92" i="23"/>
  <c r="F91" i="23"/>
  <c r="F90" i="23"/>
  <c r="F89" i="23"/>
  <c r="F87" i="23"/>
  <c r="F79" i="23"/>
  <c r="F75" i="23"/>
  <c r="F67" i="23"/>
  <c r="F63" i="23"/>
  <c r="F61" i="23"/>
  <c r="F41" i="23"/>
  <c r="F39" i="23"/>
  <c r="F37" i="23"/>
  <c r="F36" i="23"/>
  <c r="F35" i="23"/>
  <c r="F30" i="23"/>
  <c r="F18" i="23"/>
  <c r="F4" i="23"/>
  <c r="F2" i="23"/>
  <c r="L3" i="23"/>
  <c r="H158" i="3"/>
  <c r="H157" i="3"/>
  <c r="H155" i="3"/>
  <c r="H144" i="3"/>
  <c r="H141" i="3"/>
  <c r="H140" i="3"/>
  <c r="H136" i="3"/>
  <c r="H135" i="3"/>
  <c r="H134" i="3"/>
  <c r="H129" i="3"/>
  <c r="H126" i="3"/>
  <c r="H119" i="3"/>
  <c r="H99" i="3"/>
  <c r="H93" i="3"/>
  <c r="H92" i="3"/>
  <c r="H91" i="3"/>
  <c r="H90" i="3"/>
  <c r="H88" i="3"/>
  <c r="H79" i="3"/>
  <c r="H75" i="3"/>
  <c r="H67" i="3"/>
  <c r="H63" i="3"/>
  <c r="H61" i="3"/>
  <c r="H41" i="3"/>
  <c r="H39" i="3"/>
  <c r="H37" i="3"/>
  <c r="H36" i="3"/>
  <c r="H35" i="3"/>
  <c r="H30" i="3"/>
  <c r="H18" i="3"/>
  <c r="H4" i="3"/>
  <c r="H2" i="3"/>
  <c r="A158" i="2"/>
  <c r="A158" i="3" s="1"/>
  <c r="I158" i="3" s="1"/>
  <c r="A157" i="2"/>
  <c r="A156" i="2"/>
  <c r="A155" i="2"/>
  <c r="A155" i="3" s="1"/>
  <c r="I155" i="3" s="1"/>
  <c r="A154" i="2"/>
  <c r="A160" i="1" s="1"/>
  <c r="A153" i="2"/>
  <c r="A153" i="5" s="1"/>
  <c r="A152" i="2"/>
  <c r="A152" i="5" s="1"/>
  <c r="C152" i="5" s="1"/>
  <c r="A151" i="2"/>
  <c r="A151" i="5" s="1"/>
  <c r="A150" i="2"/>
  <c r="A150" i="5" s="1"/>
  <c r="A149" i="2"/>
  <c r="A149" i="3" s="1"/>
  <c r="I149" i="3" s="1"/>
  <c r="A148" i="2"/>
  <c r="A148" i="5" s="1"/>
  <c r="A147" i="2"/>
  <c r="A147" i="5" s="1"/>
  <c r="C147" i="5" s="1"/>
  <c r="A146" i="2"/>
  <c r="A146" i="3" s="1"/>
  <c r="I146" i="3" s="1"/>
  <c r="A145" i="2"/>
  <c r="A151" i="1" s="1"/>
  <c r="A144" i="2"/>
  <c r="A144" i="5" s="1"/>
  <c r="A143" i="2"/>
  <c r="A143" i="5" s="1"/>
  <c r="C143" i="5" s="1"/>
  <c r="A142" i="2"/>
  <c r="A142" i="5" s="1"/>
  <c r="A141" i="2"/>
  <c r="A141" i="3" s="1"/>
  <c r="I141" i="3" s="1"/>
  <c r="A140" i="2"/>
  <c r="A139" i="2"/>
  <c r="A139" i="3" s="1"/>
  <c r="I139" i="3" s="1"/>
  <c r="A138" i="2"/>
  <c r="A144" i="1" s="1"/>
  <c r="B144" i="1" s="1"/>
  <c r="A137" i="2"/>
  <c r="A137" i="3" s="1"/>
  <c r="I137" i="3" s="1"/>
  <c r="A136" i="2"/>
  <c r="A136" i="5" s="1"/>
  <c r="A135" i="2"/>
  <c r="A141" i="1" s="1"/>
  <c r="A134" i="23" s="1"/>
  <c r="A134" i="2"/>
  <c r="A134" i="5" s="1"/>
  <c r="A133" i="2"/>
  <c r="A133" i="3" s="1"/>
  <c r="I133" i="3" s="1"/>
  <c r="A132" i="2"/>
  <c r="A131" i="2"/>
  <c r="A131" i="5" s="1"/>
  <c r="A130" i="2"/>
  <c r="A130" i="3" s="1"/>
  <c r="I130" i="3" s="1"/>
  <c r="A129" i="2"/>
  <c r="A129" i="3" s="1"/>
  <c r="I129" i="3" s="1"/>
  <c r="A128" i="2"/>
  <c r="A128" i="5" s="1"/>
  <c r="C128" i="5" s="1"/>
  <c r="A127" i="2"/>
  <c r="A127" i="5" s="1"/>
  <c r="A126" i="2"/>
  <c r="A126" i="5" s="1"/>
  <c r="A125" i="2"/>
  <c r="A131" i="1" s="1"/>
  <c r="A124" i="2"/>
  <c r="A123" i="2"/>
  <c r="A123" i="3" s="1"/>
  <c r="I123" i="3" s="1"/>
  <c r="A122" i="2"/>
  <c r="A122" i="5" s="1"/>
  <c r="A121" i="2"/>
  <c r="A121" i="3" s="1"/>
  <c r="I121" i="3" s="1"/>
  <c r="A120" i="2"/>
  <c r="A120" i="3" s="1"/>
  <c r="I120" i="3" s="1"/>
  <c r="A119" i="2"/>
  <c r="A119" i="5" s="1"/>
  <c r="A118" i="2"/>
  <c r="A118" i="3" s="1"/>
  <c r="I118" i="3" s="1"/>
  <c r="A117" i="2"/>
  <c r="A117" i="3" s="1"/>
  <c r="I117" i="3" s="1"/>
  <c r="A116" i="2"/>
  <c r="A115" i="2"/>
  <c r="A115" i="5" s="1"/>
  <c r="C115" i="5" s="1"/>
  <c r="A114" i="2"/>
  <c r="A120" i="1" s="1"/>
  <c r="A113" i="23" s="1"/>
  <c r="A113" i="2"/>
  <c r="A113" i="5" s="1"/>
  <c r="A112" i="2"/>
  <c r="A112" i="5" s="1"/>
  <c r="A111" i="2"/>
  <c r="A111" i="5" s="1"/>
  <c r="A110" i="2"/>
  <c r="A116" i="1" s="1"/>
  <c r="A109" i="2"/>
  <c r="A109" i="3" s="1"/>
  <c r="I109" i="3" s="1"/>
  <c r="A108" i="2"/>
  <c r="A107" i="2"/>
  <c r="A107" i="3" s="1"/>
  <c r="I107" i="3" s="1"/>
  <c r="A105" i="2"/>
  <c r="A105" i="5" s="1"/>
  <c r="A104" i="2"/>
  <c r="A104" i="3" s="1"/>
  <c r="I104" i="3" s="1"/>
  <c r="A103" i="2"/>
  <c r="A103" i="5" s="1"/>
  <c r="A102" i="2"/>
  <c r="A102" i="5" s="1"/>
  <c r="A101" i="2"/>
  <c r="A101" i="5" s="1"/>
  <c r="A100" i="2"/>
  <c r="A100" i="3" s="1"/>
  <c r="I100" i="3" s="1"/>
  <c r="A99" i="2"/>
  <c r="A98" i="2"/>
  <c r="A98" i="5" s="1"/>
  <c r="A97" i="2"/>
  <c r="A97" i="5" s="1"/>
  <c r="A96" i="2"/>
  <c r="A96" i="5" s="1"/>
  <c r="A95" i="2"/>
  <c r="A101" i="1" s="1"/>
  <c r="A94" i="2"/>
  <c r="A100" i="1" s="1"/>
  <c r="A93" i="23" s="1"/>
  <c r="A93" i="2"/>
  <c r="A93" i="5" s="1"/>
  <c r="A92" i="2"/>
  <c r="A98" i="1" s="1"/>
  <c r="A91" i="23" s="1"/>
  <c r="A91" i="2"/>
  <c r="A90" i="2"/>
  <c r="A90" i="3" s="1"/>
  <c r="I90" i="3" s="1"/>
  <c r="A89" i="2"/>
  <c r="A95" i="1" s="1"/>
  <c r="A88" i="2"/>
  <c r="A88" i="3" s="1"/>
  <c r="I88" i="3" s="1"/>
  <c r="A87" i="2"/>
  <c r="A87" i="3" s="1"/>
  <c r="I87" i="3" s="1"/>
  <c r="A86" i="2"/>
  <c r="A86" i="3" s="1"/>
  <c r="I86" i="3" s="1"/>
  <c r="A85" i="2"/>
  <c r="A85" i="3" s="1"/>
  <c r="I85" i="3" s="1"/>
  <c r="A84" i="2"/>
  <c r="A84" i="3" s="1"/>
  <c r="I84" i="3" s="1"/>
  <c r="A83" i="2"/>
  <c r="A83" i="3" s="1"/>
  <c r="I83" i="3" s="1"/>
  <c r="A81" i="2"/>
  <c r="A80" i="2"/>
  <c r="A80" i="3" s="1"/>
  <c r="I80" i="3" s="1"/>
  <c r="A79" i="2"/>
  <c r="A85" i="1" s="1"/>
  <c r="A78" i="2"/>
  <c r="A78" i="3" s="1"/>
  <c r="I78" i="3" s="1"/>
  <c r="A77" i="2"/>
  <c r="A77" i="3" s="1"/>
  <c r="I77" i="3" s="1"/>
  <c r="A76" i="2"/>
  <c r="A76" i="3" s="1"/>
  <c r="I76" i="3" s="1"/>
  <c r="A75" i="2"/>
  <c r="A74" i="2"/>
  <c r="A74" i="3" s="1"/>
  <c r="I74" i="3" s="1"/>
  <c r="A73" i="2"/>
  <c r="A73" i="3" s="1"/>
  <c r="I73" i="3" s="1"/>
  <c r="A72" i="2"/>
  <c r="A72" i="3" s="1"/>
  <c r="I72" i="3" s="1"/>
  <c r="A71" i="2"/>
  <c r="A71" i="5" s="1"/>
  <c r="C71" i="5" s="1"/>
  <c r="A70" i="2"/>
  <c r="A70" i="3" s="1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5" i="2"/>
  <c r="A65" i="3" s="1"/>
  <c r="I65" i="3" s="1"/>
  <c r="A64" i="2"/>
  <c r="A64" i="3" s="1"/>
  <c r="I64" i="3" s="1"/>
  <c r="A63" i="2"/>
  <c r="A69" i="1" s="1"/>
  <c r="B69" i="1" s="1"/>
  <c r="A62" i="2"/>
  <c r="A62" i="3" s="1"/>
  <c r="I62" i="3" s="1"/>
  <c r="A61" i="2"/>
  <c r="A61" i="3" s="1"/>
  <c r="I61" i="3" s="1"/>
  <c r="A60" i="2"/>
  <c r="A60" i="3" s="1"/>
  <c r="I60" i="3" s="1"/>
  <c r="A59" i="2"/>
  <c r="A65" i="1" s="1"/>
  <c r="A58" i="2"/>
  <c r="A58" i="3"/>
  <c r="I58" i="3" s="1"/>
  <c r="A57" i="2"/>
  <c r="A57" i="5" s="1"/>
  <c r="A56" i="2"/>
  <c r="A56" i="3" s="1"/>
  <c r="I56" i="3" s="1"/>
  <c r="A55" i="2"/>
  <c r="A55" i="3" s="1"/>
  <c r="I55" i="3" s="1"/>
  <c r="A54" i="2"/>
  <c r="A54" i="3" s="1"/>
  <c r="I54" i="3" s="1"/>
  <c r="A53" i="2"/>
  <c r="A53" i="3" s="1"/>
  <c r="I53" i="3" s="1"/>
  <c r="A52" i="2"/>
  <c r="A52" i="5" s="1"/>
  <c r="A51" i="2"/>
  <c r="A51" i="3" s="1"/>
  <c r="I51" i="3" s="1"/>
  <c r="A50" i="2"/>
  <c r="A50" i="3" s="1"/>
  <c r="I50" i="3" s="1"/>
  <c r="A49" i="2"/>
  <c r="A49" i="3" s="1"/>
  <c r="I49" i="3" s="1"/>
  <c r="A48" i="2"/>
  <c r="A48" i="3" s="1"/>
  <c r="I48" i="3" s="1"/>
  <c r="A47" i="2"/>
  <c r="A47" i="3" s="1"/>
  <c r="I47" i="3" s="1"/>
  <c r="A46" i="2"/>
  <c r="A46" i="3" s="1"/>
  <c r="I46" i="3" s="1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7" i="2"/>
  <c r="A36" i="2"/>
  <c r="A36" i="3" s="1"/>
  <c r="I36" i="3" s="1"/>
  <c r="A35" i="2"/>
  <c r="A35" i="3" s="1"/>
  <c r="I35" i="3" s="1"/>
  <c r="A34" i="2"/>
  <c r="A34" i="3" s="1"/>
  <c r="I34" i="3" s="1"/>
  <c r="A33" i="2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 s="1"/>
  <c r="I28" i="3" s="1"/>
  <c r="A27" i="2"/>
  <c r="A27" i="3" s="1"/>
  <c r="I27" i="3" s="1"/>
  <c r="A26" i="2"/>
  <c r="A26" i="3" s="1"/>
  <c r="I26" i="3" s="1"/>
  <c r="A25" i="2"/>
  <c r="A25" i="3" s="1"/>
  <c r="I25" i="3" s="1"/>
  <c r="A24" i="2"/>
  <c r="A24" i="3" s="1"/>
  <c r="I24" i="3" s="1"/>
  <c r="A23" i="2"/>
  <c r="A23" i="3" s="1"/>
  <c r="I23" i="3" s="1"/>
  <c r="A22" i="2"/>
  <c r="A22" i="3" s="1"/>
  <c r="I22" i="3" s="1"/>
  <c r="A21" i="2"/>
  <c r="A21" i="3" s="1"/>
  <c r="I21" i="3" s="1"/>
  <c r="A20" i="2"/>
  <c r="A20" i="3" s="1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 s="1"/>
  <c r="I16" i="3" s="1"/>
  <c r="A15" i="2"/>
  <c r="A14" i="2"/>
  <c r="A14" i="5" s="1"/>
  <c r="A13" i="2"/>
  <c r="A13" i="3" s="1"/>
  <c r="I13" i="3" s="1"/>
  <c r="A12" i="2"/>
  <c r="A12" i="3" s="1"/>
  <c r="I12" i="3" s="1"/>
  <c r="A11" i="2"/>
  <c r="A11" i="3" s="1"/>
  <c r="I11" i="3" s="1"/>
  <c r="A10" i="2"/>
  <c r="A9" i="2"/>
  <c r="A9" i="3" s="1"/>
  <c r="I9" i="3" s="1"/>
  <c r="A8" i="2"/>
  <c r="A8" i="3" s="1"/>
  <c r="I8" i="3" s="1"/>
  <c r="A7" i="2"/>
  <c r="A7" i="3" s="1"/>
  <c r="I7" i="3" s="1"/>
  <c r="A6" i="2"/>
  <c r="A6" i="5" s="1"/>
  <c r="A5" i="2"/>
  <c r="A4" i="2"/>
  <c r="A4" i="3" s="1"/>
  <c r="I4" i="3" s="1"/>
  <c r="A3" i="2"/>
  <c r="A3" i="3" s="1"/>
  <c r="I3" i="3" s="1"/>
  <c r="B158" i="2"/>
  <c r="B157" i="2"/>
  <c r="B156" i="2"/>
  <c r="B155" i="2"/>
  <c r="B154" i="2"/>
  <c r="B153" i="2"/>
  <c r="C152" i="2"/>
  <c r="B152" i="2"/>
  <c r="C151" i="2"/>
  <c r="C157" i="1" s="1"/>
  <c r="B151" i="2"/>
  <c r="C150" i="2"/>
  <c r="C150" i="3" s="1"/>
  <c r="B150" i="2"/>
  <c r="C149" i="2"/>
  <c r="B149" i="5" s="1"/>
  <c r="B149" i="2"/>
  <c r="C148" i="2"/>
  <c r="B148" i="2"/>
  <c r="C147" i="2"/>
  <c r="B147" i="2"/>
  <c r="C146" i="2"/>
  <c r="C152" i="1" s="1"/>
  <c r="B146" i="2"/>
  <c r="C145" i="2"/>
  <c r="B145" i="5" s="1"/>
  <c r="B145" i="2"/>
  <c r="C144" i="2"/>
  <c r="C144" i="3" s="1"/>
  <c r="B144" i="2"/>
  <c r="C143" i="2"/>
  <c r="B143" i="2"/>
  <c r="C142" i="2"/>
  <c r="C142" i="3" s="1"/>
  <c r="B142" i="2"/>
  <c r="C141" i="2"/>
  <c r="B141" i="2"/>
  <c r="C140" i="2"/>
  <c r="B140" i="5" s="1"/>
  <c r="B140" i="2"/>
  <c r="C139" i="2"/>
  <c r="B139" i="5" s="1"/>
  <c r="B139" i="2"/>
  <c r="C138" i="2"/>
  <c r="C138" i="3" s="1"/>
  <c r="B138" i="2"/>
  <c r="C137" i="2"/>
  <c r="C143" i="1" s="1"/>
  <c r="B137" i="2"/>
  <c r="C136" i="2"/>
  <c r="C142" i="1" s="1"/>
  <c r="B136" i="2"/>
  <c r="C135" i="2"/>
  <c r="C135" i="3" s="1"/>
  <c r="B135" i="2"/>
  <c r="C134" i="2"/>
  <c r="C134" i="3" s="1"/>
  <c r="B134" i="2"/>
  <c r="C133" i="2"/>
  <c r="C139" i="1" s="1"/>
  <c r="B133" i="2"/>
  <c r="C132" i="2"/>
  <c r="B132" i="2"/>
  <c r="C131" i="2"/>
  <c r="B131" i="5" s="1"/>
  <c r="B131" i="2"/>
  <c r="C130" i="2"/>
  <c r="C136" i="1" s="1"/>
  <c r="B130" i="2"/>
  <c r="C129" i="2"/>
  <c r="C129" i="3" s="1"/>
  <c r="B129" i="2"/>
  <c r="C128" i="2"/>
  <c r="C128" i="3" s="1"/>
  <c r="B128" i="2"/>
  <c r="C127" i="2"/>
  <c r="B127" i="5" s="1"/>
  <c r="B127" i="2"/>
  <c r="C126" i="2"/>
  <c r="C126" i="3" s="1"/>
  <c r="B126" i="2"/>
  <c r="C125" i="2"/>
  <c r="B125" i="2"/>
  <c r="C124" i="2"/>
  <c r="B124" i="5" s="1"/>
  <c r="B124" i="2"/>
  <c r="C123" i="2"/>
  <c r="C123" i="3" s="1"/>
  <c r="B123" i="2"/>
  <c r="C122" i="2"/>
  <c r="C122" i="3" s="1"/>
  <c r="B122" i="2"/>
  <c r="C121" i="2"/>
  <c r="C121" i="3" s="1"/>
  <c r="B121" i="2"/>
  <c r="C120" i="2"/>
  <c r="C126" i="1" s="1"/>
  <c r="B120" i="2"/>
  <c r="C119" i="2"/>
  <c r="C119" i="3" s="1"/>
  <c r="B119" i="2"/>
  <c r="C118" i="2"/>
  <c r="C118" i="3" s="1"/>
  <c r="B118" i="2"/>
  <c r="C117" i="2"/>
  <c r="B117" i="2"/>
  <c r="C116" i="2"/>
  <c r="B116" i="2"/>
  <c r="C115" i="2"/>
  <c r="B115" i="2"/>
  <c r="C114" i="2"/>
  <c r="B114" i="2"/>
  <c r="C113" i="2"/>
  <c r="C113" i="3" s="1"/>
  <c r="B113" i="2"/>
  <c r="C112" i="2"/>
  <c r="C112" i="3" s="1"/>
  <c r="B112" i="2"/>
  <c r="C111" i="2"/>
  <c r="B111" i="2"/>
  <c r="C110" i="2"/>
  <c r="C110" i="3" s="1"/>
  <c r="B110" i="2"/>
  <c r="C109" i="2"/>
  <c r="B109" i="2"/>
  <c r="C108" i="2"/>
  <c r="B108" i="5" s="1"/>
  <c r="B108" i="2"/>
  <c r="C107" i="2"/>
  <c r="C113" i="1" s="1"/>
  <c r="B107" i="2"/>
  <c r="C105" i="2"/>
  <c r="B105" i="2"/>
  <c r="C104" i="2"/>
  <c r="B104" i="5" s="1"/>
  <c r="B104" i="2"/>
  <c r="C103" i="2"/>
  <c r="B103" i="5" s="1"/>
  <c r="B103" i="2"/>
  <c r="C102" i="2"/>
  <c r="C108" i="1" s="1"/>
  <c r="B102" i="2"/>
  <c r="C101" i="2"/>
  <c r="C101" i="3" s="1"/>
  <c r="B101" i="2"/>
  <c r="C100" i="2"/>
  <c r="B100" i="2"/>
  <c r="C99" i="2"/>
  <c r="B99" i="5" s="1"/>
  <c r="B99" i="2"/>
  <c r="C97" i="2"/>
  <c r="B97" i="5" s="1"/>
  <c r="B97" i="2"/>
  <c r="C96" i="2"/>
  <c r="C102" i="1" s="1"/>
  <c r="B96" i="2"/>
  <c r="C95" i="2"/>
  <c r="B95" i="2"/>
  <c r="C94" i="2"/>
  <c r="C100" i="1" s="1"/>
  <c r="B94" i="2"/>
  <c r="C93" i="2"/>
  <c r="C93" i="3" s="1"/>
  <c r="B93" i="2"/>
  <c r="C92" i="2"/>
  <c r="C98" i="1" s="1"/>
  <c r="B92" i="2"/>
  <c r="C91" i="2"/>
  <c r="B91" i="2"/>
  <c r="C90" i="2"/>
  <c r="B90" i="2"/>
  <c r="C89" i="2"/>
  <c r="C89" i="3" s="1"/>
  <c r="B89" i="2"/>
  <c r="C88" i="2"/>
  <c r="B88" i="2"/>
  <c r="C87" i="2"/>
  <c r="B87" i="2"/>
  <c r="C86" i="2"/>
  <c r="B86" i="5" s="1"/>
  <c r="B86" i="2"/>
  <c r="C85" i="2"/>
  <c r="C91" i="1" s="1"/>
  <c r="B85" i="2"/>
  <c r="C84" i="2"/>
  <c r="B84" i="5" s="1"/>
  <c r="B84" i="2"/>
  <c r="C83" i="2"/>
  <c r="B83" i="2"/>
  <c r="C81" i="2"/>
  <c r="C87" i="1" s="1"/>
  <c r="B81" i="2"/>
  <c r="C80" i="2"/>
  <c r="C86" i="1" s="1"/>
  <c r="B80" i="2"/>
  <c r="C79" i="2"/>
  <c r="B79" i="2"/>
  <c r="C78" i="2"/>
  <c r="B78" i="2"/>
  <c r="C77" i="2"/>
  <c r="C77" i="3" s="1"/>
  <c r="B77" i="2"/>
  <c r="C76" i="2"/>
  <c r="C76" i="3" s="1"/>
  <c r="B76" i="2"/>
  <c r="C75" i="2"/>
  <c r="C81" i="1" s="1"/>
  <c r="B75" i="2"/>
  <c r="C74" i="2"/>
  <c r="B74" i="2"/>
  <c r="C73" i="2"/>
  <c r="C73" i="3" s="1"/>
  <c r="B73" i="2"/>
  <c r="C72" i="2"/>
  <c r="C72" i="3" s="1"/>
  <c r="B72" i="2"/>
  <c r="C71" i="2"/>
  <c r="B71" i="5" s="1"/>
  <c r="B71" i="2"/>
  <c r="C70" i="2"/>
  <c r="B70" i="2"/>
  <c r="C69" i="2"/>
  <c r="C75" i="1" s="1"/>
  <c r="B69" i="2"/>
  <c r="C68" i="2"/>
  <c r="B68" i="2"/>
  <c r="C67" i="2"/>
  <c r="C67" i="3" s="1"/>
  <c r="B67" i="2"/>
  <c r="C66" i="2"/>
  <c r="B66" i="5" s="1"/>
  <c r="B66" i="2"/>
  <c r="C65" i="2"/>
  <c r="B65" i="2"/>
  <c r="C64" i="2"/>
  <c r="B64" i="2"/>
  <c r="C63" i="2"/>
  <c r="C63" i="3" s="1"/>
  <c r="B63" i="2"/>
  <c r="C62" i="2"/>
  <c r="B62" i="2"/>
  <c r="C61" i="2"/>
  <c r="B61" i="2"/>
  <c r="C60" i="2"/>
  <c r="C60" i="3" s="1"/>
  <c r="B60" i="2"/>
  <c r="C59" i="2"/>
  <c r="B59" i="2"/>
  <c r="C58" i="2"/>
  <c r="B58" i="2"/>
  <c r="C57" i="2"/>
  <c r="C63" i="1" s="1"/>
  <c r="B57" i="2"/>
  <c r="C56" i="2"/>
  <c r="C56" i="3" s="1"/>
  <c r="B56" i="2"/>
  <c r="C55" i="2"/>
  <c r="C55" i="3" s="1"/>
  <c r="B55" i="2"/>
  <c r="C54" i="2"/>
  <c r="C54" i="3" s="1"/>
  <c r="B54" i="2"/>
  <c r="C53" i="2"/>
  <c r="B53" i="2"/>
  <c r="C52" i="2"/>
  <c r="C52" i="3" s="1"/>
  <c r="B52" i="2"/>
  <c r="C51" i="2"/>
  <c r="B51" i="2"/>
  <c r="C50" i="2"/>
  <c r="B50" i="2"/>
  <c r="C49" i="2"/>
  <c r="B49" i="5" s="1"/>
  <c r="B49" i="2"/>
  <c r="C48" i="2"/>
  <c r="B48" i="2"/>
  <c r="C47" i="2"/>
  <c r="B47" i="5" s="1"/>
  <c r="B47" i="2"/>
  <c r="C46" i="2"/>
  <c r="C46" i="3" s="1"/>
  <c r="B46" i="2"/>
  <c r="C45" i="2"/>
  <c r="B45" i="2"/>
  <c r="C44" i="2"/>
  <c r="B44" i="5" s="1"/>
  <c r="B44" i="2"/>
  <c r="C43" i="2"/>
  <c r="C43" i="3" s="1"/>
  <c r="B43" i="2"/>
  <c r="C42" i="2"/>
  <c r="C48" i="1" s="1"/>
  <c r="B42" i="2"/>
  <c r="C41" i="2"/>
  <c r="B41" i="5" s="1"/>
  <c r="B41" i="2"/>
  <c r="C40" i="2"/>
  <c r="C40" i="3" s="1"/>
  <c r="B40" i="2"/>
  <c r="C39" i="2"/>
  <c r="B39" i="5" s="1"/>
  <c r="B39" i="2"/>
  <c r="C38" i="2"/>
  <c r="C38" i="3" s="1"/>
  <c r="B38" i="2"/>
  <c r="C37" i="2"/>
  <c r="B37" i="5" s="1"/>
  <c r="B37" i="2"/>
  <c r="C36" i="2"/>
  <c r="C36" i="3" s="1"/>
  <c r="B36" i="2"/>
  <c r="C35" i="2"/>
  <c r="B35" i="2"/>
  <c r="C34" i="2"/>
  <c r="C40" i="1" s="1"/>
  <c r="B34" i="2"/>
  <c r="C33" i="2"/>
  <c r="B33" i="2"/>
  <c r="C32" i="2"/>
  <c r="B32" i="2"/>
  <c r="C31" i="2"/>
  <c r="B31" i="2"/>
  <c r="C30" i="2"/>
  <c r="B30" i="2"/>
  <c r="C29" i="2"/>
  <c r="B29" i="2"/>
  <c r="C28" i="2"/>
  <c r="C28" i="3" s="1"/>
  <c r="B28" i="2"/>
  <c r="C27" i="2"/>
  <c r="B27" i="2"/>
  <c r="C26" i="2"/>
  <c r="C32" i="1" s="1"/>
  <c r="B26" i="2"/>
  <c r="C25" i="2"/>
  <c r="B25" i="5" s="1"/>
  <c r="B25" i="2"/>
  <c r="C24" i="2"/>
  <c r="B24" i="2"/>
  <c r="C23" i="2"/>
  <c r="B23" i="5" s="1"/>
  <c r="B23" i="2"/>
  <c r="C22" i="2"/>
  <c r="B22" i="2"/>
  <c r="C21" i="2"/>
  <c r="B21" i="5" s="1"/>
  <c r="B21" i="2"/>
  <c r="C20" i="2"/>
  <c r="B20" i="2"/>
  <c r="C19" i="2"/>
  <c r="C19" i="3" s="1"/>
  <c r="B19" i="2"/>
  <c r="C18" i="2"/>
  <c r="B18" i="2"/>
  <c r="C17" i="2"/>
  <c r="B17" i="2"/>
  <c r="C16" i="2"/>
  <c r="C16" i="3" s="1"/>
  <c r="B16" i="2"/>
  <c r="C15" i="2"/>
  <c r="B15" i="2"/>
  <c r="C14" i="2"/>
  <c r="B14" i="2"/>
  <c r="C13" i="2"/>
  <c r="B13" i="2"/>
  <c r="C12" i="2"/>
  <c r="B12" i="2"/>
  <c r="C11" i="2"/>
  <c r="B11" i="2"/>
  <c r="C10" i="2"/>
  <c r="C10" i="3" s="1"/>
  <c r="B10" i="2"/>
  <c r="C9" i="2"/>
  <c r="C9" i="3" s="1"/>
  <c r="C8" i="2"/>
  <c r="B8" i="5" s="1"/>
  <c r="B8" i="2"/>
  <c r="C7" i="2"/>
  <c r="C7" i="3" s="1"/>
  <c r="B7" i="2"/>
  <c r="C6" i="2"/>
  <c r="C6" i="3" s="1"/>
  <c r="B6" i="2"/>
  <c r="C5" i="2"/>
  <c r="B5" i="2"/>
  <c r="C4" i="2"/>
  <c r="C4" i="3" s="1"/>
  <c r="B4" i="2"/>
  <c r="C3" i="2"/>
  <c r="B3" i="2"/>
  <c r="C154" i="3"/>
  <c r="A99" i="5"/>
  <c r="A99" i="3"/>
  <c r="I99" i="3" s="1"/>
  <c r="A124" i="5"/>
  <c r="A124" i="3"/>
  <c r="I124" i="3" s="1"/>
  <c r="A148" i="3"/>
  <c r="I148" i="3" s="1"/>
  <c r="D187" i="10"/>
  <c r="B167" i="10"/>
  <c r="I160" i="10" s="1"/>
  <c r="B56" i="10"/>
  <c r="F172" i="10" s="1"/>
  <c r="B60" i="10"/>
  <c r="F173" i="10" s="1"/>
  <c r="B75" i="10"/>
  <c r="F174" i="10" s="1"/>
  <c r="B95" i="10"/>
  <c r="I89" i="10" s="1"/>
  <c r="B137" i="10"/>
  <c r="F177" i="10" s="1"/>
  <c r="B140" i="10"/>
  <c r="F178" i="10" s="1"/>
  <c r="I2" i="25"/>
  <c r="D141" i="5"/>
  <c r="B2" i="2"/>
  <c r="A146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I126" i="10"/>
  <c r="M126" i="10" s="1"/>
  <c r="I135" i="10"/>
  <c r="I136" i="10"/>
  <c r="K18" i="23"/>
  <c r="A89" i="1"/>
  <c r="B89" i="1" s="1"/>
  <c r="A64" i="1"/>
  <c r="A58" i="23" s="1"/>
  <c r="A43" i="5"/>
  <c r="C43" i="5" s="1"/>
  <c r="A27" i="5"/>
  <c r="A2" i="2"/>
  <c r="A8" i="1" s="1"/>
  <c r="B74" i="24"/>
  <c r="D74" i="24" s="1"/>
  <c r="C74" i="24" s="1"/>
  <c r="F74" i="23" s="1"/>
  <c r="B37" i="24"/>
  <c r="B19" i="24"/>
  <c r="D19" i="24" s="1"/>
  <c r="C19" i="24" s="1"/>
  <c r="F19" i="23" s="1"/>
  <c r="B2" i="24"/>
  <c r="B3" i="24"/>
  <c r="D3" i="24" s="1"/>
  <c r="C3" i="24" s="1"/>
  <c r="F3" i="23" s="1"/>
  <c r="B4" i="24"/>
  <c r="B5" i="24"/>
  <c r="D5" i="24" s="1"/>
  <c r="C5" i="24" s="1"/>
  <c r="H5" i="3" s="1"/>
  <c r="B6" i="24"/>
  <c r="D6" i="24" s="1"/>
  <c r="C6" i="24" s="1"/>
  <c r="H6" i="3" s="1"/>
  <c r="B7" i="24"/>
  <c r="D7" i="24" s="1"/>
  <c r="C7" i="24" s="1"/>
  <c r="H7" i="3" s="1"/>
  <c r="B8" i="24"/>
  <c r="D8" i="24" s="1"/>
  <c r="C8" i="24" s="1"/>
  <c r="F8" i="23" s="1"/>
  <c r="B9" i="24"/>
  <c r="D9" i="24" s="1"/>
  <c r="C9" i="24" s="1"/>
  <c r="F9" i="23" s="1"/>
  <c r="B10" i="24"/>
  <c r="D10" i="24" s="1"/>
  <c r="C10" i="24" s="1"/>
  <c r="F10" i="23" s="1"/>
  <c r="B11" i="24"/>
  <c r="D11" i="24" s="1"/>
  <c r="C11" i="24" s="1"/>
  <c r="F11" i="23" s="1"/>
  <c r="B12" i="24"/>
  <c r="D12" i="24" s="1"/>
  <c r="C12" i="24" s="1"/>
  <c r="F12" i="23" s="1"/>
  <c r="B13" i="24"/>
  <c r="D13" i="24" s="1"/>
  <c r="C13" i="24" s="1"/>
  <c r="H13" i="3" s="1"/>
  <c r="B14" i="24"/>
  <c r="D14" i="24" s="1"/>
  <c r="C14" i="24" s="1"/>
  <c r="H14" i="3" s="1"/>
  <c r="B15" i="24"/>
  <c r="D15" i="24" s="1"/>
  <c r="C15" i="24" s="1"/>
  <c r="H15" i="3" s="1"/>
  <c r="B16" i="24"/>
  <c r="D16" i="24" s="1"/>
  <c r="C16" i="24" s="1"/>
  <c r="F16" i="23" s="1"/>
  <c r="B17" i="24"/>
  <c r="D17" i="24" s="1"/>
  <c r="C17" i="24" s="1"/>
  <c r="F17" i="23" s="1"/>
  <c r="B18" i="24"/>
  <c r="B20" i="24"/>
  <c r="D20" i="24" s="1"/>
  <c r="C20" i="24" s="1"/>
  <c r="F20" i="23" s="1"/>
  <c r="B21" i="24"/>
  <c r="D21" i="24" s="1"/>
  <c r="C21" i="24" s="1"/>
  <c r="H21" i="3" s="1"/>
  <c r="B22" i="24"/>
  <c r="D22" i="24" s="1"/>
  <c r="C22" i="24" s="1"/>
  <c r="H22" i="3" s="1"/>
  <c r="B23" i="24"/>
  <c r="D23" i="24" s="1"/>
  <c r="C23" i="24" s="1"/>
  <c r="H23" i="3" s="1"/>
  <c r="B24" i="24"/>
  <c r="D24" i="24" s="1"/>
  <c r="C24" i="24" s="1"/>
  <c r="F24" i="23" s="1"/>
  <c r="B25" i="24"/>
  <c r="D25" i="24" s="1"/>
  <c r="C25" i="24" s="1"/>
  <c r="F25" i="23" s="1"/>
  <c r="B26" i="24"/>
  <c r="D26" i="24" s="1"/>
  <c r="C26" i="24" s="1"/>
  <c r="F26" i="23" s="1"/>
  <c r="B27" i="24"/>
  <c r="D27" i="24" s="1"/>
  <c r="C27" i="24" s="1"/>
  <c r="F27" i="23" s="1"/>
  <c r="B28" i="24"/>
  <c r="D28" i="24" s="1"/>
  <c r="C28" i="24" s="1"/>
  <c r="F28" i="23" s="1"/>
  <c r="B29" i="24"/>
  <c r="D29" i="24" s="1"/>
  <c r="C29" i="24" s="1"/>
  <c r="H29" i="3" s="1"/>
  <c r="B30" i="24"/>
  <c r="B31" i="24"/>
  <c r="D31" i="24" s="1"/>
  <c r="C31" i="24" s="1"/>
  <c r="H31" i="3" s="1"/>
  <c r="B32" i="24"/>
  <c r="D32" i="24" s="1"/>
  <c r="C32" i="24" s="1"/>
  <c r="F32" i="23" s="1"/>
  <c r="B33" i="24"/>
  <c r="D33" i="24" s="1"/>
  <c r="C33" i="24" s="1"/>
  <c r="F33" i="23" s="1"/>
  <c r="B34" i="24"/>
  <c r="D34" i="24" s="1"/>
  <c r="C34" i="24" s="1"/>
  <c r="F34" i="23" s="1"/>
  <c r="B35" i="24"/>
  <c r="B36" i="24"/>
  <c r="B38" i="24"/>
  <c r="D38" i="24" s="1"/>
  <c r="C38" i="24" s="1"/>
  <c r="H38" i="3" s="1"/>
  <c r="B39" i="24"/>
  <c r="B40" i="24"/>
  <c r="D40" i="24" s="1"/>
  <c r="C40" i="24" s="1"/>
  <c r="F40" i="23" s="1"/>
  <c r="B41" i="24"/>
  <c r="B42" i="24"/>
  <c r="D42" i="24" s="1"/>
  <c r="C42" i="24" s="1"/>
  <c r="F42" i="23" s="1"/>
  <c r="B43" i="24"/>
  <c r="D43" i="24" s="1"/>
  <c r="C43" i="24" s="1"/>
  <c r="F43" i="23" s="1"/>
  <c r="B44" i="24"/>
  <c r="D44" i="24" s="1"/>
  <c r="C44" i="24" s="1"/>
  <c r="F44" i="23" s="1"/>
  <c r="B45" i="24"/>
  <c r="D45" i="24" s="1"/>
  <c r="C45" i="24" s="1"/>
  <c r="H45" i="3" s="1"/>
  <c r="B46" i="24"/>
  <c r="D46" i="24" s="1"/>
  <c r="C46" i="24" s="1"/>
  <c r="H46" i="3" s="1"/>
  <c r="B47" i="24"/>
  <c r="D47" i="24" s="1"/>
  <c r="C47" i="24" s="1"/>
  <c r="H47" i="3" s="1"/>
  <c r="B48" i="24"/>
  <c r="D48" i="24" s="1"/>
  <c r="C48" i="24" s="1"/>
  <c r="F48" i="23" s="1"/>
  <c r="B49" i="24"/>
  <c r="D49" i="24" s="1"/>
  <c r="C49" i="24" s="1"/>
  <c r="F49" i="23" s="1"/>
  <c r="B50" i="24"/>
  <c r="D50" i="24" s="1"/>
  <c r="C50" i="24" s="1"/>
  <c r="F50" i="23" s="1"/>
  <c r="B51" i="24"/>
  <c r="D51" i="24" s="1"/>
  <c r="C51" i="24" s="1"/>
  <c r="F51" i="23" s="1"/>
  <c r="B52" i="24"/>
  <c r="D52" i="24" s="1"/>
  <c r="C52" i="24" s="1"/>
  <c r="F52" i="23" s="1"/>
  <c r="B53" i="24"/>
  <c r="D53" i="24" s="1"/>
  <c r="C53" i="24" s="1"/>
  <c r="H53" i="3" s="1"/>
  <c r="B54" i="24"/>
  <c r="D54" i="24" s="1"/>
  <c r="C54" i="24" s="1"/>
  <c r="H54" i="3" s="1"/>
  <c r="B55" i="24"/>
  <c r="D55" i="24" s="1"/>
  <c r="C55" i="24" s="1"/>
  <c r="H55" i="3" s="1"/>
  <c r="B56" i="24"/>
  <c r="D56" i="24" s="1"/>
  <c r="C56" i="24" s="1"/>
  <c r="F56" i="23" s="1"/>
  <c r="B57" i="24"/>
  <c r="D57" i="24" s="1"/>
  <c r="C57" i="24" s="1"/>
  <c r="F57" i="23" s="1"/>
  <c r="B58" i="24"/>
  <c r="D58" i="24" s="1"/>
  <c r="C58" i="24" s="1"/>
  <c r="F58" i="23" s="1"/>
  <c r="B59" i="24"/>
  <c r="D59" i="24" s="1"/>
  <c r="C59" i="24" s="1"/>
  <c r="F59" i="23" s="1"/>
  <c r="B60" i="24"/>
  <c r="D60" i="24" s="1"/>
  <c r="C60" i="24" s="1"/>
  <c r="F60" i="23" s="1"/>
  <c r="B61" i="24"/>
  <c r="B62" i="24"/>
  <c r="D62" i="24" s="1"/>
  <c r="C62" i="24" s="1"/>
  <c r="H62" i="3" s="1"/>
  <c r="B63" i="24"/>
  <c r="B64" i="24"/>
  <c r="D64" i="24" s="1"/>
  <c r="C64" i="24" s="1"/>
  <c r="F64" i="23" s="1"/>
  <c r="B65" i="24"/>
  <c r="D65" i="24" s="1"/>
  <c r="C65" i="24" s="1"/>
  <c r="F65" i="23" s="1"/>
  <c r="B66" i="24"/>
  <c r="D66" i="24" s="1"/>
  <c r="C66" i="24" s="1"/>
  <c r="F66" i="23" s="1"/>
  <c r="B68" i="24"/>
  <c r="D68" i="24" s="1"/>
  <c r="C68" i="24" s="1"/>
  <c r="F68" i="23" s="1"/>
  <c r="B69" i="24"/>
  <c r="D69" i="24" s="1"/>
  <c r="C69" i="24" s="1"/>
  <c r="H69" i="3" s="1"/>
  <c r="B70" i="24"/>
  <c r="D70" i="24" s="1"/>
  <c r="C70" i="24" s="1"/>
  <c r="H70" i="3" s="1"/>
  <c r="B71" i="24"/>
  <c r="D71" i="24" s="1"/>
  <c r="C71" i="24" s="1"/>
  <c r="H71" i="3" s="1"/>
  <c r="B72" i="24"/>
  <c r="D72" i="24" s="1"/>
  <c r="C72" i="24" s="1"/>
  <c r="F72" i="23" s="1"/>
  <c r="B73" i="24"/>
  <c r="D73" i="24" s="1"/>
  <c r="C73" i="24" s="1"/>
  <c r="F73" i="23" s="1"/>
  <c r="B75" i="24"/>
  <c r="B76" i="24"/>
  <c r="D76" i="24" s="1"/>
  <c r="C76" i="24" s="1"/>
  <c r="F76" i="23" s="1"/>
  <c r="B77" i="24"/>
  <c r="D77" i="24" s="1"/>
  <c r="C77" i="24" s="1"/>
  <c r="H77" i="3" s="1"/>
  <c r="B78" i="24"/>
  <c r="D78" i="24" s="1"/>
  <c r="C78" i="24" s="1"/>
  <c r="H78" i="3" s="1"/>
  <c r="B80" i="24"/>
  <c r="D80" i="24" s="1"/>
  <c r="C80" i="24" s="1"/>
  <c r="F80" i="23" s="1"/>
  <c r="B81" i="24"/>
  <c r="D81" i="24" s="1"/>
  <c r="C81" i="24" s="1"/>
  <c r="F81" i="23" s="1"/>
  <c r="B83" i="24"/>
  <c r="D83" i="24" s="1"/>
  <c r="C83" i="24" s="1"/>
  <c r="F82" i="23" s="1"/>
  <c r="B84" i="24"/>
  <c r="D84" i="24" s="1"/>
  <c r="C84" i="24" s="1"/>
  <c r="F83" i="23" s="1"/>
  <c r="B85" i="24"/>
  <c r="D85" i="24" s="1"/>
  <c r="C85" i="24" s="1"/>
  <c r="F84" i="23" s="1"/>
  <c r="B86" i="24"/>
  <c r="D86" i="24" s="1"/>
  <c r="C86" i="24" s="1"/>
  <c r="H86" i="3" s="1"/>
  <c r="B87" i="24"/>
  <c r="D87" i="24" s="1"/>
  <c r="C87" i="24" s="1"/>
  <c r="H87" i="3" s="1"/>
  <c r="B88" i="24"/>
  <c r="B89" i="24"/>
  <c r="D89" i="24" s="1"/>
  <c r="C89" i="24" s="1"/>
  <c r="F88" i="23" s="1"/>
  <c r="B91" i="24"/>
  <c r="B94" i="24"/>
  <c r="D94" i="24" s="1"/>
  <c r="C94" i="24" s="1"/>
  <c r="H94" i="3" s="1"/>
  <c r="B95" i="24"/>
  <c r="D95" i="24" s="1"/>
  <c r="C95" i="24" s="1"/>
  <c r="H95" i="3" s="1"/>
  <c r="B96" i="24"/>
  <c r="D96" i="24" s="1"/>
  <c r="C96" i="24" s="1"/>
  <c r="H96" i="3" s="1"/>
  <c r="B97" i="24"/>
  <c r="D97" i="24" s="1"/>
  <c r="C97" i="24" s="1"/>
  <c r="F96" i="23" s="1"/>
  <c r="B98" i="24"/>
  <c r="D98" i="24" s="1"/>
  <c r="C98" i="24" s="1"/>
  <c r="F97" i="23" s="1"/>
  <c r="B99" i="24"/>
  <c r="B100" i="24"/>
  <c r="D100" i="24" s="1"/>
  <c r="C100" i="24" s="1"/>
  <c r="F99" i="23" s="1"/>
  <c r="B101" i="24"/>
  <c r="D101" i="24" s="1"/>
  <c r="C101" i="24" s="1"/>
  <c r="F100" i="23" s="1"/>
  <c r="B102" i="24"/>
  <c r="D102" i="24" s="1"/>
  <c r="C102" i="24" s="1"/>
  <c r="H102" i="3" s="1"/>
  <c r="B103" i="24"/>
  <c r="D103" i="24" s="1"/>
  <c r="C103" i="24" s="1"/>
  <c r="H103" i="3" s="1"/>
  <c r="B104" i="24"/>
  <c r="D104" i="24" s="1"/>
  <c r="C104" i="24" s="1"/>
  <c r="H104" i="3" s="1"/>
  <c r="B105" i="24"/>
  <c r="D105" i="24" s="1"/>
  <c r="C105" i="24" s="1"/>
  <c r="F104" i="23" s="1"/>
  <c r="B107" i="24"/>
  <c r="D107" i="24" s="1"/>
  <c r="C107" i="24" s="1"/>
  <c r="F106" i="23" s="1"/>
  <c r="B108" i="24"/>
  <c r="D108" i="24" s="1"/>
  <c r="C108" i="24" s="1"/>
  <c r="F107" i="23" s="1"/>
  <c r="B109" i="24"/>
  <c r="D109" i="24" s="1"/>
  <c r="C109" i="24" s="1"/>
  <c r="F108" i="23" s="1"/>
  <c r="B110" i="24"/>
  <c r="D110" i="24" s="1"/>
  <c r="C110" i="24" s="1"/>
  <c r="F109" i="23" s="1"/>
  <c r="B111" i="24"/>
  <c r="D111" i="24" s="1"/>
  <c r="C111" i="24" s="1"/>
  <c r="H111" i="3" s="1"/>
  <c r="B112" i="24"/>
  <c r="D112" i="24" s="1"/>
  <c r="C112" i="24" s="1"/>
  <c r="H112" i="3" s="1"/>
  <c r="B113" i="24"/>
  <c r="D113" i="24" s="1"/>
  <c r="C113" i="24" s="1"/>
  <c r="H113" i="3" s="1"/>
  <c r="B114" i="24"/>
  <c r="D114" i="24" s="1"/>
  <c r="C114" i="24" s="1"/>
  <c r="F113" i="23" s="1"/>
  <c r="B115" i="24"/>
  <c r="D115" i="24" s="1"/>
  <c r="C115" i="24" s="1"/>
  <c r="F114" i="23" s="1"/>
  <c r="B116" i="24"/>
  <c r="D116" i="24" s="1"/>
  <c r="C116" i="24" s="1"/>
  <c r="F115" i="23" s="1"/>
  <c r="B117" i="24"/>
  <c r="D117" i="24" s="1"/>
  <c r="C117" i="24" s="1"/>
  <c r="F116" i="23" s="1"/>
  <c r="B118" i="24"/>
  <c r="D118" i="24" s="1"/>
  <c r="C118" i="24" s="1"/>
  <c r="F117" i="23" s="1"/>
  <c r="B119" i="24"/>
  <c r="B120" i="24"/>
  <c r="D120" i="24" s="1"/>
  <c r="C120" i="24" s="1"/>
  <c r="H120" i="3" s="1"/>
  <c r="B121" i="24"/>
  <c r="D121" i="24" s="1"/>
  <c r="C121" i="24" s="1"/>
  <c r="H121" i="3" s="1"/>
  <c r="B122" i="24"/>
  <c r="D122" i="24" s="1"/>
  <c r="C122" i="24" s="1"/>
  <c r="F121" i="23" s="1"/>
  <c r="B123" i="24"/>
  <c r="D123" i="24" s="1"/>
  <c r="C123" i="24" s="1"/>
  <c r="F122" i="23" s="1"/>
  <c r="B124" i="24"/>
  <c r="D124" i="24" s="1"/>
  <c r="C124" i="24" s="1"/>
  <c r="F123" i="23" s="1"/>
  <c r="B125" i="24"/>
  <c r="D125" i="24" s="1"/>
  <c r="C125" i="24" s="1"/>
  <c r="F124" i="23" s="1"/>
  <c r="B126" i="24"/>
  <c r="B127" i="24"/>
  <c r="D127" i="24" s="1"/>
  <c r="C127" i="24" s="1"/>
  <c r="H127" i="3" s="1"/>
  <c r="B128" i="24"/>
  <c r="D128" i="24" s="1"/>
  <c r="C128" i="24" s="1"/>
  <c r="H128" i="3" s="1"/>
  <c r="B130" i="24"/>
  <c r="D130" i="24" s="1"/>
  <c r="C130" i="24" s="1"/>
  <c r="F129" i="23" s="1"/>
  <c r="B131" i="24"/>
  <c r="D131" i="24" s="1"/>
  <c r="C131" i="24" s="1"/>
  <c r="F130" i="23" s="1"/>
  <c r="B132" i="24"/>
  <c r="D132" i="24" s="1"/>
  <c r="C132" i="24" s="1"/>
  <c r="F131" i="23" s="1"/>
  <c r="B133" i="24"/>
  <c r="D133" i="24" s="1"/>
  <c r="C133" i="24" s="1"/>
  <c r="F132" i="23" s="1"/>
  <c r="B134" i="24"/>
  <c r="B135" i="24"/>
  <c r="B137" i="24"/>
  <c r="D137" i="24" s="1"/>
  <c r="C137" i="24" s="1"/>
  <c r="H137" i="3" s="1"/>
  <c r="B138" i="24"/>
  <c r="D138" i="24" s="1"/>
  <c r="C138" i="24" s="1"/>
  <c r="F137" i="23" s="1"/>
  <c r="B139" i="24"/>
  <c r="D139" i="24" s="1"/>
  <c r="C139" i="24" s="1"/>
  <c r="F138" i="23" s="1"/>
  <c r="B142" i="24"/>
  <c r="D142" i="24" s="1"/>
  <c r="C142" i="24" s="1"/>
  <c r="F141" i="23" s="1"/>
  <c r="B143" i="24"/>
  <c r="D143" i="24" s="1"/>
  <c r="C143" i="24" s="1"/>
  <c r="H143" i="3" s="1"/>
  <c r="B145" i="24"/>
  <c r="D145" i="24" s="1"/>
  <c r="C145" i="24" s="1"/>
  <c r="H145" i="3" s="1"/>
  <c r="B146" i="24"/>
  <c r="D146" i="24" s="1"/>
  <c r="C146" i="24" s="1"/>
  <c r="F145" i="23" s="1"/>
  <c r="B147" i="24"/>
  <c r="D147" i="24" s="1"/>
  <c r="C147" i="24" s="1"/>
  <c r="F146" i="23" s="1"/>
  <c r="B148" i="24"/>
  <c r="D148" i="24" s="1"/>
  <c r="C148" i="24" s="1"/>
  <c r="F147" i="23" s="1"/>
  <c r="B149" i="24"/>
  <c r="D149" i="24" s="1"/>
  <c r="C149" i="24" s="1"/>
  <c r="F148" i="23" s="1"/>
  <c r="B150" i="24"/>
  <c r="D150" i="24" s="1"/>
  <c r="C150" i="24" s="1"/>
  <c r="F149" i="23" s="1"/>
  <c r="B151" i="24"/>
  <c r="D151" i="24" s="1"/>
  <c r="C151" i="24" s="1"/>
  <c r="H151" i="3" s="1"/>
  <c r="B152" i="24"/>
  <c r="D152" i="24" s="1"/>
  <c r="C152" i="24" s="1"/>
  <c r="H152" i="3" s="1"/>
  <c r="B153" i="24"/>
  <c r="D153" i="24" s="1"/>
  <c r="C153" i="24" s="1"/>
  <c r="H153" i="3" s="1"/>
  <c r="B154" i="24"/>
  <c r="D154" i="24" s="1"/>
  <c r="C154" i="24" s="1"/>
  <c r="F153" i="23" s="1"/>
  <c r="B156" i="24"/>
  <c r="D156" i="24" s="1"/>
  <c r="C156" i="24" s="1"/>
  <c r="F155" i="23" s="1"/>
  <c r="I102" i="10"/>
  <c r="J102" i="10" s="1"/>
  <c r="I118" i="10"/>
  <c r="J118" i="10" s="1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M130" i="10" s="1"/>
  <c r="I124" i="10"/>
  <c r="I134" i="10"/>
  <c r="M134" i="10"/>
  <c r="I128" i="10"/>
  <c r="M128" i="10" s="1"/>
  <c r="I133" i="10"/>
  <c r="J133" i="10" s="1"/>
  <c r="A57" i="1"/>
  <c r="I159" i="10"/>
  <c r="M159" i="10" s="1"/>
  <c r="I157" i="10"/>
  <c r="M157" i="10" s="1"/>
  <c r="I165" i="10"/>
  <c r="I148" i="10"/>
  <c r="M148" i="10" s="1"/>
  <c r="I149" i="10"/>
  <c r="M149" i="10" s="1"/>
  <c r="I156" i="10"/>
  <c r="J156" i="10" s="1"/>
  <c r="I146" i="10"/>
  <c r="J146" i="10" s="1"/>
  <c r="I141" i="10"/>
  <c r="M141" i="10" s="1"/>
  <c r="I152" i="10"/>
  <c r="M152" i="10" s="1"/>
  <c r="I144" i="10"/>
  <c r="M144" i="10" s="1"/>
  <c r="I153" i="10"/>
  <c r="J153" i="10" s="1"/>
  <c r="I111" i="10"/>
  <c r="J111" i="10" s="1"/>
  <c r="I96" i="10"/>
  <c r="I104" i="10"/>
  <c r="M104" i="10" s="1"/>
  <c r="I129" i="10"/>
  <c r="I127" i="10"/>
  <c r="M127" i="10" s="1"/>
  <c r="I131" i="10"/>
  <c r="I125" i="10"/>
  <c r="I132" i="10"/>
  <c r="M132" i="10" s="1"/>
  <c r="I68" i="10"/>
  <c r="J68" i="10" s="1"/>
  <c r="M68" i="10"/>
  <c r="M131" i="10"/>
  <c r="B82" i="3"/>
  <c r="B154" i="3"/>
  <c r="B146" i="3"/>
  <c r="B136" i="3"/>
  <c r="B125" i="3"/>
  <c r="B116" i="3"/>
  <c r="B108" i="3"/>
  <c r="B100" i="3"/>
  <c r="B91" i="3"/>
  <c r="B81" i="3"/>
  <c r="B71" i="3"/>
  <c r="B63" i="3"/>
  <c r="B54" i="3"/>
  <c r="B153" i="3"/>
  <c r="B145" i="3"/>
  <c r="B133" i="3"/>
  <c r="B124" i="3"/>
  <c r="B115" i="3"/>
  <c r="B107" i="3"/>
  <c r="B98" i="3"/>
  <c r="B90" i="3"/>
  <c r="B80" i="3"/>
  <c r="B70" i="3"/>
  <c r="B62" i="3"/>
  <c r="B152" i="3"/>
  <c r="B144" i="3"/>
  <c r="B132" i="3"/>
  <c r="B123" i="3"/>
  <c r="B114" i="3"/>
  <c r="B106" i="3"/>
  <c r="B97" i="3"/>
  <c r="B88" i="3"/>
  <c r="B78" i="3"/>
  <c r="B69" i="3"/>
  <c r="B60" i="3"/>
  <c r="B151" i="3"/>
  <c r="B143" i="3"/>
  <c r="B131" i="3"/>
  <c r="B122" i="3"/>
  <c r="B113" i="3"/>
  <c r="B105" i="3"/>
  <c r="B96" i="3"/>
  <c r="B87" i="3"/>
  <c r="B77" i="3"/>
  <c r="B68" i="3"/>
  <c r="B59" i="3"/>
  <c r="B150" i="3"/>
  <c r="B142" i="3"/>
  <c r="B130" i="3"/>
  <c r="B121" i="3"/>
  <c r="B112" i="3"/>
  <c r="B104" i="3"/>
  <c r="B95" i="3"/>
  <c r="B86" i="3"/>
  <c r="B76" i="3"/>
  <c r="B67" i="3"/>
  <c r="B58" i="3"/>
  <c r="B158" i="3"/>
  <c r="B149" i="3"/>
  <c r="B141" i="3"/>
  <c r="B129" i="3"/>
  <c r="B120" i="3"/>
  <c r="B111" i="3"/>
  <c r="B103" i="3"/>
  <c r="B94" i="3"/>
  <c r="B85" i="3"/>
  <c r="B74" i="3"/>
  <c r="B66" i="3"/>
  <c r="B57" i="3"/>
  <c r="B157" i="3"/>
  <c r="B148" i="3"/>
  <c r="B139" i="3"/>
  <c r="B128" i="3"/>
  <c r="B118" i="3"/>
  <c r="B110" i="3"/>
  <c r="B102" i="3"/>
  <c r="B93" i="3"/>
  <c r="B84" i="3"/>
  <c r="B73" i="3"/>
  <c r="B65" i="3"/>
  <c r="B56" i="3"/>
  <c r="B155" i="3"/>
  <c r="B147" i="3"/>
  <c r="B138" i="3"/>
  <c r="B127" i="3"/>
  <c r="B117" i="3"/>
  <c r="B109" i="3"/>
  <c r="B101" i="3"/>
  <c r="B92" i="3"/>
  <c r="B83" i="3"/>
  <c r="B72" i="3"/>
  <c r="B64" i="3"/>
  <c r="B55" i="3"/>
  <c r="J124" i="10"/>
  <c r="I72" i="10"/>
  <c r="J72" i="10" s="1"/>
  <c r="J125" i="10"/>
  <c r="M125" i="10"/>
  <c r="J131" i="10"/>
  <c r="I79" i="10"/>
  <c r="J79" i="10" s="1"/>
  <c r="M79" i="10"/>
  <c r="I64" i="10"/>
  <c r="J64" i="10" s="1"/>
  <c r="I73" i="10"/>
  <c r="J73" i="10" s="1"/>
  <c r="I65" i="10"/>
  <c r="M65" i="10" s="1"/>
  <c r="I74" i="10"/>
  <c r="J74" i="10" s="1"/>
  <c r="I66" i="10"/>
  <c r="M66" i="10" s="1"/>
  <c r="I69" i="10"/>
  <c r="J69" i="10" s="1"/>
  <c r="J127" i="10"/>
  <c r="M124" i="10"/>
  <c r="I139" i="10"/>
  <c r="J139" i="10" s="1"/>
  <c r="D140" i="10" s="1"/>
  <c r="D178" i="10" s="1"/>
  <c r="I138" i="10"/>
  <c r="M138" i="10"/>
  <c r="J141" i="10"/>
  <c r="F179" i="10"/>
  <c r="J165" i="10"/>
  <c r="J134" i="10"/>
  <c r="J129" i="10"/>
  <c r="J128" i="10"/>
  <c r="M129" i="10"/>
  <c r="I137" i="10"/>
  <c r="J126" i="10"/>
  <c r="M135" i="10"/>
  <c r="I59" i="10"/>
  <c r="M59" i="10" s="1"/>
  <c r="I58" i="10"/>
  <c r="M58" i="10" s="1"/>
  <c r="I57" i="10"/>
  <c r="J57" i="10" s="1"/>
  <c r="I35" i="10"/>
  <c r="J35" i="10" s="1"/>
  <c r="J144" i="10"/>
  <c r="M153" i="10"/>
  <c r="I163" i="10"/>
  <c r="I143" i="10"/>
  <c r="J143" i="10" s="1"/>
  <c r="M165" i="10"/>
  <c r="M146" i="10"/>
  <c r="M136" i="10"/>
  <c r="J136" i="10"/>
  <c r="J130" i="10"/>
  <c r="J135" i="10"/>
  <c r="M133" i="10"/>
  <c r="J104" i="10"/>
  <c r="I92" i="10"/>
  <c r="M92" i="10" s="1"/>
  <c r="I88" i="10"/>
  <c r="J88" i="10" s="1"/>
  <c r="I80" i="10"/>
  <c r="M80" i="10" s="1"/>
  <c r="J66" i="10"/>
  <c r="A51" i="5"/>
  <c r="A49" i="1"/>
  <c r="B49" i="1" s="1"/>
  <c r="A138" i="1"/>
  <c r="A148" i="1"/>
  <c r="A141" i="23" s="1"/>
  <c r="A130" i="1"/>
  <c r="B130" i="1" s="1"/>
  <c r="A35" i="5"/>
  <c r="A154" i="1"/>
  <c r="A147" i="23" s="1"/>
  <c r="A105" i="1"/>
  <c r="A98" i="23" s="1"/>
  <c r="A83" i="5"/>
  <c r="A58" i="5"/>
  <c r="A87" i="5"/>
  <c r="A33" i="1"/>
  <c r="A27" i="23" s="1"/>
  <c r="A74" i="5"/>
  <c r="C74" i="5" s="1"/>
  <c r="A80" i="1"/>
  <c r="B80" i="1" s="1"/>
  <c r="A19" i="5"/>
  <c r="A25" i="1"/>
  <c r="A19" i="23" s="1"/>
  <c r="J138" i="10"/>
  <c r="M73" i="10"/>
  <c r="I60" i="10"/>
  <c r="J163" i="10"/>
  <c r="M163" i="10"/>
  <c r="J92" i="10"/>
  <c r="F171" i="10"/>
  <c r="J149" i="10" l="1"/>
  <c r="M143" i="10"/>
  <c r="I162" i="10"/>
  <c r="I154" i="10"/>
  <c r="J154" i="10" s="1"/>
  <c r="I150" i="10"/>
  <c r="M150" i="10" s="1"/>
  <c r="J152" i="10"/>
  <c r="I145" i="10"/>
  <c r="J145" i="10" s="1"/>
  <c r="I161" i="10"/>
  <c r="I155" i="10"/>
  <c r="J155" i="10" s="1"/>
  <c r="J150" i="10"/>
  <c r="I142" i="10"/>
  <c r="I166" i="10"/>
  <c r="I147" i="10"/>
  <c r="M154" i="10"/>
  <c r="M156" i="10"/>
  <c r="I164" i="10"/>
  <c r="I158" i="10"/>
  <c r="I151" i="10"/>
  <c r="J157" i="10"/>
  <c r="J159" i="10"/>
  <c r="M139" i="10"/>
  <c r="G140" i="10" s="1"/>
  <c r="E178" i="10" s="1"/>
  <c r="J132" i="10"/>
  <c r="D137" i="10" s="1"/>
  <c r="D177" i="10" s="1"/>
  <c r="I112" i="10"/>
  <c r="M112" i="10" s="1"/>
  <c r="I119" i="10"/>
  <c r="I90" i="10"/>
  <c r="M88" i="10"/>
  <c r="I91" i="10"/>
  <c r="I85" i="10"/>
  <c r="I86" i="10"/>
  <c r="I94" i="10"/>
  <c r="I87" i="10"/>
  <c r="I93" i="10"/>
  <c r="I84" i="10"/>
  <c r="I76" i="10"/>
  <c r="F175" i="10"/>
  <c r="I78" i="10"/>
  <c r="I81" i="10"/>
  <c r="I82" i="10"/>
  <c r="I77" i="10"/>
  <c r="I83" i="10"/>
  <c r="M72" i="10"/>
  <c r="I63" i="10"/>
  <c r="I71" i="10"/>
  <c r="M64" i="10"/>
  <c r="M74" i="10"/>
  <c r="I67" i="10"/>
  <c r="I70" i="10"/>
  <c r="I61" i="10"/>
  <c r="I62" i="10"/>
  <c r="I43" i="10"/>
  <c r="I34" i="10"/>
  <c r="M34" i="10" s="1"/>
  <c r="I2" i="10"/>
  <c r="I10" i="10"/>
  <c r="I18" i="10"/>
  <c r="I26" i="10"/>
  <c r="I3" i="10"/>
  <c r="I11" i="10"/>
  <c r="I19" i="10"/>
  <c r="I27" i="10"/>
  <c r="I4" i="10"/>
  <c r="I12" i="10"/>
  <c r="I20" i="10"/>
  <c r="I28" i="10"/>
  <c r="I5" i="10"/>
  <c r="I13" i="10"/>
  <c r="I21" i="10"/>
  <c r="I29" i="10"/>
  <c r="I6" i="10"/>
  <c r="I14" i="10"/>
  <c r="I22" i="10"/>
  <c r="I30" i="10"/>
  <c r="I7" i="10"/>
  <c r="I15" i="10"/>
  <c r="I23" i="10"/>
  <c r="I8" i="10"/>
  <c r="I16" i="10"/>
  <c r="I24" i="10"/>
  <c r="I9" i="10"/>
  <c r="I17" i="10"/>
  <c r="I25" i="10"/>
  <c r="I82" i="25"/>
  <c r="A135" i="3"/>
  <c r="I135" i="3" s="1"/>
  <c r="A102" i="3"/>
  <c r="I102" i="3" s="1"/>
  <c r="A36" i="1"/>
  <c r="A108" i="1"/>
  <c r="A101" i="23" s="1"/>
  <c r="A135" i="5"/>
  <c r="A125" i="1"/>
  <c r="B125" i="1" s="1"/>
  <c r="A133" i="1"/>
  <c r="B133" i="1" s="1"/>
  <c r="A127" i="3"/>
  <c r="I127" i="3" s="1"/>
  <c r="A94" i="3"/>
  <c r="I94" i="3" s="1"/>
  <c r="A117" i="1"/>
  <c r="B117" i="1" s="1"/>
  <c r="A149" i="1"/>
  <c r="A142" i="23" s="1"/>
  <c r="A94" i="5"/>
  <c r="A157" i="1"/>
  <c r="A151" i="3"/>
  <c r="I151" i="3" s="1"/>
  <c r="A119" i="3"/>
  <c r="I119" i="3" s="1"/>
  <c r="A143" i="3"/>
  <c r="I143" i="3" s="1"/>
  <c r="A111" i="3"/>
  <c r="I111" i="3" s="1"/>
  <c r="A67" i="1"/>
  <c r="B67" i="1" s="1"/>
  <c r="H8" i="3"/>
  <c r="H16" i="3"/>
  <c r="H24" i="3"/>
  <c r="H32" i="3"/>
  <c r="H40" i="3"/>
  <c r="H48" i="3"/>
  <c r="H56" i="3"/>
  <c r="H64" i="3"/>
  <c r="H72" i="3"/>
  <c r="H80" i="3"/>
  <c r="H89" i="3"/>
  <c r="H97" i="3"/>
  <c r="H105" i="3"/>
  <c r="H114" i="3"/>
  <c r="H122" i="3"/>
  <c r="H130" i="3"/>
  <c r="H138" i="3"/>
  <c r="H146" i="3"/>
  <c r="H154" i="3"/>
  <c r="F5" i="23"/>
  <c r="F13" i="23"/>
  <c r="F21" i="23"/>
  <c r="F29" i="23"/>
  <c r="F45" i="23"/>
  <c r="F53" i="23"/>
  <c r="F69" i="23"/>
  <c r="F77" i="23"/>
  <c r="F85" i="23"/>
  <c r="F93" i="23"/>
  <c r="F101" i="23"/>
  <c r="F110" i="23"/>
  <c r="F126" i="23"/>
  <c r="F142" i="23"/>
  <c r="F150" i="23"/>
  <c r="H9" i="3"/>
  <c r="H17" i="3"/>
  <c r="H25" i="3"/>
  <c r="H33" i="3"/>
  <c r="H49" i="3"/>
  <c r="H57" i="3"/>
  <c r="H65" i="3"/>
  <c r="H73" i="3"/>
  <c r="H81" i="3"/>
  <c r="H98" i="3"/>
  <c r="H107" i="3"/>
  <c r="H115" i="3"/>
  <c r="H123" i="3"/>
  <c r="H131" i="3"/>
  <c r="H139" i="3"/>
  <c r="H147" i="3"/>
  <c r="F6" i="23"/>
  <c r="F14" i="23"/>
  <c r="F22" i="23"/>
  <c r="F38" i="23"/>
  <c r="F46" i="23"/>
  <c r="F54" i="23"/>
  <c r="F62" i="23"/>
  <c r="F70" i="23"/>
  <c r="F78" i="23"/>
  <c r="F86" i="23"/>
  <c r="F94" i="23"/>
  <c r="F102" i="23"/>
  <c r="F111" i="23"/>
  <c r="F119" i="23"/>
  <c r="F127" i="23"/>
  <c r="F151" i="23"/>
  <c r="H10" i="3"/>
  <c r="H26" i="3"/>
  <c r="H34" i="3"/>
  <c r="H42" i="3"/>
  <c r="H50" i="3"/>
  <c r="H58" i="3"/>
  <c r="H66" i="3"/>
  <c r="H74" i="3"/>
  <c r="H83" i="3"/>
  <c r="H108" i="3"/>
  <c r="H116" i="3"/>
  <c r="H124" i="3"/>
  <c r="H132" i="3"/>
  <c r="H148" i="3"/>
  <c r="H156" i="3"/>
  <c r="F7" i="23"/>
  <c r="F15" i="23"/>
  <c r="F23" i="23"/>
  <c r="F31" i="23"/>
  <c r="F47" i="23"/>
  <c r="F55" i="23"/>
  <c r="F71" i="23"/>
  <c r="F95" i="23"/>
  <c r="F103" i="23"/>
  <c r="F112" i="23"/>
  <c r="F120" i="23"/>
  <c r="F136" i="23"/>
  <c r="F144" i="23"/>
  <c r="F152" i="23"/>
  <c r="H3" i="3"/>
  <c r="H11" i="3"/>
  <c r="H19" i="3"/>
  <c r="H27" i="3"/>
  <c r="H43" i="3"/>
  <c r="H51" i="3"/>
  <c r="H59" i="3"/>
  <c r="H84" i="3"/>
  <c r="H100" i="3"/>
  <c r="H109" i="3"/>
  <c r="H117" i="3"/>
  <c r="H125" i="3"/>
  <c r="H133" i="3"/>
  <c r="H149" i="3"/>
  <c r="H12" i="3"/>
  <c r="H20" i="3"/>
  <c r="H28" i="3"/>
  <c r="H44" i="3"/>
  <c r="H52" i="3"/>
  <c r="H60" i="3"/>
  <c r="H68" i="3"/>
  <c r="H76" i="3"/>
  <c r="H85" i="3"/>
  <c r="H101" i="3"/>
  <c r="H110" i="3"/>
  <c r="H118" i="3"/>
  <c r="H142" i="3"/>
  <c r="H150" i="3"/>
  <c r="M160" i="10"/>
  <c r="J160" i="10"/>
  <c r="J148" i="10"/>
  <c r="M155" i="10"/>
  <c r="G137" i="10"/>
  <c r="E177" i="10" s="1"/>
  <c r="M122" i="10"/>
  <c r="J122" i="10"/>
  <c r="K122" i="10"/>
  <c r="L122" i="10"/>
  <c r="I97" i="10"/>
  <c r="I121" i="10"/>
  <c r="I117" i="10"/>
  <c r="I99" i="10"/>
  <c r="I120" i="10"/>
  <c r="F176" i="10"/>
  <c r="F180" i="10" s="1"/>
  <c r="G171" i="10" s="1"/>
  <c r="I107" i="10"/>
  <c r="I113" i="10"/>
  <c r="I116" i="10"/>
  <c r="I100" i="10"/>
  <c r="I114" i="10"/>
  <c r="I98" i="10"/>
  <c r="J112" i="10"/>
  <c r="M118" i="10"/>
  <c r="M111" i="10"/>
  <c r="M102" i="10"/>
  <c r="I109" i="10"/>
  <c r="J96" i="10"/>
  <c r="I103" i="10"/>
  <c r="I110" i="10"/>
  <c r="M96" i="10"/>
  <c r="I105" i="10"/>
  <c r="I108" i="10"/>
  <c r="I115" i="10"/>
  <c r="I106" i="10"/>
  <c r="I101" i="10"/>
  <c r="M89" i="10"/>
  <c r="J89" i="10"/>
  <c r="I95" i="10"/>
  <c r="J80" i="10"/>
  <c r="I75" i="10"/>
  <c r="M69" i="10"/>
  <c r="J65" i="10"/>
  <c r="M57" i="10"/>
  <c r="G60" i="10" s="1"/>
  <c r="E173" i="10" s="1"/>
  <c r="D185" i="10" s="1"/>
  <c r="J59" i="10"/>
  <c r="J58" i="10"/>
  <c r="I50" i="10"/>
  <c r="I44" i="10"/>
  <c r="I55" i="10"/>
  <c r="M35" i="10"/>
  <c r="I54" i="10"/>
  <c r="I46" i="10"/>
  <c r="I45" i="10"/>
  <c r="I38" i="10"/>
  <c r="I32" i="10"/>
  <c r="I49" i="10"/>
  <c r="I51" i="10"/>
  <c r="I36" i="10"/>
  <c r="I41" i="10"/>
  <c r="I39" i="10"/>
  <c r="I47" i="10"/>
  <c r="I33" i="10"/>
  <c r="I48" i="10"/>
  <c r="I37" i="10"/>
  <c r="I53" i="10"/>
  <c r="I42" i="10"/>
  <c r="I52" i="10"/>
  <c r="I40" i="10"/>
  <c r="D115" i="3"/>
  <c r="D147" i="3"/>
  <c r="D43" i="3"/>
  <c r="D143" i="3"/>
  <c r="D128" i="3"/>
  <c r="D152" i="3"/>
  <c r="D74" i="3"/>
  <c r="D71" i="3"/>
  <c r="I81" i="25"/>
  <c r="C21" i="25" s="1"/>
  <c r="B151" i="5"/>
  <c r="A22" i="5"/>
  <c r="A28" i="1"/>
  <c r="B28" i="1" s="1"/>
  <c r="A96" i="1"/>
  <c r="B96" i="1" s="1"/>
  <c r="A90" i="5"/>
  <c r="A161" i="1"/>
  <c r="B161" i="1" s="1"/>
  <c r="A113" i="1"/>
  <c r="A76" i="5"/>
  <c r="A71" i="1"/>
  <c r="A65" i="23" s="1"/>
  <c r="A153" i="1"/>
  <c r="A146" i="23" s="1"/>
  <c r="A123" i="5"/>
  <c r="A115" i="3"/>
  <c r="I115" i="3" s="1"/>
  <c r="A27" i="1"/>
  <c r="A21" i="23" s="1"/>
  <c r="A118" i="5"/>
  <c r="A23" i="5"/>
  <c r="A158" i="1"/>
  <c r="A151" i="23" s="1"/>
  <c r="A103" i="3"/>
  <c r="I103" i="3" s="1"/>
  <c r="A120" i="5"/>
  <c r="A112" i="3"/>
  <c r="I112" i="3" s="1"/>
  <c r="A53" i="5"/>
  <c r="A85" i="5"/>
  <c r="A21" i="5"/>
  <c r="A51" i="1"/>
  <c r="A45" i="23" s="1"/>
  <c r="A91" i="1"/>
  <c r="A84" i="23" s="1"/>
  <c r="A158" i="5"/>
  <c r="A60" i="5"/>
  <c r="A45" i="5"/>
  <c r="C45" i="5" s="1"/>
  <c r="A66" i="1"/>
  <c r="B66" i="1" s="1"/>
  <c r="A126" i="3"/>
  <c r="I126" i="3" s="1"/>
  <c r="A74" i="1"/>
  <c r="B74" i="1" s="1"/>
  <c r="A82" i="1"/>
  <c r="B82" i="1" s="1"/>
  <c r="A43" i="23"/>
  <c r="A141" i="5"/>
  <c r="A109" i="5"/>
  <c r="A139" i="1"/>
  <c r="A132" i="23" s="1"/>
  <c r="A106" i="1"/>
  <c r="B106" i="1" s="1"/>
  <c r="A89" i="5"/>
  <c r="A104" i="1"/>
  <c r="A97" i="23" s="1"/>
  <c r="A65" i="5"/>
  <c r="A95" i="3"/>
  <c r="I95" i="3" s="1"/>
  <c r="A136" i="1"/>
  <c r="A129" i="23" s="1"/>
  <c r="A129" i="1"/>
  <c r="B129" i="1" s="1"/>
  <c r="A145" i="1"/>
  <c r="B145" i="1" s="1"/>
  <c r="A152" i="1"/>
  <c r="B152" i="1" s="1"/>
  <c r="A155" i="5"/>
  <c r="A95" i="5"/>
  <c r="C95" i="5" s="1"/>
  <c r="A62" i="5"/>
  <c r="A68" i="1"/>
  <c r="A62" i="23" s="1"/>
  <c r="A118" i="1"/>
  <c r="B118" i="1" s="1"/>
  <c r="A29" i="1"/>
  <c r="A23" i="23" s="1"/>
  <c r="A142" i="1"/>
  <c r="A135" i="23" s="1"/>
  <c r="A93" i="1"/>
  <c r="B93" i="1" s="1"/>
  <c r="A152" i="3"/>
  <c r="I152" i="3" s="1"/>
  <c r="A150" i="1"/>
  <c r="A143" i="23" s="1"/>
  <c r="A134" i="1"/>
  <c r="A127" i="23" s="1"/>
  <c r="A109" i="1"/>
  <c r="B109" i="1" s="1"/>
  <c r="A70" i="5"/>
  <c r="A39" i="5"/>
  <c r="A126" i="1"/>
  <c r="B126" i="1" s="1"/>
  <c r="A31" i="5"/>
  <c r="A78" i="5"/>
  <c r="C78" i="5" s="1"/>
  <c r="A128" i="3"/>
  <c r="I128" i="3" s="1"/>
  <c r="A136" i="3"/>
  <c r="I136" i="3" s="1"/>
  <c r="A144" i="3"/>
  <c r="I144" i="3" s="1"/>
  <c r="A84" i="1"/>
  <c r="A78" i="23" s="1"/>
  <c r="A37" i="1"/>
  <c r="B37" i="1" s="1"/>
  <c r="A54" i="5"/>
  <c r="A75" i="1"/>
  <c r="B75" i="1" s="1"/>
  <c r="A69" i="5"/>
  <c r="A52" i="1"/>
  <c r="B52" i="1" s="1"/>
  <c r="A60" i="1"/>
  <c r="A54" i="23" s="1"/>
  <c r="A83" i="1"/>
  <c r="A77" i="23" s="1"/>
  <c r="B105" i="1"/>
  <c r="A30" i="5"/>
  <c r="A61" i="5"/>
  <c r="A77" i="5"/>
  <c r="A46" i="5"/>
  <c r="B131" i="1"/>
  <c r="A124" i="23"/>
  <c r="A90" i="1"/>
  <c r="A83" i="23" s="1"/>
  <c r="A84" i="5"/>
  <c r="A147" i="1"/>
  <c r="B147" i="1" s="1"/>
  <c r="C111" i="5"/>
  <c r="A125" i="5"/>
  <c r="A92" i="5"/>
  <c r="A115" i="1"/>
  <c r="B115" i="1" s="1"/>
  <c r="A12" i="5"/>
  <c r="A123" i="1"/>
  <c r="A116" i="23" s="1"/>
  <c r="A125" i="3"/>
  <c r="I125" i="3" s="1"/>
  <c r="A92" i="3"/>
  <c r="I92" i="3" s="1"/>
  <c r="B155" i="5"/>
  <c r="A149" i="5"/>
  <c r="A117" i="5"/>
  <c r="A18" i="1"/>
  <c r="A12" i="23" s="1"/>
  <c r="A155" i="1"/>
  <c r="B155" i="1" s="1"/>
  <c r="A67" i="5"/>
  <c r="C67" i="5" s="1"/>
  <c r="A73" i="1"/>
  <c r="A67" i="23" s="1"/>
  <c r="A36" i="5"/>
  <c r="A133" i="5"/>
  <c r="A100" i="5"/>
  <c r="A42" i="1"/>
  <c r="A36" i="23" s="1"/>
  <c r="A72" i="5"/>
  <c r="A78" i="1"/>
  <c r="A72" i="23" s="1"/>
  <c r="A16" i="5"/>
  <c r="A23" i="1"/>
  <c r="A17" i="23" s="1"/>
  <c r="A17" i="5"/>
  <c r="C17" i="5" s="1"/>
  <c r="A114" i="3"/>
  <c r="I114" i="3" s="1"/>
  <c r="A22" i="1"/>
  <c r="A16" i="23" s="1"/>
  <c r="A14" i="1"/>
  <c r="B14" i="1" s="1"/>
  <c r="A61" i="23"/>
  <c r="C81" i="3"/>
  <c r="A40" i="5"/>
  <c r="C40" i="5" s="1"/>
  <c r="B81" i="5"/>
  <c r="A8" i="5"/>
  <c r="A46" i="1"/>
  <c r="A40" i="23" s="1"/>
  <c r="A62" i="1"/>
  <c r="B62" i="1" s="1"/>
  <c r="A2" i="5"/>
  <c r="A2" i="3"/>
  <c r="I2" i="3" s="1"/>
  <c r="B34" i="5"/>
  <c r="C57" i="3"/>
  <c r="A24" i="1"/>
  <c r="A18" i="23" s="1"/>
  <c r="B69" i="5"/>
  <c r="C107" i="3"/>
  <c r="A52" i="3"/>
  <c r="I52" i="3" s="1"/>
  <c r="C69" i="3"/>
  <c r="B107" i="5"/>
  <c r="A18" i="5"/>
  <c r="B98" i="1"/>
  <c r="A34" i="5"/>
  <c r="C34" i="5" s="1"/>
  <c r="A96" i="3"/>
  <c r="I96" i="3" s="1"/>
  <c r="A47" i="1"/>
  <c r="A41" i="23" s="1"/>
  <c r="B112" i="5"/>
  <c r="A135" i="1"/>
  <c r="A128" i="23" s="1"/>
  <c r="A56" i="5"/>
  <c r="A49" i="5"/>
  <c r="C49" i="5" s="1"/>
  <c r="A25" i="5"/>
  <c r="C25" i="5" s="1"/>
  <c r="A56" i="1"/>
  <c r="B56" i="1" s="1"/>
  <c r="C96" i="3"/>
  <c r="A153" i="3"/>
  <c r="I153" i="3" s="1"/>
  <c r="A41" i="5"/>
  <c r="A79" i="23"/>
  <c r="B85" i="1"/>
  <c r="A74" i="23"/>
  <c r="A110" i="1"/>
  <c r="B110" i="1" s="1"/>
  <c r="B4" i="17"/>
  <c r="A88" i="5"/>
  <c r="A3" i="5"/>
  <c r="A48" i="1"/>
  <c r="B48" i="1" s="1"/>
  <c r="A26" i="5"/>
  <c r="A159" i="1"/>
  <c r="A152" i="23" s="1"/>
  <c r="A127" i="1"/>
  <c r="A11" i="5"/>
  <c r="A9" i="1"/>
  <c r="B9" i="1" s="1"/>
  <c r="A137" i="5"/>
  <c r="A70" i="1"/>
  <c r="A64" i="23" s="1"/>
  <c r="A42" i="5"/>
  <c r="A50" i="5"/>
  <c r="A17" i="1"/>
  <c r="A11" i="23" s="1"/>
  <c r="A113" i="3"/>
  <c r="I113" i="3" s="1"/>
  <c r="A64" i="5"/>
  <c r="A40" i="1"/>
  <c r="A94" i="1"/>
  <c r="A145" i="5"/>
  <c r="B95" i="1"/>
  <c r="A88" i="23"/>
  <c r="C122" i="5"/>
  <c r="A153" i="23"/>
  <c r="B160" i="1"/>
  <c r="C84" i="1"/>
  <c r="C78" i="3"/>
  <c r="A31" i="1"/>
  <c r="A45" i="1"/>
  <c r="A12" i="1"/>
  <c r="B64" i="1"/>
  <c r="A103" i="1"/>
  <c r="A97" i="3"/>
  <c r="I97" i="3" s="1"/>
  <c r="A105" i="3"/>
  <c r="I105" i="3" s="1"/>
  <c r="A122" i="3"/>
  <c r="I122" i="3" s="1"/>
  <c r="A114" i="5"/>
  <c r="A6" i="3"/>
  <c r="I6" i="3" s="1"/>
  <c r="A59" i="3"/>
  <c r="I59" i="3" s="1"/>
  <c r="A89" i="3"/>
  <c r="I89" i="3" s="1"/>
  <c r="B33" i="1"/>
  <c r="A128" i="1"/>
  <c r="A146" i="5"/>
  <c r="A111" i="1"/>
  <c r="A104" i="23" s="1"/>
  <c r="A110" i="23"/>
  <c r="C83" i="5"/>
  <c r="C103" i="5"/>
  <c r="A130" i="5"/>
  <c r="A154" i="5"/>
  <c r="C102" i="3"/>
  <c r="A59" i="1"/>
  <c r="B59" i="1" s="1"/>
  <c r="A59" i="5"/>
  <c r="A53" i="1"/>
  <c r="B53" i="1" s="1"/>
  <c r="A47" i="5"/>
  <c r="A138" i="5"/>
  <c r="A154" i="3"/>
  <c r="I154" i="3" s="1"/>
  <c r="A138" i="3"/>
  <c r="I138" i="3" s="1"/>
  <c r="C153" i="5"/>
  <c r="C123" i="1"/>
  <c r="B117" i="5"/>
  <c r="C117" i="3"/>
  <c r="B151" i="1"/>
  <c r="A144" i="23"/>
  <c r="C106" i="1"/>
  <c r="B100" i="5"/>
  <c r="C120" i="1"/>
  <c r="B114" i="5"/>
  <c r="C114" i="3"/>
  <c r="A109" i="23"/>
  <c r="B116" i="1"/>
  <c r="C131" i="1"/>
  <c r="B125" i="5"/>
  <c r="C125" i="3"/>
  <c r="B25" i="1"/>
  <c r="C57" i="5"/>
  <c r="A55" i="5"/>
  <c r="A44" i="5"/>
  <c r="A61" i="1"/>
  <c r="B61" i="1" s="1"/>
  <c r="A119" i="1"/>
  <c r="A73" i="5"/>
  <c r="A15" i="1"/>
  <c r="A79" i="1"/>
  <c r="A73" i="23" s="1"/>
  <c r="A142" i="3"/>
  <c r="I142" i="3" s="1"/>
  <c r="A110" i="3"/>
  <c r="I110" i="3" s="1"/>
  <c r="A121" i="5"/>
  <c r="A104" i="5"/>
  <c r="B57" i="5"/>
  <c r="B148" i="1"/>
  <c r="A68" i="5"/>
  <c r="B120" i="1"/>
  <c r="A26" i="1"/>
  <c r="A32" i="5"/>
  <c r="A55" i="1"/>
  <c r="A49" i="23" s="1"/>
  <c r="A99" i="1"/>
  <c r="A132" i="1"/>
  <c r="A156" i="1"/>
  <c r="A110" i="5"/>
  <c r="B120" i="5"/>
  <c r="A19" i="1"/>
  <c r="B19" i="1" s="1"/>
  <c r="A38" i="1"/>
  <c r="A164" i="1"/>
  <c r="A134" i="3"/>
  <c r="I134" i="3" s="1"/>
  <c r="A101" i="3"/>
  <c r="I101" i="3" s="1"/>
  <c r="B137" i="5"/>
  <c r="C120" i="3"/>
  <c r="C94" i="3"/>
  <c r="C153" i="2"/>
  <c r="C153" i="3" s="1"/>
  <c r="C157" i="2"/>
  <c r="C163" i="1" s="1"/>
  <c r="A118" i="23"/>
  <c r="A35" i="1"/>
  <c r="A20" i="5"/>
  <c r="A32" i="1"/>
  <c r="A140" i="1"/>
  <c r="B140" i="1" s="1"/>
  <c r="A50" i="1"/>
  <c r="B50" i="1" s="1"/>
  <c r="A13" i="1"/>
  <c r="A29" i="5"/>
  <c r="A107" i="1"/>
  <c r="A102" i="1"/>
  <c r="B102" i="1" s="1"/>
  <c r="A124" i="1"/>
  <c r="B124" i="1" s="1"/>
  <c r="A41" i="1"/>
  <c r="A143" i="1"/>
  <c r="B67" i="5"/>
  <c r="B85" i="5"/>
  <c r="C137" i="3"/>
  <c r="B154" i="1"/>
  <c r="A7" i="5"/>
  <c r="A9" i="5"/>
  <c r="C9" i="5" s="1"/>
  <c r="A92" i="1"/>
  <c r="A145" i="3"/>
  <c r="I145" i="3" s="1"/>
  <c r="A150" i="3"/>
  <c r="I150" i="3" s="1"/>
  <c r="A93" i="3"/>
  <c r="I93" i="3" s="1"/>
  <c r="A129" i="5"/>
  <c r="C129" i="5" s="1"/>
  <c r="B102" i="5"/>
  <c r="A10" i="1"/>
  <c r="A13" i="5"/>
  <c r="A4" i="5"/>
  <c r="A86" i="5"/>
  <c r="A139" i="23"/>
  <c r="B146" i="1"/>
  <c r="A106" i="23"/>
  <c r="B113" i="1"/>
  <c r="A106" i="3"/>
  <c r="I106" i="3" s="1"/>
  <c r="A112" i="1"/>
  <c r="A105" i="23" s="1"/>
  <c r="C93" i="1"/>
  <c r="B87" i="5"/>
  <c r="B98" i="2"/>
  <c r="C98" i="2"/>
  <c r="C98" i="3" s="1"/>
  <c r="C119" i="1"/>
  <c r="B113" i="5"/>
  <c r="A34" i="1"/>
  <c r="A28" i="23" s="1"/>
  <c r="A28" i="5"/>
  <c r="C121" i="1"/>
  <c r="B115" i="5"/>
  <c r="C115" i="3"/>
  <c r="A16" i="1"/>
  <c r="A10" i="5"/>
  <c r="A33" i="3"/>
  <c r="I33" i="3" s="1"/>
  <c r="A39" i="1"/>
  <c r="B39" i="1" s="1"/>
  <c r="A75" i="3"/>
  <c r="I75" i="3" s="1"/>
  <c r="A81" i="1"/>
  <c r="A75" i="5"/>
  <c r="A123" i="23"/>
  <c r="C150" i="5"/>
  <c r="C110" i="1"/>
  <c r="C104" i="3"/>
  <c r="A91" i="3"/>
  <c r="I91" i="3" s="1"/>
  <c r="A91" i="5"/>
  <c r="A97" i="1"/>
  <c r="A108" i="5"/>
  <c r="A108" i="3"/>
  <c r="I108" i="3" s="1"/>
  <c r="A114" i="1"/>
  <c r="A122" i="1"/>
  <c r="A116" i="5"/>
  <c r="A116" i="3"/>
  <c r="I116" i="3" s="1"/>
  <c r="A132" i="5"/>
  <c r="A132" i="3"/>
  <c r="I132" i="3" s="1"/>
  <c r="A140" i="5"/>
  <c r="A140" i="3"/>
  <c r="I140" i="3" s="1"/>
  <c r="A162" i="1"/>
  <c r="B162" i="1" s="1"/>
  <c r="A156" i="5"/>
  <c r="A156" i="3"/>
  <c r="I156" i="3" s="1"/>
  <c r="C94" i="1"/>
  <c r="C88" i="3"/>
  <c r="C95" i="3"/>
  <c r="B95" i="5"/>
  <c r="C117" i="1"/>
  <c r="B111" i="5"/>
  <c r="C111" i="3"/>
  <c r="A48" i="5"/>
  <c r="A54" i="1"/>
  <c r="A48" i="23" s="1"/>
  <c r="A66" i="3"/>
  <c r="I66" i="3" s="1"/>
  <c r="A66" i="5"/>
  <c r="A72" i="1"/>
  <c r="A137" i="23"/>
  <c r="C124" i="5"/>
  <c r="B105" i="5"/>
  <c r="C105" i="3"/>
  <c r="A14" i="3"/>
  <c r="I14" i="3" s="1"/>
  <c r="A20" i="1"/>
  <c r="A30" i="1"/>
  <c r="A24" i="5"/>
  <c r="A2" i="23"/>
  <c r="B8" i="1"/>
  <c r="A58" i="1"/>
  <c r="C83" i="3"/>
  <c r="B83" i="5"/>
  <c r="C115" i="1"/>
  <c r="B109" i="5"/>
  <c r="C109" i="3"/>
  <c r="A15" i="3"/>
  <c r="I15" i="3" s="1"/>
  <c r="A21" i="1"/>
  <c r="A15" i="5"/>
  <c r="A37" i="3"/>
  <c r="I37" i="3" s="1"/>
  <c r="A43" i="1"/>
  <c r="A37" i="5"/>
  <c r="A81" i="3"/>
  <c r="I81" i="3" s="1"/>
  <c r="A87" i="1"/>
  <c r="A81" i="5"/>
  <c r="C109" i="1"/>
  <c r="C103" i="3"/>
  <c r="A33" i="5"/>
  <c r="C147" i="1"/>
  <c r="B141" i="5"/>
  <c r="C141" i="3"/>
  <c r="A5" i="3"/>
  <c r="I5" i="3" s="1"/>
  <c r="A5" i="5"/>
  <c r="A11" i="1"/>
  <c r="A10" i="3"/>
  <c r="I10" i="3" s="1"/>
  <c r="A38" i="3"/>
  <c r="I38" i="3" s="1"/>
  <c r="A44" i="1"/>
  <c r="A38" i="5"/>
  <c r="A57" i="3"/>
  <c r="I57" i="3" s="1"/>
  <c r="A63" i="1"/>
  <c r="C131" i="5"/>
  <c r="A147" i="3"/>
  <c r="I147" i="3" s="1"/>
  <c r="A107" i="5"/>
  <c r="A98" i="3"/>
  <c r="I98" i="3" s="1"/>
  <c r="A121" i="1"/>
  <c r="A139" i="5"/>
  <c r="A137" i="1"/>
  <c r="A76" i="1"/>
  <c r="A80" i="5"/>
  <c r="A131" i="3"/>
  <c r="I131" i="3" s="1"/>
  <c r="C156" i="2"/>
  <c r="A86" i="1"/>
  <c r="C80" i="3"/>
  <c r="B136" i="5"/>
  <c r="C136" i="3"/>
  <c r="C145" i="3"/>
  <c r="C133" i="3"/>
  <c r="B133" i="5"/>
  <c r="C155" i="3"/>
  <c r="C21" i="3"/>
  <c r="A51" i="23"/>
  <c r="B57" i="1"/>
  <c r="B157" i="1"/>
  <c r="A150" i="23"/>
  <c r="B141" i="1"/>
  <c r="B65" i="1"/>
  <c r="A59" i="23"/>
  <c r="B101" i="1"/>
  <c r="A94" i="23"/>
  <c r="A30" i="23"/>
  <c r="B36" i="1"/>
  <c r="A131" i="23"/>
  <c r="B138" i="1"/>
  <c r="A63" i="23"/>
  <c r="B100" i="1"/>
  <c r="C95" i="1"/>
  <c r="B89" i="5"/>
  <c r="C18" i="1"/>
  <c r="C12" i="3"/>
  <c r="C24" i="1"/>
  <c r="B18" i="5"/>
  <c r="C26" i="1"/>
  <c r="B20" i="5"/>
  <c r="C28" i="1"/>
  <c r="B22" i="5"/>
  <c r="C30" i="1"/>
  <c r="B24" i="5"/>
  <c r="C46" i="1"/>
  <c r="B40" i="5"/>
  <c r="C153" i="1"/>
  <c r="C147" i="3"/>
  <c r="C151" i="1"/>
  <c r="A82" i="23"/>
  <c r="C125" i="1"/>
  <c r="B119" i="5"/>
  <c r="C65" i="1"/>
  <c r="C59" i="3"/>
  <c r="B59" i="5"/>
  <c r="C67" i="1"/>
  <c r="B61" i="5"/>
  <c r="C69" i="1"/>
  <c r="B63" i="5"/>
  <c r="C71" i="1"/>
  <c r="B65" i="5"/>
  <c r="C74" i="3"/>
  <c r="C80" i="1"/>
  <c r="B74" i="5"/>
  <c r="C133" i="1"/>
  <c r="C127" i="3"/>
  <c r="C18" i="3"/>
  <c r="C33" i="1"/>
  <c r="B27" i="5"/>
  <c r="C34" i="3"/>
  <c r="C41" i="3"/>
  <c r="C47" i="1"/>
  <c r="C99" i="1"/>
  <c r="B93" i="5"/>
  <c r="C145" i="1"/>
  <c r="C139" i="3"/>
  <c r="A79" i="3"/>
  <c r="I79" i="3" s="1"/>
  <c r="A79" i="5"/>
  <c r="C24" i="3"/>
  <c r="B16" i="5"/>
  <c r="C22" i="1"/>
  <c r="C50" i="1"/>
  <c r="C44" i="3"/>
  <c r="C52" i="1"/>
  <c r="B46" i="5"/>
  <c r="C54" i="1"/>
  <c r="B48" i="5"/>
  <c r="B149" i="1"/>
  <c r="B26" i="5"/>
  <c r="C20" i="3"/>
  <c r="C36" i="1"/>
  <c r="C30" i="3"/>
  <c r="C34" i="1"/>
  <c r="B28" i="5"/>
  <c r="C44" i="1"/>
  <c r="B38" i="5"/>
  <c r="B91" i="5"/>
  <c r="C91" i="3"/>
  <c r="C137" i="1"/>
  <c r="C131" i="3"/>
  <c r="A71" i="3"/>
  <c r="I71" i="3" s="1"/>
  <c r="A77" i="1"/>
  <c r="C20" i="1"/>
  <c r="B14" i="5"/>
  <c r="C38" i="1"/>
  <c r="C32" i="3"/>
  <c r="B35" i="5"/>
  <c r="C35" i="3"/>
  <c r="C60" i="1"/>
  <c r="B54" i="5"/>
  <c r="C72" i="1"/>
  <c r="C66" i="3"/>
  <c r="C103" i="1"/>
  <c r="C97" i="3"/>
  <c r="C149" i="1"/>
  <c r="B143" i="5"/>
  <c r="C48" i="3"/>
  <c r="B12" i="5"/>
  <c r="C22" i="3"/>
  <c r="B147" i="5"/>
  <c r="C65" i="3"/>
  <c r="B5" i="17"/>
  <c r="B9" i="2"/>
  <c r="C29" i="3"/>
  <c r="C35" i="1"/>
  <c r="C45" i="1"/>
  <c r="C39" i="3"/>
  <c r="C129" i="1"/>
  <c r="B123" i="5"/>
  <c r="B129" i="5"/>
  <c r="C135" i="1"/>
  <c r="A63" i="3"/>
  <c r="I63" i="3" s="1"/>
  <c r="A63" i="5"/>
  <c r="A163" i="1"/>
  <c r="A157" i="3"/>
  <c r="I157" i="3" s="1"/>
  <c r="A157" i="5"/>
  <c r="C143" i="3"/>
  <c r="C82" i="1"/>
  <c r="B76" i="5"/>
  <c r="C141" i="1"/>
  <c r="B135" i="5"/>
  <c r="C158" i="2"/>
  <c r="C158" i="3" s="1"/>
  <c r="C150" i="1"/>
  <c r="C127" i="1"/>
  <c r="C85" i="3"/>
  <c r="C118" i="1"/>
  <c r="C89" i="1"/>
  <c r="C100" i="3"/>
  <c r="B130" i="5"/>
  <c r="B88" i="5"/>
  <c r="B121" i="5"/>
  <c r="B78" i="5"/>
  <c r="C111" i="1"/>
  <c r="C19" i="1"/>
  <c r="C13" i="3"/>
  <c r="B13" i="5"/>
  <c r="C8" i="1"/>
  <c r="B2" i="5"/>
  <c r="C2" i="3"/>
  <c r="C11" i="3"/>
  <c r="C17" i="1"/>
  <c r="B11" i="5"/>
  <c r="C39" i="1"/>
  <c r="C33" i="3"/>
  <c r="B33" i="5"/>
  <c r="C37" i="1"/>
  <c r="C31" i="3"/>
  <c r="B31" i="5"/>
  <c r="C11" i="1"/>
  <c r="B5" i="5"/>
  <c r="C5" i="3"/>
  <c r="B15" i="5"/>
  <c r="C21" i="1"/>
  <c r="C15" i="3"/>
  <c r="B17" i="5"/>
  <c r="C23" i="1"/>
  <c r="C17" i="3"/>
  <c r="C70" i="1"/>
  <c r="B64" i="5"/>
  <c r="C154" i="1"/>
  <c r="C148" i="3"/>
  <c r="C53" i="3"/>
  <c r="B53" i="5"/>
  <c r="C59" i="1"/>
  <c r="C96" i="1"/>
  <c r="C90" i="3"/>
  <c r="B148" i="5"/>
  <c r="B7" i="5"/>
  <c r="B128" i="5"/>
  <c r="C42" i="1"/>
  <c r="B36" i="5"/>
  <c r="B56" i="5"/>
  <c r="C62" i="1"/>
  <c r="C84" i="3"/>
  <c r="C90" i="1"/>
  <c r="D90" i="1" s="1"/>
  <c r="C86" i="3"/>
  <c r="C92" i="1"/>
  <c r="B126" i="5"/>
  <c r="C132" i="1"/>
  <c r="B142" i="5"/>
  <c r="C148" i="1"/>
  <c r="C149" i="3"/>
  <c r="C155" i="1"/>
  <c r="C112" i="1"/>
  <c r="B106" i="5"/>
  <c r="C106" i="3"/>
  <c r="C66" i="1"/>
  <c r="C27" i="1"/>
  <c r="C13" i="1"/>
  <c r="C58" i="3"/>
  <c r="C64" i="1"/>
  <c r="B42" i="5"/>
  <c r="B146" i="5"/>
  <c r="B29" i="5"/>
  <c r="B94" i="5"/>
  <c r="C26" i="3"/>
  <c r="C14" i="1"/>
  <c r="C8" i="3"/>
  <c r="C51" i="3"/>
  <c r="C57" i="1"/>
  <c r="B51" i="5"/>
  <c r="C130" i="1"/>
  <c r="C124" i="3"/>
  <c r="C146" i="1"/>
  <c r="C140" i="3"/>
  <c r="B152" i="5"/>
  <c r="C152" i="3"/>
  <c r="C160" i="1"/>
  <c r="B154" i="5"/>
  <c r="C16" i="1"/>
  <c r="C62" i="3"/>
  <c r="C68" i="1"/>
  <c r="B62" i="5"/>
  <c r="C74" i="1"/>
  <c r="B68" i="5"/>
  <c r="B58" i="5"/>
  <c r="C146" i="3"/>
  <c r="C68" i="3"/>
  <c r="C3" i="3"/>
  <c r="B3" i="5"/>
  <c r="C9" i="1"/>
  <c r="B6" i="5"/>
  <c r="C12" i="1"/>
  <c r="C49" i="1"/>
  <c r="B43" i="5"/>
  <c r="C45" i="3"/>
  <c r="B45" i="5"/>
  <c r="C51" i="1"/>
  <c r="C53" i="1"/>
  <c r="C47" i="3"/>
  <c r="C49" i="3"/>
  <c r="C55" i="1"/>
  <c r="B72" i="5"/>
  <c r="C78" i="1"/>
  <c r="C79" i="3"/>
  <c r="B79" i="5"/>
  <c r="C85" i="1"/>
  <c r="C128" i="1"/>
  <c r="B122" i="5"/>
  <c r="C144" i="1"/>
  <c r="B138" i="5"/>
  <c r="A88" i="1"/>
  <c r="A82" i="5"/>
  <c r="C134" i="1"/>
  <c r="C41" i="1"/>
  <c r="C56" i="1"/>
  <c r="C50" i="3"/>
  <c r="C130" i="3"/>
  <c r="C71" i="3"/>
  <c r="C77" i="1"/>
  <c r="B10" i="5"/>
  <c r="C64" i="3"/>
  <c r="B96" i="5"/>
  <c r="C43" i="1"/>
  <c r="C37" i="3"/>
  <c r="C27" i="3"/>
  <c r="C83" i="1"/>
  <c r="B77" i="5"/>
  <c r="C156" i="1"/>
  <c r="B150" i="5"/>
  <c r="C92" i="3"/>
  <c r="B60" i="5"/>
  <c r="B90" i="5"/>
  <c r="B144" i="5"/>
  <c r="C10" i="1"/>
  <c r="B4" i="5"/>
  <c r="C15" i="1"/>
  <c r="B9" i="5"/>
  <c r="B19" i="5"/>
  <c r="C25" i="1"/>
  <c r="C29" i="1"/>
  <c r="C23" i="3"/>
  <c r="C25" i="3"/>
  <c r="C31" i="1"/>
  <c r="B52" i="5"/>
  <c r="C58" i="1"/>
  <c r="C70" i="3"/>
  <c r="C76" i="1"/>
  <c r="B70" i="5"/>
  <c r="B75" i="5"/>
  <c r="C75" i="3"/>
  <c r="C107" i="1"/>
  <c r="B101" i="5"/>
  <c r="C114" i="1"/>
  <c r="C108" i="3"/>
  <c r="B110" i="5"/>
  <c r="C116" i="1"/>
  <c r="C116" i="3"/>
  <c r="C122" i="1"/>
  <c r="B116" i="5"/>
  <c r="C124" i="1"/>
  <c r="B118" i="5"/>
  <c r="C140" i="1"/>
  <c r="B134" i="5"/>
  <c r="B82" i="5"/>
  <c r="C82" i="3"/>
  <c r="C158" i="1"/>
  <c r="C73" i="1"/>
  <c r="B50" i="5"/>
  <c r="B92" i="5"/>
  <c r="C151" i="3"/>
  <c r="C42" i="3"/>
  <c r="B55" i="5"/>
  <c r="C61" i="1"/>
  <c r="C79" i="1"/>
  <c r="B73" i="5"/>
  <c r="C105" i="1"/>
  <c r="C99" i="3"/>
  <c r="C132" i="3"/>
  <c r="C138" i="1"/>
  <c r="B132" i="5"/>
  <c r="B80" i="5"/>
  <c r="B32" i="5"/>
  <c r="C14" i="3"/>
  <c r="C87" i="3"/>
  <c r="C101" i="1"/>
  <c r="C61" i="3"/>
  <c r="B30" i="5"/>
  <c r="C97" i="1"/>
  <c r="K15" i="26"/>
  <c r="K16" i="26" s="1"/>
  <c r="B3" i="26" s="1"/>
  <c r="B4" i="26" s="1"/>
  <c r="J162" i="10" l="1"/>
  <c r="M162" i="10"/>
  <c r="M145" i="10"/>
  <c r="M161" i="10"/>
  <c r="J161" i="10"/>
  <c r="M164" i="10"/>
  <c r="J164" i="10"/>
  <c r="M147" i="10"/>
  <c r="J147" i="10"/>
  <c r="M166" i="10"/>
  <c r="J166" i="10"/>
  <c r="M142" i="10"/>
  <c r="G167" i="10" s="1"/>
  <c r="E179" i="10" s="1"/>
  <c r="J142" i="10"/>
  <c r="M151" i="10"/>
  <c r="J151" i="10"/>
  <c r="I167" i="10"/>
  <c r="J158" i="10"/>
  <c r="M158" i="10"/>
  <c r="I123" i="10"/>
  <c r="M119" i="10"/>
  <c r="J119" i="10"/>
  <c r="M83" i="10"/>
  <c r="J83" i="10"/>
  <c r="L93" i="10"/>
  <c r="K93" i="10"/>
  <c r="J93" i="10"/>
  <c r="M93" i="10"/>
  <c r="M77" i="10"/>
  <c r="G95" i="10" s="1"/>
  <c r="E175" i="10" s="1"/>
  <c r="J77" i="10"/>
  <c r="J87" i="10"/>
  <c r="M87" i="10"/>
  <c r="M82" i="10"/>
  <c r="J82" i="10"/>
  <c r="M94" i="10"/>
  <c r="J94" i="10"/>
  <c r="J86" i="10"/>
  <c r="M86" i="10"/>
  <c r="J85" i="10"/>
  <c r="M85" i="10"/>
  <c r="M91" i="10"/>
  <c r="J91" i="10"/>
  <c r="J81" i="10"/>
  <c r="M81" i="10"/>
  <c r="J78" i="10"/>
  <c r="M78" i="10"/>
  <c r="M76" i="10"/>
  <c r="J76" i="10"/>
  <c r="D95" i="10" s="1"/>
  <c r="D175" i="10" s="1"/>
  <c r="M84" i="10"/>
  <c r="J84" i="10"/>
  <c r="M90" i="10"/>
  <c r="J90" i="10"/>
  <c r="J61" i="10"/>
  <c r="M61" i="10"/>
  <c r="J70" i="10"/>
  <c r="M70" i="10"/>
  <c r="M67" i="10"/>
  <c r="J67" i="10"/>
  <c r="J71" i="10"/>
  <c r="M71" i="10"/>
  <c r="G75" i="10" s="1"/>
  <c r="E174" i="10" s="1"/>
  <c r="J63" i="10"/>
  <c r="M63" i="10"/>
  <c r="M62" i="10"/>
  <c r="J62" i="10"/>
  <c r="D75" i="10" s="1"/>
  <c r="D174" i="10" s="1"/>
  <c r="D60" i="10"/>
  <c r="D173" i="10" s="1"/>
  <c r="C185" i="10" s="1"/>
  <c r="J34" i="10"/>
  <c r="J43" i="10"/>
  <c r="M43" i="10"/>
  <c r="C5" i="25"/>
  <c r="J22" i="23" s="1"/>
  <c r="L17" i="23" s="1"/>
  <c r="K17" i="23" s="1"/>
  <c r="C13" i="25"/>
  <c r="C17" i="25"/>
  <c r="C204" i="1" s="1"/>
  <c r="K24" i="1" s="1"/>
  <c r="D126" i="1" s="1"/>
  <c r="C3" i="25"/>
  <c r="C190" i="1" s="1"/>
  <c r="K10" i="1" s="1"/>
  <c r="C6" i="25"/>
  <c r="J23" i="23" s="1"/>
  <c r="C20" i="25"/>
  <c r="C208" i="1" s="1"/>
  <c r="K28" i="1" s="1"/>
  <c r="C12" i="25"/>
  <c r="J31" i="23" s="1"/>
  <c r="C4" i="25"/>
  <c r="C191" i="1" s="1"/>
  <c r="K11" i="1" s="1"/>
  <c r="C192" i="1"/>
  <c r="K12" i="1" s="1"/>
  <c r="D16" i="1" s="1"/>
  <c r="C18" i="25"/>
  <c r="C7" i="25"/>
  <c r="C10" i="25"/>
  <c r="C16" i="25"/>
  <c r="C19" i="25"/>
  <c r="C200" i="1"/>
  <c r="K20" i="1" s="1"/>
  <c r="D137" i="1" s="1"/>
  <c r="J32" i="23"/>
  <c r="L12" i="23" s="1"/>
  <c r="K12" i="23" s="1"/>
  <c r="C209" i="1"/>
  <c r="K29" i="1" s="1"/>
  <c r="D24" i="1" s="1"/>
  <c r="J39" i="23"/>
  <c r="L5" i="23" s="1"/>
  <c r="J30" i="23"/>
  <c r="C15" i="25"/>
  <c r="C11" i="25"/>
  <c r="C9" i="25"/>
  <c r="C8" i="25"/>
  <c r="A126" i="23"/>
  <c r="B108" i="1"/>
  <c r="J103" i="10"/>
  <c r="M103" i="10"/>
  <c r="J114" i="10"/>
  <c r="M114" i="10"/>
  <c r="M117" i="10"/>
  <c r="J117" i="10"/>
  <c r="J100" i="10"/>
  <c r="M100" i="10"/>
  <c r="M121" i="10"/>
  <c r="J121" i="10"/>
  <c r="J101" i="10"/>
  <c r="M101" i="10"/>
  <c r="M116" i="10"/>
  <c r="J116" i="10"/>
  <c r="M108" i="10"/>
  <c r="J108" i="10"/>
  <c r="J107" i="10"/>
  <c r="M107" i="10"/>
  <c r="J106" i="10"/>
  <c r="M106" i="10"/>
  <c r="M105" i="10"/>
  <c r="J105" i="10"/>
  <c r="J109" i="10"/>
  <c r="M109" i="10"/>
  <c r="M115" i="10"/>
  <c r="J115" i="10"/>
  <c r="M120" i="10"/>
  <c r="J120" i="10"/>
  <c r="M97" i="10"/>
  <c r="J97" i="10"/>
  <c r="J113" i="10"/>
  <c r="M113" i="10"/>
  <c r="M110" i="10"/>
  <c r="J110" i="10"/>
  <c r="M98" i="10"/>
  <c r="J98" i="10"/>
  <c r="J99" i="10"/>
  <c r="M99" i="10"/>
  <c r="G173" i="10"/>
  <c r="K173" i="10" s="1"/>
  <c r="G179" i="10"/>
  <c r="G177" i="10"/>
  <c r="K177" i="10" s="1"/>
  <c r="G172" i="10"/>
  <c r="G176" i="10"/>
  <c r="G178" i="10"/>
  <c r="K178" i="10" s="1"/>
  <c r="G174" i="10"/>
  <c r="G175" i="10"/>
  <c r="M45" i="10"/>
  <c r="J45" i="10"/>
  <c r="M52" i="10"/>
  <c r="J52" i="10"/>
  <c r="L41" i="10"/>
  <c r="K41" i="10"/>
  <c r="J41" i="10"/>
  <c r="M41" i="10"/>
  <c r="J46" i="10"/>
  <c r="M46" i="10"/>
  <c r="J39" i="10"/>
  <c r="M39" i="10"/>
  <c r="J42" i="10"/>
  <c r="M42" i="10"/>
  <c r="J36" i="10"/>
  <c r="M36" i="10"/>
  <c r="M54" i="10"/>
  <c r="J54" i="10"/>
  <c r="J40" i="10"/>
  <c r="M40" i="10"/>
  <c r="M53" i="10"/>
  <c r="J53" i="10"/>
  <c r="M51" i="10"/>
  <c r="J51" i="10"/>
  <c r="M49" i="10"/>
  <c r="J49" i="10"/>
  <c r="J55" i="10"/>
  <c r="M55" i="10"/>
  <c r="M37" i="10"/>
  <c r="J37" i="10"/>
  <c r="J48" i="10"/>
  <c r="M48" i="10"/>
  <c r="J32" i="10"/>
  <c r="M32" i="10"/>
  <c r="I56" i="10"/>
  <c r="M44" i="10"/>
  <c r="J44" i="10"/>
  <c r="J33" i="10"/>
  <c r="M33" i="10"/>
  <c r="J50" i="10"/>
  <c r="M50" i="10"/>
  <c r="J47" i="10"/>
  <c r="M47" i="10"/>
  <c r="M38" i="10"/>
  <c r="J38" i="10"/>
  <c r="J5" i="10"/>
  <c r="M5" i="10"/>
  <c r="J9" i="10"/>
  <c r="M9" i="10"/>
  <c r="J19" i="10"/>
  <c r="M19" i="10"/>
  <c r="M26" i="10"/>
  <c r="J26" i="10"/>
  <c r="M28" i="10"/>
  <c r="J28" i="10"/>
  <c r="J23" i="10"/>
  <c r="M23" i="10"/>
  <c r="M30" i="10"/>
  <c r="J30" i="10"/>
  <c r="J11" i="10"/>
  <c r="M11" i="10"/>
  <c r="J18" i="10"/>
  <c r="M18" i="10"/>
  <c r="J20" i="10"/>
  <c r="M20" i="10"/>
  <c r="J22" i="10"/>
  <c r="M22" i="10"/>
  <c r="M24" i="10"/>
  <c r="J24" i="10"/>
  <c r="M10" i="10"/>
  <c r="J10" i="10"/>
  <c r="J12" i="10"/>
  <c r="M12" i="10"/>
  <c r="J14" i="10"/>
  <c r="M14" i="10"/>
  <c r="M16" i="10"/>
  <c r="J16" i="10"/>
  <c r="M2" i="10"/>
  <c r="J2" i="10"/>
  <c r="I31" i="10"/>
  <c r="J4" i="10"/>
  <c r="M4" i="10"/>
  <c r="M25" i="10"/>
  <c r="J25" i="10"/>
  <c r="M6" i="10"/>
  <c r="J6" i="10"/>
  <c r="M8" i="10"/>
  <c r="J8" i="10"/>
  <c r="M15" i="10"/>
  <c r="J15" i="10"/>
  <c r="M27" i="10"/>
  <c r="J27" i="10"/>
  <c r="J29" i="10"/>
  <c r="M29" i="10"/>
  <c r="J7" i="10"/>
  <c r="M7" i="10"/>
  <c r="M17" i="10"/>
  <c r="J17" i="10"/>
  <c r="M3" i="10"/>
  <c r="J3" i="10"/>
  <c r="M21" i="10"/>
  <c r="J21" i="10"/>
  <c r="J13" i="10"/>
  <c r="M13" i="10"/>
  <c r="D153" i="3"/>
  <c r="D153" i="5"/>
  <c r="D71" i="5"/>
  <c r="D143" i="5"/>
  <c r="G149" i="1" s="1"/>
  <c r="D25" i="3"/>
  <c r="D25" i="5"/>
  <c r="D17" i="3"/>
  <c r="D17" i="5"/>
  <c r="G23" i="1" s="1"/>
  <c r="D111" i="3"/>
  <c r="D111" i="5"/>
  <c r="D45" i="3"/>
  <c r="D45" i="5"/>
  <c r="D9" i="3"/>
  <c r="D9" i="5"/>
  <c r="D34" i="3"/>
  <c r="D34" i="5"/>
  <c r="G40" i="1" s="1"/>
  <c r="D74" i="5"/>
  <c r="D43" i="5"/>
  <c r="D103" i="3"/>
  <c r="D103" i="5"/>
  <c r="D122" i="3"/>
  <c r="D122" i="5"/>
  <c r="D49" i="3"/>
  <c r="D49" i="5"/>
  <c r="G55" i="1" s="1"/>
  <c r="D40" i="3"/>
  <c r="D40" i="5"/>
  <c r="D83" i="3"/>
  <c r="D83" i="5"/>
  <c r="G89" i="1" s="1"/>
  <c r="D67" i="3"/>
  <c r="D67" i="5"/>
  <c r="D152" i="5"/>
  <c r="G158" i="1" s="1"/>
  <c r="D147" i="5"/>
  <c r="G153" i="1" s="1"/>
  <c r="D129" i="3"/>
  <c r="D129" i="5"/>
  <c r="G135" i="1" s="1"/>
  <c r="D124" i="3"/>
  <c r="D124" i="5"/>
  <c r="G130" i="1" s="1"/>
  <c r="D150" i="3"/>
  <c r="D150" i="5"/>
  <c r="D57" i="3"/>
  <c r="D57" i="5"/>
  <c r="G63" i="1" s="1"/>
  <c r="A89" i="23"/>
  <c r="D95" i="3"/>
  <c r="D95" i="5"/>
  <c r="G101" i="1" s="1"/>
  <c r="D128" i="5"/>
  <c r="G134" i="1" s="1"/>
  <c r="D115" i="5"/>
  <c r="D131" i="3"/>
  <c r="D131" i="5"/>
  <c r="G137" i="1" s="1"/>
  <c r="D78" i="3"/>
  <c r="D78" i="5"/>
  <c r="C14" i="25"/>
  <c r="C2" i="25"/>
  <c r="C90" i="5"/>
  <c r="A22" i="23"/>
  <c r="A99" i="23"/>
  <c r="A86" i="23"/>
  <c r="B27" i="1"/>
  <c r="A145" i="23"/>
  <c r="C123" i="5"/>
  <c r="A154" i="23"/>
  <c r="B71" i="1"/>
  <c r="A76" i="23"/>
  <c r="C118" i="5"/>
  <c r="B51" i="1"/>
  <c r="C158" i="5"/>
  <c r="B153" i="1"/>
  <c r="B83" i="1"/>
  <c r="C120" i="5"/>
  <c r="B158" i="1"/>
  <c r="B91" i="1"/>
  <c r="B42" i="1"/>
  <c r="B18" i="1"/>
  <c r="A138" i="23"/>
  <c r="C53" i="5"/>
  <c r="B139" i="1"/>
  <c r="C54" i="5"/>
  <c r="A119" i="23"/>
  <c r="A60" i="23"/>
  <c r="A140" i="23"/>
  <c r="B24" i="1"/>
  <c r="A68" i="23"/>
  <c r="A111" i="23"/>
  <c r="B84" i="1"/>
  <c r="B23" i="1"/>
  <c r="B90" i="1"/>
  <c r="B29" i="1"/>
  <c r="G51" i="1"/>
  <c r="B136" i="1"/>
  <c r="A13" i="23"/>
  <c r="A122" i="23"/>
  <c r="A31" i="23"/>
  <c r="C159" i="1"/>
  <c r="B111" i="1"/>
  <c r="C109" i="5"/>
  <c r="A53" i="23"/>
  <c r="C117" i="5"/>
  <c r="A102" i="23"/>
  <c r="B68" i="1"/>
  <c r="B47" i="1"/>
  <c r="C100" i="5"/>
  <c r="A42" i="23"/>
  <c r="B60" i="1"/>
  <c r="B150" i="1"/>
  <c r="B104" i="1"/>
  <c r="C65" i="5"/>
  <c r="A46" i="23"/>
  <c r="B134" i="1"/>
  <c r="A108" i="23"/>
  <c r="B142" i="1"/>
  <c r="B73" i="1"/>
  <c r="C114" i="5"/>
  <c r="B22" i="1"/>
  <c r="C69" i="5"/>
  <c r="A69" i="23"/>
  <c r="C72" i="5"/>
  <c r="G46" i="1"/>
  <c r="C77" i="5"/>
  <c r="G84" i="1"/>
  <c r="B159" i="1"/>
  <c r="A56" i="23"/>
  <c r="A148" i="23"/>
  <c r="B123" i="1"/>
  <c r="B79" i="1"/>
  <c r="C125" i="5"/>
  <c r="G73" i="1"/>
  <c r="B78" i="1"/>
  <c r="A3" i="23"/>
  <c r="B55" i="1"/>
  <c r="G100" i="1"/>
  <c r="I100" i="1" s="1"/>
  <c r="H100" i="1" s="1"/>
  <c r="A8" i="23"/>
  <c r="C29" i="5"/>
  <c r="G31" i="1"/>
  <c r="C66" i="5"/>
  <c r="B46" i="1"/>
  <c r="A47" i="23"/>
  <c r="B70" i="1"/>
  <c r="B135" i="1"/>
  <c r="B17" i="1"/>
  <c r="B54" i="1"/>
  <c r="A50" i="23"/>
  <c r="A103" i="23"/>
  <c r="A117" i="23"/>
  <c r="C50" i="5"/>
  <c r="A55" i="23"/>
  <c r="C64" i="5"/>
  <c r="A34" i="23"/>
  <c r="B40" i="1"/>
  <c r="A133" i="23"/>
  <c r="A87" i="23"/>
  <c r="B94" i="1"/>
  <c r="B157" i="5"/>
  <c r="C157" i="3"/>
  <c r="B112" i="1"/>
  <c r="B127" i="1"/>
  <c r="A120" i="23"/>
  <c r="B128" i="1"/>
  <c r="A121" i="23"/>
  <c r="C32" i="5"/>
  <c r="A44" i="23"/>
  <c r="B103" i="1"/>
  <c r="A96" i="23"/>
  <c r="C104" i="5"/>
  <c r="C59" i="5"/>
  <c r="B6" i="17" s="1"/>
  <c r="A6" i="23"/>
  <c r="B12" i="1"/>
  <c r="B34" i="1"/>
  <c r="C146" i="5"/>
  <c r="B45" i="1"/>
  <c r="A39" i="23"/>
  <c r="C154" i="5"/>
  <c r="C138" i="5"/>
  <c r="B31" i="1"/>
  <c r="A25" i="23"/>
  <c r="C86" i="5"/>
  <c r="A125" i="23"/>
  <c r="B132" i="1"/>
  <c r="C68" i="5"/>
  <c r="C44" i="5"/>
  <c r="A100" i="23"/>
  <c r="B107" i="1"/>
  <c r="A26" i="23"/>
  <c r="B32" i="1"/>
  <c r="A92" i="23"/>
  <c r="B99" i="1"/>
  <c r="A95" i="23"/>
  <c r="C13" i="5"/>
  <c r="A85" i="23"/>
  <c r="B92" i="1"/>
  <c r="A9" i="23"/>
  <c r="B15" i="1"/>
  <c r="A29" i="23"/>
  <c r="B35" i="1"/>
  <c r="A136" i="23"/>
  <c r="B143" i="1"/>
  <c r="A33" i="23"/>
  <c r="G15" i="1"/>
  <c r="A35" i="23"/>
  <c r="B41" i="1"/>
  <c r="B153" i="5"/>
  <c r="B164" i="1"/>
  <c r="A157" i="23"/>
  <c r="C110" i="5"/>
  <c r="A20" i="23"/>
  <c r="B26" i="1"/>
  <c r="C121" i="5"/>
  <c r="B119" i="1"/>
  <c r="A112" i="23"/>
  <c r="A4" i="23"/>
  <c r="B10" i="1"/>
  <c r="B13" i="1"/>
  <c r="A7" i="23"/>
  <c r="B38" i="1"/>
  <c r="A32" i="23"/>
  <c r="B156" i="1"/>
  <c r="A149" i="23"/>
  <c r="A107" i="23"/>
  <c r="B114" i="1"/>
  <c r="A10" i="23"/>
  <c r="B16" i="1"/>
  <c r="G87" i="1"/>
  <c r="I87" i="1" s="1"/>
  <c r="H87" i="1" s="1"/>
  <c r="A70" i="23"/>
  <c r="B76" i="1"/>
  <c r="A5" i="23"/>
  <c r="B11" i="1"/>
  <c r="A81" i="23"/>
  <c r="B87" i="1"/>
  <c r="B30" i="1"/>
  <c r="A24" i="23"/>
  <c r="C48" i="5"/>
  <c r="C108" i="5"/>
  <c r="C104" i="1"/>
  <c r="A130" i="23"/>
  <c r="B137" i="1"/>
  <c r="C5" i="5"/>
  <c r="B20" i="1"/>
  <c r="A14" i="23"/>
  <c r="A90" i="23"/>
  <c r="B97" i="1"/>
  <c r="A75" i="23"/>
  <c r="B81" i="1"/>
  <c r="B21" i="1"/>
  <c r="A15" i="23"/>
  <c r="B98" i="5"/>
  <c r="A155" i="23"/>
  <c r="G147" i="1"/>
  <c r="I147" i="1" s="1"/>
  <c r="H147" i="1" s="1"/>
  <c r="C139" i="5"/>
  <c r="A57" i="23"/>
  <c r="B63" i="1"/>
  <c r="C132" i="5"/>
  <c r="C28" i="5"/>
  <c r="B43" i="1"/>
  <c r="A37" i="23"/>
  <c r="B86" i="1"/>
  <c r="A80" i="23"/>
  <c r="B121" i="1"/>
  <c r="A114" i="23"/>
  <c r="C38" i="5"/>
  <c r="C33" i="5"/>
  <c r="A66" i="23"/>
  <c r="B72" i="1"/>
  <c r="C116" i="5"/>
  <c r="C162" i="1"/>
  <c r="D162" i="1" s="1"/>
  <c r="C156" i="3"/>
  <c r="B156" i="5"/>
  <c r="A38" i="23"/>
  <c r="B44" i="1"/>
  <c r="A115" i="23"/>
  <c r="B122" i="1"/>
  <c r="C10" i="5"/>
  <c r="C80" i="5"/>
  <c r="C107" i="5"/>
  <c r="A52" i="23"/>
  <c r="B58" i="1"/>
  <c r="C24" i="5"/>
  <c r="C63" i="5"/>
  <c r="G125" i="1"/>
  <c r="I125" i="1" s="1"/>
  <c r="H125" i="1" s="1"/>
  <c r="G159" i="1"/>
  <c r="G27" i="1"/>
  <c r="I27" i="1" s="1"/>
  <c r="H27" i="1" s="1"/>
  <c r="G82" i="1"/>
  <c r="I82" i="1" s="1"/>
  <c r="H82" i="1" s="1"/>
  <c r="G45" i="1"/>
  <c r="I45" i="1" s="1"/>
  <c r="H45" i="1" s="1"/>
  <c r="G95" i="1"/>
  <c r="I95" i="1" s="1"/>
  <c r="H95" i="1" s="1"/>
  <c r="G28" i="1"/>
  <c r="I28" i="1" s="1"/>
  <c r="H28" i="1" s="1"/>
  <c r="G29" i="1"/>
  <c r="I29" i="1" s="1"/>
  <c r="H29" i="1" s="1"/>
  <c r="G142" i="1"/>
  <c r="I142" i="1" s="1"/>
  <c r="H142" i="1" s="1"/>
  <c r="G25" i="1"/>
  <c r="I25" i="1" s="1"/>
  <c r="H25" i="1" s="1"/>
  <c r="G91" i="1"/>
  <c r="I91" i="1" s="1"/>
  <c r="H91" i="1" s="1"/>
  <c r="G33" i="1"/>
  <c r="I33" i="1" s="1"/>
  <c r="H33" i="1" s="1"/>
  <c r="G109" i="1"/>
  <c r="G108" i="1"/>
  <c r="I108" i="1" s="1"/>
  <c r="H108" i="1" s="1"/>
  <c r="G156" i="1"/>
  <c r="G139" i="1"/>
  <c r="I139" i="1" s="1"/>
  <c r="H139" i="1" s="1"/>
  <c r="G76" i="1"/>
  <c r="I76" i="1" s="1"/>
  <c r="H76" i="1" s="1"/>
  <c r="G162" i="1"/>
  <c r="I162" i="1" s="1"/>
  <c r="H162" i="1" s="1"/>
  <c r="G121" i="1"/>
  <c r="G132" i="1"/>
  <c r="I132" i="1" s="1"/>
  <c r="H132" i="1" s="1"/>
  <c r="G21" i="1"/>
  <c r="I21" i="1" s="1"/>
  <c r="H21" i="1" s="1"/>
  <c r="G12" i="1"/>
  <c r="I12" i="1" s="1"/>
  <c r="H12" i="1" s="1"/>
  <c r="G43" i="1"/>
  <c r="I43" i="1" s="1"/>
  <c r="H43" i="1" s="1"/>
  <c r="G64" i="1"/>
  <c r="I64" i="1" s="1"/>
  <c r="H64" i="1" s="1"/>
  <c r="G58" i="1"/>
  <c r="I58" i="1" s="1"/>
  <c r="H58" i="1" s="1"/>
  <c r="G47" i="1"/>
  <c r="I47" i="1" s="1"/>
  <c r="H47" i="1" s="1"/>
  <c r="G154" i="1"/>
  <c r="I154" i="1" s="1"/>
  <c r="H154" i="1" s="1"/>
  <c r="G9" i="1"/>
  <c r="I9" i="1" s="1"/>
  <c r="H9" i="1" s="1"/>
  <c r="G151" i="1"/>
  <c r="I151" i="1" s="1"/>
  <c r="H151" i="1" s="1"/>
  <c r="G17" i="1"/>
  <c r="I17" i="1" s="1"/>
  <c r="H17" i="1" s="1"/>
  <c r="G62" i="1"/>
  <c r="I62" i="1" s="1"/>
  <c r="H62" i="1" s="1"/>
  <c r="G10" i="1"/>
  <c r="I10" i="1" s="1"/>
  <c r="H10" i="1" s="1"/>
  <c r="G36" i="1"/>
  <c r="I36" i="1" s="1"/>
  <c r="H36" i="1" s="1"/>
  <c r="G146" i="1"/>
  <c r="I146" i="1" s="1"/>
  <c r="H146" i="1" s="1"/>
  <c r="G18" i="1"/>
  <c r="I18" i="1" s="1"/>
  <c r="H18" i="1" s="1"/>
  <c r="G111" i="1"/>
  <c r="I111" i="1" s="1"/>
  <c r="H111" i="1" s="1"/>
  <c r="G157" i="1"/>
  <c r="I157" i="1" s="1"/>
  <c r="H157" i="1" s="1"/>
  <c r="G48" i="1"/>
  <c r="I48" i="1" s="1"/>
  <c r="H48" i="1" s="1"/>
  <c r="G112" i="1"/>
  <c r="I112" i="1" s="1"/>
  <c r="H112" i="1" s="1"/>
  <c r="G143" i="1"/>
  <c r="I143" i="1" s="1"/>
  <c r="H143" i="1" s="1"/>
  <c r="G24" i="1"/>
  <c r="I24" i="1" s="1"/>
  <c r="H24" i="1" s="1"/>
  <c r="G107" i="1"/>
  <c r="I107" i="1" s="1"/>
  <c r="H107" i="1" s="1"/>
  <c r="G80" i="1"/>
  <c r="G67" i="1"/>
  <c r="I67" i="1" s="1"/>
  <c r="H67" i="1" s="1"/>
  <c r="G99" i="1"/>
  <c r="I99" i="1" s="1"/>
  <c r="H99" i="1" s="1"/>
  <c r="G97" i="1"/>
  <c r="I97" i="1" s="1"/>
  <c r="H97" i="1" s="1"/>
  <c r="G148" i="1"/>
  <c r="I148" i="1" s="1"/>
  <c r="H148" i="1" s="1"/>
  <c r="G117" i="1"/>
  <c r="G37" i="1"/>
  <c r="I37" i="1" s="1"/>
  <c r="H37" i="1" s="1"/>
  <c r="G94" i="1"/>
  <c r="I94" i="1" s="1"/>
  <c r="H94" i="1" s="1"/>
  <c r="G66" i="1"/>
  <c r="I66" i="1" s="1"/>
  <c r="H66" i="1" s="1"/>
  <c r="G128" i="1"/>
  <c r="G155" i="1"/>
  <c r="I155" i="1" s="1"/>
  <c r="H155" i="1" s="1"/>
  <c r="G32" i="1"/>
  <c r="I32" i="1" s="1"/>
  <c r="H32" i="1" s="1"/>
  <c r="G103" i="1"/>
  <c r="I103" i="1" s="1"/>
  <c r="H103" i="1" s="1"/>
  <c r="G41" i="1"/>
  <c r="I41" i="1" s="1"/>
  <c r="H41" i="1" s="1"/>
  <c r="G22" i="1"/>
  <c r="I22" i="1" s="1"/>
  <c r="H22" i="1" s="1"/>
  <c r="G136" i="1"/>
  <c r="I136" i="1" s="1"/>
  <c r="H136" i="1" s="1"/>
  <c r="G161" i="1"/>
  <c r="I161" i="1" s="1"/>
  <c r="H161" i="1" s="1"/>
  <c r="G79" i="1"/>
  <c r="I79" i="1" s="1"/>
  <c r="H79" i="1" s="1"/>
  <c r="G90" i="1"/>
  <c r="I90" i="1" s="1"/>
  <c r="H90" i="1" s="1"/>
  <c r="G133" i="1"/>
  <c r="I133" i="1" s="1"/>
  <c r="H133" i="1" s="1"/>
  <c r="G49" i="1"/>
  <c r="G68" i="1"/>
  <c r="I68" i="1" s="1"/>
  <c r="H68" i="1" s="1"/>
  <c r="G81" i="1"/>
  <c r="I81" i="1" s="1"/>
  <c r="H81" i="1" s="1"/>
  <c r="G61" i="1"/>
  <c r="I61" i="1" s="1"/>
  <c r="H61" i="1" s="1"/>
  <c r="G13" i="1"/>
  <c r="I13" i="1" s="1"/>
  <c r="H13" i="1" s="1"/>
  <c r="G93" i="1"/>
  <c r="I93" i="1" s="1"/>
  <c r="H93" i="1" s="1"/>
  <c r="G98" i="1"/>
  <c r="I98" i="1" s="1"/>
  <c r="H98" i="1" s="1"/>
  <c r="G57" i="1"/>
  <c r="I57" i="1" s="1"/>
  <c r="H57" i="1" s="1"/>
  <c r="G104" i="1"/>
  <c r="I104" i="1" s="1"/>
  <c r="H104" i="1" s="1"/>
  <c r="G105" i="1"/>
  <c r="I105" i="1" s="1"/>
  <c r="H105" i="1" s="1"/>
  <c r="G150" i="1"/>
  <c r="I150" i="1" s="1"/>
  <c r="H150" i="1" s="1"/>
  <c r="G102" i="1"/>
  <c r="I102" i="1" s="1"/>
  <c r="H102" i="1" s="1"/>
  <c r="G14" i="1"/>
  <c r="I14" i="1" s="1"/>
  <c r="H14" i="1" s="1"/>
  <c r="C79" i="5"/>
  <c r="G20" i="1"/>
  <c r="I20" i="1" s="1"/>
  <c r="H20" i="1" s="1"/>
  <c r="G53" i="1"/>
  <c r="I53" i="1" s="1"/>
  <c r="H53" i="1" s="1"/>
  <c r="G119" i="1"/>
  <c r="I119" i="1" s="1"/>
  <c r="H119" i="1" s="1"/>
  <c r="G118" i="1"/>
  <c r="I118" i="1" s="1"/>
  <c r="H118" i="1" s="1"/>
  <c r="G42" i="1"/>
  <c r="I42" i="1" s="1"/>
  <c r="H42" i="1" s="1"/>
  <c r="G141" i="1"/>
  <c r="I141" i="1" s="1"/>
  <c r="H141" i="1" s="1"/>
  <c r="A156" i="23"/>
  <c r="B163" i="1"/>
  <c r="C164" i="1"/>
  <c r="C157" i="5"/>
  <c r="B77" i="1"/>
  <c r="G77" i="1"/>
  <c r="A71" i="23"/>
  <c r="G140" i="1"/>
  <c r="I140" i="1" s="1"/>
  <c r="H140" i="1" s="1"/>
  <c r="B158" i="5"/>
  <c r="G52" i="1"/>
  <c r="I52" i="1" s="1"/>
  <c r="H52" i="1" s="1"/>
  <c r="G26" i="1"/>
  <c r="I26" i="1" s="1"/>
  <c r="H26" i="1" s="1"/>
  <c r="B88" i="1"/>
  <c r="G88" i="1"/>
  <c r="I88" i="1" s="1"/>
  <c r="H88" i="1" s="1"/>
  <c r="D83" i="23"/>
  <c r="E84" i="3"/>
  <c r="L149" i="10"/>
  <c r="K94" i="10"/>
  <c r="E5" i="1"/>
  <c r="F90" i="1" s="1"/>
  <c r="L91" i="10"/>
  <c r="K5" i="23"/>
  <c r="K121" i="10"/>
  <c r="L27" i="10"/>
  <c r="K3" i="23"/>
  <c r="E177" i="23" s="1"/>
  <c r="L132" i="10"/>
  <c r="L57" i="10"/>
  <c r="L87" i="10"/>
  <c r="K36" i="10"/>
  <c r="L20" i="10"/>
  <c r="L40" i="10"/>
  <c r="K84" i="10"/>
  <c r="K146" i="10"/>
  <c r="K33" i="10"/>
  <c r="K138" i="10"/>
  <c r="K73" i="10"/>
  <c r="L154" i="10"/>
  <c r="L163" i="10"/>
  <c r="K104" i="10"/>
  <c r="L166" i="10"/>
  <c r="L64" i="10"/>
  <c r="K100" i="10"/>
  <c r="K142" i="10"/>
  <c r="K24" i="10"/>
  <c r="L103" i="10"/>
  <c r="L134" i="10"/>
  <c r="K144" i="10"/>
  <c r="K4" i="10"/>
  <c r="K72" i="10"/>
  <c r="K107" i="10"/>
  <c r="L143" i="10"/>
  <c r="K9" i="10"/>
  <c r="K43" i="10"/>
  <c r="L112" i="10"/>
  <c r="L148" i="10"/>
  <c r="K8" i="10"/>
  <c r="K42" i="10"/>
  <c r="K77" i="10"/>
  <c r="L111" i="10"/>
  <c r="K147" i="10"/>
  <c r="K13" i="10"/>
  <c r="K47" i="10"/>
  <c r="K82" i="10"/>
  <c r="L116" i="10"/>
  <c r="K152" i="10"/>
  <c r="K53" i="10"/>
  <c r="K88" i="10"/>
  <c r="L124" i="10"/>
  <c r="L158" i="10"/>
  <c r="K12" i="10"/>
  <c r="L46" i="10"/>
  <c r="L81" i="10"/>
  <c r="K115" i="10"/>
  <c r="L151" i="10"/>
  <c r="L17" i="10"/>
  <c r="K51" i="10"/>
  <c r="L86" i="10"/>
  <c r="L120" i="10"/>
  <c r="K156" i="10"/>
  <c r="K14" i="10"/>
  <c r="K48" i="10"/>
  <c r="L83" i="10"/>
  <c r="L117" i="10"/>
  <c r="L153" i="10"/>
  <c r="L23" i="10"/>
  <c r="L58" i="10"/>
  <c r="K92" i="10"/>
  <c r="L128" i="10"/>
  <c r="K162" i="10"/>
  <c r="K16" i="10"/>
  <c r="K50" i="10"/>
  <c r="K119" i="10"/>
  <c r="K155" i="10"/>
  <c r="K21" i="10"/>
  <c r="K55" i="10"/>
  <c r="K90" i="10"/>
  <c r="K126" i="10"/>
  <c r="K160" i="10"/>
  <c r="K89" i="10"/>
  <c r="K125" i="10"/>
  <c r="L159" i="10"/>
  <c r="K25" i="10"/>
  <c r="K61" i="10"/>
  <c r="L96" i="10"/>
  <c r="K130" i="10"/>
  <c r="L101" i="10"/>
  <c r="K101" i="10"/>
  <c r="K76" i="10"/>
  <c r="L76" i="10"/>
  <c r="L35" i="10"/>
  <c r="K35" i="10"/>
  <c r="K80" i="10"/>
  <c r="L80" i="10"/>
  <c r="K15" i="10"/>
  <c r="L15" i="10"/>
  <c r="K49" i="10"/>
  <c r="L49" i="10"/>
  <c r="K118" i="10"/>
  <c r="L118" i="10"/>
  <c r="L30" i="10"/>
  <c r="K30" i="10"/>
  <c r="L70" i="10"/>
  <c r="K70" i="10"/>
  <c r="K45" i="10"/>
  <c r="L45" i="10"/>
  <c r="K19" i="10"/>
  <c r="L19" i="10"/>
  <c r="K5" i="10"/>
  <c r="L5" i="10"/>
  <c r="K2" i="10"/>
  <c r="L2" i="10"/>
  <c r="K11" i="10"/>
  <c r="L11" i="10"/>
  <c r="L37" i="10"/>
  <c r="K6" i="10"/>
  <c r="L6" i="10"/>
  <c r="L145" i="10"/>
  <c r="K145" i="10"/>
  <c r="L79" i="10"/>
  <c r="K79" i="10"/>
  <c r="L113" i="10"/>
  <c r="K113" i="10"/>
  <c r="K58" i="10"/>
  <c r="K85" i="10"/>
  <c r="L85" i="10"/>
  <c r="K7" i="10"/>
  <c r="L7" i="10"/>
  <c r="L114" i="10"/>
  <c r="K114" i="10"/>
  <c r="K78" i="10"/>
  <c r="L78" i="10"/>
  <c r="L109" i="10"/>
  <c r="K109" i="10"/>
  <c r="L52" i="10"/>
  <c r="K52" i="10"/>
  <c r="K98" i="10"/>
  <c r="L98" i="10"/>
  <c r="K20" i="10"/>
  <c r="K54" i="10"/>
  <c r="L54" i="10"/>
  <c r="K96" i="10"/>
  <c r="L164" i="10"/>
  <c r="K164" i="10"/>
  <c r="L66" i="10"/>
  <c r="K66" i="10"/>
  <c r="K68" i="10"/>
  <c r="L68" i="10"/>
  <c r="K38" i="10"/>
  <c r="L38" i="10"/>
  <c r="L141" i="10"/>
  <c r="K141" i="10"/>
  <c r="K112" i="10"/>
  <c r="L39" i="10"/>
  <c r="K10" i="10"/>
  <c r="L10" i="10"/>
  <c r="K18" i="10"/>
  <c r="L18" i="10"/>
  <c r="L121" i="10"/>
  <c r="L157" i="10"/>
  <c r="K157" i="10"/>
  <c r="L63" i="10"/>
  <c r="K63" i="10"/>
  <c r="K22" i="10"/>
  <c r="L22" i="10"/>
  <c r="L127" i="10"/>
  <c r="K127" i="10"/>
  <c r="L161" i="10"/>
  <c r="K161" i="10"/>
  <c r="K32" i="10"/>
  <c r="L32" i="10"/>
  <c r="K67" i="10"/>
  <c r="L67" i="10"/>
  <c r="L102" i="10"/>
  <c r="K102" i="10"/>
  <c r="K136" i="10"/>
  <c r="L136" i="10"/>
  <c r="K59" i="10"/>
  <c r="L59" i="10"/>
  <c r="K129" i="10"/>
  <c r="L129" i="10"/>
  <c r="K163" i="10"/>
  <c r="K29" i="10"/>
  <c r="L29" i="10"/>
  <c r="L65" i="10"/>
  <c r="K65" i="10"/>
  <c r="L135" i="10"/>
  <c r="K135" i="10"/>
  <c r="K110" i="10"/>
  <c r="L110" i="10"/>
  <c r="K108" i="10"/>
  <c r="L108" i="10"/>
  <c r="L105" i="10"/>
  <c r="K105" i="10"/>
  <c r="K150" i="10"/>
  <c r="L150" i="10"/>
  <c r="L74" i="10"/>
  <c r="K74" i="10"/>
  <c r="L44" i="10"/>
  <c r="K44" i="10"/>
  <c r="E179" i="23"/>
  <c r="K26" i="10"/>
  <c r="L26" i="10"/>
  <c r="L62" i="10"/>
  <c r="K62" i="10"/>
  <c r="L97" i="10"/>
  <c r="K97" i="10"/>
  <c r="L131" i="10"/>
  <c r="K131" i="10"/>
  <c r="L165" i="10"/>
  <c r="K165" i="10"/>
  <c r="K3" i="10"/>
  <c r="L3" i="10"/>
  <c r="L71" i="10"/>
  <c r="K71" i="10"/>
  <c r="K106" i="10"/>
  <c r="L106" i="10"/>
  <c r="K28" i="10"/>
  <c r="L28" i="10"/>
  <c r="K99" i="10"/>
  <c r="L99" i="10"/>
  <c r="K133" i="10"/>
  <c r="L133" i="10"/>
  <c r="K69" i="10"/>
  <c r="L69" i="10"/>
  <c r="D167" i="10" l="1"/>
  <c r="C189" i="10" s="1"/>
  <c r="D179" i="10"/>
  <c r="J179" i="10" s="1"/>
  <c r="D123" i="10"/>
  <c r="D176" i="10" s="1"/>
  <c r="G123" i="10"/>
  <c r="E176" i="10" s="1"/>
  <c r="K174" i="10"/>
  <c r="J177" i="10"/>
  <c r="E178" i="23"/>
  <c r="I128" i="1"/>
  <c r="H128" i="1" s="1"/>
  <c r="I51" i="1"/>
  <c r="H51" i="1" s="1"/>
  <c r="I159" i="1"/>
  <c r="H159" i="1" s="1"/>
  <c r="I73" i="1"/>
  <c r="H73" i="1" s="1"/>
  <c r="I134" i="1"/>
  <c r="H134" i="1" s="1"/>
  <c r="I130" i="1"/>
  <c r="H130" i="1" s="1"/>
  <c r="I89" i="1"/>
  <c r="H89" i="1" s="1"/>
  <c r="I149" i="1"/>
  <c r="H149" i="1" s="1"/>
  <c r="I121" i="1"/>
  <c r="H121" i="1" s="1"/>
  <c r="I15" i="1"/>
  <c r="H15" i="1" s="1"/>
  <c r="I31" i="1"/>
  <c r="H31" i="1" s="1"/>
  <c r="I46" i="1"/>
  <c r="H46" i="1" s="1"/>
  <c r="I101" i="1"/>
  <c r="H101" i="1" s="1"/>
  <c r="F162" i="1"/>
  <c r="G156" i="3" s="1"/>
  <c r="I77" i="1"/>
  <c r="H77" i="1" s="1"/>
  <c r="I117" i="1"/>
  <c r="H117" i="1" s="1"/>
  <c r="I135" i="1"/>
  <c r="H135" i="1" s="1"/>
  <c r="I84" i="1"/>
  <c r="H84" i="1" s="1"/>
  <c r="I49" i="1"/>
  <c r="H49" i="1" s="1"/>
  <c r="I156" i="1"/>
  <c r="H156" i="1" s="1"/>
  <c r="I80" i="1"/>
  <c r="H80" i="1" s="1"/>
  <c r="I63" i="1"/>
  <c r="H63" i="1" s="1"/>
  <c r="I153" i="1"/>
  <c r="H153" i="1" s="1"/>
  <c r="I55" i="1"/>
  <c r="H55" i="1" s="1"/>
  <c r="I40" i="1"/>
  <c r="H40" i="1" s="1"/>
  <c r="I23" i="1"/>
  <c r="H23" i="1" s="1"/>
  <c r="I109" i="1"/>
  <c r="H109" i="1" s="1"/>
  <c r="I137" i="1"/>
  <c r="H137" i="1" s="1"/>
  <c r="I158" i="1"/>
  <c r="H158" i="1" s="1"/>
  <c r="J26" i="23"/>
  <c r="L15" i="23" s="1"/>
  <c r="K15" i="23" s="1"/>
  <c r="E162" i="23" s="1"/>
  <c r="G162" i="23" s="1"/>
  <c r="C199" i="1"/>
  <c r="K19" i="1" s="1"/>
  <c r="D46" i="1" s="1"/>
  <c r="F46" i="1" s="1"/>
  <c r="D119" i="23"/>
  <c r="F126" i="1"/>
  <c r="D53" i="1"/>
  <c r="E47" i="3" s="1"/>
  <c r="C193" i="1"/>
  <c r="K13" i="1" s="1"/>
  <c r="D157" i="1" s="1"/>
  <c r="D150" i="23" s="1"/>
  <c r="D48" i="1"/>
  <c r="F48" i="1" s="1"/>
  <c r="G42" i="3" s="1"/>
  <c r="D135" i="1"/>
  <c r="D128" i="23" s="1"/>
  <c r="D75" i="1"/>
  <c r="D134" i="1"/>
  <c r="D59" i="1"/>
  <c r="J38" i="23"/>
  <c r="L6" i="23" s="1"/>
  <c r="K6" i="23" s="1"/>
  <c r="E175" i="23" s="1"/>
  <c r="G175" i="23" s="1"/>
  <c r="J27" i="23"/>
  <c r="D18" i="23"/>
  <c r="E18" i="3"/>
  <c r="F24" i="1"/>
  <c r="E24" i="1" s="1"/>
  <c r="D42" i="1"/>
  <c r="F42" i="1" s="1"/>
  <c r="D88" i="1"/>
  <c r="F88" i="1" s="1"/>
  <c r="E88" i="1" s="1"/>
  <c r="D47" i="1"/>
  <c r="D89" i="1"/>
  <c r="D92" i="1"/>
  <c r="D122" i="1"/>
  <c r="E40" i="3"/>
  <c r="D40" i="23"/>
  <c r="D151" i="1"/>
  <c r="D127" i="1"/>
  <c r="D107" i="1"/>
  <c r="D106" i="1"/>
  <c r="D99" i="23" s="1"/>
  <c r="D83" i="1"/>
  <c r="E77" i="3" s="1"/>
  <c r="D119" i="1"/>
  <c r="D112" i="23" s="1"/>
  <c r="D66" i="1"/>
  <c r="E120" i="3"/>
  <c r="E131" i="3"/>
  <c r="F137" i="1"/>
  <c r="E137" i="1" s="1"/>
  <c r="F16" i="1"/>
  <c r="G10" i="3" s="1"/>
  <c r="E10" i="3"/>
  <c r="D10" i="23"/>
  <c r="C196" i="1"/>
  <c r="K16" i="1" s="1"/>
  <c r="D104" i="1" s="1"/>
  <c r="J34" i="23"/>
  <c r="L10" i="23" s="1"/>
  <c r="K10" i="23" s="1"/>
  <c r="C197" i="1"/>
  <c r="K17" i="1" s="1"/>
  <c r="J35" i="23"/>
  <c r="L9" i="23" s="1"/>
  <c r="K9" i="23" s="1"/>
  <c r="E166" i="23" s="1"/>
  <c r="C172" i="1" s="1"/>
  <c r="C198" i="1"/>
  <c r="K18" i="1" s="1"/>
  <c r="J36" i="23"/>
  <c r="L8" i="23" s="1"/>
  <c r="K8" i="23" s="1"/>
  <c r="E163" i="23" s="1"/>
  <c r="C169" i="1" s="1"/>
  <c r="C202" i="1"/>
  <c r="K22" i="1" s="1"/>
  <c r="J28" i="23"/>
  <c r="L14" i="23" s="1"/>
  <c r="K14" i="23" s="1"/>
  <c r="D26" i="1"/>
  <c r="D78" i="1"/>
  <c r="F78" i="1" s="1"/>
  <c r="G72" i="3" s="1"/>
  <c r="D99" i="1"/>
  <c r="D18" i="1"/>
  <c r="C189" i="1"/>
  <c r="K9" i="1" s="1"/>
  <c r="D38" i="1" s="1"/>
  <c r="J25" i="23"/>
  <c r="D105" i="1"/>
  <c r="D98" i="23" s="1"/>
  <c r="D17" i="1"/>
  <c r="D96" i="1"/>
  <c r="C201" i="1"/>
  <c r="K21" i="1" s="1"/>
  <c r="D45" i="1" s="1"/>
  <c r="J33" i="23"/>
  <c r="L11" i="23" s="1"/>
  <c r="K11" i="23" s="1"/>
  <c r="D140" i="1"/>
  <c r="D62" i="1"/>
  <c r="D120" i="1"/>
  <c r="D123" i="1"/>
  <c r="E117" i="3" s="1"/>
  <c r="D70" i="1"/>
  <c r="D64" i="23" s="1"/>
  <c r="D30" i="1"/>
  <c r="D49" i="1"/>
  <c r="C207" i="1"/>
  <c r="K27" i="1" s="1"/>
  <c r="J37" i="23"/>
  <c r="L7" i="23" s="1"/>
  <c r="K7" i="23" s="1"/>
  <c r="E165" i="23" s="1"/>
  <c r="G165" i="23" s="1"/>
  <c r="C194" i="1"/>
  <c r="K14" i="1" s="1"/>
  <c r="J24" i="23"/>
  <c r="L16" i="23" s="1"/>
  <c r="K16" i="23" s="1"/>
  <c r="D71" i="1"/>
  <c r="D72" i="1"/>
  <c r="D66" i="23" s="1"/>
  <c r="C195" i="1"/>
  <c r="K15" i="1" s="1"/>
  <c r="D159" i="1" s="1"/>
  <c r="J21" i="23"/>
  <c r="L18" i="23" s="1"/>
  <c r="D29" i="1"/>
  <c r="C203" i="1"/>
  <c r="K23" i="1" s="1"/>
  <c r="J29" i="23"/>
  <c r="L13" i="23" s="1"/>
  <c r="K13" i="23" s="1"/>
  <c r="C206" i="1"/>
  <c r="K26" i="1" s="1"/>
  <c r="D12" i="1" s="1"/>
  <c r="J40" i="23"/>
  <c r="L4" i="23" s="1"/>
  <c r="K4" i="23" s="1"/>
  <c r="E164" i="23" s="1"/>
  <c r="D130" i="23"/>
  <c r="E121" i="3"/>
  <c r="K179" i="10"/>
  <c r="J173" i="10"/>
  <c r="J176" i="10"/>
  <c r="K176" i="10"/>
  <c r="J174" i="10"/>
  <c r="J178" i="10"/>
  <c r="J175" i="10"/>
  <c r="K175" i="10"/>
  <c r="G56" i="10"/>
  <c r="E172" i="10" s="1"/>
  <c r="K172" i="10" s="1"/>
  <c r="D56" i="10"/>
  <c r="D172" i="10" s="1"/>
  <c r="J172" i="10" s="1"/>
  <c r="D31" i="10"/>
  <c r="D171" i="10" s="1"/>
  <c r="G31" i="10"/>
  <c r="E171" i="10" s="1"/>
  <c r="D154" i="3"/>
  <c r="D154" i="5"/>
  <c r="G160" i="1" s="1"/>
  <c r="I160" i="1" s="1"/>
  <c r="H160" i="1" s="1"/>
  <c r="D132" i="3"/>
  <c r="D132" i="5"/>
  <c r="G138" i="1" s="1"/>
  <c r="I138" i="1" s="1"/>
  <c r="H138" i="1" s="1"/>
  <c r="D121" i="3"/>
  <c r="D121" i="5"/>
  <c r="G127" i="1" s="1"/>
  <c r="I127" i="1" s="1"/>
  <c r="H127" i="1" s="1"/>
  <c r="D66" i="3"/>
  <c r="D66" i="5"/>
  <c r="G72" i="1" s="1"/>
  <c r="I72" i="1" s="1"/>
  <c r="H72" i="1" s="1"/>
  <c r="D65" i="3"/>
  <c r="D65" i="5"/>
  <c r="G71" i="1" s="1"/>
  <c r="I71" i="1" s="1"/>
  <c r="H71" i="1" s="1"/>
  <c r="D53" i="3"/>
  <c r="D53" i="5"/>
  <c r="G59" i="1" s="1"/>
  <c r="I59" i="1" s="1"/>
  <c r="H59" i="1" s="1"/>
  <c r="D157" i="3"/>
  <c r="D157" i="5"/>
  <c r="G163" i="1" s="1"/>
  <c r="I163" i="1" s="1"/>
  <c r="H163" i="1" s="1"/>
  <c r="D80" i="3"/>
  <c r="D80" i="5"/>
  <c r="G86" i="1" s="1"/>
  <c r="I86" i="1" s="1"/>
  <c r="H86" i="1" s="1"/>
  <c r="D86" i="3"/>
  <c r="D86" i="5"/>
  <c r="G92" i="1" s="1"/>
  <c r="I92" i="1" s="1"/>
  <c r="H92" i="1" s="1"/>
  <c r="D32" i="3"/>
  <c r="D32" i="5"/>
  <c r="G38" i="1" s="1"/>
  <c r="I38" i="1" s="1"/>
  <c r="H38" i="1" s="1"/>
  <c r="D64" i="3"/>
  <c r="D64" i="5"/>
  <c r="G70" i="1" s="1"/>
  <c r="I70" i="1" s="1"/>
  <c r="H70" i="1" s="1"/>
  <c r="D125" i="3"/>
  <c r="D125" i="5"/>
  <c r="G131" i="1" s="1"/>
  <c r="I131" i="1" s="1"/>
  <c r="H131" i="1" s="1"/>
  <c r="D114" i="3"/>
  <c r="D114" i="5"/>
  <c r="G120" i="1" s="1"/>
  <c r="I120" i="1" s="1"/>
  <c r="H120" i="1" s="1"/>
  <c r="D158" i="3"/>
  <c r="D158" i="5"/>
  <c r="G164" i="1" s="1"/>
  <c r="I164" i="1" s="1"/>
  <c r="H164" i="1" s="1"/>
  <c r="D123" i="3"/>
  <c r="D123" i="5"/>
  <c r="G129" i="1" s="1"/>
  <c r="I129" i="1" s="1"/>
  <c r="H129" i="1" s="1"/>
  <c r="D24" i="3"/>
  <c r="D24" i="5"/>
  <c r="G30" i="1" s="1"/>
  <c r="I30" i="1" s="1"/>
  <c r="H30" i="1" s="1"/>
  <c r="D10" i="3"/>
  <c r="D10" i="5"/>
  <c r="G16" i="1" s="1"/>
  <c r="I16" i="1" s="1"/>
  <c r="H16" i="1" s="1"/>
  <c r="D33" i="3"/>
  <c r="D33" i="5"/>
  <c r="G39" i="1" s="1"/>
  <c r="I39" i="1" s="1"/>
  <c r="H39" i="1" s="1"/>
  <c r="D13" i="3"/>
  <c r="D13" i="5"/>
  <c r="G19" i="1" s="1"/>
  <c r="I19" i="1" s="1"/>
  <c r="H19" i="1" s="1"/>
  <c r="D29" i="3"/>
  <c r="D29" i="5"/>
  <c r="G35" i="1" s="1"/>
  <c r="I35" i="1" s="1"/>
  <c r="H35" i="1" s="1"/>
  <c r="D2" i="3"/>
  <c r="D2" i="5"/>
  <c r="G8" i="1" s="1"/>
  <c r="I8" i="1" s="1"/>
  <c r="H8" i="1" s="1"/>
  <c r="D77" i="3"/>
  <c r="D77" i="5"/>
  <c r="G83" i="1" s="1"/>
  <c r="I83" i="1" s="1"/>
  <c r="H83" i="1" s="1"/>
  <c r="D117" i="3"/>
  <c r="D117" i="5"/>
  <c r="G123" i="1" s="1"/>
  <c r="I123" i="1" s="1"/>
  <c r="H123" i="1" s="1"/>
  <c r="D38" i="3"/>
  <c r="D38" i="5"/>
  <c r="G44" i="1" s="1"/>
  <c r="I44" i="1" s="1"/>
  <c r="H44" i="1" s="1"/>
  <c r="D108" i="3"/>
  <c r="D108" i="5"/>
  <c r="G114" i="1" s="1"/>
  <c r="I114" i="1" s="1"/>
  <c r="H114" i="1" s="1"/>
  <c r="D118" i="3"/>
  <c r="D118" i="5"/>
  <c r="G124" i="1" s="1"/>
  <c r="I124" i="1" s="1"/>
  <c r="H124" i="1" s="1"/>
  <c r="D28" i="3"/>
  <c r="D28" i="5"/>
  <c r="G34" i="1" s="1"/>
  <c r="I34" i="1" s="1"/>
  <c r="H34" i="1" s="1"/>
  <c r="D139" i="3"/>
  <c r="D139" i="5"/>
  <c r="G145" i="1" s="1"/>
  <c r="I145" i="1" s="1"/>
  <c r="H145" i="1" s="1"/>
  <c r="D110" i="3"/>
  <c r="D110" i="5"/>
  <c r="G116" i="1" s="1"/>
  <c r="I116" i="1" s="1"/>
  <c r="H116" i="1" s="1"/>
  <c r="D146" i="3"/>
  <c r="D146" i="5"/>
  <c r="G152" i="1" s="1"/>
  <c r="I152" i="1" s="1"/>
  <c r="H152" i="1" s="1"/>
  <c r="D59" i="3"/>
  <c r="D59" i="5"/>
  <c r="G65" i="1" s="1"/>
  <c r="I65" i="1" s="1"/>
  <c r="H65" i="1" s="1"/>
  <c r="D50" i="3"/>
  <c r="D50" i="5"/>
  <c r="G56" i="1" s="1"/>
  <c r="I56" i="1" s="1"/>
  <c r="H56" i="1" s="1"/>
  <c r="D72" i="3"/>
  <c r="D72" i="5"/>
  <c r="G78" i="1" s="1"/>
  <c r="I78" i="1" s="1"/>
  <c r="H78" i="1" s="1"/>
  <c r="D109" i="3"/>
  <c r="D109" i="5"/>
  <c r="G115" i="1" s="1"/>
  <c r="I115" i="1" s="1"/>
  <c r="H115" i="1" s="1"/>
  <c r="D116" i="3"/>
  <c r="D116" i="5"/>
  <c r="G122" i="1" s="1"/>
  <c r="I122" i="1" s="1"/>
  <c r="H122" i="1" s="1"/>
  <c r="D48" i="3"/>
  <c r="D48" i="5"/>
  <c r="G54" i="1" s="1"/>
  <c r="I54" i="1" s="1"/>
  <c r="H54" i="1" s="1"/>
  <c r="D44" i="3"/>
  <c r="D44" i="5"/>
  <c r="G50" i="1" s="1"/>
  <c r="I50" i="1" s="1"/>
  <c r="H50" i="1" s="1"/>
  <c r="D104" i="3"/>
  <c r="D104" i="5"/>
  <c r="G110" i="1" s="1"/>
  <c r="I110" i="1" s="1"/>
  <c r="H110" i="1" s="1"/>
  <c r="D90" i="3"/>
  <c r="D90" i="5"/>
  <c r="G96" i="1" s="1"/>
  <c r="I96" i="1" s="1"/>
  <c r="H96" i="1" s="1"/>
  <c r="D79" i="3"/>
  <c r="D79" i="5"/>
  <c r="G85" i="1" s="1"/>
  <c r="I85" i="1" s="1"/>
  <c r="H85" i="1" s="1"/>
  <c r="D63" i="3"/>
  <c r="D63" i="5"/>
  <c r="G69" i="1" s="1"/>
  <c r="I69" i="1" s="1"/>
  <c r="H69" i="1" s="1"/>
  <c r="D107" i="3"/>
  <c r="D107" i="5"/>
  <c r="G113" i="1" s="1"/>
  <c r="I113" i="1" s="1"/>
  <c r="H113" i="1" s="1"/>
  <c r="D5" i="3"/>
  <c r="D5" i="5"/>
  <c r="G11" i="1" s="1"/>
  <c r="I11" i="1" s="1"/>
  <c r="H11" i="1" s="1"/>
  <c r="D68" i="3"/>
  <c r="D68" i="5"/>
  <c r="G74" i="1" s="1"/>
  <c r="I74" i="1" s="1"/>
  <c r="H74" i="1" s="1"/>
  <c r="D138" i="3"/>
  <c r="D138" i="5"/>
  <c r="G144" i="1" s="1"/>
  <c r="I144" i="1" s="1"/>
  <c r="H144" i="1" s="1"/>
  <c r="D69" i="3"/>
  <c r="D69" i="5"/>
  <c r="G75" i="1" s="1"/>
  <c r="I75" i="1" s="1"/>
  <c r="H75" i="1" s="1"/>
  <c r="D100" i="3"/>
  <c r="D100" i="5"/>
  <c r="G106" i="1" s="1"/>
  <c r="I106" i="1" s="1"/>
  <c r="H106" i="1" s="1"/>
  <c r="D54" i="3"/>
  <c r="D54" i="5"/>
  <c r="G60" i="1" s="1"/>
  <c r="I60" i="1" s="1"/>
  <c r="H60" i="1" s="1"/>
  <c r="D120" i="3"/>
  <c r="D120" i="5"/>
  <c r="G126" i="1" s="1"/>
  <c r="I126" i="1" s="1"/>
  <c r="H126" i="1" s="1"/>
  <c r="E171" i="23"/>
  <c r="G171" i="23" s="1"/>
  <c r="D177" i="1" s="1"/>
  <c r="E173" i="23"/>
  <c r="C179" i="1" s="1"/>
  <c r="E100" i="3"/>
  <c r="D130" i="1"/>
  <c r="D95" i="1"/>
  <c r="D39" i="1"/>
  <c r="D80" i="1"/>
  <c r="D77" i="1"/>
  <c r="D129" i="1"/>
  <c r="E156" i="3"/>
  <c r="D155" i="23"/>
  <c r="K57" i="10"/>
  <c r="K27" i="10"/>
  <c r="E161" i="23"/>
  <c r="C167" i="1" s="1"/>
  <c r="L162" i="10"/>
  <c r="K132" i="10"/>
  <c r="K83" i="10"/>
  <c r="L36" i="10"/>
  <c r="C188" i="10"/>
  <c r="E168" i="23"/>
  <c r="C174" i="1" s="1"/>
  <c r="L94" i="10"/>
  <c r="K91" i="10"/>
  <c r="L61" i="10"/>
  <c r="L90" i="10"/>
  <c r="K149" i="10"/>
  <c r="L139" i="10"/>
  <c r="F140" i="10" s="1"/>
  <c r="C178" i="10" s="1"/>
  <c r="I178" i="10" s="1"/>
  <c r="K87" i="10"/>
  <c r="L138" i="10"/>
  <c r="L4" i="10"/>
  <c r="K40" i="10"/>
  <c r="L89" i="10"/>
  <c r="L142" i="10"/>
  <c r="K23" i="10"/>
  <c r="L119" i="10"/>
  <c r="F60" i="10"/>
  <c r="C173" i="10" s="1"/>
  <c r="I173" i="10" s="1"/>
  <c r="E60" i="10"/>
  <c r="B173" i="10" s="1"/>
  <c r="B185" i="10" s="1"/>
  <c r="L47" i="10"/>
  <c r="L155" i="10"/>
  <c r="L24" i="10"/>
  <c r="K148" i="10"/>
  <c r="L104" i="10"/>
  <c r="K159" i="10"/>
  <c r="K120" i="10"/>
  <c r="L125" i="10"/>
  <c r="K103" i="10"/>
  <c r="L156" i="10"/>
  <c r="L14" i="10"/>
  <c r="L92" i="10"/>
  <c r="L107" i="10"/>
  <c r="L84" i="10"/>
  <c r="L34" i="10"/>
  <c r="L82" i="10"/>
  <c r="K166" i="10"/>
  <c r="L55" i="10"/>
  <c r="K64" i="10"/>
  <c r="E75" i="10" s="1"/>
  <c r="B174" i="10" s="1"/>
  <c r="H174" i="10" s="1"/>
  <c r="L21" i="10"/>
  <c r="K46" i="10"/>
  <c r="K128" i="10"/>
  <c r="L146" i="10"/>
  <c r="L12" i="10"/>
  <c r="L42" i="10"/>
  <c r="L33" i="10"/>
  <c r="L25" i="10"/>
  <c r="L8" i="10"/>
  <c r="L48" i="10"/>
  <c r="L100" i="10"/>
  <c r="L72" i="10"/>
  <c r="K81" i="10"/>
  <c r="K154" i="10"/>
  <c r="L73" i="10"/>
  <c r="K116" i="10"/>
  <c r="L13" i="10"/>
  <c r="K117" i="10"/>
  <c r="K158" i="10"/>
  <c r="K86" i="10"/>
  <c r="L53" i="10"/>
  <c r="K134" i="10"/>
  <c r="L50" i="10"/>
  <c r="L160" i="10"/>
  <c r="L16" i="10"/>
  <c r="L51" i="10"/>
  <c r="L130" i="10"/>
  <c r="L126" i="10"/>
  <c r="K17" i="10"/>
  <c r="L88" i="10"/>
  <c r="L9" i="10"/>
  <c r="L144" i="10"/>
  <c r="K151" i="10"/>
  <c r="K143" i="10"/>
  <c r="L152" i="10"/>
  <c r="K124" i="10"/>
  <c r="L43" i="10"/>
  <c r="L147" i="10"/>
  <c r="K111" i="10"/>
  <c r="K153" i="10"/>
  <c r="L115" i="10"/>
  <c r="L77" i="10"/>
  <c r="K39" i="10"/>
  <c r="B187" i="10"/>
  <c r="K34" i="10"/>
  <c r="B193" i="10"/>
  <c r="C185" i="1"/>
  <c r="G179" i="23"/>
  <c r="B23" i="17"/>
  <c r="E90" i="1"/>
  <c r="G84" i="3"/>
  <c r="E162" i="1"/>
  <c r="G178" i="23"/>
  <c r="C184" i="1"/>
  <c r="G177" i="23"/>
  <c r="C183" i="1"/>
  <c r="B188" i="10"/>
  <c r="K139" i="10"/>
  <c r="E140" i="10" s="1"/>
  <c r="B178" i="10" s="1"/>
  <c r="H178" i="10" s="1"/>
  <c r="K37" i="10"/>
  <c r="B192" i="10"/>
  <c r="G120" i="3"/>
  <c r="E126" i="1"/>
  <c r="E31" i="10" l="1"/>
  <c r="B171" i="10" s="1"/>
  <c r="E48" i="1"/>
  <c r="G131" i="3"/>
  <c r="G163" i="23"/>
  <c r="E16" i="1"/>
  <c r="E174" i="23"/>
  <c r="G174" i="23" s="1"/>
  <c r="G40" i="3"/>
  <c r="E46" i="1"/>
  <c r="C40" i="23" s="1"/>
  <c r="E40" i="23" s="1"/>
  <c r="G40" i="23" s="1"/>
  <c r="D85" i="1"/>
  <c r="G18" i="3"/>
  <c r="E129" i="3"/>
  <c r="E113" i="3"/>
  <c r="F83" i="1"/>
  <c r="E83" i="1" s="1"/>
  <c r="C77" i="23" s="1"/>
  <c r="E77" i="23" s="1"/>
  <c r="G77" i="23" s="1"/>
  <c r="D8" i="1"/>
  <c r="E2" i="3" s="1"/>
  <c r="D20" i="1"/>
  <c r="D115" i="1"/>
  <c r="E109" i="3" s="1"/>
  <c r="D58" i="1"/>
  <c r="E52" i="3" s="1"/>
  <c r="D163" i="1"/>
  <c r="F163" i="1" s="1"/>
  <c r="F135" i="1"/>
  <c r="F157" i="1"/>
  <c r="D47" i="23"/>
  <c r="F53" i="1"/>
  <c r="E78" i="1"/>
  <c r="C72" i="23" s="1"/>
  <c r="E72" i="23" s="1"/>
  <c r="G72" i="23" s="1"/>
  <c r="D52" i="1"/>
  <c r="D46" i="23" s="1"/>
  <c r="D13" i="1"/>
  <c r="F13" i="1" s="1"/>
  <c r="E72" i="3"/>
  <c r="D60" i="1"/>
  <c r="E151" i="3"/>
  <c r="F119" i="1"/>
  <c r="E119" i="1" s="1"/>
  <c r="E42" i="3"/>
  <c r="D42" i="23"/>
  <c r="D72" i="23"/>
  <c r="F106" i="1"/>
  <c r="G100" i="3" s="1"/>
  <c r="G36" i="3"/>
  <c r="E42" i="1"/>
  <c r="F36" i="3" s="1"/>
  <c r="F59" i="1"/>
  <c r="E53" i="3"/>
  <c r="D53" i="23"/>
  <c r="E128" i="3"/>
  <c r="D127" i="23"/>
  <c r="F134" i="1"/>
  <c r="D36" i="23"/>
  <c r="D69" i="23"/>
  <c r="E69" i="3"/>
  <c r="F75" i="1"/>
  <c r="E36" i="3"/>
  <c r="D79" i="23"/>
  <c r="F85" i="1"/>
  <c r="E79" i="3"/>
  <c r="D82" i="23"/>
  <c r="F89" i="1"/>
  <c r="E83" i="3"/>
  <c r="E41" i="3"/>
  <c r="F47" i="1"/>
  <c r="D41" i="23"/>
  <c r="D115" i="23"/>
  <c r="F122" i="1"/>
  <c r="E116" i="3"/>
  <c r="E170" i="23"/>
  <c r="G170" i="23" s="1"/>
  <c r="D170" i="23" s="1"/>
  <c r="E176" i="1" s="1"/>
  <c r="D77" i="23"/>
  <c r="E167" i="23"/>
  <c r="G167" i="23" s="1"/>
  <c r="D167" i="23" s="1"/>
  <c r="E173" i="1" s="1"/>
  <c r="D85" i="23"/>
  <c r="E86" i="3"/>
  <c r="F92" i="1"/>
  <c r="D97" i="23"/>
  <c r="F104" i="1"/>
  <c r="G98" i="3" s="1"/>
  <c r="E98" i="3"/>
  <c r="E60" i="3"/>
  <c r="D60" i="23"/>
  <c r="F66" i="1"/>
  <c r="E145" i="3"/>
  <c r="F151" i="1"/>
  <c r="D144" i="23"/>
  <c r="E169" i="23"/>
  <c r="G169" i="23" s="1"/>
  <c r="D169" i="23" s="1"/>
  <c r="E175" i="1" s="1"/>
  <c r="F107" i="1"/>
  <c r="D100" i="23"/>
  <c r="E101" i="3"/>
  <c r="D120" i="23"/>
  <c r="F127" i="1"/>
  <c r="G164" i="23"/>
  <c r="D170" i="1" s="1"/>
  <c r="C170" i="1"/>
  <c r="F159" i="1"/>
  <c r="E153" i="3"/>
  <c r="D152" i="23"/>
  <c r="D23" i="1"/>
  <c r="D37" i="1"/>
  <c r="D146" i="1"/>
  <c r="D124" i="1"/>
  <c r="D50" i="1"/>
  <c r="D94" i="1"/>
  <c r="D158" i="1"/>
  <c r="D69" i="1"/>
  <c r="D76" i="1"/>
  <c r="F62" i="1"/>
  <c r="E56" i="3"/>
  <c r="D56" i="23"/>
  <c r="F26" i="1"/>
  <c r="D20" i="23"/>
  <c r="E20" i="3"/>
  <c r="D87" i="1"/>
  <c r="D113" i="1"/>
  <c r="D32" i="1"/>
  <c r="D152" i="1"/>
  <c r="D25" i="1"/>
  <c r="D128" i="1"/>
  <c r="D27" i="1"/>
  <c r="D155" i="1"/>
  <c r="D34" i="1"/>
  <c r="D57" i="1"/>
  <c r="D33" i="1"/>
  <c r="D54" i="1"/>
  <c r="D19" i="1"/>
  <c r="D36" i="1"/>
  <c r="D44" i="1"/>
  <c r="D118" i="1"/>
  <c r="D79" i="1"/>
  <c r="D84" i="1"/>
  <c r="D148" i="1"/>
  <c r="D153" i="1"/>
  <c r="D40" i="1"/>
  <c r="D121" i="1"/>
  <c r="D73" i="1"/>
  <c r="D132" i="1"/>
  <c r="F140" i="1"/>
  <c r="D133" i="23"/>
  <c r="E134" i="3"/>
  <c r="D23" i="23"/>
  <c r="E23" i="3"/>
  <c r="F29" i="1"/>
  <c r="D139" i="1"/>
  <c r="D41" i="1"/>
  <c r="D11" i="1"/>
  <c r="D21" i="1"/>
  <c r="D74" i="1"/>
  <c r="D98" i="1"/>
  <c r="D10" i="1"/>
  <c r="D61" i="1"/>
  <c r="D56" i="1"/>
  <c r="D86" i="1"/>
  <c r="D100" i="1"/>
  <c r="D101" i="1"/>
  <c r="D31" i="1"/>
  <c r="D14" i="1"/>
  <c r="D154" i="1"/>
  <c r="D117" i="1"/>
  <c r="D138" i="1"/>
  <c r="D149" i="1"/>
  <c r="D161" i="1"/>
  <c r="D68" i="1"/>
  <c r="D160" i="1"/>
  <c r="D82" i="1"/>
  <c r="D43" i="1"/>
  <c r="D9" i="1"/>
  <c r="F49" i="1"/>
  <c r="E43" i="3"/>
  <c r="D43" i="23"/>
  <c r="D131" i="1"/>
  <c r="D108" i="1"/>
  <c r="D65" i="1"/>
  <c r="E12" i="3"/>
  <c r="D12" i="23"/>
  <c r="F18" i="1"/>
  <c r="D81" i="1"/>
  <c r="D91" i="1"/>
  <c r="D63" i="1"/>
  <c r="D35" i="1"/>
  <c r="D51" i="1"/>
  <c r="D109" i="1"/>
  <c r="D93" i="1"/>
  <c r="D133" i="1"/>
  <c r="D125" i="1"/>
  <c r="D67" i="1"/>
  <c r="D15" i="1"/>
  <c r="D145" i="1"/>
  <c r="D110" i="1"/>
  <c r="D114" i="1"/>
  <c r="D144" i="1"/>
  <c r="D24" i="23"/>
  <c r="E24" i="3"/>
  <c r="F30" i="1"/>
  <c r="D92" i="23"/>
  <c r="E93" i="3"/>
  <c r="F99" i="1"/>
  <c r="E66" i="3"/>
  <c r="F72" i="1"/>
  <c r="E64" i="3"/>
  <c r="F70" i="1"/>
  <c r="D142" i="1"/>
  <c r="D143" i="1"/>
  <c r="D55" i="1"/>
  <c r="D147" i="1"/>
  <c r="D136" i="1"/>
  <c r="D28" i="1"/>
  <c r="D102" i="1"/>
  <c r="D111" i="1"/>
  <c r="D97" i="1"/>
  <c r="D64" i="1"/>
  <c r="D141" i="1"/>
  <c r="D116" i="1"/>
  <c r="D150" i="1"/>
  <c r="D103" i="1"/>
  <c r="D156" i="1"/>
  <c r="D112" i="1"/>
  <c r="D22" i="1"/>
  <c r="C173" i="1"/>
  <c r="E99" i="3"/>
  <c r="E180" i="23"/>
  <c r="E176" i="23"/>
  <c r="D65" i="23"/>
  <c r="F71" i="1"/>
  <c r="E65" i="3"/>
  <c r="D116" i="23"/>
  <c r="F123" i="1"/>
  <c r="F96" i="1"/>
  <c r="E90" i="3"/>
  <c r="D89" i="23"/>
  <c r="D164" i="1"/>
  <c r="F105" i="1"/>
  <c r="F12" i="1"/>
  <c r="D6" i="23"/>
  <c r="E6" i="3"/>
  <c r="E114" i="3"/>
  <c r="D113" i="23"/>
  <c r="F120" i="1"/>
  <c r="E11" i="3"/>
  <c r="F17" i="1"/>
  <c r="D11" i="23"/>
  <c r="E172" i="23"/>
  <c r="C181" i="1"/>
  <c r="B13" i="17"/>
  <c r="B14" i="17"/>
  <c r="B7" i="17"/>
  <c r="F95" i="10"/>
  <c r="C175" i="10" s="1"/>
  <c r="I175" i="10" s="1"/>
  <c r="H173" i="10"/>
  <c r="D184" i="10"/>
  <c r="K171" i="10"/>
  <c r="E180" i="10" s="1"/>
  <c r="D194" i="10" s="1"/>
  <c r="D190" i="10"/>
  <c r="C184" i="10"/>
  <c r="J171" i="10"/>
  <c r="D180" i="10" s="1"/>
  <c r="C194" i="10" s="1"/>
  <c r="G173" i="23"/>
  <c r="D179" i="1" s="1"/>
  <c r="D171" i="23"/>
  <c r="E177" i="1" s="1"/>
  <c r="C168" i="1"/>
  <c r="G168" i="23"/>
  <c r="D174" i="1" s="1"/>
  <c r="G166" i="23"/>
  <c r="D172" i="1" s="1"/>
  <c r="C177" i="1"/>
  <c r="C180" i="1"/>
  <c r="G161" i="23"/>
  <c r="D167" i="1" s="1"/>
  <c r="D156" i="23"/>
  <c r="E157" i="3"/>
  <c r="D52" i="23"/>
  <c r="D32" i="23"/>
  <c r="F38" i="1"/>
  <c r="E32" i="3"/>
  <c r="D88" i="23"/>
  <c r="E89" i="3"/>
  <c r="F95" i="1"/>
  <c r="E74" i="3"/>
  <c r="D74" i="23"/>
  <c r="F80" i="1"/>
  <c r="E124" i="3"/>
  <c r="F130" i="1"/>
  <c r="D123" i="23"/>
  <c r="E46" i="3"/>
  <c r="F115" i="1"/>
  <c r="F45" i="1"/>
  <c r="E39" i="3"/>
  <c r="D39" i="23"/>
  <c r="E123" i="3"/>
  <c r="D122" i="23"/>
  <c r="F129" i="1"/>
  <c r="D7" i="23"/>
  <c r="D14" i="23"/>
  <c r="E14" i="3"/>
  <c r="F20" i="1"/>
  <c r="E71" i="3"/>
  <c r="F77" i="1"/>
  <c r="D71" i="23"/>
  <c r="F39" i="1"/>
  <c r="E33" i="3"/>
  <c r="D33" i="23"/>
  <c r="E167" i="10"/>
  <c r="B179" i="10" s="1"/>
  <c r="H179" i="10" s="1"/>
  <c r="E123" i="10"/>
  <c r="B176" i="10" s="1"/>
  <c r="H176" i="10" s="1"/>
  <c r="F167" i="10"/>
  <c r="C179" i="10" s="1"/>
  <c r="I179" i="10" s="1"/>
  <c r="E95" i="10"/>
  <c r="B175" i="10" s="1"/>
  <c r="H175" i="10" s="1"/>
  <c r="F137" i="10"/>
  <c r="C177" i="10" s="1"/>
  <c r="I177" i="10" s="1"/>
  <c r="E56" i="10"/>
  <c r="B172" i="10" s="1"/>
  <c r="B191" i="10" s="1"/>
  <c r="C191" i="10" s="1"/>
  <c r="F123" i="10"/>
  <c r="C176" i="10" s="1"/>
  <c r="I176" i="10" s="1"/>
  <c r="F31" i="10"/>
  <c r="C171" i="10" s="1"/>
  <c r="I171" i="10" s="1"/>
  <c r="C171" i="1"/>
  <c r="L75" i="10"/>
  <c r="F56" i="10"/>
  <c r="C172" i="10" s="1"/>
  <c r="I172" i="10" s="1"/>
  <c r="H171" i="10"/>
  <c r="B186" i="10"/>
  <c r="E137" i="10"/>
  <c r="B177" i="10" s="1"/>
  <c r="H177" i="10" s="1"/>
  <c r="B22" i="17"/>
  <c r="F75" i="10"/>
  <c r="C174" i="10" s="1"/>
  <c r="I174" i="10" s="1"/>
  <c r="D162" i="23"/>
  <c r="E168" i="1" s="1"/>
  <c r="D168" i="1"/>
  <c r="D180" i="1"/>
  <c r="D174" i="23"/>
  <c r="E180" i="1" s="1"/>
  <c r="D176" i="1"/>
  <c r="C42" i="23"/>
  <c r="E42" i="23" s="1"/>
  <c r="G42" i="23" s="1"/>
  <c r="F42" i="3"/>
  <c r="F72" i="3"/>
  <c r="C18" i="23"/>
  <c r="E18" i="23" s="1"/>
  <c r="G18" i="23" s="1"/>
  <c r="F18" i="3"/>
  <c r="F40" i="3"/>
  <c r="D179" i="23"/>
  <c r="E185" i="1" s="1"/>
  <c r="D185" i="1"/>
  <c r="C112" i="23"/>
  <c r="E112" i="23" s="1"/>
  <c r="G112" i="23" s="1"/>
  <c r="F113" i="3"/>
  <c r="F10" i="3"/>
  <c r="C10" i="23"/>
  <c r="E10" i="23" s="1"/>
  <c r="G10" i="23" s="1"/>
  <c r="D163" i="23"/>
  <c r="E169" i="1" s="1"/>
  <c r="D169" i="1"/>
  <c r="D181" i="1"/>
  <c r="D175" i="23"/>
  <c r="E181" i="1" s="1"/>
  <c r="F156" i="3"/>
  <c r="C155" i="23"/>
  <c r="E155" i="23" s="1"/>
  <c r="G155" i="23" s="1"/>
  <c r="C83" i="23"/>
  <c r="E83" i="23" s="1"/>
  <c r="G83" i="23" s="1"/>
  <c r="F84" i="3"/>
  <c r="F120" i="3"/>
  <c r="C119" i="23"/>
  <c r="E119" i="23" s="1"/>
  <c r="G119" i="23" s="1"/>
  <c r="D171" i="1"/>
  <c r="D165" i="23"/>
  <c r="E171" i="1" s="1"/>
  <c r="D184" i="1"/>
  <c r="D178" i="23"/>
  <c r="E184" i="1" s="1"/>
  <c r="F77" i="3"/>
  <c r="D183" i="1"/>
  <c r="D177" i="23"/>
  <c r="E183" i="1" s="1"/>
  <c r="C130" i="23"/>
  <c r="E130" i="23" s="1"/>
  <c r="G130" i="23" s="1"/>
  <c r="F131" i="3"/>
  <c r="B189" i="10" l="1"/>
  <c r="D164" i="23"/>
  <c r="E170" i="1" s="1"/>
  <c r="C176" i="1"/>
  <c r="G113" i="3"/>
  <c r="D166" i="23"/>
  <c r="E172" i="1" s="1"/>
  <c r="G77" i="3"/>
  <c r="D175" i="1"/>
  <c r="E104" i="1"/>
  <c r="F98" i="3" s="1"/>
  <c r="C36" i="23"/>
  <c r="E36" i="23" s="1"/>
  <c r="G36" i="23" s="1"/>
  <c r="C175" i="1"/>
  <c r="F8" i="1"/>
  <c r="G2" i="3" s="1"/>
  <c r="D2" i="23"/>
  <c r="E7" i="3"/>
  <c r="D108" i="23"/>
  <c r="E106" i="1"/>
  <c r="C99" i="23" s="1"/>
  <c r="E99" i="23" s="1"/>
  <c r="G99" i="23" s="1"/>
  <c r="F58" i="1"/>
  <c r="E58" i="1" s="1"/>
  <c r="F52" i="1"/>
  <c r="G46" i="3" s="1"/>
  <c r="G47" i="3"/>
  <c r="E53" i="1"/>
  <c r="E157" i="1"/>
  <c r="G151" i="3"/>
  <c r="E54" i="3"/>
  <c r="D54" i="23"/>
  <c r="G129" i="3"/>
  <c r="E135" i="1"/>
  <c r="F60" i="1"/>
  <c r="G54" i="3" s="1"/>
  <c r="E163" i="1"/>
  <c r="G157" i="3"/>
  <c r="E75" i="1"/>
  <c r="G69" i="3"/>
  <c r="E134" i="1"/>
  <c r="G128" i="3"/>
  <c r="E59" i="1"/>
  <c r="G53" i="3"/>
  <c r="G79" i="3"/>
  <c r="E85" i="1"/>
  <c r="G86" i="3"/>
  <c r="E92" i="1"/>
  <c r="G41" i="3"/>
  <c r="E47" i="1"/>
  <c r="D173" i="1"/>
  <c r="E89" i="1"/>
  <c r="G83" i="3"/>
  <c r="G116" i="3"/>
  <c r="E122" i="1"/>
  <c r="E66" i="1"/>
  <c r="G60" i="3"/>
  <c r="E151" i="1"/>
  <c r="G145" i="3"/>
  <c r="D168" i="23"/>
  <c r="E174" i="1" s="1"/>
  <c r="G101" i="3"/>
  <c r="E107" i="1"/>
  <c r="E127" i="1"/>
  <c r="G121" i="3"/>
  <c r="C186" i="1"/>
  <c r="B31" i="17"/>
  <c r="G180" i="23"/>
  <c r="F116" i="1"/>
  <c r="E110" i="3"/>
  <c r="D109" i="23"/>
  <c r="D140" i="23"/>
  <c r="F147" i="1"/>
  <c r="E141" i="3"/>
  <c r="G93" i="3"/>
  <c r="E99" i="1"/>
  <c r="E104" i="3"/>
  <c r="D103" i="23"/>
  <c r="F110" i="1"/>
  <c r="F51" i="1"/>
  <c r="D45" i="23"/>
  <c r="E45" i="3"/>
  <c r="F65" i="1"/>
  <c r="B9" i="17"/>
  <c r="D59" i="23"/>
  <c r="E59" i="3"/>
  <c r="D76" i="23"/>
  <c r="F82" i="1"/>
  <c r="E76" i="3"/>
  <c r="D8" i="23"/>
  <c r="E8" i="3"/>
  <c r="F14" i="1"/>
  <c r="F98" i="1"/>
  <c r="D91" i="23"/>
  <c r="E92" i="3"/>
  <c r="D146" i="23"/>
  <c r="F153" i="1"/>
  <c r="E147" i="3"/>
  <c r="D48" i="23"/>
  <c r="F54" i="1"/>
  <c r="E48" i="3"/>
  <c r="D145" i="23"/>
  <c r="E146" i="3"/>
  <c r="F152" i="1"/>
  <c r="E140" i="3"/>
  <c r="F146" i="1"/>
  <c r="D139" i="23"/>
  <c r="G90" i="3"/>
  <c r="E96" i="1"/>
  <c r="D134" i="23"/>
  <c r="E135" i="3"/>
  <c r="F141" i="1"/>
  <c r="D49" i="23"/>
  <c r="F55" i="1"/>
  <c r="E49" i="3"/>
  <c r="E139" i="3"/>
  <c r="D138" i="23"/>
  <c r="F145" i="1"/>
  <c r="D29" i="23"/>
  <c r="F35" i="1"/>
  <c r="E29" i="3"/>
  <c r="D101" i="23"/>
  <c r="E102" i="3"/>
  <c r="F108" i="1"/>
  <c r="E154" i="3"/>
  <c r="D153" i="23"/>
  <c r="F160" i="1"/>
  <c r="E25" i="3"/>
  <c r="D25" i="23"/>
  <c r="F31" i="1"/>
  <c r="D68" i="23"/>
  <c r="F74" i="1"/>
  <c r="E68" i="3"/>
  <c r="D141" i="23"/>
  <c r="F148" i="1"/>
  <c r="E142" i="3"/>
  <c r="D27" i="23"/>
  <c r="E27" i="3"/>
  <c r="F33" i="1"/>
  <c r="E26" i="3"/>
  <c r="F32" i="1"/>
  <c r="D26" i="23"/>
  <c r="E62" i="1"/>
  <c r="G56" i="3"/>
  <c r="F37" i="1"/>
  <c r="E31" i="3"/>
  <c r="D31" i="23"/>
  <c r="E123" i="1"/>
  <c r="G117" i="3"/>
  <c r="D58" i="23"/>
  <c r="E58" i="3"/>
  <c r="F64" i="1"/>
  <c r="E137" i="3"/>
  <c r="D136" i="23"/>
  <c r="F143" i="1"/>
  <c r="F15" i="1"/>
  <c r="E9" i="3"/>
  <c r="D9" i="23"/>
  <c r="D57" i="23"/>
  <c r="E57" i="3"/>
  <c r="F63" i="1"/>
  <c r="F131" i="1"/>
  <c r="D124" i="23"/>
  <c r="E125" i="3"/>
  <c r="D62" i="23"/>
  <c r="F68" i="1"/>
  <c r="E62" i="3"/>
  <c r="E95" i="3"/>
  <c r="D94" i="23"/>
  <c r="F101" i="1"/>
  <c r="E15" i="3"/>
  <c r="F21" i="1"/>
  <c r="D15" i="23"/>
  <c r="E78" i="3"/>
  <c r="F84" i="1"/>
  <c r="D78" i="23"/>
  <c r="E51" i="3"/>
  <c r="D51" i="23"/>
  <c r="F57" i="1"/>
  <c r="E107" i="3"/>
  <c r="F113" i="1"/>
  <c r="D106" i="23"/>
  <c r="E70" i="3"/>
  <c r="D70" i="23"/>
  <c r="F76" i="1"/>
  <c r="F23" i="1"/>
  <c r="D17" i="23"/>
  <c r="E17" i="3"/>
  <c r="G172" i="23"/>
  <c r="C178" i="1"/>
  <c r="D16" i="23"/>
  <c r="F22" i="1"/>
  <c r="E16" i="3"/>
  <c r="E91" i="3"/>
  <c r="F97" i="1"/>
  <c r="D90" i="23"/>
  <c r="D135" i="23"/>
  <c r="E136" i="3"/>
  <c r="F142" i="1"/>
  <c r="E30" i="1"/>
  <c r="G24" i="3"/>
  <c r="F67" i="1"/>
  <c r="E61" i="3"/>
  <c r="D61" i="23"/>
  <c r="D84" i="23"/>
  <c r="E85" i="3"/>
  <c r="F91" i="1"/>
  <c r="F161" i="1"/>
  <c r="E155" i="3"/>
  <c r="D154" i="23"/>
  <c r="E94" i="3"/>
  <c r="F100" i="1"/>
  <c r="D93" i="23"/>
  <c r="E5" i="3"/>
  <c r="F11" i="1"/>
  <c r="D5" i="23"/>
  <c r="G134" i="3"/>
  <c r="E140" i="1"/>
  <c r="D73" i="23"/>
  <c r="E73" i="3"/>
  <c r="F79" i="1"/>
  <c r="F34" i="1"/>
  <c r="E28" i="3"/>
  <c r="D28" i="23"/>
  <c r="D81" i="23"/>
  <c r="E81" i="3"/>
  <c r="F87" i="1"/>
  <c r="F69" i="1"/>
  <c r="E63" i="3"/>
  <c r="D63" i="23"/>
  <c r="G6" i="3"/>
  <c r="E12" i="1"/>
  <c r="D105" i="23"/>
  <c r="E106" i="3"/>
  <c r="F112" i="1"/>
  <c r="D104" i="23"/>
  <c r="F111" i="1"/>
  <c r="E105" i="3"/>
  <c r="G64" i="3"/>
  <c r="E70" i="1"/>
  <c r="F125" i="1"/>
  <c r="E119" i="3"/>
  <c r="D118" i="23"/>
  <c r="D75" i="23"/>
  <c r="E75" i="3"/>
  <c r="F81" i="1"/>
  <c r="E143" i="3"/>
  <c r="F149" i="1"/>
  <c r="D142" i="23"/>
  <c r="D80" i="23"/>
  <c r="E80" i="3"/>
  <c r="F86" i="1"/>
  <c r="D35" i="23"/>
  <c r="F41" i="1"/>
  <c r="E35" i="3"/>
  <c r="E126" i="3"/>
  <c r="F132" i="1"/>
  <c r="D125" i="23"/>
  <c r="E112" i="3"/>
  <c r="F118" i="1"/>
  <c r="D111" i="23"/>
  <c r="E149" i="3"/>
  <c r="D148" i="23"/>
  <c r="F155" i="1"/>
  <c r="F158" i="1"/>
  <c r="E152" i="3"/>
  <c r="D151" i="23"/>
  <c r="G11" i="3"/>
  <c r="E17" i="1"/>
  <c r="G99" i="3"/>
  <c r="E105" i="1"/>
  <c r="E71" i="1"/>
  <c r="G65" i="3"/>
  <c r="F156" i="1"/>
  <c r="E150" i="3"/>
  <c r="D149" i="23"/>
  <c r="F102" i="1"/>
  <c r="E96" i="3"/>
  <c r="D95" i="23"/>
  <c r="E127" i="3"/>
  <c r="D126" i="23"/>
  <c r="F133" i="1"/>
  <c r="E18" i="1"/>
  <c r="G12" i="3"/>
  <c r="G43" i="3"/>
  <c r="E49" i="1"/>
  <c r="E132" i="3"/>
  <c r="D131" i="23"/>
  <c r="F138" i="1"/>
  <c r="F56" i="1"/>
  <c r="E50" i="3"/>
  <c r="D50" i="23"/>
  <c r="E133" i="3"/>
  <c r="D132" i="23"/>
  <c r="F139" i="1"/>
  <c r="D67" i="23"/>
  <c r="F73" i="1"/>
  <c r="E67" i="3"/>
  <c r="E38" i="3"/>
  <c r="D38" i="23"/>
  <c r="F44" i="1"/>
  <c r="E21" i="3"/>
  <c r="D21" i="23"/>
  <c r="F27" i="1"/>
  <c r="E88" i="3"/>
  <c r="D87" i="23"/>
  <c r="F94" i="1"/>
  <c r="G153" i="3"/>
  <c r="E159" i="1"/>
  <c r="E158" i="3"/>
  <c r="F164" i="1"/>
  <c r="D157" i="23"/>
  <c r="E97" i="3"/>
  <c r="D96" i="23"/>
  <c r="F103" i="1"/>
  <c r="F28" i="1"/>
  <c r="D22" i="23"/>
  <c r="E22" i="3"/>
  <c r="E72" i="1"/>
  <c r="G66" i="3"/>
  <c r="F144" i="1"/>
  <c r="E138" i="3"/>
  <c r="D137" i="23"/>
  <c r="F93" i="1"/>
  <c r="E87" i="3"/>
  <c r="D86" i="23"/>
  <c r="F9" i="1"/>
  <c r="E3" i="3"/>
  <c r="D3" i="23"/>
  <c r="F117" i="1"/>
  <c r="D110" i="23"/>
  <c r="E111" i="3"/>
  <c r="E55" i="3"/>
  <c r="D55" i="23"/>
  <c r="F61" i="1"/>
  <c r="G23" i="3"/>
  <c r="E29" i="1"/>
  <c r="D114" i="23"/>
  <c r="F121" i="1"/>
  <c r="E115" i="3"/>
  <c r="D30" i="23"/>
  <c r="F36" i="1"/>
  <c r="E30" i="3"/>
  <c r="E122" i="3"/>
  <c r="D121" i="23"/>
  <c r="F128" i="1"/>
  <c r="E26" i="1"/>
  <c r="G20" i="3"/>
  <c r="D44" i="23"/>
  <c r="E44" i="3"/>
  <c r="F50" i="1"/>
  <c r="G114" i="3"/>
  <c r="E120" i="1"/>
  <c r="G176" i="23"/>
  <c r="C182" i="1"/>
  <c r="D143" i="23"/>
  <c r="F150" i="1"/>
  <c r="E144" i="3"/>
  <c r="F136" i="1"/>
  <c r="D129" i="23"/>
  <c r="E130" i="3"/>
  <c r="F114" i="1"/>
  <c r="D107" i="23"/>
  <c r="E108" i="3"/>
  <c r="E103" i="3"/>
  <c r="F109" i="1"/>
  <c r="D102" i="23"/>
  <c r="F43" i="1"/>
  <c r="E37" i="3"/>
  <c r="D37" i="23"/>
  <c r="E148" i="3"/>
  <c r="D147" i="23"/>
  <c r="F154" i="1"/>
  <c r="F10" i="1"/>
  <c r="E4" i="3"/>
  <c r="D4" i="23"/>
  <c r="E34" i="3"/>
  <c r="D34" i="23"/>
  <c r="F40" i="1"/>
  <c r="F19" i="1"/>
  <c r="E13" i="3"/>
  <c r="D13" i="23"/>
  <c r="F25" i="1"/>
  <c r="E19" i="3"/>
  <c r="D19" i="23"/>
  <c r="F124" i="1"/>
  <c r="E118" i="3"/>
  <c r="D117" i="23"/>
  <c r="D173" i="23"/>
  <c r="E179" i="1" s="1"/>
  <c r="F100" i="3"/>
  <c r="C180" i="10"/>
  <c r="D161" i="23"/>
  <c r="E167" i="1" s="1"/>
  <c r="C97" i="23"/>
  <c r="E97" i="23" s="1"/>
  <c r="G97" i="23" s="1"/>
  <c r="E45" i="1"/>
  <c r="G39" i="3"/>
  <c r="G124" i="3"/>
  <c r="E130" i="1"/>
  <c r="G33" i="3"/>
  <c r="E39" i="1"/>
  <c r="E38" i="1"/>
  <c r="G32" i="3"/>
  <c r="G7" i="3"/>
  <c r="E13" i="1"/>
  <c r="G74" i="3"/>
  <c r="E80" i="1"/>
  <c r="G71" i="3"/>
  <c r="E77" i="1"/>
  <c r="G123" i="3"/>
  <c r="E129" i="1"/>
  <c r="E115" i="1"/>
  <c r="G109" i="3"/>
  <c r="G52" i="3"/>
  <c r="E20" i="1"/>
  <c r="G14" i="3"/>
  <c r="G89" i="3"/>
  <c r="E95" i="1"/>
  <c r="B190" i="10"/>
  <c r="C190" i="10" s="1"/>
  <c r="B184" i="10"/>
  <c r="H172" i="10"/>
  <c r="B180" i="10" s="1"/>
  <c r="B194" i="10" s="1"/>
  <c r="E52" i="1" l="1"/>
  <c r="E8" i="1"/>
  <c r="E60" i="1"/>
  <c r="C128" i="23"/>
  <c r="E128" i="23" s="1"/>
  <c r="G128" i="23" s="1"/>
  <c r="F129" i="3"/>
  <c r="F151" i="3"/>
  <c r="C150" i="23"/>
  <c r="E150" i="23" s="1"/>
  <c r="G150" i="23" s="1"/>
  <c r="F157" i="3"/>
  <c r="C156" i="23"/>
  <c r="E156" i="23" s="1"/>
  <c r="G156" i="23" s="1"/>
  <c r="C47" i="23"/>
  <c r="E47" i="23" s="1"/>
  <c r="G47" i="23" s="1"/>
  <c r="F47" i="3"/>
  <c r="C54" i="23"/>
  <c r="E54" i="23" s="1"/>
  <c r="G54" i="23" s="1"/>
  <c r="F54" i="3"/>
  <c r="C53" i="23"/>
  <c r="E53" i="23" s="1"/>
  <c r="G53" i="23" s="1"/>
  <c r="F53" i="3"/>
  <c r="C127" i="23"/>
  <c r="E127" i="23" s="1"/>
  <c r="G127" i="23" s="1"/>
  <c r="F128" i="3"/>
  <c r="C69" i="23"/>
  <c r="E69" i="23" s="1"/>
  <c r="G69" i="23" s="1"/>
  <c r="F69" i="3"/>
  <c r="C79" i="23"/>
  <c r="E79" i="23" s="1"/>
  <c r="G79" i="23" s="1"/>
  <c r="F79" i="3"/>
  <c r="F2" i="3"/>
  <c r="C2" i="23"/>
  <c r="E2" i="23" s="1"/>
  <c r="G2" i="23" s="1"/>
  <c r="C82" i="23"/>
  <c r="E82" i="23" s="1"/>
  <c r="G82" i="23" s="1"/>
  <c r="F83" i="3"/>
  <c r="F41" i="3"/>
  <c r="C41" i="23"/>
  <c r="E41" i="23" s="1"/>
  <c r="G41" i="23" s="1"/>
  <c r="C115" i="23"/>
  <c r="E115" i="23" s="1"/>
  <c r="G115" i="23" s="1"/>
  <c r="F116" i="3"/>
  <c r="F86" i="3"/>
  <c r="C85" i="23"/>
  <c r="E85" i="23" s="1"/>
  <c r="G85" i="23" s="1"/>
  <c r="C100" i="23"/>
  <c r="E100" i="23" s="1"/>
  <c r="G100" i="23" s="1"/>
  <c r="F101" i="3"/>
  <c r="C144" i="23"/>
  <c r="E144" i="23" s="1"/>
  <c r="G144" i="23" s="1"/>
  <c r="F145" i="3"/>
  <c r="C120" i="23"/>
  <c r="E120" i="23" s="1"/>
  <c r="G120" i="23" s="1"/>
  <c r="F121" i="3"/>
  <c r="F60" i="3"/>
  <c r="C60" i="23"/>
  <c r="E60" i="23" s="1"/>
  <c r="G60" i="23" s="1"/>
  <c r="F23" i="3"/>
  <c r="C23" i="23"/>
  <c r="E23" i="23" s="1"/>
  <c r="G23" i="23" s="1"/>
  <c r="G67" i="3"/>
  <c r="E73" i="1"/>
  <c r="G126" i="3"/>
  <c r="E132" i="1"/>
  <c r="G70" i="3"/>
  <c r="E76" i="1"/>
  <c r="G57" i="3"/>
  <c r="E63" i="1"/>
  <c r="E37" i="1"/>
  <c r="G31" i="3"/>
  <c r="E153" i="1"/>
  <c r="G147" i="3"/>
  <c r="G141" i="3"/>
  <c r="E147" i="1"/>
  <c r="G21" i="3"/>
  <c r="E27" i="1"/>
  <c r="G58" i="3"/>
  <c r="E64" i="1"/>
  <c r="E141" i="1"/>
  <c r="G135" i="3"/>
  <c r="G76" i="3"/>
  <c r="E82" i="1"/>
  <c r="G45" i="3"/>
  <c r="E51" i="1"/>
  <c r="E149" i="1"/>
  <c r="G143" i="3"/>
  <c r="E161" i="1"/>
  <c r="G155" i="3"/>
  <c r="E35" i="1"/>
  <c r="G29" i="3"/>
  <c r="G19" i="3"/>
  <c r="E25" i="1"/>
  <c r="E136" i="1"/>
  <c r="G130" i="3"/>
  <c r="E50" i="1"/>
  <c r="G44" i="3"/>
  <c r="G55" i="3"/>
  <c r="E61" i="1"/>
  <c r="G3" i="3"/>
  <c r="E9" i="1"/>
  <c r="F66" i="3"/>
  <c r="C66" i="23"/>
  <c r="E66" i="23" s="1"/>
  <c r="G66" i="23" s="1"/>
  <c r="E164" i="1"/>
  <c r="G158" i="3"/>
  <c r="G133" i="3"/>
  <c r="E139" i="1"/>
  <c r="C98" i="23"/>
  <c r="E98" i="23" s="1"/>
  <c r="G98" i="23" s="1"/>
  <c r="F99" i="3"/>
  <c r="G5" i="3"/>
  <c r="E11" i="1"/>
  <c r="G85" i="3"/>
  <c r="E91" i="1"/>
  <c r="E142" i="1"/>
  <c r="G136" i="3"/>
  <c r="E84" i="1"/>
  <c r="G78" i="3"/>
  <c r="F56" i="3"/>
  <c r="C56" i="23"/>
  <c r="E56" i="23" s="1"/>
  <c r="G56" i="23" s="1"/>
  <c r="G142" i="3"/>
  <c r="E148" i="1"/>
  <c r="G154" i="3"/>
  <c r="E160" i="1"/>
  <c r="G104" i="3"/>
  <c r="E110" i="1"/>
  <c r="E155" i="1"/>
  <c r="G149" i="3"/>
  <c r="C64" i="23"/>
  <c r="E64" i="23" s="1"/>
  <c r="G64" i="23" s="1"/>
  <c r="F64" i="3"/>
  <c r="G146" i="3"/>
  <c r="E152" i="1"/>
  <c r="E10" i="1"/>
  <c r="G4" i="3"/>
  <c r="E36" i="1"/>
  <c r="G30" i="3"/>
  <c r="F43" i="3"/>
  <c r="C43" i="23"/>
  <c r="E43" i="23" s="1"/>
  <c r="G43" i="23" s="1"/>
  <c r="G35" i="3"/>
  <c r="E41" i="1"/>
  <c r="G75" i="3"/>
  <c r="E81" i="1"/>
  <c r="E34" i="1"/>
  <c r="G28" i="3"/>
  <c r="G62" i="3"/>
  <c r="E68" i="1"/>
  <c r="G139" i="3"/>
  <c r="E145" i="1"/>
  <c r="F114" i="3"/>
  <c r="C113" i="23"/>
  <c r="E113" i="23" s="1"/>
  <c r="G113" i="23" s="1"/>
  <c r="E125" i="1"/>
  <c r="G119" i="3"/>
  <c r="E43" i="1"/>
  <c r="G37" i="3"/>
  <c r="F6" i="3"/>
  <c r="C6" i="23"/>
  <c r="E6" i="23" s="1"/>
  <c r="G6" i="23" s="1"/>
  <c r="E109" i="1"/>
  <c r="G103" i="3"/>
  <c r="E154" i="1"/>
  <c r="G148" i="3"/>
  <c r="G144" i="3"/>
  <c r="E150" i="1"/>
  <c r="C152" i="23"/>
  <c r="E152" i="23" s="1"/>
  <c r="G152" i="23" s="1"/>
  <c r="F153" i="3"/>
  <c r="E44" i="1"/>
  <c r="G38" i="3"/>
  <c r="E102" i="1"/>
  <c r="G96" i="3"/>
  <c r="F11" i="3"/>
  <c r="C11" i="23"/>
  <c r="E11" i="23" s="1"/>
  <c r="G11" i="23" s="1"/>
  <c r="E111" i="1"/>
  <c r="G105" i="3"/>
  <c r="E79" i="1"/>
  <c r="G73" i="3"/>
  <c r="D172" i="23"/>
  <c r="E178" i="1" s="1"/>
  <c r="D178" i="1"/>
  <c r="E113" i="1"/>
  <c r="G107" i="3"/>
  <c r="E32" i="1"/>
  <c r="G26" i="3"/>
  <c r="C89" i="23"/>
  <c r="E89" i="23" s="1"/>
  <c r="G89" i="23" s="1"/>
  <c r="F90" i="3"/>
  <c r="E98" i="1"/>
  <c r="G92" i="3"/>
  <c r="E116" i="1"/>
  <c r="G110" i="3"/>
  <c r="F65" i="3"/>
  <c r="C65" i="23"/>
  <c r="E65" i="23" s="1"/>
  <c r="G65" i="23" s="1"/>
  <c r="G16" i="3"/>
  <c r="E22" i="1"/>
  <c r="E28" i="1"/>
  <c r="G22" i="3"/>
  <c r="G112" i="3"/>
  <c r="E118" i="1"/>
  <c r="E69" i="1"/>
  <c r="G63" i="3"/>
  <c r="G94" i="3"/>
  <c r="E100" i="1"/>
  <c r="G15" i="3"/>
  <c r="E21" i="1"/>
  <c r="G9" i="3"/>
  <c r="E15" i="1"/>
  <c r="F117" i="3"/>
  <c r="C116" i="23"/>
  <c r="E116" i="23" s="1"/>
  <c r="G116" i="23" s="1"/>
  <c r="E74" i="1"/>
  <c r="G68" i="3"/>
  <c r="E108" i="1"/>
  <c r="G102" i="3"/>
  <c r="G48" i="3"/>
  <c r="E54" i="1"/>
  <c r="G8" i="3"/>
  <c r="E14" i="1"/>
  <c r="C92" i="23"/>
  <c r="E92" i="23" s="1"/>
  <c r="G92" i="23" s="1"/>
  <c r="F93" i="3"/>
  <c r="D180" i="23"/>
  <c r="E186" i="1" s="1"/>
  <c r="D186" i="1"/>
  <c r="E138" i="1"/>
  <c r="G132" i="3"/>
  <c r="E93" i="1"/>
  <c r="G87" i="3"/>
  <c r="G115" i="3"/>
  <c r="E121" i="1"/>
  <c r="G97" i="3"/>
  <c r="E103" i="1"/>
  <c r="G88" i="3"/>
  <c r="E94" i="1"/>
  <c r="F12" i="3"/>
  <c r="C12" i="23"/>
  <c r="E12" i="23" s="1"/>
  <c r="G12" i="23" s="1"/>
  <c r="E112" i="1"/>
  <c r="G106" i="3"/>
  <c r="G81" i="3"/>
  <c r="E87" i="1"/>
  <c r="G91" i="3"/>
  <c r="E97" i="1"/>
  <c r="G51" i="3"/>
  <c r="E57" i="1"/>
  <c r="G137" i="3"/>
  <c r="E143" i="1"/>
  <c r="G27" i="3"/>
  <c r="E33" i="1"/>
  <c r="G59" i="3"/>
  <c r="E65" i="1"/>
  <c r="B10" i="17"/>
  <c r="E144" i="1"/>
  <c r="G138" i="3"/>
  <c r="G152" i="3"/>
  <c r="E158" i="1"/>
  <c r="F24" i="3"/>
  <c r="C24" i="23"/>
  <c r="E24" i="23" s="1"/>
  <c r="G24" i="23" s="1"/>
  <c r="E19" i="1"/>
  <c r="G13" i="3"/>
  <c r="E86" i="1"/>
  <c r="G80" i="3"/>
  <c r="G34" i="3"/>
  <c r="E40" i="1"/>
  <c r="C20" i="23"/>
  <c r="E20" i="23" s="1"/>
  <c r="G20" i="23" s="1"/>
  <c r="F20" i="3"/>
  <c r="E124" i="1"/>
  <c r="G118" i="3"/>
  <c r="G108" i="3"/>
  <c r="E114" i="1"/>
  <c r="D182" i="1"/>
  <c r="D176" i="23"/>
  <c r="E182" i="1" s="1"/>
  <c r="E128" i="1"/>
  <c r="G122" i="3"/>
  <c r="E117" i="1"/>
  <c r="G111" i="3"/>
  <c r="G50" i="3"/>
  <c r="E56" i="1"/>
  <c r="G127" i="3"/>
  <c r="E133" i="1"/>
  <c r="E156" i="1"/>
  <c r="G150" i="3"/>
  <c r="C133" i="23"/>
  <c r="E133" i="23" s="1"/>
  <c r="G133" i="23" s="1"/>
  <c r="F134" i="3"/>
  <c r="G61" i="3"/>
  <c r="E67" i="1"/>
  <c r="G17" i="3"/>
  <c r="E23" i="1"/>
  <c r="G95" i="3"/>
  <c r="E101" i="1"/>
  <c r="G125" i="3"/>
  <c r="E131" i="1"/>
  <c r="G25" i="3"/>
  <c r="E31" i="1"/>
  <c r="G49" i="3"/>
  <c r="E55" i="1"/>
  <c r="G140" i="3"/>
  <c r="E146" i="1"/>
  <c r="C122" i="23"/>
  <c r="E122" i="23" s="1"/>
  <c r="G122" i="23" s="1"/>
  <c r="F123" i="3"/>
  <c r="C32" i="23"/>
  <c r="E32" i="23" s="1"/>
  <c r="G32" i="23" s="1"/>
  <c r="F32" i="3"/>
  <c r="C33" i="23"/>
  <c r="E33" i="23" s="1"/>
  <c r="G33" i="23" s="1"/>
  <c r="F33" i="3"/>
  <c r="C46" i="23"/>
  <c r="E46" i="23" s="1"/>
  <c r="G46" i="23" s="1"/>
  <c r="F46" i="3"/>
  <c r="C74" i="23"/>
  <c r="E74" i="23" s="1"/>
  <c r="G74" i="23" s="1"/>
  <c r="F74" i="3"/>
  <c r="C88" i="23"/>
  <c r="E88" i="23" s="1"/>
  <c r="G88" i="23" s="1"/>
  <c r="F89" i="3"/>
  <c r="F7" i="3"/>
  <c r="C7" i="23"/>
  <c r="E7" i="23" s="1"/>
  <c r="G7" i="23" s="1"/>
  <c r="C71" i="23"/>
  <c r="E71" i="23" s="1"/>
  <c r="G71" i="23" s="1"/>
  <c r="F71" i="3"/>
  <c r="F14" i="3"/>
  <c r="C14" i="23"/>
  <c r="E14" i="23" s="1"/>
  <c r="G14" i="23" s="1"/>
  <c r="F52" i="3"/>
  <c r="C52" i="23"/>
  <c r="E52" i="23" s="1"/>
  <c r="G52" i="23" s="1"/>
  <c r="C123" i="23"/>
  <c r="E123" i="23" s="1"/>
  <c r="G123" i="23" s="1"/>
  <c r="F124" i="3"/>
  <c r="F109" i="3"/>
  <c r="C108" i="23"/>
  <c r="E108" i="23" s="1"/>
  <c r="G108" i="23" s="1"/>
  <c r="F39" i="3"/>
  <c r="C39" i="23"/>
  <c r="E39" i="23" s="1"/>
  <c r="G39" i="23" s="1"/>
  <c r="C80" i="23" l="1"/>
  <c r="E80" i="23" s="1"/>
  <c r="G80" i="23" s="1"/>
  <c r="F80" i="3"/>
  <c r="F138" i="3"/>
  <c r="C137" i="23"/>
  <c r="E137" i="23" s="1"/>
  <c r="G137" i="23" s="1"/>
  <c r="C51" i="23"/>
  <c r="E51" i="23" s="1"/>
  <c r="G51" i="23" s="1"/>
  <c r="F51" i="3"/>
  <c r="C8" i="23"/>
  <c r="E8" i="23" s="1"/>
  <c r="G8" i="23" s="1"/>
  <c r="F8" i="3"/>
  <c r="C138" i="23"/>
  <c r="E138" i="23" s="1"/>
  <c r="G138" i="23" s="1"/>
  <c r="F139" i="3"/>
  <c r="F35" i="3"/>
  <c r="C35" i="23"/>
  <c r="E35" i="23" s="1"/>
  <c r="G35" i="23" s="1"/>
  <c r="F146" i="3"/>
  <c r="C145" i="23"/>
  <c r="E145" i="23" s="1"/>
  <c r="G145" i="23" s="1"/>
  <c r="F154" i="3"/>
  <c r="C153" i="23"/>
  <c r="E153" i="23" s="1"/>
  <c r="G153" i="23" s="1"/>
  <c r="F133" i="3"/>
  <c r="C132" i="23"/>
  <c r="E132" i="23" s="1"/>
  <c r="G132" i="23" s="1"/>
  <c r="C55" i="23"/>
  <c r="E55" i="23" s="1"/>
  <c r="G55" i="23" s="1"/>
  <c r="F55" i="3"/>
  <c r="C76" i="23"/>
  <c r="E76" i="23" s="1"/>
  <c r="G76" i="23" s="1"/>
  <c r="F76" i="3"/>
  <c r="C140" i="23"/>
  <c r="E140" i="23" s="1"/>
  <c r="G140" i="23" s="1"/>
  <c r="F141" i="3"/>
  <c r="C70" i="23"/>
  <c r="E70" i="23" s="1"/>
  <c r="G70" i="23" s="1"/>
  <c r="F70" i="3"/>
  <c r="F87" i="3"/>
  <c r="C86" i="23"/>
  <c r="E86" i="23" s="1"/>
  <c r="G86" i="23" s="1"/>
  <c r="C63" i="23"/>
  <c r="E63" i="23" s="1"/>
  <c r="G63" i="23" s="1"/>
  <c r="F63" i="3"/>
  <c r="F26" i="3"/>
  <c r="C26" i="23"/>
  <c r="E26" i="23" s="1"/>
  <c r="G26" i="23" s="1"/>
  <c r="F105" i="3"/>
  <c r="C104" i="23"/>
  <c r="E104" i="23" s="1"/>
  <c r="G104" i="23" s="1"/>
  <c r="F136" i="3"/>
  <c r="C135" i="23"/>
  <c r="E135" i="23" s="1"/>
  <c r="G135" i="23" s="1"/>
  <c r="C29" i="23"/>
  <c r="E29" i="23" s="1"/>
  <c r="G29" i="23" s="1"/>
  <c r="F29" i="3"/>
  <c r="F111" i="3"/>
  <c r="C110" i="23"/>
  <c r="E110" i="23" s="1"/>
  <c r="G110" i="23" s="1"/>
  <c r="C117" i="23"/>
  <c r="E117" i="23" s="1"/>
  <c r="G117" i="23" s="1"/>
  <c r="F118" i="3"/>
  <c r="C13" i="23"/>
  <c r="E13" i="23" s="1"/>
  <c r="G13" i="23" s="1"/>
  <c r="F13" i="3"/>
  <c r="B11" i="17"/>
  <c r="C59" i="23"/>
  <c r="E59" i="23" s="1"/>
  <c r="G59" i="23" s="1"/>
  <c r="F59" i="3"/>
  <c r="C90" i="23"/>
  <c r="E90" i="23" s="1"/>
  <c r="G90" i="23" s="1"/>
  <c r="F91" i="3"/>
  <c r="C87" i="23"/>
  <c r="E87" i="23" s="1"/>
  <c r="G87" i="23" s="1"/>
  <c r="F88" i="3"/>
  <c r="C48" i="23"/>
  <c r="E48" i="23" s="1"/>
  <c r="G48" i="23" s="1"/>
  <c r="F48" i="3"/>
  <c r="F9" i="3"/>
  <c r="C9" i="23"/>
  <c r="E9" i="23" s="1"/>
  <c r="G9" i="23" s="1"/>
  <c r="F112" i="3"/>
  <c r="C111" i="23"/>
  <c r="E111" i="23" s="1"/>
  <c r="G111" i="23" s="1"/>
  <c r="C143" i="23"/>
  <c r="E143" i="23" s="1"/>
  <c r="G143" i="23" s="1"/>
  <c r="F144" i="3"/>
  <c r="C62" i="23"/>
  <c r="E62" i="23" s="1"/>
  <c r="G62" i="23" s="1"/>
  <c r="F62" i="3"/>
  <c r="F142" i="3"/>
  <c r="C141" i="23"/>
  <c r="E141" i="23" s="1"/>
  <c r="G141" i="23" s="1"/>
  <c r="C84" i="23"/>
  <c r="E84" i="23" s="1"/>
  <c r="G84" i="23" s="1"/>
  <c r="F85" i="3"/>
  <c r="C125" i="23"/>
  <c r="E125" i="23" s="1"/>
  <c r="G125" i="23" s="1"/>
  <c r="F126" i="3"/>
  <c r="F107" i="3"/>
  <c r="C106" i="23"/>
  <c r="E106" i="23" s="1"/>
  <c r="G106" i="23" s="1"/>
  <c r="C37" i="23"/>
  <c r="E37" i="23" s="1"/>
  <c r="G37" i="23" s="1"/>
  <c r="F37" i="3"/>
  <c r="C157" i="23"/>
  <c r="E157" i="23" s="1"/>
  <c r="G157" i="23" s="1"/>
  <c r="F158" i="3"/>
  <c r="C44" i="23"/>
  <c r="E44" i="23" s="1"/>
  <c r="G44" i="23" s="1"/>
  <c r="F44" i="3"/>
  <c r="C154" i="23"/>
  <c r="E154" i="23" s="1"/>
  <c r="G154" i="23" s="1"/>
  <c r="F155" i="3"/>
  <c r="F135" i="3"/>
  <c r="C134" i="23"/>
  <c r="E134" i="23" s="1"/>
  <c r="G134" i="23" s="1"/>
  <c r="C146" i="23"/>
  <c r="E146" i="23" s="1"/>
  <c r="G146" i="23" s="1"/>
  <c r="F147" i="3"/>
  <c r="F140" i="3"/>
  <c r="C139" i="23"/>
  <c r="E139" i="23" s="1"/>
  <c r="G139" i="23" s="1"/>
  <c r="F122" i="3"/>
  <c r="C121" i="23"/>
  <c r="E121" i="23" s="1"/>
  <c r="G121" i="23" s="1"/>
  <c r="C27" i="23"/>
  <c r="E27" i="23" s="1"/>
  <c r="G27" i="23" s="1"/>
  <c r="F27" i="3"/>
  <c r="F81" i="3"/>
  <c r="C81" i="23"/>
  <c r="E81" i="23" s="1"/>
  <c r="G81" i="23" s="1"/>
  <c r="F97" i="3"/>
  <c r="C96" i="23"/>
  <c r="E96" i="23" s="1"/>
  <c r="G96" i="23" s="1"/>
  <c r="F15" i="3"/>
  <c r="C15" i="23"/>
  <c r="E15" i="23" s="1"/>
  <c r="G15" i="23" s="1"/>
  <c r="C5" i="23"/>
  <c r="E5" i="23" s="1"/>
  <c r="G5" i="23" s="1"/>
  <c r="F5" i="3"/>
  <c r="C58" i="23"/>
  <c r="E58" i="23" s="1"/>
  <c r="G58" i="23" s="1"/>
  <c r="F58" i="3"/>
  <c r="C67" i="23"/>
  <c r="E67" i="23" s="1"/>
  <c r="G67" i="23" s="1"/>
  <c r="F67" i="3"/>
  <c r="C124" i="23"/>
  <c r="E124" i="23" s="1"/>
  <c r="G124" i="23" s="1"/>
  <c r="F125" i="3"/>
  <c r="F95" i="3"/>
  <c r="C94" i="23"/>
  <c r="E94" i="23" s="1"/>
  <c r="G94" i="23" s="1"/>
  <c r="C17" i="23"/>
  <c r="E17" i="23" s="1"/>
  <c r="G17" i="23" s="1"/>
  <c r="F17" i="3"/>
  <c r="C126" i="23"/>
  <c r="E126" i="23" s="1"/>
  <c r="G126" i="23" s="1"/>
  <c r="F127" i="3"/>
  <c r="C34" i="23"/>
  <c r="E34" i="23" s="1"/>
  <c r="G34" i="23" s="1"/>
  <c r="F34" i="3"/>
  <c r="C151" i="23"/>
  <c r="E151" i="23" s="1"/>
  <c r="G151" i="23" s="1"/>
  <c r="F152" i="3"/>
  <c r="C101" i="23"/>
  <c r="E101" i="23" s="1"/>
  <c r="G101" i="23" s="1"/>
  <c r="F102" i="3"/>
  <c r="F22" i="3"/>
  <c r="C22" i="23"/>
  <c r="E22" i="23" s="1"/>
  <c r="G22" i="23" s="1"/>
  <c r="C91" i="23"/>
  <c r="E91" i="23" s="1"/>
  <c r="G91" i="23" s="1"/>
  <c r="F92" i="3"/>
  <c r="C95" i="23"/>
  <c r="E95" i="23" s="1"/>
  <c r="G95" i="23" s="1"/>
  <c r="F96" i="3"/>
  <c r="C147" i="23"/>
  <c r="E147" i="23" s="1"/>
  <c r="G147" i="23" s="1"/>
  <c r="F148" i="3"/>
  <c r="F119" i="3"/>
  <c r="C118" i="23"/>
  <c r="E118" i="23" s="1"/>
  <c r="G118" i="23" s="1"/>
  <c r="F28" i="3"/>
  <c r="C28" i="23"/>
  <c r="E28" i="23" s="1"/>
  <c r="G28" i="23" s="1"/>
  <c r="C30" i="23"/>
  <c r="E30" i="23" s="1"/>
  <c r="G30" i="23" s="1"/>
  <c r="F30" i="3"/>
  <c r="C148" i="23"/>
  <c r="E148" i="23" s="1"/>
  <c r="G148" i="23" s="1"/>
  <c r="F149" i="3"/>
  <c r="C129" i="23"/>
  <c r="E129" i="23" s="1"/>
  <c r="G129" i="23" s="1"/>
  <c r="F130" i="3"/>
  <c r="C142" i="23"/>
  <c r="E142" i="23" s="1"/>
  <c r="G142" i="23" s="1"/>
  <c r="F143" i="3"/>
  <c r="F31" i="3"/>
  <c r="C31" i="23"/>
  <c r="E31" i="23" s="1"/>
  <c r="G31" i="23" s="1"/>
  <c r="C149" i="23"/>
  <c r="E149" i="23" s="1"/>
  <c r="G149" i="23" s="1"/>
  <c r="F150" i="3"/>
  <c r="C136" i="23"/>
  <c r="E136" i="23" s="1"/>
  <c r="G136" i="23" s="1"/>
  <c r="F137" i="3"/>
  <c r="C114" i="23"/>
  <c r="E114" i="23" s="1"/>
  <c r="G114" i="23" s="1"/>
  <c r="F115" i="3"/>
  <c r="C93" i="23"/>
  <c r="E93" i="23" s="1"/>
  <c r="G93" i="23" s="1"/>
  <c r="F94" i="3"/>
  <c r="C16" i="23"/>
  <c r="E16" i="23" s="1"/>
  <c r="G16" i="23" s="1"/>
  <c r="F16" i="3"/>
  <c r="C75" i="23"/>
  <c r="E75" i="23" s="1"/>
  <c r="G75" i="23" s="1"/>
  <c r="F75" i="3"/>
  <c r="C103" i="23"/>
  <c r="E103" i="23" s="1"/>
  <c r="G103" i="23" s="1"/>
  <c r="F104" i="3"/>
  <c r="C3" i="23"/>
  <c r="E3" i="23" s="1"/>
  <c r="G3" i="23" s="1"/>
  <c r="F3" i="3"/>
  <c r="C19" i="23"/>
  <c r="E19" i="23" s="1"/>
  <c r="G19" i="23" s="1"/>
  <c r="F19" i="3"/>
  <c r="F45" i="3"/>
  <c r="C45" i="23"/>
  <c r="E45" i="23" s="1"/>
  <c r="G45" i="23" s="1"/>
  <c r="C21" i="23"/>
  <c r="E21" i="23" s="1"/>
  <c r="G21" i="23" s="1"/>
  <c r="F21" i="3"/>
  <c r="C57" i="23"/>
  <c r="E57" i="23" s="1"/>
  <c r="G57" i="23" s="1"/>
  <c r="F57" i="3"/>
  <c r="F132" i="3"/>
  <c r="C131" i="23"/>
  <c r="E131" i="23" s="1"/>
  <c r="G131" i="23" s="1"/>
  <c r="F110" i="3"/>
  <c r="C109" i="23"/>
  <c r="E109" i="23" s="1"/>
  <c r="G109" i="23" s="1"/>
  <c r="C49" i="23"/>
  <c r="E49" i="23" s="1"/>
  <c r="G49" i="23" s="1"/>
  <c r="F49" i="3"/>
  <c r="F25" i="3"/>
  <c r="C25" i="23"/>
  <c r="E25" i="23" s="1"/>
  <c r="G25" i="23" s="1"/>
  <c r="F61" i="3"/>
  <c r="C61" i="23"/>
  <c r="E61" i="23" s="1"/>
  <c r="G61" i="23" s="1"/>
  <c r="C50" i="23"/>
  <c r="E50" i="23" s="1"/>
  <c r="G50" i="23" s="1"/>
  <c r="F50" i="3"/>
  <c r="C107" i="23"/>
  <c r="E107" i="23" s="1"/>
  <c r="G107" i="23" s="1"/>
  <c r="F108" i="3"/>
  <c r="F106" i="3"/>
  <c r="C105" i="23"/>
  <c r="E105" i="23" s="1"/>
  <c r="G105" i="23" s="1"/>
  <c r="F68" i="3"/>
  <c r="C68" i="23"/>
  <c r="E68" i="23" s="1"/>
  <c r="G68" i="23" s="1"/>
  <c r="C73" i="23"/>
  <c r="E73" i="23" s="1"/>
  <c r="G73" i="23" s="1"/>
  <c r="F73" i="3"/>
  <c r="C38" i="23"/>
  <c r="E38" i="23" s="1"/>
  <c r="G38" i="23" s="1"/>
  <c r="F38" i="3"/>
  <c r="C102" i="23"/>
  <c r="E102" i="23" s="1"/>
  <c r="G102" i="23" s="1"/>
  <c r="F103" i="3"/>
  <c r="F4" i="3"/>
  <c r="C4" i="23"/>
  <c r="E4" i="23" s="1"/>
  <c r="G4" i="23" s="1"/>
  <c r="F78" i="3"/>
  <c r="C78" i="23"/>
  <c r="E78" i="23" s="1"/>
  <c r="G78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<sst xmlns="http://schemas.openxmlformats.org/spreadsheetml/2006/main" count="3344" uniqueCount="554">
  <si>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</si>
  <si>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</si>
  <si>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</si>
  <si>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</si>
  <si>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</si>
  <si>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</si>
  <si>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</si>
  <si>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</si>
  <si>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</si>
  <si>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</si>
  <si>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</si>
  <si>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</si>
  <si>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</si>
  <si>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</si>
  <si>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</si>
  <si>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</si>
  <si>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</si>
  <si>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</si>
  <si>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</si>
  <si>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</si>
  <si>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</si>
  <si>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</si>
  <si>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</si>
  <si>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</si>
  <si>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</si>
  <si>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</si>
  <si>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</si>
  <si>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</si>
  <si>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</si>
  <si>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</si>
  <si>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</si>
  <si>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</si>
  <si>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</si>
  <si>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</si>
  <si>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</si>
  <si>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</si>
  <si>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</si>
  <si>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</si>
  <si>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</si>
  <si>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</si>
  <si>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</si>
  <si>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</si>
  <si>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</si>
  <si>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</si>
  <si>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</si>
  <si>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</si>
  <si>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</si>
  <si>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</si>
  <si>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</si>
  <si>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</si>
  <si>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</si>
  <si>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</si>
  <si>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</si>
  <si>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</si>
  <si>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</si>
  <si>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</si>
  <si>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</si>
  <si>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</si>
  <si>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</si>
  <si>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</si>
  <si>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</si>
  <si>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</si>
  <si>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</si>
  <si>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</si>
  <si>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</si>
  <si>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</si>
  <si>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</si>
  <si>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</si>
  <si>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</si>
  <si>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</si>
  <si>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</si>
  <si>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</si>
  <si>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</si>
  <si>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</si>
  <si>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</si>
  <si>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</si>
  <si>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</si>
  <si>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</si>
  <si>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</si>
  <si>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</si>
  <si>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</si>
  <si>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</si>
  <si>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</si>
  <si>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</si>
  <si>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</si>
  <si>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</si>
  <si>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</si>
  <si>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</si>
  <si>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</si>
  <si>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</si>
  <si>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</si>
  <si>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</si>
  <si>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</si>
  <si>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</si>
  <si>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</si>
  <si>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</si>
  <si>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</si>
  <si>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</si>
  <si>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</si>
  <si>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</si>
  <si>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</si>
  <si>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</si>
  <si>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</si>
  <si>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</si>
  <si>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</si>
  <si>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</si>
  <si>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</si>
  <si>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</si>
  <si>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</si>
  <si>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</si>
  <si>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</si>
  <si>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</si>
  <si>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</si>
  <si>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</si>
  <si>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</si>
  <si>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</si>
  <si>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</si>
  <si>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</si>
  <si>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</si>
  <si>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</si>
  <si>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</si>
  <si>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</si>
  <si>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</si>
  <si>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</si>
  <si>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</si>
  <si>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</si>
  <si>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</si>
  <si>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</si>
  <si>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</si>
  <si>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</si>
  <si>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</si>
  <si>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</si>
  <si>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</si>
  <si>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</si>
  <si>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</si>
  <si>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</si>
  <si>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</si>
  <si>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</si>
  <si>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</si>
  <si>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</si>
  <si>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</si>
  <si>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</si>
  <si>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</si>
  <si>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</si>
  <si>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</si>
  <si>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</si>
  <si>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</si>
  <si>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</si>
  <si>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</si>
  <si>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</si>
  <si>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</si>
  <si>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</si>
  <si>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</si>
  <si>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</si>
  <si>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</si>
  <si>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</si>
  <si>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</si>
  <si>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</si>
  <si>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</si>
  <si>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</si>
  <si>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</si>
  <si>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</si>
  <si>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</si>
  <si>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</si>
  <si>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</si>
  <si>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</si>
  <si>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</si>
  <si>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</si>
  <si>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</si>
  <si>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</si>
  <si>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</si>
  <si>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</si>
  <si>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</si>
  <si>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</si>
  <si>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</si>
  <si>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</si>
  <si>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</si>
  <si>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</si>
  <si>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</si>
  <si>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</si>
  <si>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</si>
  <si>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</si>
  <si>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</si>
  <si>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</si>
  <si>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</si>
  <si>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</si>
  <si>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</si>
  <si>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</si>
  <si>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</si>
  <si>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</si>
  <si>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</si>
  <si>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</si>
  <si>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</si>
  <si>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</si>
  <si>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</si>
  <si>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</si>
  <si>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</si>
  <si>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</si>
  <si>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</si>
  <si>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</si>
  <si>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</si>
  <si>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</si>
  <si>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</si>
  <si>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</si>
  <si>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</si>
  <si>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</si>
  <si>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</si>
  <si>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</si>
  <si>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</si>
  <si>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</si>
  <si>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</si>
  <si>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</si>
  <si>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</si>
  <si>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</si>
  <si>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</si>
  <si>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</si>
  <si>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</si>
  <si>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</si>
  <si>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</si>
  <si>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</si>
  <si>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</si>
  <si>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</si>
  <si>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</si>
  <si>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</si>
  <si>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</si>
  <si>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</si>
  <si>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</si>
  <si>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</si>
  <si>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</si>
  <si>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</si>
  <si>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</si>
  <si>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</si>
  <si>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</si>
  <si>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</si>
  <si>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</si>
  <si>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</si>
  <si>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</si>
  <si>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</si>
  <si>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</si>
  <si>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</si>
  <si>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</si>
  <si>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</si>
  <si>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</si>
  <si>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</si>
  <si>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</si>
  <si>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</si>
  <si>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</si>
  <si>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</si>
  <si>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</si>
  <si>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</si>
  <si>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</si>
  <si>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</si>
  <si>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</si>
  <si>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</si>
  <si>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</si>
  <si>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</si>
  <si>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</si>
  <si>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</si>
  <si>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</si>
  <si>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</si>
  <si>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</si>
  <si>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</si>
  <si>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</si>
  <si>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</si>
  <si>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</si>
  <si>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</si>
  <si>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</si>
  <si>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</si>
  <si>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</si>
  <si>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</si>
  <si>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</si>
  <si>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</si>
  <si>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</si>
  <si>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</si>
  <si>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</si>
  <si>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</si>
  <si>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</si>
  <si>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</si>
  <si>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</si>
  <si>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</si>
  <si>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</si>
  <si>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</si>
  <si>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</si>
  <si>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</si>
  <si>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</si>
  <si>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</si>
  <si>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</si>
  <si>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</si>
  <si>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</si>
  <si>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</si>
  <si>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</si>
  <si>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</si>
  <si>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</si>
  <si>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</si>
  <si>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</si>
  <si>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</si>
  <si>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</si>
  <si>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</si>
  <si>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</si>
  <si>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</si>
  <si>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</si>
  <si>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</si>
  <si>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</si>
  <si>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</si>
  <si>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</si>
  <si>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</si>
  <si>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</si>
  <si>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</si>
  <si>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</si>
  <si>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</si>
  <si>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</si>
  <si>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</si>
  <si>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</si>
  <si>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</si>
  <si>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</si>
  <si>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</si>
  <si>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</si>
  <si>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</si>
  <si>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</si>
  <si>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</si>
  <si>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</si>
  <si>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</si>
  <si>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</si>
  <si>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</si>
  <si>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</si>
  <si>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</si>
  <si>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</si>
  <si>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</si>
  <si>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</si>
  <si>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</si>
  <si>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</si>
  <si>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</si>
  <si>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</si>
  <si>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</si>
  <si>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</si>
  <si>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</si>
  <si>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</si>
  <si>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</si>
  <si>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</si>
  <si>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</si>
  <si>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</si>
  <si>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</si>
  <si>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</si>
  <si>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</si>
  <si>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</si>
  <si>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</si>
  <si>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</si>
  <si>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</si>
  <si>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</si>
  <si>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</si>
  <si>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</si>
  <si>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</si>
  <si>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</si>
  <si>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</si>
  <si>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</si>
  <si>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</si>
  <si>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</si>
  <si>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</si>
  <si>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</si>
  <si>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</si>
  <si>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</si>
  <si>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</si>
  <si>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</si>
  <si>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</si>
  <si>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</si>
  <si>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</si>
  <si>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</si>
  <si>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</si>
  <si>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</si>
  <si>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</si>
  <si>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</si>
  <si>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</si>
  <si>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</si>
  <si>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</si>
  <si>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</si>
  <si>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</si>
  <si>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</si>
  <si>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</si>
  <si>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</si>
  <si>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</si>
  <si>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</si>
  <si>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</si>
  <si>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</si>
  <si>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</si>
  <si>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</si>
  <si>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</si>
  <si>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</si>
  <si>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</si>
  <si>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</si>
  <si>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</si>
  <si>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</si>
  <si>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</si>
  <si>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</si>
  <si>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</si>
  <si>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</si>
  <si>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</si>
  <si>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</si>
  <si>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</si>
  <si>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CDS</t>
  </si>
  <si>
    <t>Sovereign CDS, net of US</t>
  </si>
  <si>
    <t>Std deviation in Equities (weekly)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</si>
  <si>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</si>
  <si>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</si>
  <si>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</si>
  <si>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</si>
  <si>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</si>
  <si>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</si>
  <si>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</si>
  <si>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</si>
  <si>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</si>
  <si>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</si>
  <si>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</si>
  <si>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</si>
  <si>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</si>
  <si>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</si>
  <si>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</si>
  <si>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</si>
  <si>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</si>
  <si>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</si>
  <si>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</si>
  <si>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</si>
  <si>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</si>
  <si>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</si>
  <si>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</si>
  <si>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</si>
  <si>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</si>
  <si>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</si>
  <si>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</si>
  <si>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</si>
  <si>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</si>
  <si>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</si>
  <si>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</si>
  <si>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</si>
  <si>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</si>
  <si>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</si>
  <si>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</si>
  <si>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</si>
  <si>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</si>
  <si>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</si>
  <si>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</si>
  <si>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</si>
  <si>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</si>
  <si>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Tuvalu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</si>
  <si>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</si>
  <si>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</si>
  <si>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</si>
  <si>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</si>
  <si>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</si>
  <si>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</si>
  <si>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</si>
  <si>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</si>
  <si>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</si>
  <si>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</si>
  <si>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</si>
  <si>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</si>
  <si>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</si>
  <si>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</si>
  <si>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</si>
  <si>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</si>
  <si>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</si>
  <si>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</si>
  <si>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</si>
  <si>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</si>
  <si>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</si>
  <si>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</si>
  <si>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</si>
  <si>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</si>
  <si>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American Samoa</t>
  </si>
  <si>
    <t>Channel Islands</t>
  </si>
  <si>
    <t>Eritrea</t>
  </si>
  <si>
    <t>Guam</t>
  </si>
  <si>
    <t>St. Martin (French part)</t>
  </si>
  <si>
    <t>Monaco</t>
  </si>
  <si>
    <t>Northern Mariana Islands</t>
  </si>
  <si>
    <t>New Caledonia</t>
  </si>
  <si>
    <t>Korea, Dem. People’s Rep.</t>
  </si>
  <si>
    <t>French Polynesia</t>
  </si>
  <si>
    <t>San Marino</t>
  </si>
  <si>
    <t>Sao Tome and Principe</t>
  </si>
  <si>
    <t>Syrian Arab Republic</t>
  </si>
  <si>
    <t>Venezuela, RB</t>
  </si>
  <si>
    <t>Virgin Islands (U.S.)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</si>
  <si>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</si>
  <si>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</si>
  <si>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</si>
  <si>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</si>
  <si>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</si>
  <si>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</si>
  <si>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</si>
  <si>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</si>
  <si>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</si>
  <si>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</si>
  <si>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</si>
  <si>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</si>
  <si>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</si>
  <si>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</si>
  <si>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</si>
  <si>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</si>
  <si>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</si>
  <si>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</si>
  <si>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</si>
  <si>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</si>
  <si>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</si>
  <si>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</si>
  <si>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</si>
  <si>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</si>
  <si>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</si>
  <si>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</si>
  <si>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</si>
  <si>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SD</t>
  </si>
  <si>
    <t>North Macedonia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</si>
  <si>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</si>
  <si>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</si>
  <si>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</si>
  <si>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</si>
  <si>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</si>
  <si>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</si>
  <si>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Updated: January 2020</t>
  </si>
  <si>
    <t>Sovereign CDS</t>
  </si>
  <si>
    <t>https://papers.ssrn.com/sol3/papers.cfm?abstract_id=3550293</t>
  </si>
  <si>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</si>
  <si>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 xml:space="preserve">Equity/ </t>
    </r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</si>
  <si>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theme="1"/>
        <rFont val="Symbol"/>
        <family val="1"/>
        <charset val="2"/>
      </rPr>
      <t>s</t>
    </r>
    <r>
      <rPr>
        <i/>
        <sz val="12"/>
        <color theme="1"/>
        <rFont val="Calibri"/>
        <family val="2"/>
        <scheme val="minor"/>
      </rPr>
      <t xml:space="preserve"> (CDS)</t>
    </r>
  </si>
  <si>
    <t>CV(CDS)</t>
  </si>
  <si>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Symbol"/>
        <family val="1"/>
        <charset val="2"/>
      </rPr>
      <t>E</t>
    </r>
    <r>
      <rPr>
        <i/>
        <vertAlign val="subscript"/>
        <sz val="12"/>
        <color rgb="FF000000"/>
        <rFont val="Calibri"/>
        <family val="2"/>
        <scheme val="minor"/>
      </rPr>
      <t>quity/</t>
    </r>
    <r>
      <rPr>
        <i/>
        <vertAlign val="subscript"/>
        <sz val="12"/>
        <color rgb="FF000000"/>
        <rFont val="Symbol"/>
        <family val="1"/>
        <charset val="2"/>
      </rPr>
      <t xml:space="preserve"> </t>
    </r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CDS</t>
    </r>
  </si>
  <si>
    <t>BNA</t>
  </si>
  <si>
    <t>nA</t>
  </si>
  <si>
    <t>Date:</t>
  </si>
  <si>
    <t>Updating Sequence</t>
  </si>
  <si>
    <t>1. Relative Risk Worksheet</t>
  </si>
  <si>
    <t>2. Sovereign Ratings</t>
  </si>
  <si>
    <t>3. CDS Worksheet</t>
  </si>
  <si>
    <t>4. Default Spreads</t>
  </si>
  <si>
    <t>5. PRS Worksheet</t>
  </si>
  <si>
    <t>6. Country GDP</t>
  </si>
  <si>
    <t>7. Country tax rates</t>
  </si>
  <si>
    <t>8. Regional Weighted averages</t>
  </si>
  <si>
    <t>-</t>
  </si>
  <si>
    <t>eSwatini</t>
  </si>
  <si>
    <t>Updated Default Spread (7/1/20)</t>
  </si>
  <si>
    <t>Weighted Average: ERP</t>
  </si>
  <si>
    <t>LOCATION</t>
  </si>
  <si>
    <t>Congo</t>
  </si>
  <si>
    <t>Looked up for 2020</t>
  </si>
  <si>
    <t>Composite Risk Rating 12/20</t>
  </si>
  <si>
    <t>Updated January 1, 2021</t>
  </si>
  <si>
    <t>..</t>
  </si>
  <si>
    <t>GDP (in billions) in 2019</t>
  </si>
  <si>
    <t>CDS Spread (1/1/21)</t>
  </si>
  <si>
    <t>CDS Spread 1/1/20</t>
  </si>
  <si>
    <t>CDS Spread 1/1/2021</t>
  </si>
  <si>
    <t>Default Spread (1/1/20)</t>
  </si>
  <si>
    <t>Updated Default Spread (1/1/21)</t>
  </si>
  <si>
    <t>S&amp;P Emerging BMI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</si>
</sst>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0.0"/>
    <numFmt numFmtId="166" formatCode="0.0000%"/>
    <numFmt numFmtId="167" formatCode="0.000"/>
    <numFmt numFmtId="168" formatCode="yyyy\-mm\-dd"/>
    <numFmt numFmtId="169" formatCode="[$-409]d\-mmm\-yy;@"/>
  </numFmts>
  <fonts count="72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Calibri"/>
      <family val="2"/>
      <scheme val="minor"/>
    </font>
    <font>
      <i/>
      <sz val="12"/>
      <color rgb="FF000000"/>
      <name val="Calibri"/>
      <family val="2"/>
      <charset val="2"/>
      <scheme val="minor"/>
    </font>
    <font>
      <i/>
      <sz val="12"/>
      <color rgb="FF000000"/>
      <name val="Symbol"/>
      <family val="1"/>
      <charset val="2"/>
    </font>
    <font>
      <i/>
      <vertAlign val="sub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charset val="2"/>
      <scheme val="minor"/>
    </font>
    <font>
      <i/>
      <sz val="12"/>
      <color theme="1"/>
      <name val="Symbol"/>
      <family val="1"/>
      <charset val="2"/>
    </font>
    <font>
      <i/>
      <vertAlign val="subscript"/>
      <sz val="12"/>
      <color rgb="FF000000"/>
      <name val="Symbol"/>
      <family val="1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6A7F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9" fillId="4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7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0" fontId="8" fillId="0" borderId="1" xfId="4" applyNumberFormat="1" applyFont="1" applyBorder="1"/>
    <xf numFmtId="10" fontId="8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0" fontId="8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8" fillId="0" borderId="0" xfId="4" applyNumberFormat="1" applyFont="1" applyBorder="1"/>
    <xf numFmtId="10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20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8" fillId="0" borderId="1" xfId="3" applyFont="1" applyFill="1" applyBorder="1" applyAlignment="1">
      <alignment horizontal="left"/>
    </xf>
    <xf numFmtId="0" fontId="8" fillId="0" borderId="1" xfId="0" applyFont="1" applyFill="1" applyBorder="1"/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6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1" fillId="8" borderId="0" xfId="0" applyFont="1" applyFill="1" applyAlignment="1">
      <alignment horizontal="left" vertical="center" wrapText="1"/>
    </xf>
    <xf numFmtId="0" fontId="19" fillId="0" borderId="3" xfId="0" applyFont="1" applyBorder="1"/>
    <xf numFmtId="0" fontId="22" fillId="0" borderId="1" xfId="0" applyFont="1" applyBorder="1"/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1" fillId="0" borderId="0" xfId="0" applyFont="1"/>
    <xf numFmtId="0" fontId="42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6" fillId="0" borderId="0" xfId="0" applyFont="1"/>
    <xf numFmtId="0" fontId="43" fillId="0" borderId="0" xfId="0" applyFont="1"/>
    <xf numFmtId="165" fontId="25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6" fillId="7" borderId="1" xfId="4" applyNumberFormat="1" applyFont="1" applyFill="1" applyBorder="1" applyAlignment="1">
      <alignment horizontal="center"/>
    </xf>
    <xf numFmtId="10" fontId="6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9" fillId="0" borderId="0" xfId="0" applyFont="1"/>
    <xf numFmtId="0" fontId="8" fillId="0" borderId="5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10" fontId="8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4" fillId="5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1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2" fillId="0" borderId="0" xfId="0" applyNumberFormat="1" applyFont="1" applyBorder="1" applyAlignment="1">
      <alignment horizontal="center"/>
    </xf>
    <xf numFmtId="0" fontId="9" fillId="0" borderId="0" xfId="2" applyAlignment="1" applyProtection="1"/>
    <xf numFmtId="0" fontId="44" fillId="3" borderId="9" xfId="3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165" fontId="19" fillId="0" borderId="6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10" fontId="8" fillId="0" borderId="5" xfId="4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20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6" fillId="0" borderId="1" xfId="0" applyFont="1" applyBorder="1"/>
    <xf numFmtId="0" fontId="47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1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8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5" fillId="10" borderId="13" xfId="0" applyFont="1" applyFill="1" applyBorder="1"/>
    <xf numFmtId="0" fontId="45" fillId="10" borderId="14" xfId="0" applyFont="1" applyFill="1" applyBorder="1"/>
    <xf numFmtId="0" fontId="45" fillId="11" borderId="15" xfId="0" applyFont="1" applyFill="1" applyBorder="1" applyAlignment="1">
      <alignment horizontal="left"/>
    </xf>
    <xf numFmtId="10" fontId="45" fillId="11" borderId="15" xfId="0" applyNumberFormat="1" applyFont="1" applyFill="1" applyBorder="1"/>
    <xf numFmtId="0" fontId="0" fillId="0" borderId="1" xfId="0" applyBorder="1" applyAlignment="1">
      <alignment horizontal="center"/>
    </xf>
    <xf numFmtId="0" fontId="50" fillId="0" borderId="1" xfId="0" applyFont="1" applyBorder="1"/>
    <xf numFmtId="0" fontId="51" fillId="0" borderId="0" xfId="0" applyFont="1"/>
    <xf numFmtId="0" fontId="52" fillId="0" borderId="0" xfId="0" applyFont="1"/>
    <xf numFmtId="2" fontId="53" fillId="0" borderId="0" xfId="0" applyNumberFormat="1" applyFont="1"/>
    <xf numFmtId="2" fontId="51" fillId="0" borderId="0" xfId="0" applyNumberFormat="1" applyFont="1"/>
    <xf numFmtId="0" fontId="3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10" fontId="45" fillId="0" borderId="1" xfId="4" applyNumberFormat="1" applyFont="1" applyBorder="1"/>
    <xf numFmtId="10" fontId="38" fillId="0" borderId="1" xfId="4" applyNumberFormat="1" applyFont="1" applyBorder="1"/>
    <xf numFmtId="0" fontId="44" fillId="3" borderId="1" xfId="3" applyFont="1" applyFill="1" applyBorder="1" applyAlignment="1">
      <alignment vertical="center"/>
    </xf>
    <xf numFmtId="10" fontId="41" fillId="0" borderId="1" xfId="4" applyNumberFormat="1" applyFont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0" fontId="5" fillId="0" borderId="1" xfId="0" applyFont="1" applyBorder="1"/>
    <xf numFmtId="0" fontId="0" fillId="12" borderId="0" xfId="0" applyFill="1"/>
    <xf numFmtId="0" fontId="8" fillId="0" borderId="1" xfId="0" applyFont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10" fontId="8" fillId="13" borderId="1" xfId="4" applyNumberFormat="1" applyFont="1" applyFill="1" applyBorder="1" applyAlignment="1">
      <alignment horizontal="center"/>
    </xf>
    <xf numFmtId="10" fontId="8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3" fillId="0" borderId="1" xfId="0" applyFont="1" applyFill="1" applyBorder="1"/>
    <xf numFmtId="10" fontId="53" fillId="0" borderId="0" xfId="4" applyNumberFormat="1" applyFont="1"/>
    <xf numFmtId="0" fontId="2" fillId="0" borderId="1" xfId="0" applyFont="1" applyBorder="1"/>
    <xf numFmtId="0" fontId="19" fillId="0" borderId="3" xfId="0" applyFont="1" applyBorder="1" applyAlignment="1">
      <alignment horizontal="center"/>
    </xf>
    <xf numFmtId="0" fontId="25" fillId="0" borderId="0" xfId="0" applyFont="1"/>
    <xf numFmtId="0" fontId="19" fillId="0" borderId="3" xfId="0" quotePrefix="1" applyFont="1" applyBorder="1"/>
    <xf numFmtId="166" fontId="30" fillId="0" borderId="4" xfId="4" applyNumberFormat="1" applyFont="1" applyBorder="1"/>
    <xf numFmtId="0" fontId="34" fillId="0" borderId="1" xfId="0" applyFont="1" applyBorder="1" applyAlignment="1">
      <alignment vertical="center"/>
    </xf>
    <xf numFmtId="10" fontId="34" fillId="0" borderId="1" xfId="4" applyNumberFormat="1" applyFont="1" applyBorder="1" applyAlignment="1">
      <alignment horizontal="center" vertical="center" wrapText="1"/>
    </xf>
    <xf numFmtId="10" fontId="55" fillId="0" borderId="1" xfId="4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10" fontId="36" fillId="0" borderId="1" xfId="4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1" fillId="0" borderId="1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10" fontId="36" fillId="0" borderId="5" xfId="4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6" fillId="0" borderId="17" xfId="0" applyFont="1" applyBorder="1" applyAlignment="1">
      <alignment vertical="center"/>
    </xf>
    <xf numFmtId="10" fontId="36" fillId="0" borderId="6" xfId="4" applyNumberFormat="1" applyFont="1" applyBorder="1" applyAlignment="1">
      <alignment horizontal="center" vertical="center"/>
    </xf>
    <xf numFmtId="10" fontId="36" fillId="0" borderId="18" xfId="4" applyNumberFormat="1" applyFont="1" applyBorder="1" applyAlignment="1">
      <alignment horizontal="center" vertical="center"/>
    </xf>
    <xf numFmtId="2" fontId="36" fillId="0" borderId="18" xfId="0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10" fontId="0" fillId="0" borderId="20" xfId="4" applyNumberFormat="1" applyFont="1" applyBorder="1"/>
    <xf numFmtId="2" fontId="0" fillId="0" borderId="20" xfId="0" applyNumberFormat="1" applyBorder="1" applyAlignment="1">
      <alignment horizontal="center"/>
    </xf>
    <xf numFmtId="0" fontId="0" fillId="0" borderId="20" xfId="0" applyBorder="1"/>
    <xf numFmtId="10" fontId="62" fillId="0" borderId="20" xfId="4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36" fillId="0" borderId="22" xfId="0" applyFont="1" applyBorder="1" applyAlignment="1">
      <alignment vertical="center"/>
    </xf>
    <xf numFmtId="10" fontId="0" fillId="0" borderId="23" xfId="4" applyNumberFormat="1" applyFont="1" applyBorder="1"/>
    <xf numFmtId="2" fontId="0" fillId="0" borderId="23" xfId="0" applyNumberFormat="1" applyBorder="1" applyAlignment="1">
      <alignment horizontal="center"/>
    </xf>
    <xf numFmtId="0" fontId="0" fillId="0" borderId="23" xfId="0" applyBorder="1"/>
    <xf numFmtId="10" fontId="62" fillId="0" borderId="23" xfId="4" applyNumberFormat="1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63" fillId="0" borderId="1" xfId="0" applyFont="1" applyBorder="1" applyAlignment="1">
      <alignment horizontal="left"/>
    </xf>
    <xf numFmtId="17" fontId="63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64" fillId="0" borderId="0" xfId="0" applyFont="1"/>
    <xf numFmtId="0" fontId="19" fillId="0" borderId="0" xfId="0" applyFont="1" applyFill="1" applyBorder="1"/>
    <xf numFmtId="0" fontId="8" fillId="0" borderId="17" xfId="0" applyFont="1" applyFill="1" applyBorder="1"/>
    <xf numFmtId="0" fontId="44" fillId="3" borderId="1" xfId="3" applyFont="1" applyFill="1" applyBorder="1" applyAlignment="1">
      <alignment horizontal="center" vertical="center"/>
    </xf>
    <xf numFmtId="0" fontId="44" fillId="5" borderId="1" xfId="3" applyFont="1" applyFill="1" applyBorder="1" applyAlignment="1">
      <alignment vertical="center"/>
    </xf>
    <xf numFmtId="0" fontId="44" fillId="3" borderId="1" xfId="3" applyFont="1" applyFill="1" applyBorder="1" applyAlignment="1">
      <alignment horizontal="left" vertical="center"/>
    </xf>
    <xf numFmtId="0" fontId="7" fillId="0" borderId="0" xfId="0" applyFont="1" applyFill="1" applyAlignment="1">
      <alignment horizontal="centerContinuous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5" fillId="0" borderId="0" xfId="0" applyFont="1"/>
    <xf numFmtId="0" fontId="65" fillId="8" borderId="9" xfId="0" applyFont="1" applyFill="1" applyBorder="1" applyAlignment="1">
      <alignment vertical="center"/>
    </xf>
    <xf numFmtId="0" fontId="65" fillId="8" borderId="9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vertical="center"/>
    </xf>
    <xf numFmtId="0" fontId="65" fillId="8" borderId="25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horizontal="left" vertical="center"/>
    </xf>
    <xf numFmtId="0" fontId="33" fillId="0" borderId="25" xfId="0" applyFont="1" applyBorder="1"/>
    <xf numFmtId="0" fontId="66" fillId="3" borderId="1" xfId="3" applyFont="1" applyFill="1" applyBorder="1" applyAlignment="1">
      <alignment vertical="center"/>
    </xf>
    <xf numFmtId="0" fontId="66" fillId="3" borderId="1" xfId="3" applyFont="1" applyFill="1" applyBorder="1" applyAlignment="1">
      <alignment horizontal="center" vertical="center"/>
    </xf>
    <xf numFmtId="0" fontId="32" fillId="0" borderId="1" xfId="0" applyFont="1" applyBorder="1"/>
    <xf numFmtId="0" fontId="6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1" fontId="69" fillId="0" borderId="0" xfId="5" applyNumberFormat="1" applyFont="1" applyAlignment="1">
      <alignment horizontal="center" vertical="center" wrapText="1"/>
    </xf>
    <xf numFmtId="0" fontId="70" fillId="0" borderId="0" xfId="0" applyFont="1" applyAlignment="1">
      <alignment wrapText="1"/>
    </xf>
    <xf numFmtId="44" fontId="70" fillId="0" borderId="0" xfId="5" applyFont="1" applyAlignment="1">
      <alignment wrapText="1"/>
    </xf>
    <xf numFmtId="44" fontId="71" fillId="0" borderId="0" xfId="5" applyFont="1" applyAlignment="1">
      <alignment wrapText="1"/>
    </xf>
    <xf numFmtId="0" fontId="1" fillId="0" borderId="1" xfId="0" applyFont="1" applyBorder="1"/>
    <xf numFmtId="10" fontId="38" fillId="0" borderId="0" xfId="4" applyNumberFormat="1" applyFont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8" fillId="6" borderId="1" xfId="0" applyNumberFormat="1" applyFont="1" applyFill="1" applyBorder="1" applyAlignment="1">
      <alignment horizontal="center"/>
    </xf>
    <xf numFmtId="0" fontId="9" fillId="0" borderId="0" xfId="2" applyAlignment="1" applyProtection="1">
      <alignment horizontal="left" wrapText="1"/>
    </xf>
    <xf numFmtId="0" fontId="54" fillId="0" borderId="0" xfId="2" applyFont="1" applyAlignment="1" applyProtection="1">
      <alignment horizontal="left" wrapTex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13" borderId="0" xfId="3" applyFont="1" applyFill="1" applyBorder="1" applyAlignment="1">
      <alignment horizontal="center"/>
    </xf>
    <xf numFmtId="164" fontId="15" fillId="13" borderId="0" xfId="3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8" fillId="0" borderId="3" xfId="0" applyFont="1" applyBorder="1" applyAlignment="1">
      <alignment horizontal="center" wrapText="1"/>
    </xf>
    <xf numFmtId="0" fontId="68" fillId="0" borderId="0" xfId="0" applyFont="1" applyBorder="1" applyAlignment="1">
      <alignment horizontal="center" wrapText="1"/>
    </xf>
    <xf numFmtId="0" fontId="68" fillId="0" borderId="25" xfId="0" applyFont="1" applyBorder="1" applyAlignment="1">
      <alignment horizontal="center" wrapText="1"/>
    </xf>
    <xf numFmtId="49" fontId="68" fillId="0" borderId="3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25" xfId="0" applyNumberFormat="1" applyFont="1" applyBorder="1" applyAlignment="1">
      <alignment horizontal="center" wrapText="1"/>
    </xf>
  </cellXfs>
  <cellStyles count="6">
    <cellStyle name="blp_column_header" xfId="1" xr:uid="{00000000-0005-0000-0000-000000000000}"/>
    <cellStyle name="Currency" xfId="5" builtinId="4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742.367941203702" createdVersion="6" refreshedVersion="6" minRefreshableVersion="3" recordCount="154" xr:uid="{D6C018A6-382A-9D45-8D8E-6434E302DC8D}">
  <cacheSource type="worksheet">
    <worksheetSource ref="A1:I155" sheet="Regional breakdown"/>
  </cacheSource>
  <cacheFields count="9">
    <cacheField name="Country" numFmtId="0">
      <sharedItems count="157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Venezuela" u="1"/>
        <s v="Zambia" u="1"/>
        <s v="Vietnam" u="1"/>
      </sharedItems>
    </cacheField>
    <cacheField name="GDP (in billions) in 2019" numFmtId="2">
      <sharedItems containsSemiMixedTypes="0" containsString="0" containsNumber="1" minValue="0.8" maxValue="21374.400000000001"/>
    </cacheField>
    <cacheField name="Moody's rating" numFmtId="0">
      <sharedItems/>
    </cacheField>
    <cacheField name="Sovereign CDS" numFmtId="10">
      <sharedItems containsMixedTypes="1" containsNumber="1" minValue="1.5E-3" maxValue="7.7799999999999994E-2"/>
    </cacheField>
    <cacheField name="Adj. Default Spread" numFmtId="10">
      <sharedItems containsSemiMixedTypes="0" containsString="0" containsNumber="1" minValue="0" maxValue="0.17499999999999999"/>
    </cacheField>
    <cacheField name="Equity Risk Premium" numFmtId="10">
      <sharedItems containsSemiMixedTypes="0" containsString="0" containsNumber="1" minValue="4.7199999999999999E-2" maxValue="0.23898657542527282"/>
    </cacheField>
    <cacheField name="Country Risk Premium" numFmtId="10">
      <sharedItems containsSemiMixedTypes="0" containsString="0" containsNumber="1" minValue="0" maxValue="0.19178657542527283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915"/>
    <s v="Aa2"/>
    <n v="6.8999999999999999E-3"/>
    <n v="4.3848898169671765E-3"/>
    <n v="5.2005502866361637E-2"/>
    <n v="4.8055028663616358E-3"/>
    <n v="0.55000000000000004"/>
    <x v="0"/>
  </r>
  <r>
    <x v="1"/>
    <n v="15.3"/>
    <s v="B1"/>
    <s v="NA"/>
    <n v="3.9782909430302202E-2"/>
    <n v="9.0799016914808295E-2"/>
    <n v="4.3599016914808296E-2"/>
    <n v="0.15"/>
    <x v="1"/>
  </r>
  <r>
    <x v="2"/>
    <n v="3.2"/>
    <s v="Caa1"/>
    <s v="NA"/>
    <n v="6.6251698870904069E-2"/>
    <n v="0.1198067796717549"/>
    <n v="7.2606779671754898E-2"/>
    <n v="0.1"/>
    <x v="2"/>
  </r>
  <r>
    <x v="3"/>
    <n v="94.6"/>
    <s v="Caa1"/>
    <n v="7.4999999999999997E-2"/>
    <n v="6.6251698870904069E-2"/>
    <n v="0.1198067796717549"/>
    <n v="7.2606779671754898E-2"/>
    <n v="0.3"/>
    <x v="3"/>
  </r>
  <r>
    <x v="4"/>
    <n v="449.7"/>
    <s v="Ca"/>
    <s v="NA"/>
    <n v="0.10603460830120626"/>
    <n v="0.16340579658656318"/>
    <n v="0.11620579658656319"/>
    <n v="0.3"/>
    <x v="4"/>
  </r>
  <r>
    <x v="5"/>
    <n v="13.7"/>
    <s v="Ba3"/>
    <s v="NA"/>
    <n v="3.1810382490361881E-2"/>
    <n v="8.2061738975968967E-2"/>
    <n v="3.4861738975968962E-2"/>
    <n v="0.18"/>
    <x v="1"/>
  </r>
  <r>
    <x v="6"/>
    <n v="3.1"/>
    <s v="Baa1"/>
    <s v="NA"/>
    <n v="1.4111372683694367E-2"/>
    <n v="6.2664981951745621E-2"/>
    <n v="1.5464981951745628E-2"/>
    <n v="0.25"/>
    <x v="5"/>
  </r>
  <r>
    <x v="7"/>
    <n v="1392.7"/>
    <s v="Aaa"/>
    <n v="2.3E-3"/>
    <n v="0"/>
    <n v="4.7199999999999999E-2"/>
    <n v="0"/>
    <n v="0.3"/>
    <x v="6"/>
  </r>
  <r>
    <x v="8"/>
    <n v="446.3"/>
    <s v="Aa1"/>
    <n v="1.8E-3"/>
    <n v="3.5079118535737406E-3"/>
    <n v="5.1044402293089305E-2"/>
    <n v="3.8444022930893078E-3"/>
    <n v="0.25"/>
    <x v="2"/>
  </r>
  <r>
    <x v="9"/>
    <n v="48"/>
    <s v="Ba2"/>
    <s v="NA"/>
    <n v="2.6548514710001261E-2"/>
    <n v="7.629513553633499E-2"/>
    <n v="2.9095135536334988E-2"/>
    <n v="0.2"/>
    <x v="1"/>
  </r>
  <r>
    <x v="10"/>
    <n v="12.8"/>
    <s v="Ba2"/>
    <s v="NA"/>
    <n v="2.6548514710001261E-2"/>
    <n v="7.629513553633499E-2"/>
    <n v="2.9095135536334988E-2"/>
    <n v="0"/>
    <x v="5"/>
  </r>
  <r>
    <x v="11"/>
    <n v="38.6"/>
    <s v="B2"/>
    <n v="3.1800000000000002E-2"/>
    <n v="4.8632414333635951E-2"/>
    <n v="0.10049739542691996"/>
    <n v="5.3297395426919955E-2"/>
    <n v="0"/>
    <x v="0"/>
  </r>
  <r>
    <x v="12"/>
    <n v="302.60000000000002"/>
    <s v="Ba3"/>
    <s v="NA"/>
    <n v="3.1810382490361881E-2"/>
    <n v="8.2061738975968967E-2"/>
    <n v="3.4861738975968962E-2"/>
    <n v="0.25"/>
    <x v="7"/>
  </r>
  <r>
    <x v="13"/>
    <n v="5.2"/>
    <s v="Caa1"/>
    <s v="NA"/>
    <n v="6.6251698870904069E-2"/>
    <n v="0.1198067796717549"/>
    <n v="7.2606779671754898E-2"/>
    <n v="5.5E-2"/>
    <x v="5"/>
  </r>
  <r>
    <x v="14"/>
    <n v="63.1"/>
    <s v="B3"/>
    <s v="NA"/>
    <n v="5.74819192369697E-2"/>
    <n v="0.1101957739390316"/>
    <n v="6.2995773939031607E-2"/>
    <n v="0.18"/>
    <x v="1"/>
  </r>
  <r>
    <x v="15"/>
    <n v="529.6"/>
    <s v="Aa3"/>
    <n v="2.7000000000000001E-3"/>
    <n v="5.3415930497600151E-3"/>
    <n v="5.3053976219022358E-2"/>
    <n v="5.8539762190223561E-3"/>
    <n v="0.28999999999999998"/>
    <x v="2"/>
  </r>
  <r>
    <x v="16"/>
    <n v="1.9"/>
    <s v="Caa3"/>
    <s v="NA"/>
    <n v="8.8335598494538758E-2"/>
    <n v="0.14400903956233987"/>
    <n v="9.6809039562339869E-2"/>
    <n v="0.28249999999999997"/>
    <x v="4"/>
  </r>
  <r>
    <x v="17"/>
    <n v="14.4"/>
    <s v="B2"/>
    <s v="NA"/>
    <n v="4.8632414333635951E-2"/>
    <n v="0.10049739542691996"/>
    <n v="5.3297395426919955E-2"/>
    <n v="0.3"/>
    <x v="3"/>
  </r>
  <r>
    <x v="18"/>
    <n v="5.7"/>
    <s v="A2"/>
    <s v="NA"/>
    <n v="7.4941753235439005E-3"/>
    <n v="5.5413041262508976E-2"/>
    <n v="8.2130412625089771E-3"/>
    <n v="0"/>
    <x v="5"/>
  </r>
  <r>
    <x v="19"/>
    <n v="40.9"/>
    <s v="B2"/>
    <s v="NA"/>
    <n v="4.8632414333635951E-2"/>
    <n v="0.10049739542691996"/>
    <n v="5.3297395426919955E-2"/>
    <n v="0.25"/>
    <x v="4"/>
  </r>
  <r>
    <x v="20"/>
    <n v="20"/>
    <s v="B3"/>
    <s v="NA"/>
    <n v="5.74819192369697E-2"/>
    <n v="0.1101957739390316"/>
    <n v="6.2995773939031607E-2"/>
    <n v="0.1"/>
    <x v="1"/>
  </r>
  <r>
    <x v="21"/>
    <n v="18.3"/>
    <s v="A2"/>
    <s v="NA"/>
    <n v="7.4941753235439005E-3"/>
    <n v="5.5413041262508976E-2"/>
    <n v="8.2130412625089771E-3"/>
    <n v="0.22"/>
    <x v="3"/>
  </r>
  <r>
    <x v="22"/>
    <n v="1839.8"/>
    <s v="Ba2"/>
    <n v="2.1499999999999998E-2"/>
    <n v="2.6548514710001261E-2"/>
    <n v="7.629513553633499E-2"/>
    <n v="2.9095135536334988E-2"/>
    <n v="0.34"/>
    <x v="4"/>
  </r>
  <r>
    <x v="23"/>
    <n v="67.900000000000006"/>
    <s v="Baa1"/>
    <n v="7.0000000000000001E-3"/>
    <n v="1.4111372683694367E-2"/>
    <n v="6.2664981951745621E-2"/>
    <n v="1.5464981951745628E-2"/>
    <n v="0.1"/>
    <x v="1"/>
  </r>
  <r>
    <x v="24"/>
    <n v="15.7"/>
    <s v="B2"/>
    <s v="NA"/>
    <n v="4.8632414333635951E-2"/>
    <n v="0.10049739542691996"/>
    <n v="5.3297395426919955E-2"/>
    <n v="0.28000000000000003"/>
    <x v="3"/>
  </r>
  <r>
    <x v="25"/>
    <n v="27.1"/>
    <s v="B2"/>
    <s v="NA"/>
    <n v="4.8632414333635951E-2"/>
    <n v="0.10049739542691996"/>
    <n v="5.3297395426919955E-2"/>
    <n v="0.2"/>
    <x v="7"/>
  </r>
  <r>
    <x v="26"/>
    <n v="38.799999999999997"/>
    <s v="B2"/>
    <n v="5.8700000000000002E-2"/>
    <n v="4.8632414333635951E-2"/>
    <n v="0.10049739542691996"/>
    <n v="5.3297395426919955E-2"/>
    <n v="0.33"/>
    <x v="3"/>
  </r>
  <r>
    <x v="27"/>
    <n v="1736.4"/>
    <s v="Aaa"/>
    <n v="4.1999999999999997E-3"/>
    <n v="0"/>
    <n v="4.7199999999999999E-2"/>
    <n v="0"/>
    <n v="0.26500000000000001"/>
    <x v="8"/>
  </r>
  <r>
    <x v="28"/>
    <n v="2"/>
    <s v="B2"/>
    <s v="NA"/>
    <n v="4.8632414333635951E-2"/>
    <n v="0.10049739542691996"/>
    <n v="5.3297395426919955E-2"/>
    <n v="0"/>
    <x v="3"/>
  </r>
  <r>
    <x v="29"/>
    <n v="5.5"/>
    <s v="Aa3"/>
    <s v="NA"/>
    <n v="5.3415930497600151E-3"/>
    <n v="5.3053976219022358E-2"/>
    <n v="5.8539762190223561E-3"/>
    <n v="0"/>
    <x v="5"/>
  </r>
  <r>
    <x v="30"/>
    <n v="282.3"/>
    <s v="A1"/>
    <n v="8.9999999999999993E-3"/>
    <n v="6.2185710131534505E-3"/>
    <n v="5.4015076792294683E-2"/>
    <n v="6.8150767922946836E-3"/>
    <n v="0.27"/>
    <x v="4"/>
  </r>
  <r>
    <x v="31"/>
    <n v="14342.9"/>
    <s v="A1"/>
    <n v="5.5999999999999999E-3"/>
    <n v="6.2185710131534505E-3"/>
    <n v="5.4015076792294683E-2"/>
    <n v="6.8150767922946836E-3"/>
    <n v="0.25"/>
    <x v="7"/>
  </r>
  <r>
    <x v="32"/>
    <n v="323.8"/>
    <s v="Baa2"/>
    <n v="1.52E-2"/>
    <n v="1.6822031843274077E-2"/>
    <n v="6.5635656450950999E-2"/>
    <n v="1.8435656450951004E-2"/>
    <n v="0.32"/>
    <x v="4"/>
  </r>
  <r>
    <x v="33"/>
    <n v="47.3"/>
    <s v="Caa1"/>
    <s v="NA"/>
    <n v="6.6251698870904069E-2"/>
    <n v="0.1198067796717549"/>
    <n v="7.2606779671754898E-2"/>
    <n v="0.35"/>
    <x v="3"/>
  </r>
  <r>
    <x v="34"/>
    <n v="10.8"/>
    <s v="Caa2"/>
    <s v="NA"/>
    <n v="7.9565818860604404E-2"/>
    <n v="0.1343980338296166"/>
    <n v="8.7198033829616592E-2"/>
    <n v="0.3"/>
    <x v="3"/>
  </r>
  <r>
    <x v="35"/>
    <n v="1.2"/>
    <s v="B1"/>
    <s v="NA"/>
    <n v="3.9782909430302202E-2"/>
    <n v="9.0799016914808295E-2"/>
    <n v="4.3599016914808296E-2"/>
    <n v="0.2843"/>
    <x v="6"/>
  </r>
  <r>
    <x v="36"/>
    <n v="61.8"/>
    <s v="B2"/>
    <n v="6.13E-2"/>
    <n v="4.8632414333635951E-2"/>
    <n v="0.10049739542691996"/>
    <n v="5.3297395426919955E-2"/>
    <n v="0.3"/>
    <x v="4"/>
  </r>
  <r>
    <x v="37"/>
    <n v="58.8"/>
    <s v="Ba3"/>
    <s v="NA"/>
    <n v="3.1810382490361881E-2"/>
    <n v="8.2061738975968967E-2"/>
    <n v="3.4861738975968962E-2"/>
    <n v="0.25"/>
    <x v="3"/>
  </r>
  <r>
    <x v="38"/>
    <n v="60.4"/>
    <s v="Ba1"/>
    <n v="1.2800000000000001E-2"/>
    <n v="2.208389962363469E-2"/>
    <n v="7.1402259890584963E-2"/>
    <n v="2.4202259890584967E-2"/>
    <n v="0.18"/>
    <x v="1"/>
  </r>
  <r>
    <x v="39"/>
    <n v="100"/>
    <s v="Caa2"/>
    <s v="NA"/>
    <n v="7.9565818860604404E-2"/>
    <n v="0.1343980338296166"/>
    <n v="8.7198033829616592E-2"/>
    <n v="0.27360000000000001"/>
    <x v="5"/>
  </r>
  <r>
    <x v="40"/>
    <n v="3.1"/>
    <s v="A3"/>
    <s v="NA"/>
    <n v="1.0603460830120627E-2"/>
    <n v="5.8820579658656322E-2"/>
    <n v="1.1620579658656319E-2"/>
    <n v="0.22"/>
    <x v="5"/>
  </r>
  <r>
    <x v="41"/>
    <n v="24.6"/>
    <s v="Ba2"/>
    <n v="1.1900000000000001E-2"/>
    <n v="2.6548514710001261E-2"/>
    <n v="7.629513553633499E-2"/>
    <n v="2.9095135536334988E-2"/>
    <n v="0.125"/>
    <x v="2"/>
  </r>
  <r>
    <x v="42"/>
    <n v="246.5"/>
    <s v="Aa3"/>
    <n v="5.1000000000000004E-3"/>
    <n v="5.3415930497600151E-3"/>
    <n v="5.3053976219022358E-2"/>
    <n v="5.8539762190223561E-3"/>
    <n v="0.19"/>
    <x v="1"/>
  </r>
  <r>
    <x v="43"/>
    <n v="348.1"/>
    <s v="Aaa"/>
    <n v="1.6000000000000001E-3"/>
    <n v="0"/>
    <n v="4.7199999999999999E-2"/>
    <n v="0"/>
    <n v="0.22"/>
    <x v="2"/>
  </r>
  <r>
    <x v="44"/>
    <n v="88.9"/>
    <s v="Ba3"/>
    <s v="NA"/>
    <n v="3.1810382490361881E-2"/>
    <n v="8.2061738975968967E-2"/>
    <n v="3.4861738975968962E-2"/>
    <n v="0.27"/>
    <x v="5"/>
  </r>
  <r>
    <x v="45"/>
    <n v="107.4"/>
    <s v="Caa3"/>
    <s v="NA"/>
    <n v="8.8335598494538758E-2"/>
    <n v="0.14400903956233987"/>
    <n v="9.6809039562339869E-2"/>
    <n v="0.25"/>
    <x v="4"/>
  </r>
  <r>
    <x v="46"/>
    <n v="303.2"/>
    <s v="B2"/>
    <n v="4.0800000000000003E-2"/>
    <n v="4.8632414333635951E-2"/>
    <n v="0.10049739542691996"/>
    <n v="5.3297395426919955E-2"/>
    <n v="0.22500000000000001"/>
    <x v="3"/>
  </r>
  <r>
    <x v="47"/>
    <n v="27"/>
    <s v="B3"/>
    <n v="7.7799999999999994E-2"/>
    <n v="5.74819192369697E-2"/>
    <n v="0.1101957739390316"/>
    <n v="6.2995773939031607E-2"/>
    <n v="0.3"/>
    <x v="4"/>
  </r>
  <r>
    <x v="48"/>
    <n v="31.4"/>
    <s v="A1"/>
    <n v="7.0000000000000001E-3"/>
    <n v="6.2185710131534505E-3"/>
    <n v="5.4015076792294683E-2"/>
    <n v="6.8150767922946836E-3"/>
    <n v="0.2"/>
    <x v="1"/>
  </r>
  <r>
    <x v="49"/>
    <n v="96.1"/>
    <s v="B2"/>
    <s v="NA"/>
    <n v="4.8632414333635951E-2"/>
    <n v="0.10049739542691996"/>
    <n v="5.3297395426919955E-2"/>
    <n v="0.3"/>
    <x v="3"/>
  </r>
  <r>
    <x v="50"/>
    <n v="5.5"/>
    <s v="Ba3"/>
    <s v="NA"/>
    <n v="3.1810382490361881E-2"/>
    <n v="8.2061738975968967E-2"/>
    <n v="3.4861738975968962E-2"/>
    <n v="0.2"/>
    <x v="7"/>
  </r>
  <r>
    <x v="51"/>
    <n v="268.8"/>
    <s v="Aa1"/>
    <n v="2.5000000000000001E-3"/>
    <n v="3.5079118535737406E-3"/>
    <n v="5.1044402293089305E-2"/>
    <n v="3.8444022930893078E-3"/>
    <n v="0.2"/>
    <x v="2"/>
  </r>
  <r>
    <x v="52"/>
    <n v="2715.5"/>
    <s v="Aa2"/>
    <n v="3.2000000000000002E-3"/>
    <n v="4.3848898169671765E-3"/>
    <n v="5.2005502866361637E-2"/>
    <n v="4.8055028663616358E-3"/>
    <n v="0.28000000000000003"/>
    <x v="2"/>
  </r>
  <r>
    <x v="53"/>
    <n v="16.7"/>
    <s v="Caa1"/>
    <s v="NA"/>
    <n v="6.6251698870904069E-2"/>
    <n v="0.1198067796717549"/>
    <n v="7.2606779671754898E-2"/>
    <n v="0.3"/>
    <x v="3"/>
  </r>
  <r>
    <x v="54"/>
    <n v="17.7"/>
    <s v="Ba2"/>
    <s v="NA"/>
    <n v="2.6548514710001261E-2"/>
    <n v="7.629513553633499E-2"/>
    <n v="2.9095135536334988E-2"/>
    <n v="0.15"/>
    <x v="1"/>
  </r>
  <r>
    <x v="55"/>
    <n v="3845.6"/>
    <s v="Aaa"/>
    <n v="2.3E-3"/>
    <n v="0"/>
    <n v="4.7199999999999999E-2"/>
    <n v="0"/>
    <n v="0.3"/>
    <x v="2"/>
  </r>
  <r>
    <x v="56"/>
    <n v="67"/>
    <s v="B3"/>
    <s v="NA"/>
    <n v="5.74819192369697E-2"/>
    <n v="0.1101957739390316"/>
    <n v="6.2995773939031607E-2"/>
    <n v="0.25"/>
    <x v="3"/>
  </r>
  <r>
    <x v="57"/>
    <n v="209.9"/>
    <s v="Ba3"/>
    <n v="1.61E-2"/>
    <n v="3.1810382490361881E-2"/>
    <n v="8.2061738975968967E-2"/>
    <n v="3.4861738975968962E-2"/>
    <n v="0.24"/>
    <x v="2"/>
  </r>
  <r>
    <x v="58"/>
    <n v="76.7"/>
    <s v="Ba1"/>
    <s v="NA"/>
    <n v="2.208389962363469E-2"/>
    <n v="7.1402259890584963E-2"/>
    <n v="2.4202259890584967E-2"/>
    <n v="0.25"/>
    <x v="4"/>
  </r>
  <r>
    <x v="59"/>
    <n v="2.5"/>
    <s v="Aaa"/>
    <s v="NA"/>
    <n v="0"/>
    <n v="4.7199999999999999E-2"/>
    <n v="0"/>
    <n v="0"/>
    <x v="2"/>
  </r>
  <r>
    <x v="60"/>
    <n v="25.1"/>
    <s v="B1"/>
    <s v="NA"/>
    <n v="3.9782909430302202E-2"/>
    <n v="9.0799016914808295E-2"/>
    <n v="4.3599016914808296E-2"/>
    <n v="0.25"/>
    <x v="4"/>
  </r>
  <r>
    <x v="61"/>
    <n v="366"/>
    <s v="Aa3"/>
    <n v="7.3000000000000001E-3"/>
    <n v="5.3415930497600151E-3"/>
    <n v="5.3053976219022358E-2"/>
    <n v="5.8539762190223561E-3"/>
    <n v="0.16500000000000001"/>
    <x v="7"/>
  </r>
  <r>
    <x v="62"/>
    <n v="161"/>
    <s v="Baa3"/>
    <n v="9.4000000000000004E-3"/>
    <n v="1.9452965733454383E-2"/>
    <n v="6.8518958170767988E-2"/>
    <n v="2.1318958170767986E-2"/>
    <n v="0.09"/>
    <x v="1"/>
  </r>
  <r>
    <x v="63"/>
    <n v="24.2"/>
    <s v="A2"/>
    <n v="8.5000000000000006E-3"/>
    <n v="7.4941753235439005E-3"/>
    <n v="5.5413041262508976E-2"/>
    <n v="8.2130412625089771E-3"/>
    <n v="0.2"/>
    <x v="2"/>
  </r>
  <r>
    <x v="64"/>
    <n v="2875.1"/>
    <s v="Baa3"/>
    <n v="1.24E-2"/>
    <n v="1.9452965733454383E-2"/>
    <n v="6.8518958170767988E-2"/>
    <n v="2.1318958170767986E-2"/>
    <n v="0.3"/>
    <x v="7"/>
  </r>
  <r>
    <x v="65"/>
    <n v="1119.2"/>
    <s v="Baa2"/>
    <n v="1.2800000000000001E-2"/>
    <n v="1.6822031843274077E-2"/>
    <n v="6.5635656450950999E-2"/>
    <n v="1.8435656450951004E-2"/>
    <n v="0.15"/>
    <x v="7"/>
  </r>
  <r>
    <x v="66"/>
    <n v="234.1"/>
    <s v="Caa1"/>
    <n v="6.9800000000000001E-2"/>
    <n v="6.6251698870904069E-2"/>
    <n v="0.1198067796717549"/>
    <n v="7.2606779671754898E-2"/>
    <n v="0.15"/>
    <x v="0"/>
  </r>
  <r>
    <x v="67"/>
    <n v="388.7"/>
    <s v="A2"/>
    <n v="3.2000000000000002E-3"/>
    <n v="7.4941753235439005E-3"/>
    <n v="5.5413041262508976E-2"/>
    <n v="8.2130412625089771E-3"/>
    <n v="0.125"/>
    <x v="2"/>
  </r>
  <r>
    <x v="68"/>
    <n v="6.8"/>
    <s v="Aa3"/>
    <s v="NA"/>
    <n v="5.3415930497600151E-3"/>
    <n v="5.3053976219022358E-2"/>
    <n v="5.8539762190223561E-3"/>
    <n v="0"/>
    <x v="2"/>
  </r>
  <r>
    <x v="69"/>
    <n v="395.1"/>
    <s v="A1"/>
    <n v="7.7000000000000002E-3"/>
    <n v="6.2185710131534505E-3"/>
    <n v="5.4015076792294683E-2"/>
    <n v="6.8150767922946836E-3"/>
    <n v="0.23"/>
    <x v="0"/>
  </r>
  <r>
    <x v="70"/>
    <n v="2001.2"/>
    <s v="Baa3"/>
    <n v="1.43E-2"/>
    <n v="1.9452965733454383E-2"/>
    <n v="6.8518958170767988E-2"/>
    <n v="2.1318958170767986E-2"/>
    <n v="0.24"/>
    <x v="2"/>
  </r>
  <r>
    <x v="71"/>
    <n v="16.5"/>
    <s v="B2"/>
    <s v="NA"/>
    <n v="4.8632414333635951E-2"/>
    <n v="0.10049739542691996"/>
    <n v="5.3297395426919955E-2"/>
    <n v="0.25"/>
    <x v="5"/>
  </r>
  <r>
    <x v="72"/>
    <n v="5081.8"/>
    <s v="A1"/>
    <n v="2.8E-3"/>
    <n v="6.2185710131534505E-3"/>
    <n v="5.4015076792294683E-2"/>
    <n v="6.8150767922946836E-3"/>
    <n v="0.30620000000000003"/>
    <x v="7"/>
  </r>
  <r>
    <x v="73"/>
    <n v="1"/>
    <s v="Aaa"/>
    <s v="NA"/>
    <n v="0"/>
    <n v="4.7199999999999999E-2"/>
    <n v="0"/>
    <n v="0"/>
    <x v="2"/>
  </r>
  <r>
    <x v="74"/>
    <n v="43.7"/>
    <s v="B1"/>
    <s v="NA"/>
    <n v="3.9782909430302202E-2"/>
    <n v="9.0799016914808295E-2"/>
    <n v="4.3599016914808296E-2"/>
    <n v="0.2"/>
    <x v="0"/>
  </r>
  <r>
    <x v="75"/>
    <n v="180.2"/>
    <s v="Baa3"/>
    <n v="9.5999999999999992E-3"/>
    <n v="1.9452965733454383E-2"/>
    <n v="6.8518958170767988E-2"/>
    <n v="2.1318958170767986E-2"/>
    <n v="0.2"/>
    <x v="1"/>
  </r>
  <r>
    <x v="76"/>
    <n v="95.5"/>
    <s v="B2"/>
    <n v="4.0599999999999997E-2"/>
    <n v="4.8632414333635951E-2"/>
    <n v="0.10049739542691996"/>
    <n v="5.3297395426919955E-2"/>
    <n v="0.3"/>
    <x v="3"/>
  </r>
  <r>
    <x v="77"/>
    <n v="1642.4"/>
    <s v="Aa2"/>
    <n v="4.1999999999999997E-3"/>
    <n v="4.3848898169671765E-3"/>
    <n v="5.2005502866361637E-2"/>
    <n v="4.8055028663616358E-3"/>
    <n v="0.25"/>
    <x v="7"/>
  </r>
  <r>
    <x v="78"/>
    <n v="134.80000000000001"/>
    <s v="A1"/>
    <n v="7.4999999999999997E-3"/>
    <n v="6.2185710131534505E-3"/>
    <n v="5.4015076792294683E-2"/>
    <n v="6.8150767922946836E-3"/>
    <n v="0.15"/>
    <x v="0"/>
  </r>
  <r>
    <x v="79"/>
    <n v="8.5"/>
    <s v="B2"/>
    <s v="NA"/>
    <n v="4.8632414333635951E-2"/>
    <n v="0.10049739542691996"/>
    <n v="5.3297395426919955E-2"/>
    <n v="0.1"/>
    <x v="1"/>
  </r>
  <r>
    <x v="80"/>
    <n v="18.2"/>
    <s v="Caa2"/>
    <s v="NA"/>
    <n v="1.0603460830120627E-2"/>
    <n v="5.8820579658656322E-2"/>
    <n v="1.1620579658656319E-2"/>
    <n v="0.21129999999999999"/>
    <x v="7"/>
  </r>
  <r>
    <x v="81"/>
    <n v="34.1"/>
    <s v="A3"/>
    <n v="9.2999999999999992E-3"/>
    <n v="1.0603460830120627E-2"/>
    <n v="5.8820579658656322E-2"/>
    <n v="1.1620579658656319E-2"/>
    <n v="0.2"/>
    <x v="1"/>
  </r>
  <r>
    <x v="82"/>
    <n v="53.4"/>
    <s v="C"/>
    <s v="NA"/>
    <n v="0.17499999999999999"/>
    <n v="0.23898657542527282"/>
    <n v="0.19178657542527283"/>
    <n v="0.17"/>
    <x v="0"/>
  </r>
  <r>
    <x v="83"/>
    <n v="6.6"/>
    <s v="Aaa"/>
    <s v="NA"/>
    <n v="0"/>
    <n v="4.7199999999999999E-2"/>
    <n v="0"/>
    <n v="0.125"/>
    <x v="2"/>
  </r>
  <r>
    <x v="84"/>
    <n v="54.2"/>
    <s v="A3"/>
    <n v="8.9999999999999993E-3"/>
    <n v="1.0603460830120627E-2"/>
    <n v="5.8820579658656322E-2"/>
    <n v="1.1620579658656319E-2"/>
    <n v="0.15"/>
    <x v="1"/>
  </r>
  <r>
    <x v="85"/>
    <n v="71.099999999999994"/>
    <s v="Aaa"/>
    <s v="NA"/>
    <n v="0"/>
    <n v="4.7199999999999999E-2"/>
    <n v="0"/>
    <n v="0.24940000000000001"/>
    <x v="2"/>
  </r>
  <r>
    <x v="86"/>
    <n v="53.9"/>
    <s v="Aa3"/>
    <s v="NA"/>
    <n v="5.3415930497600151E-3"/>
    <n v="5.3053976219022358E-2"/>
    <n v="5.8539762190223561E-3"/>
    <n v="0.12"/>
    <x v="7"/>
  </r>
  <r>
    <x v="87"/>
    <n v="12.7"/>
    <s v="Ba3"/>
    <s v="NA"/>
    <n v="3.1810382490361881E-2"/>
    <n v="8.2061738975968967E-2"/>
    <n v="3.4861738975968962E-2"/>
    <n v="0.1"/>
    <x v="1"/>
  </r>
  <r>
    <x v="88"/>
    <n v="364.7"/>
    <s v="A3"/>
    <n v="7.0000000000000001E-3"/>
    <n v="1.0603460830120627E-2"/>
    <n v="5.8820579658656322E-2"/>
    <n v="1.1620579658656319E-2"/>
    <n v="0.24"/>
    <x v="7"/>
  </r>
  <r>
    <x v="89"/>
    <n v="5.7"/>
    <s v="B3"/>
    <s v="NA"/>
    <n v="5.74819192369697E-2"/>
    <n v="0.1101957739390316"/>
    <n v="6.2995773939031607E-2"/>
    <n v="0.21129999999999999"/>
    <x v="7"/>
  </r>
  <r>
    <x v="90"/>
    <n v="17.5"/>
    <s v="Caa1"/>
    <s v="NA"/>
    <n v="6.6251698870904069E-2"/>
    <n v="0.1198067796717549"/>
    <n v="7.2606779671754898E-2"/>
    <n v="0.28249999999999997"/>
    <x v="3"/>
  </r>
  <r>
    <x v="91"/>
    <n v="14.8"/>
    <s v="A2"/>
    <s v="NA"/>
    <n v="7.4941753235439005E-3"/>
    <n v="5.5413041262508976E-2"/>
    <n v="8.2130412625089771E-3"/>
    <n v="0.35"/>
    <x v="2"/>
  </r>
  <r>
    <x v="92"/>
    <n v="14.2"/>
    <s v="Baa1"/>
    <s v="NA"/>
    <n v="1.4111372683694367E-2"/>
    <n v="6.2664981951745621E-2"/>
    <n v="1.5464981951745628E-2"/>
    <n v="0.15"/>
    <x v="7"/>
  </r>
  <r>
    <x v="93"/>
    <n v="1258.3"/>
    <s v="Baa1"/>
    <n v="1.4500000000000001E-2"/>
    <n v="1.4111372683694367E-2"/>
    <n v="6.2664981951745621E-2"/>
    <n v="1.5464981951745628E-2"/>
    <n v="0.3"/>
    <x v="4"/>
  </r>
  <r>
    <x v="94"/>
    <n v="12"/>
    <s v="B3"/>
    <s v="NA"/>
    <n v="5.74819192369697E-2"/>
    <n v="0.1101957739390316"/>
    <n v="6.2995773939031607E-2"/>
    <n v="0.12"/>
    <x v="1"/>
  </r>
  <r>
    <x v="95"/>
    <n v="13.9"/>
    <s v="B3"/>
    <s v="NA"/>
    <n v="5.74819192369697E-2"/>
    <n v="0.1101957739390316"/>
    <n v="6.2995773939031607E-2"/>
    <n v="0.25"/>
    <x v="7"/>
  </r>
  <r>
    <x v="96"/>
    <n v="5.5"/>
    <s v="B1"/>
    <s v="NA"/>
    <n v="3.9782909430302202E-2"/>
    <n v="9.0799016914808295E-2"/>
    <n v="4.3599016914808296E-2"/>
    <n v="0.09"/>
    <x v="1"/>
  </r>
  <r>
    <x v="97"/>
    <n v="1.5"/>
    <s v="Baa3"/>
    <s v="NA"/>
    <n v="1.9452965733454383E-2"/>
    <n v="6.8518958170767988E-2"/>
    <n v="2.1318958170767986E-2"/>
    <n v="0.21129999999999999"/>
    <x v="5"/>
  </r>
  <r>
    <x v="98"/>
    <n v="118.7"/>
    <s v="Ba1"/>
    <n v="1.5599999999999999E-2"/>
    <n v="2.208389962363469E-2"/>
    <n v="7.1402259890584963E-2"/>
    <n v="2.4202259890584967E-2"/>
    <n v="0.31"/>
    <x v="3"/>
  </r>
  <r>
    <x v="99"/>
    <n v="14.9"/>
    <s v="Caa2"/>
    <s v="NA"/>
    <n v="7.9565818860604404E-2"/>
    <n v="0.1343980338296166"/>
    <n v="8.7198033829616592E-2"/>
    <n v="0.32"/>
    <x v="3"/>
  </r>
  <r>
    <x v="100"/>
    <n v="12.4"/>
    <s v="Ba3"/>
    <s v="NA"/>
    <n v="3.1810382490361881E-2"/>
    <n v="8.2061738975968967E-2"/>
    <n v="3.4861738975968962E-2"/>
    <n v="0.32"/>
    <x v="3"/>
  </r>
  <r>
    <x v="101"/>
    <n v="909.1"/>
    <s v="Aaa"/>
    <n v="2E-3"/>
    <n v="0"/>
    <n v="4.7199999999999999E-2"/>
    <n v="0"/>
    <n v="0.25"/>
    <x v="2"/>
  </r>
  <r>
    <x v="102"/>
    <n v="206.9"/>
    <s v="Aaa"/>
    <n v="2.5000000000000001E-3"/>
    <n v="0"/>
    <n v="4.7199999999999999E-2"/>
    <n v="0"/>
    <n v="0.28000000000000003"/>
    <x v="6"/>
  </r>
  <r>
    <x v="103"/>
    <n v="12.5"/>
    <s v="B3"/>
    <s v="NA"/>
    <n v="5.74819192369697E-2"/>
    <n v="0.1101957739390316"/>
    <n v="6.2995773939031607E-2"/>
    <n v="0.3"/>
    <x v="4"/>
  </r>
  <r>
    <x v="104"/>
    <n v="12.9"/>
    <s v="B3"/>
    <s v="NA"/>
    <n v="5.74819192369697E-2"/>
    <n v="0.1101957739390316"/>
    <n v="6.2995773939031607E-2"/>
    <n v="0.28249999999999997"/>
    <x v="3"/>
  </r>
  <r>
    <x v="105"/>
    <n v="448.1"/>
    <s v="B2"/>
    <n v="3.5900000000000001E-2"/>
    <n v="4.8632414333635951E-2"/>
    <n v="0.10049739542691996"/>
    <n v="5.3297395426919955E-2"/>
    <n v="0.3"/>
    <x v="3"/>
  </r>
  <r>
    <x v="106"/>
    <n v="403.3"/>
    <s v="Aaa"/>
    <n v="2.3E-3"/>
    <n v="0"/>
    <n v="4.7199999999999999E-2"/>
    <n v="0"/>
    <n v="0.22"/>
    <x v="2"/>
  </r>
  <r>
    <x v="107"/>
    <n v="77"/>
    <s v="Ba3"/>
    <n v="3.9E-2"/>
    <n v="3.1810382490361881E-2"/>
    <n v="8.2061738975968967E-2"/>
    <n v="3.4861738975968962E-2"/>
    <n v="0.15"/>
    <x v="0"/>
  </r>
  <r>
    <x v="108"/>
    <n v="278.2"/>
    <s v="B3"/>
    <n v="4.5100000000000001E-2"/>
    <n v="5.74819192369697E-2"/>
    <n v="0.1101957739390316"/>
    <n v="6.2995773939031607E-2"/>
    <n v="0.35"/>
    <x v="7"/>
  </r>
  <r>
    <x v="109"/>
    <n v="66.8"/>
    <s v="Baa1"/>
    <n v="9.4999999999999998E-3"/>
    <n v="1.4111372683694367E-2"/>
    <n v="6.2664981951745621E-2"/>
    <n v="1.5464981951745628E-2"/>
    <n v="0.25"/>
    <x v="4"/>
  </r>
  <r>
    <x v="110"/>
    <n v="25"/>
    <s v="B2"/>
    <s v="NA"/>
    <n v="4.8632414333635951E-2"/>
    <n v="0.10049739542691996"/>
    <n v="5.3297395426919955E-2"/>
    <n v="0.3"/>
    <x v="7"/>
  </r>
  <r>
    <x v="111"/>
    <n v="38.1"/>
    <s v="Ba1"/>
    <s v="NA"/>
    <n v="2.208389962363469E-2"/>
    <n v="7.1402259890584963E-2"/>
    <n v="2.4202259890584967E-2"/>
    <n v="0.1"/>
    <x v="4"/>
  </r>
  <r>
    <x v="112"/>
    <n v="226.8"/>
    <s v="A3"/>
    <n v="1.04E-2"/>
    <n v="1.0603460830120627E-2"/>
    <n v="5.8820579658656322E-2"/>
    <n v="1.1620579658656319E-2"/>
    <n v="0.29499999999999998"/>
    <x v="4"/>
  </r>
  <r>
    <x v="113"/>
    <n v="376.8"/>
    <s v="Baa2"/>
    <n v="6.7000000000000002E-3"/>
    <n v="1.6822031843274077E-2"/>
    <n v="6.5635656450950999E-2"/>
    <n v="1.8435656450951004E-2"/>
    <n v="0.3"/>
    <x v="7"/>
  </r>
  <r>
    <x v="114"/>
    <n v="592.20000000000005"/>
    <s v="A2"/>
    <n v="9.1000000000000004E-3"/>
    <n v="7.4941753235439005E-3"/>
    <n v="5.5413041262508976E-2"/>
    <n v="8.2130412625089771E-3"/>
    <n v="0.19"/>
    <x v="1"/>
  </r>
  <r>
    <x v="115"/>
    <n v="237.7"/>
    <s v="Baa3"/>
    <n v="6.4999999999999997E-3"/>
    <n v="1.9452965733454383E-2"/>
    <n v="6.8518958170767988E-2"/>
    <n v="2.1318958170767986E-2"/>
    <n v="0.21"/>
    <x v="2"/>
  </r>
  <r>
    <x v="116"/>
    <n v="183.5"/>
    <s v="Aa3"/>
    <n v="7.4000000000000003E-3"/>
    <n v="5.3415930497600151E-3"/>
    <n v="5.3053976219022358E-2"/>
    <n v="5.8539762190223561E-3"/>
    <n v="0.1"/>
    <x v="0"/>
  </r>
  <r>
    <x v="117"/>
    <n v="5.2"/>
    <s v="Aaa"/>
    <s v="NA"/>
    <n v="0"/>
    <n v="4.7199999999999999E-2"/>
    <n v="0"/>
    <n v="0"/>
    <x v="0"/>
  </r>
  <r>
    <x v="118"/>
    <n v="250.1"/>
    <s v="Baa3"/>
    <n v="1.2200000000000001E-2"/>
    <n v="1.9452965733454383E-2"/>
    <n v="6.8518958170767988E-2"/>
    <n v="2.1318958170767986E-2"/>
    <n v="0.16"/>
    <x v="1"/>
  </r>
  <r>
    <x v="119"/>
    <n v="1699.9"/>
    <s v="Baa3"/>
    <n v="1.47E-2"/>
    <n v="1.9452965733454383E-2"/>
    <n v="6.8518958170767988E-2"/>
    <n v="2.1318958170767986E-2"/>
    <n v="0.2"/>
    <x v="1"/>
  </r>
  <r>
    <x v="120"/>
    <n v="10.1"/>
    <s v="B2"/>
    <n v="3.7199999999999997E-2"/>
    <n v="4.8632414333635951E-2"/>
    <n v="0.10049739542691996"/>
    <n v="5.3297395426919955E-2"/>
    <n v="0.3"/>
    <x v="3"/>
  </r>
  <r>
    <x v="121"/>
    <n v="793"/>
    <s v="A1"/>
    <n v="1.12E-2"/>
    <n v="6.2185710131534505E-3"/>
    <n v="5.4015076792294683E-2"/>
    <n v="6.8150767922946836E-3"/>
    <n v="0.2"/>
    <x v="0"/>
  </r>
  <r>
    <x v="122"/>
    <n v="23.6"/>
    <s v="Ba3"/>
    <n v="2.9399999999999999E-2"/>
    <n v="3.1810382490361881E-2"/>
    <n v="8.2061738975968967E-2"/>
    <n v="3.4861738975968962E-2"/>
    <n v="0.3"/>
    <x v="3"/>
  </r>
  <r>
    <x v="123"/>
    <n v="51.4"/>
    <s v="Ba3"/>
    <n v="1.61E-2"/>
    <n v="3.1810382490361881E-2"/>
    <n v="8.2061738975968967E-2"/>
    <n v="3.4861738975968962E-2"/>
    <n v="0.15"/>
    <x v="1"/>
  </r>
  <r>
    <x v="124"/>
    <n v="5"/>
    <s v="Baa2"/>
    <s v="NA"/>
    <n v="1.6822031843274077E-2"/>
    <n v="6.5635656450950999E-2"/>
    <n v="1.8435656450951004E-2"/>
    <n v="0"/>
    <x v="0"/>
  </r>
  <r>
    <x v="125"/>
    <n v="372.1"/>
    <s v="Aaa"/>
    <s v="NA"/>
    <n v="0"/>
    <n v="4.7199999999999999E-2"/>
    <n v="0"/>
    <n v="0.17"/>
    <x v="7"/>
  </r>
  <r>
    <x v="126"/>
    <n v="105.4"/>
    <s v="A2"/>
    <n v="7.9000000000000008E-3"/>
    <n v="7.4941753235439005E-3"/>
    <n v="5.5413041262508976E-2"/>
    <n v="8.2130412625089771E-3"/>
    <n v="0.21"/>
    <x v="1"/>
  </r>
  <r>
    <x v="127"/>
    <n v="53.7"/>
    <s v="A3"/>
    <n v="1.06E-2"/>
    <n v="1.0603460830120627E-2"/>
    <n v="5.8820579658656322E-2"/>
    <n v="1.1620579658656319E-2"/>
    <n v="0.19"/>
    <x v="1"/>
  </r>
  <r>
    <x v="128"/>
    <n v="1.4"/>
    <s v="B3"/>
    <s v="NA"/>
    <n v="5.74819192369697E-2"/>
    <n v="0.1101957739390316"/>
    <n v="6.2995773939031607E-2"/>
    <n v="0.3"/>
    <x v="7"/>
  </r>
  <r>
    <x v="129"/>
    <n v="351.4"/>
    <s v="Ba2"/>
    <n v="2.93E-2"/>
    <n v="2.6548514710001261E-2"/>
    <n v="7.629513553633499E-2"/>
    <n v="2.9095135536334988E-2"/>
    <n v="0.28000000000000003"/>
    <x v="3"/>
  </r>
  <r>
    <x v="130"/>
    <n v="1394.1"/>
    <s v="Baa1"/>
    <n v="7.1999999999999998E-3"/>
    <n v="1.4111372683694367E-2"/>
    <n v="6.2664981951745621E-2"/>
    <n v="1.5464981951745628E-2"/>
    <n v="0.25"/>
    <x v="2"/>
  </r>
  <r>
    <x v="131"/>
    <n v="84"/>
    <s v="Caa1"/>
    <s v="NA"/>
    <n v="6.6251698870904069E-2"/>
    <n v="0.1198067796717549"/>
    <n v="7.2606779671754898E-2"/>
    <n v="0.28000000000000003"/>
    <x v="7"/>
  </r>
  <r>
    <x v="132"/>
    <n v="1.5"/>
    <s v="Baa3"/>
    <s v="NA"/>
    <n v="1.9452965733454383E-2"/>
    <n v="6.8518958170767988E-2"/>
    <n v="2.1318958170767986E-2"/>
    <n v="0.27360000000000001"/>
    <x v="5"/>
  </r>
  <r>
    <x v="133"/>
    <n v="0.8"/>
    <s v="B3"/>
    <s v="NA"/>
    <n v="5.74819192369697E-2"/>
    <n v="0.1101957739390316"/>
    <n v="6.2995773939031607E-2"/>
    <n v="0.27360000000000001"/>
    <x v="5"/>
  </r>
  <r>
    <x v="134"/>
    <n v="4"/>
    <s v="Caa3"/>
    <s v="NA"/>
    <n v="8.8335598494538758E-2"/>
    <n v="0.14400903956233987"/>
    <n v="9.6809039562339869E-2"/>
    <n v="0.36"/>
    <x v="4"/>
  </r>
  <r>
    <x v="135"/>
    <n v="4.4000000000000004"/>
    <s v="B3"/>
    <s v="NA"/>
    <n v="5.74819192369697E-2"/>
    <n v="0.1101957739390316"/>
    <n v="6.2995773939031607E-2"/>
    <n v="0.27500000000000002"/>
    <x v="3"/>
  </r>
  <r>
    <x v="136"/>
    <n v="530.79999999999995"/>
    <s v="Aaa"/>
    <n v="2E-3"/>
    <n v="0"/>
    <n v="4.7199999999999999E-2"/>
    <n v="0"/>
    <n v="0.214"/>
    <x v="2"/>
  </r>
  <r>
    <x v="137"/>
    <n v="703.1"/>
    <s v="Aaa"/>
    <n v="1.5E-3"/>
    <n v="0"/>
    <n v="4.7199999999999999E-2"/>
    <n v="0"/>
    <n v="0.1484"/>
    <x v="2"/>
  </r>
  <r>
    <x v="138"/>
    <n v="985"/>
    <s v="Aa3"/>
    <s v="NA"/>
    <n v="5.3415930497600151E-3"/>
    <n v="5.3053976219022358E-2"/>
    <n v="5.8539762190223561E-3"/>
    <n v="0.2"/>
    <x v="7"/>
  </r>
  <r>
    <x v="139"/>
    <n v="8.1"/>
    <s v="B3"/>
    <s v="NA"/>
    <n v="5.74819192369697E-2"/>
    <n v="0.1101957739390316"/>
    <n v="6.2995773939031607E-2"/>
    <n v="0.19120000000000001"/>
    <x v="1"/>
  </r>
  <r>
    <x v="140"/>
    <n v="63.2"/>
    <s v="B2"/>
    <s v="NA"/>
    <n v="4.8632414333635951E-2"/>
    <n v="0.10049739542691996"/>
    <n v="5.3297395426919955E-2"/>
    <n v="0.3"/>
    <x v="3"/>
  </r>
  <r>
    <x v="141"/>
    <n v="543.6"/>
    <s v="Baa1"/>
    <n v="6.1999999999999998E-3"/>
    <n v="1.4111372683694367E-2"/>
    <n v="6.2664981951745621E-2"/>
    <n v="1.5464981951745628E-2"/>
    <n v="0.2"/>
    <x v="7"/>
  </r>
  <r>
    <x v="142"/>
    <n v="5.5"/>
    <s v="B3"/>
    <s v="NA"/>
    <n v="5.74819192369697E-2"/>
    <n v="0.1101957739390316"/>
    <n v="6.2995773939031607E-2"/>
    <n v="0.28249999999999997"/>
    <x v="3"/>
  </r>
  <r>
    <x v="143"/>
    <n v="24.1"/>
    <s v="Ba1"/>
    <s v="NA"/>
    <n v="2.208389962363469E-2"/>
    <n v="7.1402259890584963E-2"/>
    <n v="2.4202259890584967E-2"/>
    <n v="0.3"/>
    <x v="5"/>
  </r>
  <r>
    <x v="144"/>
    <n v="38.799999999999997"/>
    <s v="B2"/>
    <n v="4.8500000000000001E-2"/>
    <n v="4.8632414333635951E-2"/>
    <n v="0.10049739542691996"/>
    <n v="5.3297395426919955E-2"/>
    <n v="0.25"/>
    <x v="3"/>
  </r>
  <r>
    <x v="145"/>
    <n v="754.4"/>
    <s v="B2"/>
    <n v="3.3099999999999997E-2"/>
    <n v="4.8632414333635951E-2"/>
    <n v="0.10049739542691996"/>
    <n v="5.3297395426919955E-2"/>
    <n v="0.22"/>
    <x v="2"/>
  </r>
  <r>
    <x v="146"/>
    <n v="1"/>
    <s v="Baa1"/>
    <s v="NA"/>
    <n v="1.4111372683694367E-2"/>
    <n v="6.2664981951745621E-2"/>
    <n v="1.5464981951745628E-2"/>
    <n v="0"/>
    <x v="5"/>
  </r>
  <r>
    <x v="147"/>
    <n v="34.4"/>
    <s v="B2"/>
    <s v="NA"/>
    <n v="4.8632414333635951E-2"/>
    <n v="0.10049739542691996"/>
    <n v="5.3297395426919955E-2"/>
    <n v="0.3"/>
    <x v="3"/>
  </r>
  <r>
    <x v="148"/>
    <n v="153.80000000000001"/>
    <s v="B3"/>
    <n v="4.1799999999999997E-2"/>
    <n v="5.74819192369697E-2"/>
    <n v="0.1101957739390316"/>
    <n v="6.2995773939031607E-2"/>
    <n v="0.18"/>
    <x v="1"/>
  </r>
  <r>
    <x v="149"/>
    <n v="421.1"/>
    <s v="Aa2"/>
    <s v="NA"/>
    <n v="4.3848898169671765E-3"/>
    <n v="5.2005502866361637E-2"/>
    <n v="4.8055028663616358E-3"/>
    <n v="0.55000000000000004"/>
    <x v="0"/>
  </r>
  <r>
    <x v="150"/>
    <n v="2827.1"/>
    <s v="Aa3"/>
    <n v="3.0000000000000001E-3"/>
    <n v="5.3415930497600151E-3"/>
    <n v="5.3053976219022358E-2"/>
    <n v="5.8539762190223561E-3"/>
    <n v="0.19"/>
    <x v="2"/>
  </r>
  <r>
    <x v="151"/>
    <n v="21374.400000000001"/>
    <s v="Aaa"/>
    <n v="2.3E-3"/>
    <n v="0"/>
    <n v="4.7199999999999999E-2"/>
    <n v="0"/>
    <n v="0.27"/>
    <x v="8"/>
  </r>
  <r>
    <x v="152"/>
    <n v="56"/>
    <s v="B1"/>
    <n v="1.2699999999999999E-2"/>
    <n v="3.9782909430302202E-2"/>
    <n v="9.0799016914808295E-2"/>
    <n v="4.3599016914808296E-2"/>
    <n v="0.25"/>
    <x v="4"/>
  </r>
  <r>
    <x v="153"/>
    <n v="57.9"/>
    <s v="Baa2"/>
    <s v="NA"/>
    <n v="1.6822031843274077E-2"/>
    <n v="6.5635656450950999E-2"/>
    <n v="1.8435656450951004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m="1" x="154"/>
        <item m="1" x="156"/>
        <item m="1" x="155"/>
        <item x="90"/>
        <item x="142"/>
        <item x="153"/>
        <item x="104"/>
        <item x="80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55029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I32" sqref="I32"/>
    </sheetView>
  </sheetViews>
  <sheetFormatPr defaultColWidth="11" defaultRowHeight="11.4"/>
  <cols>
    <col min="1" max="1" width="24.625" customWidth="1"/>
  </cols>
  <sheetData>
    <row r="1" spans="1:4" s="44" customFormat="1" ht="15.6">
      <c r="A1" s="36" t="s">
        <v>150</v>
      </c>
    </row>
    <row r="2" spans="1:4" s="44" customFormat="1" ht="15.6">
      <c r="A2" s="44" t="s">
        <v>151</v>
      </c>
    </row>
    <row r="3" spans="1:4" s="44" customFormat="1" ht="15.6">
      <c r="A3" s="44" t="s">
        <v>269</v>
      </c>
    </row>
    <row r="4" spans="1:4" s="44" customFormat="1" ht="15.6"/>
    <row r="5" spans="1:4" s="67" customFormat="1" ht="15.6">
      <c r="A5" s="78" t="s">
        <v>152</v>
      </c>
    </row>
    <row r="6" spans="1:4" s="44" customFormat="1" ht="15.6">
      <c r="A6" s="44" t="s">
        <v>153</v>
      </c>
    </row>
    <row r="7" spans="1:4" s="44" customFormat="1" ht="15.6">
      <c r="A7" s="44" t="s">
        <v>155</v>
      </c>
      <c r="B7" s="79" t="s">
        <v>154</v>
      </c>
    </row>
    <row r="8" spans="1:4" s="44" customFormat="1" ht="15.6">
      <c r="A8" s="44" t="s">
        <v>156</v>
      </c>
      <c r="B8" s="79" t="s">
        <v>157</v>
      </c>
    </row>
    <row r="9" spans="1:4" s="44" customFormat="1" ht="15.6"/>
    <row r="10" spans="1:4" s="67" customFormat="1" ht="15.6">
      <c r="A10" s="78" t="s">
        <v>158</v>
      </c>
    </row>
    <row r="11" spans="1:4" s="44" customFormat="1" ht="15.6">
      <c r="A11" s="44" t="s">
        <v>159</v>
      </c>
      <c r="B11" s="79" t="s">
        <v>163</v>
      </c>
      <c r="D11" s="44" t="s">
        <v>164</v>
      </c>
    </row>
    <row r="12" spans="1:4" s="44" customFormat="1" ht="15.6">
      <c r="A12" s="44" t="s">
        <v>160</v>
      </c>
      <c r="B12" s="44" t="s">
        <v>165</v>
      </c>
    </row>
    <row r="13" spans="1:4" s="44" customFormat="1" ht="15.6">
      <c r="A13" s="44" t="s">
        <v>161</v>
      </c>
      <c r="B13" s="44" t="s">
        <v>162</v>
      </c>
    </row>
    <row r="14" spans="1:4" s="44" customFormat="1" ht="15.6">
      <c r="A14" s="81" t="s">
        <v>341</v>
      </c>
    </row>
    <row r="15" spans="1:4" s="44" customFormat="1" ht="15.6">
      <c r="A15" s="1"/>
    </row>
    <row r="16" spans="1:4" s="67" customFormat="1" ht="15.6">
      <c r="A16" s="78" t="s">
        <v>166</v>
      </c>
    </row>
    <row r="17" spans="1:9" s="67" customFormat="1" ht="15.6">
      <c r="A17" s="67" t="s">
        <v>194</v>
      </c>
    </row>
    <row r="18" spans="1:9" s="44" customFormat="1" ht="15.6">
      <c r="A18" s="44" t="s">
        <v>303</v>
      </c>
    </row>
    <row r="19" spans="1:9" s="44" customFormat="1" ht="15.6">
      <c r="A19" s="101" t="s">
        <v>390</v>
      </c>
    </row>
    <row r="20" spans="1:9" s="44" customFormat="1" ht="15.6">
      <c r="A20" s="44" t="s">
        <v>389</v>
      </c>
    </row>
    <row r="21" spans="1:9" s="67" customFormat="1" ht="15.6">
      <c r="A21" s="67" t="s">
        <v>195</v>
      </c>
    </row>
    <row r="22" spans="1:9" s="44" customFormat="1" ht="15.6">
      <c r="A22" s="44" t="s">
        <v>304</v>
      </c>
    </row>
    <row r="23" spans="1:9" s="44" customFormat="1" ht="15.6">
      <c r="A23" s="44" t="s">
        <v>508</v>
      </c>
    </row>
    <row r="24" spans="1:9" s="44" customFormat="1" ht="15.6">
      <c r="A24" s="101" t="s">
        <v>500</v>
      </c>
    </row>
    <row r="25" spans="1:9" s="44" customFormat="1" ht="15.6">
      <c r="A25" s="44" t="s">
        <v>251</v>
      </c>
    </row>
    <row r="26" spans="1:9" s="44" customFormat="1" ht="15.6"/>
    <row r="27" spans="1:9" s="67" customFormat="1" ht="15.6">
      <c r="A27" s="78" t="s">
        <v>247</v>
      </c>
    </row>
    <row r="28" spans="1:9" s="44" customFormat="1" ht="15.6">
      <c r="A28" s="44" t="s">
        <v>167</v>
      </c>
    </row>
    <row r="29" spans="1:9" s="44" customFormat="1" ht="15.6"/>
    <row r="30" spans="1:9" s="78" customFormat="1" ht="15.6">
      <c r="A30" s="78" t="s">
        <v>248</v>
      </c>
    </row>
    <row r="31" spans="1:9" s="44" customFormat="1" ht="15.6">
      <c r="A31" s="44" t="s">
        <v>249</v>
      </c>
    </row>
    <row r="32" spans="1:9" s="44" customFormat="1" ht="15.6">
      <c r="A32" s="44" t="s">
        <v>250</v>
      </c>
      <c r="I32" s="113" t="s">
        <v>394</v>
      </c>
    </row>
    <row r="33" spans="1:12" s="44" customFormat="1" ht="15.6"/>
    <row r="34" spans="1:12" s="44" customFormat="1" ht="15.6">
      <c r="A34" s="44" t="s">
        <v>168</v>
      </c>
    </row>
    <row r="35" spans="1:12" s="44" customFormat="1" ht="22.05" customHeight="1">
      <c r="A35" s="67" t="s">
        <v>169</v>
      </c>
      <c r="E35" s="263" t="s">
        <v>519</v>
      </c>
      <c r="F35" s="264"/>
      <c r="G35" s="264"/>
      <c r="H35" s="264"/>
      <c r="I35" s="264"/>
      <c r="J35" s="264"/>
      <c r="K35" s="264"/>
      <c r="L35" s="264"/>
    </row>
    <row r="36" spans="1:12" s="44" customFormat="1" ht="15.6">
      <c r="A36" s="67" t="s">
        <v>506</v>
      </c>
      <c r="E36" s="79" t="s">
        <v>507</v>
      </c>
    </row>
    <row r="37" spans="1:12" s="44" customFormat="1" ht="15.6">
      <c r="A37" s="67" t="s">
        <v>170</v>
      </c>
      <c r="E37" s="79" t="s">
        <v>501</v>
      </c>
    </row>
    <row r="38" spans="1:12" s="44" customFormat="1" ht="15.6">
      <c r="E38" s="79" t="s">
        <v>502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FC688AE1-EBB1-724E-AD02-4E7DAA1949A7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workbookViewId="0">
      <selection activeCell="E1" sqref="E1:I1048576"/>
    </sheetView>
  </sheetViews>
  <sheetFormatPr defaultColWidth="11" defaultRowHeight="11.4"/>
  <cols>
    <col min="1" max="1" width="11.875" bestFit="1" customWidth="1"/>
    <col min="2" max="2" width="16.375" style="31" bestFit="1" customWidth="1"/>
    <col min="3" max="3" width="19" style="31" bestFit="1" customWidth="1"/>
    <col min="5" max="5" width="19.625" customWidth="1"/>
    <col min="7" max="7" width="10.875" style="31"/>
  </cols>
  <sheetData>
    <row r="1" spans="1:9" ht="46.8">
      <c r="A1" s="20" t="s">
        <v>39</v>
      </c>
      <c r="B1" s="261" t="s">
        <v>551</v>
      </c>
      <c r="C1" s="261" t="s">
        <v>552</v>
      </c>
      <c r="E1" s="74" t="s">
        <v>75</v>
      </c>
      <c r="F1" s="75" t="s">
        <v>271</v>
      </c>
      <c r="G1" s="147" t="s">
        <v>549</v>
      </c>
      <c r="H1" s="164" t="s">
        <v>550</v>
      </c>
      <c r="I1" s="75" t="s">
        <v>464</v>
      </c>
    </row>
    <row r="2" spans="1:9" ht="15.6">
      <c r="A2" s="5" t="s">
        <v>41</v>
      </c>
      <c r="B2" s="144">
        <v>58.834328429637566</v>
      </c>
      <c r="C2" s="144">
        <f t="shared" ref="C2:C21" si="0">B2*(1+$I$81)</f>
        <v>62.185710131534506</v>
      </c>
      <c r="E2" s="52" t="s">
        <v>272</v>
      </c>
      <c r="F2" s="64" t="s">
        <v>45</v>
      </c>
      <c r="G2" s="80">
        <v>6.8999999999999999E-3</v>
      </c>
      <c r="H2" s="54">
        <v>6.8999999999999999E-3</v>
      </c>
      <c r="I2" s="80">
        <f t="shared" ref="I2:I63" si="1">IF(H2="NA","NA",H2/G2-1)</f>
        <v>0</v>
      </c>
    </row>
    <row r="3" spans="1:9" ht="15.6">
      <c r="A3" s="5" t="s">
        <v>42</v>
      </c>
      <c r="B3" s="144">
        <v>70.90290862033244</v>
      </c>
      <c r="C3" s="144">
        <f t="shared" si="0"/>
        <v>74.941753235439009</v>
      </c>
      <c r="E3" s="52" t="s">
        <v>337</v>
      </c>
      <c r="F3" s="64" t="s">
        <v>143</v>
      </c>
      <c r="G3" s="80">
        <v>9.1000000000000004E-3</v>
      </c>
      <c r="H3" s="54">
        <v>1.0999999999999999E-2</v>
      </c>
      <c r="I3" s="80">
        <f t="shared" si="1"/>
        <v>0.20879120879120872</v>
      </c>
    </row>
    <row r="4" spans="1:9" ht="15.6">
      <c r="A4" s="5" t="s">
        <v>43</v>
      </c>
      <c r="B4" s="144">
        <v>100.32007283515124</v>
      </c>
      <c r="C4" s="144">
        <f t="shared" si="0"/>
        <v>106.03460830120628</v>
      </c>
      <c r="E4" s="52" t="s">
        <v>131</v>
      </c>
      <c r="F4" s="64" t="s">
        <v>78</v>
      </c>
      <c r="G4" s="80">
        <v>4.7699999999999999E-2</v>
      </c>
      <c r="H4" s="54">
        <v>7.4999999999999997E-2</v>
      </c>
      <c r="I4" s="80">
        <f t="shared" si="1"/>
        <v>0.57232704402515711</v>
      </c>
    </row>
    <row r="5" spans="1:9" ht="15.6">
      <c r="A5" s="5" t="s">
        <v>44</v>
      </c>
      <c r="B5" s="144">
        <v>33.188595524410928</v>
      </c>
      <c r="C5" s="144">
        <f t="shared" si="0"/>
        <v>35.079118535737408</v>
      </c>
      <c r="E5" s="52" t="s">
        <v>85</v>
      </c>
      <c r="F5" s="64" t="s">
        <v>47</v>
      </c>
      <c r="G5" s="80">
        <v>3.0000000000000001E-3</v>
      </c>
      <c r="H5" s="54">
        <v>2.3E-3</v>
      </c>
      <c r="I5" s="80">
        <f t="shared" si="1"/>
        <v>-0.23333333333333339</v>
      </c>
    </row>
    <row r="6" spans="1:9" ht="15.6">
      <c r="A6" s="5" t="s">
        <v>45</v>
      </c>
      <c r="B6" s="144">
        <v>41.485744405513664</v>
      </c>
      <c r="C6" s="144">
        <f t="shared" si="0"/>
        <v>43.848898169671763</v>
      </c>
      <c r="E6" s="52" t="s">
        <v>176</v>
      </c>
      <c r="F6" s="64" t="s">
        <v>44</v>
      </c>
      <c r="G6" s="80">
        <v>2.0999999999999999E-3</v>
      </c>
      <c r="H6" s="54">
        <v>1.8E-3</v>
      </c>
      <c r="I6" s="80">
        <f t="shared" si="1"/>
        <v>-0.14285714285714279</v>
      </c>
    </row>
    <row r="7" spans="1:9" ht="15.6">
      <c r="A7" s="5" t="s">
        <v>46</v>
      </c>
      <c r="B7" s="144">
        <v>50.53717954853483</v>
      </c>
      <c r="C7" s="144">
        <f t="shared" si="0"/>
        <v>53.415930497600151</v>
      </c>
      <c r="E7" s="52" t="s">
        <v>87</v>
      </c>
      <c r="F7" s="64" t="s">
        <v>49</v>
      </c>
      <c r="G7" s="80">
        <v>2.24E-2</v>
      </c>
      <c r="H7" s="54">
        <v>3.1800000000000002E-2</v>
      </c>
      <c r="I7" s="80">
        <f t="shared" si="1"/>
        <v>0.41964285714285721</v>
      </c>
    </row>
    <row r="8" spans="1:9" ht="15.6">
      <c r="A8" s="5" t="s">
        <v>47</v>
      </c>
      <c r="B8" s="144">
        <v>0</v>
      </c>
      <c r="C8" s="144">
        <f t="shared" si="0"/>
        <v>0</v>
      </c>
      <c r="E8" s="52" t="s">
        <v>177</v>
      </c>
      <c r="F8" s="64" t="s">
        <v>46</v>
      </c>
      <c r="G8" s="80">
        <v>3.0000000000000001E-3</v>
      </c>
      <c r="H8" s="54">
        <v>2.7000000000000001E-3</v>
      </c>
      <c r="I8" s="80">
        <f t="shared" si="1"/>
        <v>-9.9999999999999978E-2</v>
      </c>
    </row>
    <row r="9" spans="1:9" ht="15.6">
      <c r="A9" s="5" t="s">
        <v>48</v>
      </c>
      <c r="B9" s="144">
        <v>376.38884469729675</v>
      </c>
      <c r="C9" s="144">
        <f t="shared" si="0"/>
        <v>397.82909430302203</v>
      </c>
      <c r="E9" s="52" t="s">
        <v>92</v>
      </c>
      <c r="F9" s="64" t="s">
        <v>80</v>
      </c>
      <c r="G9" s="80">
        <v>1.7399999999999999E-2</v>
      </c>
      <c r="H9" s="54">
        <v>2.1499999999999998E-2</v>
      </c>
      <c r="I9" s="80">
        <f t="shared" si="1"/>
        <v>0.23563218390804597</v>
      </c>
    </row>
    <row r="10" spans="1:9" ht="15.6">
      <c r="A10" s="5" t="s">
        <v>49</v>
      </c>
      <c r="B10" s="144">
        <v>460.11461977024243</v>
      </c>
      <c r="C10" s="144">
        <f t="shared" si="0"/>
        <v>486.3241433363595</v>
      </c>
      <c r="E10" s="52" t="s">
        <v>94</v>
      </c>
      <c r="F10" s="64" t="s">
        <v>83</v>
      </c>
      <c r="G10" s="80">
        <v>8.8999999999999999E-3</v>
      </c>
      <c r="H10" s="54">
        <v>7.0000000000000001E-3</v>
      </c>
      <c r="I10" s="80">
        <f t="shared" si="1"/>
        <v>-0.2134831460674157</v>
      </c>
    </row>
    <row r="11" spans="1:9" ht="15.6">
      <c r="A11" s="5" t="s">
        <v>78</v>
      </c>
      <c r="B11" s="144">
        <v>543.84039484318816</v>
      </c>
      <c r="C11" s="144">
        <f t="shared" si="0"/>
        <v>574.81919236969702</v>
      </c>
      <c r="E11" s="52" t="s">
        <v>212</v>
      </c>
      <c r="F11" s="64" t="s">
        <v>49</v>
      </c>
      <c r="G11" s="80">
        <v>5.6000000000000001E-2</v>
      </c>
      <c r="H11" s="54">
        <v>5.8700000000000002E-2</v>
      </c>
      <c r="I11" s="80">
        <f t="shared" si="1"/>
        <v>4.8214285714285765E-2</v>
      </c>
    </row>
    <row r="12" spans="1:9" ht="15.6">
      <c r="A12" s="5" t="s">
        <v>79</v>
      </c>
      <c r="B12" s="144">
        <v>208.93729455140522</v>
      </c>
      <c r="C12" s="144">
        <f t="shared" si="0"/>
        <v>220.8389962363469</v>
      </c>
      <c r="E12" s="52" t="s">
        <v>95</v>
      </c>
      <c r="F12" s="64" t="s">
        <v>47</v>
      </c>
      <c r="G12" s="80">
        <v>3.3999999999999998E-3</v>
      </c>
      <c r="H12" s="54">
        <v>4.1999999999999997E-3</v>
      </c>
      <c r="I12" s="80">
        <f t="shared" si="1"/>
        <v>0.23529411764705888</v>
      </c>
    </row>
    <row r="13" spans="1:9" ht="15.6">
      <c r="A13" s="5" t="s">
        <v>80</v>
      </c>
      <c r="B13" s="144">
        <v>251.17732521883724</v>
      </c>
      <c r="C13" s="144">
        <f t="shared" si="0"/>
        <v>265.48514710001263</v>
      </c>
      <c r="E13" s="52" t="s">
        <v>96</v>
      </c>
      <c r="F13" s="64" t="s">
        <v>41</v>
      </c>
      <c r="G13" s="80">
        <v>7.9000000000000008E-3</v>
      </c>
      <c r="H13" s="54">
        <v>8.9999999999999993E-3</v>
      </c>
      <c r="I13" s="80">
        <f t="shared" si="1"/>
        <v>0.13924050632911378</v>
      </c>
    </row>
    <row r="14" spans="1:9" ht="15.6">
      <c r="A14" s="5" t="s">
        <v>81</v>
      </c>
      <c r="B14" s="144">
        <v>300.96021850545372</v>
      </c>
      <c r="C14" s="144">
        <f t="shared" si="0"/>
        <v>318.10382490361883</v>
      </c>
      <c r="E14" s="52" t="s">
        <v>97</v>
      </c>
      <c r="F14" s="64" t="s">
        <v>41</v>
      </c>
      <c r="G14" s="80">
        <v>7.1999999999999998E-3</v>
      </c>
      <c r="H14" s="54">
        <v>5.5999999999999999E-3</v>
      </c>
      <c r="I14" s="80">
        <f t="shared" si="1"/>
        <v>-0.22222222222222221</v>
      </c>
    </row>
    <row r="15" spans="1:9" ht="15.6">
      <c r="A15" s="5" t="s">
        <v>82</v>
      </c>
      <c r="B15" s="144">
        <v>133.50866835956217</v>
      </c>
      <c r="C15" s="144">
        <f t="shared" si="0"/>
        <v>141.11372683694367</v>
      </c>
      <c r="E15" s="52" t="s">
        <v>50</v>
      </c>
      <c r="F15" s="64" t="s">
        <v>83</v>
      </c>
      <c r="G15" s="80">
        <v>1.37E-2</v>
      </c>
      <c r="H15" s="54">
        <v>1.52E-2</v>
      </c>
      <c r="I15" s="80">
        <f t="shared" si="1"/>
        <v>0.10948905109489049</v>
      </c>
    </row>
    <row r="16" spans="1:9" ht="15.6">
      <c r="A16" s="5" t="s">
        <v>83</v>
      </c>
      <c r="B16" s="144">
        <v>159.15440126478879</v>
      </c>
      <c r="C16" s="144">
        <f t="shared" si="0"/>
        <v>168.22031843274075</v>
      </c>
      <c r="E16" s="52" t="s">
        <v>56</v>
      </c>
      <c r="F16" s="64" t="s">
        <v>48</v>
      </c>
      <c r="G16" s="80">
        <v>3.7100000000000001E-2</v>
      </c>
      <c r="H16" s="54">
        <v>6.13E-2</v>
      </c>
      <c r="I16" s="80">
        <f t="shared" si="1"/>
        <v>0.65229110512129385</v>
      </c>
    </row>
    <row r="17" spans="1:9" ht="15.6">
      <c r="A17" s="5" t="s">
        <v>124</v>
      </c>
      <c r="B17" s="144">
        <v>184.04584790809699</v>
      </c>
      <c r="C17" s="144">
        <f t="shared" si="0"/>
        <v>194.52965733454383</v>
      </c>
      <c r="E17" s="52" t="s">
        <v>98</v>
      </c>
      <c r="F17" s="64" t="s">
        <v>80</v>
      </c>
      <c r="G17" s="80">
        <v>1.2E-2</v>
      </c>
      <c r="H17" s="54">
        <v>1.2800000000000001E-2</v>
      </c>
      <c r="I17" s="80">
        <f t="shared" si="1"/>
        <v>6.6666666666666652E-2</v>
      </c>
    </row>
    <row r="18" spans="1:9" ht="15.6">
      <c r="A18" s="8" t="s">
        <v>346</v>
      </c>
      <c r="B18" s="144">
        <v>1003.2007283515122</v>
      </c>
      <c r="C18" s="144">
        <f t="shared" si="0"/>
        <v>1060.3460830120625</v>
      </c>
      <c r="E18" s="52" t="s">
        <v>178</v>
      </c>
      <c r="F18" s="64" t="s">
        <v>80</v>
      </c>
      <c r="G18" s="80">
        <v>1.0999999999999999E-2</v>
      </c>
      <c r="H18" s="54">
        <v>1.1900000000000001E-2</v>
      </c>
      <c r="I18" s="80">
        <f t="shared" si="1"/>
        <v>8.1818181818182012E-2</v>
      </c>
    </row>
    <row r="19" spans="1:9" ht="15.6">
      <c r="A19" s="5" t="s">
        <v>100</v>
      </c>
      <c r="B19" s="144">
        <v>626.81188365421565</v>
      </c>
      <c r="C19" s="144">
        <f t="shared" si="0"/>
        <v>662.51698870904067</v>
      </c>
      <c r="E19" s="52" t="s">
        <v>101</v>
      </c>
      <c r="F19" s="64" t="s">
        <v>41</v>
      </c>
      <c r="G19" s="80">
        <v>5.8999999999999999E-3</v>
      </c>
      <c r="H19" s="54">
        <v>5.1000000000000004E-3</v>
      </c>
      <c r="I19" s="80">
        <f t="shared" si="1"/>
        <v>-0.13559322033898302</v>
      </c>
    </row>
    <row r="20" spans="1:9" ht="15.6">
      <c r="A20" s="8" t="s">
        <v>58</v>
      </c>
      <c r="B20" s="144">
        <v>752.77768939459349</v>
      </c>
      <c r="C20" s="144">
        <f t="shared" si="0"/>
        <v>795.65818860604406</v>
      </c>
      <c r="E20" s="52" t="s">
        <v>102</v>
      </c>
      <c r="F20" s="64" t="s">
        <v>47</v>
      </c>
      <c r="G20" s="80">
        <v>1.8E-3</v>
      </c>
      <c r="H20" s="54">
        <v>1.6000000000000001E-3</v>
      </c>
      <c r="I20" s="80">
        <f t="shared" si="1"/>
        <v>-0.11111111111111105</v>
      </c>
    </row>
    <row r="21" spans="1:9" ht="15.6">
      <c r="A21" s="8" t="s">
        <v>62</v>
      </c>
      <c r="B21" s="144">
        <v>835.74917820562086</v>
      </c>
      <c r="C21" s="144">
        <f t="shared" si="0"/>
        <v>883.3559849453876</v>
      </c>
      <c r="E21" s="52" t="s">
        <v>484</v>
      </c>
      <c r="F21" s="64" t="s">
        <v>45</v>
      </c>
      <c r="G21" s="80">
        <v>1.3100000000000001E-2</v>
      </c>
      <c r="H21" s="54">
        <v>1.46E-2</v>
      </c>
      <c r="I21" s="80">
        <f t="shared" si="1"/>
        <v>0.11450381679389299</v>
      </c>
    </row>
    <row r="22" spans="1:9" ht="15.6">
      <c r="A22" s="134" t="s">
        <v>277</v>
      </c>
      <c r="B22" s="260" t="s">
        <v>143</v>
      </c>
      <c r="C22" s="260" t="s">
        <v>143</v>
      </c>
      <c r="E22" s="52" t="s">
        <v>105</v>
      </c>
      <c r="F22" s="64" t="s">
        <v>49</v>
      </c>
      <c r="G22" s="80">
        <v>3.5900000000000001E-2</v>
      </c>
      <c r="H22" s="54">
        <v>4.0800000000000003E-2</v>
      </c>
      <c r="I22" s="80">
        <f t="shared" si="1"/>
        <v>0.13649025069637877</v>
      </c>
    </row>
    <row r="23" spans="1:9" ht="15.6">
      <c r="E23" s="52" t="s">
        <v>31</v>
      </c>
      <c r="F23" s="64" t="s">
        <v>78</v>
      </c>
      <c r="G23" s="80">
        <v>4.2200000000000001E-2</v>
      </c>
      <c r="H23" s="54">
        <v>7.7799999999999994E-2</v>
      </c>
      <c r="I23" s="80">
        <f t="shared" si="1"/>
        <v>0.84360189573459698</v>
      </c>
    </row>
    <row r="24" spans="1:9" ht="15.6">
      <c r="E24" s="52" t="s">
        <v>106</v>
      </c>
      <c r="F24" s="64" t="s">
        <v>41</v>
      </c>
      <c r="G24" s="80">
        <v>7.1999999999999998E-3</v>
      </c>
      <c r="H24" s="54">
        <v>7.0000000000000001E-3</v>
      </c>
      <c r="I24" s="80">
        <f t="shared" si="1"/>
        <v>-2.7777777777777679E-2</v>
      </c>
    </row>
    <row r="25" spans="1:9" ht="15.6">
      <c r="E25" s="52" t="s">
        <v>179</v>
      </c>
      <c r="F25" s="64" t="s">
        <v>44</v>
      </c>
      <c r="G25" s="80">
        <v>2.0999999999999999E-3</v>
      </c>
      <c r="H25" s="54">
        <v>2.5000000000000001E-3</v>
      </c>
      <c r="I25" s="80">
        <f t="shared" si="1"/>
        <v>0.19047619047619047</v>
      </c>
    </row>
    <row r="26" spans="1:9" ht="15.6">
      <c r="E26" s="52" t="s">
        <v>180</v>
      </c>
      <c r="F26" s="64" t="s">
        <v>45</v>
      </c>
      <c r="G26" s="80">
        <v>3.3E-3</v>
      </c>
      <c r="H26" s="54">
        <v>3.2000000000000002E-3</v>
      </c>
      <c r="I26" s="80">
        <f t="shared" si="1"/>
        <v>-3.0303030303030276E-2</v>
      </c>
    </row>
    <row r="27" spans="1:9" ht="15.6">
      <c r="E27" s="52" t="s">
        <v>181</v>
      </c>
      <c r="F27" s="64" t="s">
        <v>47</v>
      </c>
      <c r="G27" s="80">
        <v>1.8E-3</v>
      </c>
      <c r="H27" s="54">
        <v>2.3E-3</v>
      </c>
      <c r="I27" s="80">
        <f t="shared" si="1"/>
        <v>0.2777777777777779</v>
      </c>
    </row>
    <row r="28" spans="1:9" ht="15.6">
      <c r="E28" s="52" t="s">
        <v>182</v>
      </c>
      <c r="F28" s="64" t="s">
        <v>48</v>
      </c>
      <c r="G28" s="80">
        <v>1.9599999999999999E-2</v>
      </c>
      <c r="H28" s="54">
        <v>1.61E-2</v>
      </c>
      <c r="I28" s="80">
        <f t="shared" si="1"/>
        <v>-0.1785714285714286</v>
      </c>
    </row>
    <row r="29" spans="1:9" ht="15.6">
      <c r="E29" s="52" t="s">
        <v>107</v>
      </c>
      <c r="F29" s="64" t="s">
        <v>79</v>
      </c>
      <c r="G29" s="80">
        <v>1.9900000000000001E-2</v>
      </c>
      <c r="H29" s="54">
        <v>2.1499999999999998E-2</v>
      </c>
      <c r="I29" s="80">
        <f t="shared" si="1"/>
        <v>8.040201005025116E-2</v>
      </c>
    </row>
    <row r="30" spans="1:9" ht="15.6">
      <c r="E30" s="52" t="s">
        <v>59</v>
      </c>
      <c r="F30" s="64" t="s">
        <v>45</v>
      </c>
      <c r="G30" s="80">
        <v>5.4999999999999997E-3</v>
      </c>
      <c r="H30" s="54">
        <v>7.3000000000000001E-3</v>
      </c>
      <c r="I30" s="80">
        <f t="shared" si="1"/>
        <v>0.32727272727272738</v>
      </c>
    </row>
    <row r="31" spans="1:9" ht="15.6">
      <c r="E31" s="52" t="s">
        <v>109</v>
      </c>
      <c r="F31" s="64" t="s">
        <v>124</v>
      </c>
      <c r="G31" s="80">
        <v>1.1299999999999999E-2</v>
      </c>
      <c r="H31" s="54">
        <v>9.4000000000000004E-3</v>
      </c>
      <c r="I31" s="80">
        <f t="shared" si="1"/>
        <v>-0.16814159292035391</v>
      </c>
    </row>
    <row r="32" spans="1:9" ht="15.6">
      <c r="E32" s="52" t="s">
        <v>110</v>
      </c>
      <c r="F32" s="64" t="s">
        <v>43</v>
      </c>
      <c r="G32" s="80">
        <v>9.2999999999999992E-3</v>
      </c>
      <c r="H32" s="54">
        <v>8.5000000000000006E-3</v>
      </c>
      <c r="I32" s="80">
        <f t="shared" si="1"/>
        <v>-8.6021505376343899E-2</v>
      </c>
    </row>
    <row r="33" spans="5:9" ht="15.6">
      <c r="E33" s="52" t="s">
        <v>111</v>
      </c>
      <c r="F33" s="64" t="s">
        <v>83</v>
      </c>
      <c r="G33" s="80">
        <v>1.2800000000000001E-2</v>
      </c>
      <c r="H33" s="54">
        <v>1.24E-2</v>
      </c>
      <c r="I33" s="80">
        <f t="shared" si="1"/>
        <v>-3.1250000000000111E-2</v>
      </c>
    </row>
    <row r="34" spans="5:9" ht="15.6">
      <c r="E34" s="52" t="s">
        <v>112</v>
      </c>
      <c r="F34" s="64" t="s">
        <v>83</v>
      </c>
      <c r="G34" s="80">
        <v>1.35E-2</v>
      </c>
      <c r="H34" s="54">
        <v>1.2800000000000001E-2</v>
      </c>
      <c r="I34" s="80">
        <f t="shared" si="1"/>
        <v>-5.1851851851851816E-2</v>
      </c>
    </row>
    <row r="35" spans="5:9" ht="15.6">
      <c r="E35" s="52" t="s">
        <v>331</v>
      </c>
      <c r="F35" s="64" t="s">
        <v>100</v>
      </c>
      <c r="G35" s="80">
        <v>5.1299999999999998E-2</v>
      </c>
      <c r="H35" s="54">
        <v>6.9800000000000001E-2</v>
      </c>
      <c r="I35" s="80">
        <f t="shared" si="1"/>
        <v>0.36062378167641329</v>
      </c>
    </row>
    <row r="36" spans="5:9" ht="15.6">
      <c r="E36" s="52" t="s">
        <v>183</v>
      </c>
      <c r="F36" s="64" t="s">
        <v>42</v>
      </c>
      <c r="G36" s="80">
        <v>3.3999999999999998E-3</v>
      </c>
      <c r="H36" s="54">
        <v>3.2000000000000002E-3</v>
      </c>
      <c r="I36" s="80">
        <f t="shared" si="1"/>
        <v>-5.8823529411764608E-2</v>
      </c>
    </row>
    <row r="37" spans="5:9" ht="15.6">
      <c r="E37" s="52" t="s">
        <v>114</v>
      </c>
      <c r="F37" s="64" t="s">
        <v>41</v>
      </c>
      <c r="G37" s="80">
        <v>7.4999999999999997E-3</v>
      </c>
      <c r="H37" s="54">
        <v>7.7000000000000002E-3</v>
      </c>
      <c r="I37" s="80">
        <f t="shared" si="1"/>
        <v>2.6666666666666838E-2</v>
      </c>
    </row>
    <row r="38" spans="5:9" ht="15.6">
      <c r="E38" s="52" t="s">
        <v>145</v>
      </c>
      <c r="F38" s="64" t="s">
        <v>124</v>
      </c>
      <c r="G38" s="80">
        <v>1.6799999999999999E-2</v>
      </c>
      <c r="H38" s="54">
        <v>1.43E-2</v>
      </c>
      <c r="I38" s="80">
        <f t="shared" si="1"/>
        <v>-0.14880952380952372</v>
      </c>
    </row>
    <row r="39" spans="5:9" ht="15.6">
      <c r="E39" s="52" t="s">
        <v>116</v>
      </c>
      <c r="F39" s="64" t="s">
        <v>41</v>
      </c>
      <c r="G39" s="80">
        <v>3.8999999999999998E-3</v>
      </c>
      <c r="H39" s="54">
        <v>2.8E-3</v>
      </c>
      <c r="I39" s="80">
        <f t="shared" si="1"/>
        <v>-0.28205128205128205</v>
      </c>
    </row>
    <row r="40" spans="5:9" ht="15.6">
      <c r="E40" s="52" t="s">
        <v>118</v>
      </c>
      <c r="F40" s="64" t="s">
        <v>124</v>
      </c>
      <c r="G40" s="80">
        <v>1.04E-2</v>
      </c>
      <c r="H40" s="54">
        <v>9.5999999999999992E-3</v>
      </c>
      <c r="I40" s="80">
        <f t="shared" si="1"/>
        <v>-7.6923076923076983E-2</v>
      </c>
    </row>
    <row r="41" spans="5:9" ht="15.6">
      <c r="E41" s="52" t="s">
        <v>184</v>
      </c>
      <c r="F41" s="64" t="s">
        <v>49</v>
      </c>
      <c r="G41" s="80">
        <v>4.1700000000000001E-2</v>
      </c>
      <c r="H41" s="54">
        <v>4.0599999999999997E-2</v>
      </c>
      <c r="I41" s="80">
        <f t="shared" si="1"/>
        <v>-2.6378896882494063E-2</v>
      </c>
    </row>
    <row r="42" spans="5:9" ht="15.6">
      <c r="E42" s="52" t="s">
        <v>119</v>
      </c>
      <c r="F42" s="64" t="s">
        <v>45</v>
      </c>
      <c r="G42" s="80">
        <v>4.7999999999999996E-3</v>
      </c>
      <c r="H42" s="54">
        <v>4.1999999999999997E-3</v>
      </c>
      <c r="I42" s="80">
        <f t="shared" si="1"/>
        <v>-0.125</v>
      </c>
    </row>
    <row r="43" spans="5:9" ht="15.6">
      <c r="E43" s="52" t="s">
        <v>120</v>
      </c>
      <c r="F43" s="64" t="s">
        <v>45</v>
      </c>
      <c r="G43" s="80">
        <v>7.4000000000000003E-3</v>
      </c>
      <c r="H43" s="54">
        <v>7.4999999999999997E-3</v>
      </c>
      <c r="I43" s="80">
        <f t="shared" si="1"/>
        <v>1.3513513513513375E-2</v>
      </c>
    </row>
    <row r="44" spans="5:9" ht="15.6">
      <c r="E44" s="52" t="s">
        <v>121</v>
      </c>
      <c r="F44" s="64" t="s">
        <v>43</v>
      </c>
      <c r="G44" s="80">
        <v>9.7999999999999997E-3</v>
      </c>
      <c r="H44" s="54">
        <v>9.2999999999999992E-3</v>
      </c>
      <c r="I44" s="80">
        <f t="shared" si="1"/>
        <v>-5.1020408163265363E-2</v>
      </c>
    </row>
    <row r="45" spans="5:9" ht="15.6">
      <c r="E45" s="52" t="s">
        <v>13</v>
      </c>
      <c r="F45" s="64" t="s">
        <v>43</v>
      </c>
      <c r="G45" s="80">
        <v>8.6999999999999994E-3</v>
      </c>
      <c r="H45" s="54">
        <v>8.9999999999999993E-3</v>
      </c>
      <c r="I45" s="80">
        <f t="shared" si="1"/>
        <v>3.4482758620689724E-2</v>
      </c>
    </row>
    <row r="46" spans="5:9" ht="15.6">
      <c r="E46" s="52" t="s">
        <v>14</v>
      </c>
      <c r="F46" s="64" t="s">
        <v>43</v>
      </c>
      <c r="G46" s="80">
        <v>7.9000000000000008E-3</v>
      </c>
      <c r="H46" s="54">
        <v>7.0000000000000001E-3</v>
      </c>
      <c r="I46" s="80">
        <f t="shared" si="1"/>
        <v>-0.11392405063291144</v>
      </c>
    </row>
    <row r="47" spans="5:9" ht="15.6">
      <c r="E47" s="52" t="s">
        <v>16</v>
      </c>
      <c r="F47" s="64" t="s">
        <v>43</v>
      </c>
      <c r="G47" s="80">
        <v>1.4E-2</v>
      </c>
      <c r="H47" s="54">
        <v>1.4500000000000001E-2</v>
      </c>
      <c r="I47" s="80">
        <f t="shared" si="1"/>
        <v>3.5714285714285809E-2</v>
      </c>
    </row>
    <row r="48" spans="5:9" ht="15.6">
      <c r="E48" s="52" t="s">
        <v>18</v>
      </c>
      <c r="F48" s="64" t="s">
        <v>79</v>
      </c>
      <c r="G48" s="80">
        <v>1.26E-2</v>
      </c>
      <c r="H48" s="54">
        <v>1.5599999999999999E-2</v>
      </c>
      <c r="I48" s="80">
        <f t="shared" si="1"/>
        <v>0.23809523809523814</v>
      </c>
    </row>
    <row r="49" spans="5:9" ht="15.6">
      <c r="E49" s="52" t="s">
        <v>187</v>
      </c>
      <c r="F49" s="64" t="s">
        <v>47</v>
      </c>
      <c r="G49" s="80">
        <v>2.2000000000000001E-3</v>
      </c>
      <c r="H49" s="54">
        <v>2E-3</v>
      </c>
      <c r="I49" s="80">
        <f t="shared" si="1"/>
        <v>-9.0909090909090939E-2</v>
      </c>
    </row>
    <row r="50" spans="5:9" ht="15.6">
      <c r="E50" s="52" t="s">
        <v>21</v>
      </c>
      <c r="F50" s="64" t="s">
        <v>47</v>
      </c>
      <c r="G50" s="80">
        <v>3.3E-3</v>
      </c>
      <c r="H50" s="54">
        <v>2.5000000000000001E-3</v>
      </c>
      <c r="I50" s="80">
        <f t="shared" si="1"/>
        <v>-0.24242424242424243</v>
      </c>
    </row>
    <row r="51" spans="5:9" ht="15.6">
      <c r="E51" s="52" t="s">
        <v>188</v>
      </c>
      <c r="F51" s="64" t="s">
        <v>49</v>
      </c>
      <c r="G51" s="80">
        <v>4.1000000000000002E-2</v>
      </c>
      <c r="H51" s="54">
        <v>3.5900000000000001E-2</v>
      </c>
      <c r="I51" s="80">
        <f t="shared" si="1"/>
        <v>-0.12439024390243902</v>
      </c>
    </row>
    <row r="52" spans="5:9" ht="15.6">
      <c r="E52" s="52" t="s">
        <v>23</v>
      </c>
      <c r="F52" s="64" t="s">
        <v>47</v>
      </c>
      <c r="G52" s="80">
        <v>2.2000000000000001E-3</v>
      </c>
      <c r="H52" s="54">
        <v>2.3E-3</v>
      </c>
      <c r="I52" s="80">
        <f t="shared" si="1"/>
        <v>4.5454545454545414E-2</v>
      </c>
    </row>
    <row r="53" spans="5:9" ht="15.6">
      <c r="E53" s="52" t="s">
        <v>24</v>
      </c>
      <c r="F53" s="64" t="s">
        <v>79</v>
      </c>
      <c r="G53" s="80">
        <v>2.92E-2</v>
      </c>
      <c r="H53" s="54">
        <v>3.9E-2</v>
      </c>
      <c r="I53" s="80">
        <f t="shared" si="1"/>
        <v>0.33561643835616439</v>
      </c>
    </row>
    <row r="54" spans="5:9" ht="15.6">
      <c r="E54" s="52" t="s">
        <v>25</v>
      </c>
      <c r="F54" s="64" t="s">
        <v>78</v>
      </c>
      <c r="G54" s="80">
        <v>4.6600000000000003E-2</v>
      </c>
      <c r="H54" s="54">
        <v>4.5100000000000001E-2</v>
      </c>
      <c r="I54" s="80">
        <f t="shared" si="1"/>
        <v>-3.2188841201716722E-2</v>
      </c>
    </row>
    <row r="55" spans="5:9" ht="15.6">
      <c r="E55" s="52" t="s">
        <v>26</v>
      </c>
      <c r="F55" s="64" t="s">
        <v>82</v>
      </c>
      <c r="G55" s="80">
        <v>8.5000000000000006E-3</v>
      </c>
      <c r="H55" s="54">
        <v>9.4999999999999998E-3</v>
      </c>
      <c r="I55" s="80">
        <f t="shared" si="1"/>
        <v>0.11764705882352922</v>
      </c>
    </row>
    <row r="56" spans="5:9" ht="15.6">
      <c r="E56" s="52" t="s">
        <v>28</v>
      </c>
      <c r="F56" s="64" t="s">
        <v>43</v>
      </c>
      <c r="G56" s="80">
        <v>8.8999999999999999E-3</v>
      </c>
      <c r="H56" s="54">
        <v>1.04E-2</v>
      </c>
      <c r="I56" s="80">
        <f t="shared" si="1"/>
        <v>0.1685393258426966</v>
      </c>
    </row>
    <row r="57" spans="5:9" ht="15.6">
      <c r="E57" s="52" t="s">
        <v>29</v>
      </c>
      <c r="F57" s="64" t="s">
        <v>83</v>
      </c>
      <c r="G57" s="80">
        <v>7.6E-3</v>
      </c>
      <c r="H57" s="54">
        <v>6.7000000000000002E-3</v>
      </c>
      <c r="I57" s="80">
        <f t="shared" si="1"/>
        <v>-0.11842105263157887</v>
      </c>
    </row>
    <row r="58" spans="5:9" ht="15.6">
      <c r="E58" s="52" t="s">
        <v>30</v>
      </c>
      <c r="F58" s="64" t="s">
        <v>42</v>
      </c>
      <c r="G58" s="80">
        <v>8.9999999999999993E-3</v>
      </c>
      <c r="H58" s="54">
        <v>9.1000000000000004E-3</v>
      </c>
      <c r="I58" s="80">
        <f t="shared" si="1"/>
        <v>1.1111111111111294E-2</v>
      </c>
    </row>
    <row r="59" spans="5:9" ht="15.6">
      <c r="E59" s="52" t="s">
        <v>189</v>
      </c>
      <c r="F59" s="64" t="s">
        <v>124</v>
      </c>
      <c r="G59" s="80">
        <v>6.7999999999999996E-3</v>
      </c>
      <c r="H59" s="54">
        <v>6.4999999999999997E-3</v>
      </c>
      <c r="I59" s="80">
        <f t="shared" si="1"/>
        <v>-4.4117647058823484E-2</v>
      </c>
    </row>
    <row r="60" spans="5:9" ht="15.6">
      <c r="E60" s="52" t="s">
        <v>74</v>
      </c>
      <c r="F60" s="64" t="s">
        <v>46</v>
      </c>
      <c r="G60" s="80">
        <v>7.1999999999999998E-3</v>
      </c>
      <c r="H60" s="54">
        <v>7.4000000000000003E-3</v>
      </c>
      <c r="I60" s="80">
        <f t="shared" si="1"/>
        <v>2.7777777777777901E-2</v>
      </c>
    </row>
    <row r="61" spans="5:9" ht="15.6">
      <c r="E61" s="52" t="s">
        <v>0</v>
      </c>
      <c r="F61" s="64" t="s">
        <v>124</v>
      </c>
      <c r="G61" s="80">
        <v>1.2E-2</v>
      </c>
      <c r="H61" s="54">
        <v>1.2200000000000001E-2</v>
      </c>
      <c r="I61" s="80">
        <f t="shared" si="1"/>
        <v>1.6666666666666607E-2</v>
      </c>
    </row>
    <row r="62" spans="5:9" ht="15.6">
      <c r="E62" s="52" t="s">
        <v>1</v>
      </c>
      <c r="F62" s="64" t="s">
        <v>124</v>
      </c>
      <c r="G62" s="80">
        <v>1.06E-2</v>
      </c>
      <c r="H62" s="54">
        <v>1.47E-2</v>
      </c>
      <c r="I62" s="80">
        <f t="shared" si="1"/>
        <v>0.3867924528301887</v>
      </c>
    </row>
    <row r="63" spans="5:9" ht="15.6">
      <c r="E63" s="52" t="s">
        <v>227</v>
      </c>
      <c r="F63" s="64" t="s">
        <v>49</v>
      </c>
      <c r="G63" s="80">
        <v>3.1600000000000003E-2</v>
      </c>
      <c r="H63" s="54">
        <v>3.7199999999999997E-2</v>
      </c>
      <c r="I63" s="80">
        <f t="shared" si="1"/>
        <v>0.17721518987341756</v>
      </c>
    </row>
    <row r="64" spans="5:9" ht="15.6">
      <c r="E64" s="52" t="s">
        <v>2</v>
      </c>
      <c r="F64" s="64" t="s">
        <v>41</v>
      </c>
      <c r="G64" s="80">
        <v>1.03E-2</v>
      </c>
      <c r="H64" s="54">
        <v>1.12E-2</v>
      </c>
      <c r="I64" s="80">
        <f t="shared" ref="I64:I80" si="2">IF(H64="NA","NA",H64/G64-1)</f>
        <v>8.737864077669899E-2</v>
      </c>
    </row>
    <row r="65" spans="5:9" ht="15.6">
      <c r="E65" s="52" t="s">
        <v>135</v>
      </c>
      <c r="F65" s="64" t="s">
        <v>81</v>
      </c>
      <c r="G65" s="80">
        <v>2.7799999999999998E-2</v>
      </c>
      <c r="H65" s="54">
        <v>2.9399999999999999E-2</v>
      </c>
      <c r="I65" s="80">
        <f t="shared" si="2"/>
        <v>5.755395683453246E-2</v>
      </c>
    </row>
    <row r="66" spans="5:9" ht="15.6">
      <c r="E66" s="52" t="s">
        <v>147</v>
      </c>
      <c r="F66" s="64" t="s">
        <v>81</v>
      </c>
      <c r="G66" s="80">
        <v>1.2800000000000001E-2</v>
      </c>
      <c r="H66" s="54">
        <v>1.61E-2</v>
      </c>
      <c r="I66" s="80">
        <f t="shared" si="2"/>
        <v>0.2578125</v>
      </c>
    </row>
    <row r="67" spans="5:9" ht="15.6">
      <c r="E67" s="52" t="s">
        <v>61</v>
      </c>
      <c r="F67" s="64" t="s">
        <v>42</v>
      </c>
      <c r="G67" s="80">
        <v>6.4999999999999997E-3</v>
      </c>
      <c r="H67" s="54">
        <v>7.9000000000000008E-3</v>
      </c>
      <c r="I67" s="80">
        <f t="shared" si="2"/>
        <v>0.21538461538461551</v>
      </c>
    </row>
    <row r="68" spans="5:9" ht="15.6">
      <c r="E68" s="52" t="s">
        <v>190</v>
      </c>
      <c r="F68" s="64" t="s">
        <v>82</v>
      </c>
      <c r="G68" s="80">
        <v>1.1299999999999999E-2</v>
      </c>
      <c r="H68" s="54">
        <v>1.06E-2</v>
      </c>
      <c r="I68" s="80">
        <f t="shared" si="2"/>
        <v>-6.1946902654867242E-2</v>
      </c>
    </row>
    <row r="69" spans="5:9" ht="15.6">
      <c r="E69" s="52" t="s">
        <v>76</v>
      </c>
      <c r="F69" s="64" t="s">
        <v>124</v>
      </c>
      <c r="G69" s="80">
        <v>2.4799999999999999E-2</v>
      </c>
      <c r="H69" s="54">
        <v>2.93E-2</v>
      </c>
      <c r="I69" s="80">
        <f t="shared" si="2"/>
        <v>0.18145161290322576</v>
      </c>
    </row>
    <row r="70" spans="5:9" ht="15.6">
      <c r="E70" s="52" t="s">
        <v>138</v>
      </c>
      <c r="F70" s="64" t="s">
        <v>82</v>
      </c>
      <c r="G70" s="80">
        <v>7.3000000000000001E-3</v>
      </c>
      <c r="H70" s="54">
        <v>7.1999999999999998E-3</v>
      </c>
      <c r="I70" s="80">
        <f t="shared" si="2"/>
        <v>-1.3698630136986356E-2</v>
      </c>
    </row>
    <row r="71" spans="5:9" ht="15.6">
      <c r="E71" s="52" t="s">
        <v>34</v>
      </c>
      <c r="F71" s="64" t="s">
        <v>47</v>
      </c>
      <c r="G71" s="80">
        <v>1.9E-3</v>
      </c>
      <c r="H71" s="54">
        <v>2E-3</v>
      </c>
      <c r="I71" s="80">
        <f t="shared" si="2"/>
        <v>5.2631578947368363E-2</v>
      </c>
    </row>
    <row r="72" spans="5:9" ht="15.6">
      <c r="E72" s="52" t="s">
        <v>35</v>
      </c>
      <c r="F72" s="64" t="s">
        <v>47</v>
      </c>
      <c r="G72" s="80">
        <v>1.6000000000000001E-3</v>
      </c>
      <c r="H72" s="54">
        <v>1.5E-3</v>
      </c>
      <c r="I72" s="80">
        <f t="shared" si="2"/>
        <v>-6.25E-2</v>
      </c>
    </row>
    <row r="73" spans="5:9" ht="15.6">
      <c r="E73" s="52" t="s">
        <v>65</v>
      </c>
      <c r="F73" s="64" t="s">
        <v>82</v>
      </c>
      <c r="G73" s="80">
        <v>4.7999999999999996E-3</v>
      </c>
      <c r="H73" s="54">
        <v>6.1999999999999998E-3</v>
      </c>
      <c r="I73" s="80">
        <f t="shared" si="2"/>
        <v>0.29166666666666674</v>
      </c>
    </row>
    <row r="74" spans="5:9" ht="15.6">
      <c r="E74" s="52" t="s">
        <v>77</v>
      </c>
      <c r="F74" s="64" t="s">
        <v>49</v>
      </c>
      <c r="G74" s="80">
        <v>4.0599999999999997E-2</v>
      </c>
      <c r="H74" s="54">
        <v>4.8500000000000001E-2</v>
      </c>
      <c r="I74" s="80">
        <f t="shared" si="2"/>
        <v>0.19458128078817749</v>
      </c>
    </row>
    <row r="75" spans="5:9" ht="15.6">
      <c r="E75" s="52" t="s">
        <v>66</v>
      </c>
      <c r="F75" s="64" t="s">
        <v>48</v>
      </c>
      <c r="G75" s="80">
        <v>3.4700000000000002E-2</v>
      </c>
      <c r="H75" s="54">
        <v>3.3099999999999997E-2</v>
      </c>
      <c r="I75" s="80">
        <f t="shared" si="2"/>
        <v>-4.6109510086455474E-2</v>
      </c>
    </row>
    <row r="76" spans="5:9" ht="15.6">
      <c r="E76" s="52" t="s">
        <v>68</v>
      </c>
      <c r="F76" s="64" t="s">
        <v>100</v>
      </c>
      <c r="G76" s="80">
        <v>5.2499999999999998E-2</v>
      </c>
      <c r="H76" s="54">
        <v>4.1799999999999997E-2</v>
      </c>
      <c r="I76" s="80">
        <f t="shared" si="2"/>
        <v>-0.20380952380952388</v>
      </c>
    </row>
    <row r="77" spans="5:9" ht="15.6">
      <c r="E77" s="52" t="s">
        <v>57</v>
      </c>
      <c r="F77" s="64" t="s">
        <v>45</v>
      </c>
      <c r="G77" s="80">
        <v>3.3999999999999998E-3</v>
      </c>
      <c r="H77" s="54">
        <v>3.0000000000000001E-3</v>
      </c>
      <c r="I77" s="80">
        <f t="shared" si="2"/>
        <v>-0.11764705882352933</v>
      </c>
    </row>
    <row r="78" spans="5:9" ht="15.6">
      <c r="E78" s="52" t="s">
        <v>356</v>
      </c>
      <c r="F78" s="64" t="s">
        <v>47</v>
      </c>
      <c r="G78" s="80">
        <v>1.8E-3</v>
      </c>
      <c r="H78" s="54">
        <v>2.3E-3</v>
      </c>
      <c r="I78" s="80">
        <f t="shared" si="2"/>
        <v>0.2777777777777779</v>
      </c>
    </row>
    <row r="79" spans="5:9" ht="15.6">
      <c r="E79" s="52" t="s">
        <v>69</v>
      </c>
      <c r="F79" s="64" t="s">
        <v>83</v>
      </c>
      <c r="G79" s="80">
        <v>1.29E-2</v>
      </c>
      <c r="H79" s="54">
        <v>1.2699999999999999E-2</v>
      </c>
      <c r="I79" s="80">
        <f t="shared" si="2"/>
        <v>-1.5503875968992276E-2</v>
      </c>
    </row>
    <row r="80" spans="5:9" ht="15.6">
      <c r="E80" s="52" t="s">
        <v>71</v>
      </c>
      <c r="F80" s="64" t="s">
        <v>81</v>
      </c>
      <c r="G80" s="80">
        <v>1.5900000000000001E-2</v>
      </c>
      <c r="H80" s="54">
        <v>1.49E-2</v>
      </c>
      <c r="I80" s="80">
        <f t="shared" si="2"/>
        <v>-6.2893081761006386E-2</v>
      </c>
    </row>
    <row r="81" spans="5:9" ht="15.6">
      <c r="E81" s="132" t="s">
        <v>148</v>
      </c>
      <c r="F81" s="132"/>
      <c r="I81" s="133">
        <f>AVERAGE(I2:I80)</f>
        <v>5.6963031470733901E-2</v>
      </c>
    </row>
    <row r="82" spans="5:9" ht="15.6">
      <c r="E82" s="132" t="s">
        <v>149</v>
      </c>
      <c r="F82" s="132"/>
      <c r="I82" s="133">
        <f>MEDIAN(I2:I80)</f>
        <v>1.6666666666666607E-2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8"/>
  <sheetViews>
    <sheetView topLeftCell="A2" workbookViewId="0">
      <selection activeCell="H23" sqref="H23:J108"/>
    </sheetView>
  </sheetViews>
  <sheetFormatPr defaultColWidth="11" defaultRowHeight="13.2"/>
  <cols>
    <col min="1" max="1" width="24.875" style="35" bestFit="1" customWidth="1"/>
    <col min="2" max="2" width="19" style="35" customWidth="1"/>
    <col min="3" max="3" width="19.375" style="137" customWidth="1"/>
    <col min="4" max="4" width="28.125" style="35" customWidth="1"/>
    <col min="8" max="8" width="19.625" customWidth="1"/>
    <col min="9" max="9" width="12.125" style="53" bestFit="1" customWidth="1"/>
    <col min="10" max="10" width="10.875" style="31"/>
  </cols>
  <sheetData>
    <row r="1" spans="1:5" ht="31.2">
      <c r="A1" s="74" t="s">
        <v>75</v>
      </c>
      <c r="B1" s="75" t="s">
        <v>271</v>
      </c>
      <c r="C1" s="135" t="s">
        <v>548</v>
      </c>
      <c r="D1" s="75" t="s">
        <v>302</v>
      </c>
      <c r="E1" s="82" t="s">
        <v>517</v>
      </c>
    </row>
    <row r="2" spans="1:5" ht="15.6">
      <c r="A2" s="52" t="str">
        <f>'Sovereign Ratings (Moody''s,S&amp;P)'!A2</f>
        <v>Abu Dhabi</v>
      </c>
      <c r="B2" s="64" t="str">
        <f>'Sovereign Ratings (Moody''s,S&amp;P)'!C2</f>
        <v>Aa2</v>
      </c>
      <c r="C2" s="136">
        <f>VLOOKUP(A2,$H$24:$J$108,2,FALSE)</f>
        <v>6.8999999999999999E-3</v>
      </c>
      <c r="D2" s="65">
        <f t="shared" ref="D2:D65" si="0">IF(C2="NA","NA",IF(C2&gt;$C$153,C2-$C$153,0))</f>
        <v>4.5999999999999999E-3</v>
      </c>
    </row>
    <row r="3" spans="1:5" ht="15.6">
      <c r="A3" s="52" t="str">
        <f>'Sovereign Ratings (Moody''s,S&amp;P)'!A3</f>
        <v>Albania</v>
      </c>
      <c r="B3" s="64" t="str">
        <f>'Sovereign Ratings (Moody''s,S&amp;P)'!C3</f>
        <v>B1</v>
      </c>
      <c r="C3" s="136" t="s">
        <v>143</v>
      </c>
      <c r="D3" s="65" t="str">
        <f t="shared" si="0"/>
        <v>NA</v>
      </c>
    </row>
    <row r="4" spans="1:5" ht="15.6">
      <c r="A4" s="52" t="str">
        <f>'Sovereign Ratings (Moody''s,S&amp;P)'!A4</f>
        <v>Andorra (Principality of)</v>
      </c>
      <c r="B4" s="64" t="str">
        <f>'Sovereign Ratings (Moody''s,S&amp;P)'!C4</f>
        <v>Caa1</v>
      </c>
      <c r="C4" s="136" t="s">
        <v>143</v>
      </c>
      <c r="D4" s="65" t="str">
        <f t="shared" si="0"/>
        <v>NA</v>
      </c>
    </row>
    <row r="5" spans="1:5" ht="15.6">
      <c r="A5" s="52" t="str">
        <f>'Sovereign Ratings (Moody''s,S&amp;P)'!A5</f>
        <v>Angola</v>
      </c>
      <c r="B5" s="64" t="str">
        <f>'Sovereign Ratings (Moody''s,S&amp;P)'!C5</f>
        <v>Caa1</v>
      </c>
      <c r="C5" s="136">
        <f>VLOOKUP(A5,$H$24:$J$107,2,FALSE)</f>
        <v>7.4999999999999997E-2</v>
      </c>
      <c r="D5" s="65">
        <f t="shared" si="0"/>
        <v>7.2700000000000001E-2</v>
      </c>
    </row>
    <row r="6" spans="1:5" ht="15.6">
      <c r="A6" s="52" t="str">
        <f>'Sovereign Ratings (Moody''s,S&amp;P)'!A6</f>
        <v>Argentina</v>
      </c>
      <c r="B6" s="64" t="str">
        <f>'Sovereign Ratings (Moody''s,S&amp;P)'!C6</f>
        <v>Ca</v>
      </c>
      <c r="C6" s="136" t="s">
        <v>143</v>
      </c>
      <c r="D6" s="65" t="str">
        <f t="shared" si="0"/>
        <v>NA</v>
      </c>
    </row>
    <row r="7" spans="1:5" ht="15.6">
      <c r="A7" s="52" t="str">
        <f>'Sovereign Ratings (Moody''s,S&amp;P)'!A7</f>
        <v>Armenia</v>
      </c>
      <c r="B7" s="64" t="str">
        <f>'Sovereign Ratings (Moody''s,S&amp;P)'!C7</f>
        <v>Ba3</v>
      </c>
      <c r="C7" s="136" t="s">
        <v>143</v>
      </c>
      <c r="D7" s="65" t="str">
        <f t="shared" si="0"/>
        <v>NA</v>
      </c>
    </row>
    <row r="8" spans="1:5" ht="15.6">
      <c r="A8" s="52" t="str">
        <f>'Sovereign Ratings (Moody''s,S&amp;P)'!A8</f>
        <v>Aruba</v>
      </c>
      <c r="B8" s="64" t="str">
        <f>'Sovereign Ratings (Moody''s,S&amp;P)'!C8</f>
        <v>Baa1</v>
      </c>
      <c r="C8" s="136" t="s">
        <v>143</v>
      </c>
      <c r="D8" s="65" t="str">
        <f t="shared" si="0"/>
        <v>NA</v>
      </c>
    </row>
    <row r="9" spans="1:5" ht="15.6">
      <c r="A9" s="52" t="str">
        <f>'Sovereign Ratings (Moody''s,S&amp;P)'!A9</f>
        <v>Australia</v>
      </c>
      <c r="B9" s="64" t="str">
        <f>'Sovereign Ratings (Moody''s,S&amp;P)'!C9</f>
        <v>Aaa</v>
      </c>
      <c r="C9" s="136">
        <f>VLOOKUP(A9,$H$24:$J$107,2,FALSE)</f>
        <v>2.3E-3</v>
      </c>
      <c r="D9" s="65">
        <f t="shared" si="0"/>
        <v>0</v>
      </c>
    </row>
    <row r="10" spans="1:5" ht="15.6">
      <c r="A10" s="52" t="str">
        <f>'Sovereign Ratings (Moody''s,S&amp;P)'!A10</f>
        <v>Austria</v>
      </c>
      <c r="B10" s="64" t="str">
        <f>'Sovereign Ratings (Moody''s,S&amp;P)'!C10</f>
        <v>Aa1</v>
      </c>
      <c r="C10" s="136">
        <f>VLOOKUP(A10,$H$24:$J$107,2,FALSE)</f>
        <v>1.8E-3</v>
      </c>
      <c r="D10" s="65">
        <f t="shared" si="0"/>
        <v>0</v>
      </c>
    </row>
    <row r="11" spans="1:5" ht="15.6">
      <c r="A11" s="52" t="str">
        <f>'Sovereign Ratings (Moody''s,S&amp;P)'!A11</f>
        <v>Azerbaijan</v>
      </c>
      <c r="B11" s="64" t="str">
        <f>'Sovereign Ratings (Moody''s,S&amp;P)'!C11</f>
        <v>Ba2</v>
      </c>
      <c r="C11" s="136" t="s">
        <v>143</v>
      </c>
      <c r="D11" s="65" t="str">
        <f t="shared" si="0"/>
        <v>NA</v>
      </c>
    </row>
    <row r="12" spans="1:5" ht="15.6">
      <c r="A12" s="52" t="str">
        <f>'Sovereign Ratings (Moody''s,S&amp;P)'!A12</f>
        <v>Bahamas</v>
      </c>
      <c r="B12" s="64" t="str">
        <f>'Sovereign Ratings (Moody''s,S&amp;P)'!C12</f>
        <v>Ba2</v>
      </c>
      <c r="C12" s="136" t="s">
        <v>143</v>
      </c>
      <c r="D12" s="65" t="str">
        <f t="shared" si="0"/>
        <v>NA</v>
      </c>
    </row>
    <row r="13" spans="1:5" ht="15.6">
      <c r="A13" s="52" t="str">
        <f>'Sovereign Ratings (Moody''s,S&amp;P)'!A13</f>
        <v>Bahrain</v>
      </c>
      <c r="B13" s="64" t="str">
        <f>'Sovereign Ratings (Moody''s,S&amp;P)'!C13</f>
        <v>B2</v>
      </c>
      <c r="C13" s="136">
        <f>VLOOKUP(A13,$H$24:$J$107,2,FALSE)</f>
        <v>3.1800000000000002E-2</v>
      </c>
      <c r="D13" s="65">
        <f t="shared" si="0"/>
        <v>2.9500000000000002E-2</v>
      </c>
    </row>
    <row r="14" spans="1:5" ht="15.6">
      <c r="A14" s="52" t="str">
        <f>'Sovereign Ratings (Moody''s,S&amp;P)'!A14</f>
        <v>Bangladesh</v>
      </c>
      <c r="B14" s="64" t="str">
        <f>'Sovereign Ratings (Moody''s,S&amp;P)'!C14</f>
        <v>Ba3</v>
      </c>
      <c r="C14" s="136" t="s">
        <v>143</v>
      </c>
      <c r="D14" s="65" t="str">
        <f t="shared" si="0"/>
        <v>NA</v>
      </c>
    </row>
    <row r="15" spans="1:5" ht="15.6">
      <c r="A15" s="52" t="str">
        <f>'Sovereign Ratings (Moody''s,S&amp;P)'!A15</f>
        <v>Barbados</v>
      </c>
      <c r="B15" s="64" t="str">
        <f>'Sovereign Ratings (Moody''s,S&amp;P)'!C15</f>
        <v>Caa1</v>
      </c>
      <c r="C15" s="136" t="s">
        <v>143</v>
      </c>
      <c r="D15" s="65" t="str">
        <f t="shared" si="0"/>
        <v>NA</v>
      </c>
    </row>
    <row r="16" spans="1:5" ht="15.6">
      <c r="A16" s="52" t="str">
        <f>'Sovereign Ratings (Moody''s,S&amp;P)'!A16</f>
        <v>Belarus</v>
      </c>
      <c r="B16" s="64" t="str">
        <f>'Sovereign Ratings (Moody''s,S&amp;P)'!C16</f>
        <v>B3</v>
      </c>
      <c r="C16" s="136" t="s">
        <v>143</v>
      </c>
      <c r="D16" s="65" t="str">
        <f t="shared" si="0"/>
        <v>NA</v>
      </c>
    </row>
    <row r="17" spans="1:13" ht="15.6">
      <c r="A17" s="52" t="str">
        <f>'Sovereign Ratings (Moody''s,S&amp;P)'!A17</f>
        <v>Belgium</v>
      </c>
      <c r="B17" s="64" t="str">
        <f>'Sovereign Ratings (Moody''s,S&amp;P)'!C17</f>
        <v>Aa3</v>
      </c>
      <c r="C17" s="136">
        <f>VLOOKUP(A17,$H$24:$J$107,2,FALSE)</f>
        <v>2.7000000000000001E-3</v>
      </c>
      <c r="D17" s="65">
        <f t="shared" si="0"/>
        <v>4.0000000000000018E-4</v>
      </c>
    </row>
    <row r="18" spans="1:13" ht="15.6">
      <c r="A18" s="52" t="str">
        <f>'Sovereign Ratings (Moody''s,S&amp;P)'!A18</f>
        <v>Belize</v>
      </c>
      <c r="B18" s="64" t="str">
        <f>'Sovereign Ratings (Moody''s,S&amp;P)'!C18</f>
        <v>Caa3</v>
      </c>
      <c r="C18" s="136" t="s">
        <v>143</v>
      </c>
      <c r="D18" s="65" t="str">
        <f t="shared" si="0"/>
        <v>NA</v>
      </c>
    </row>
    <row r="19" spans="1:13" ht="15.6">
      <c r="A19" s="52" t="str">
        <f>'Sovereign Ratings (Moody''s,S&amp;P)'!A19</f>
        <v>Benin</v>
      </c>
      <c r="B19" s="64" t="str">
        <f>'Sovereign Ratings (Moody''s,S&amp;P)'!C19</f>
        <v>B2</v>
      </c>
      <c r="C19" s="136" t="s">
        <v>143</v>
      </c>
      <c r="D19" s="65" t="str">
        <f t="shared" si="0"/>
        <v>NA</v>
      </c>
    </row>
    <row r="20" spans="1:13" ht="15.6">
      <c r="A20" s="52" t="str">
        <f>'Sovereign Ratings (Moody''s,S&amp;P)'!A20</f>
        <v>Bermuda</v>
      </c>
      <c r="B20" s="64" t="str">
        <f>'Sovereign Ratings (Moody''s,S&amp;P)'!C20</f>
        <v>A2</v>
      </c>
      <c r="C20" s="136" t="s">
        <v>143</v>
      </c>
      <c r="D20" s="65" t="str">
        <f t="shared" si="0"/>
        <v>NA</v>
      </c>
    </row>
    <row r="21" spans="1:13" ht="15.6">
      <c r="A21" s="52" t="str">
        <f>'Sovereign Ratings (Moody''s,S&amp;P)'!A21</f>
        <v>Bolivia</v>
      </c>
      <c r="B21" s="64" t="str">
        <f>'Sovereign Ratings (Moody''s,S&amp;P)'!C21</f>
        <v>B2</v>
      </c>
      <c r="C21" s="136" t="s">
        <v>143</v>
      </c>
      <c r="D21" s="65" t="str">
        <f t="shared" si="0"/>
        <v>NA</v>
      </c>
    </row>
    <row r="22" spans="1:13" ht="15.6">
      <c r="A22" s="52" t="str">
        <f>'Sovereign Ratings (Moody''s,S&amp;P)'!A22</f>
        <v>Bosnia and Herzegovina</v>
      </c>
      <c r="B22" s="64" t="str">
        <f>'Sovereign Ratings (Moody''s,S&amp;P)'!C22</f>
        <v>B3</v>
      </c>
      <c r="C22" s="136" t="s">
        <v>143</v>
      </c>
      <c r="D22" s="65" t="str">
        <f t="shared" si="0"/>
        <v>NA</v>
      </c>
    </row>
    <row r="23" spans="1:13" ht="19.05" customHeight="1">
      <c r="A23" s="52" t="str">
        <f>'Sovereign Ratings (Moody''s,S&amp;P)'!A23</f>
        <v>Botswana</v>
      </c>
      <c r="B23" s="64" t="str">
        <f>'Sovereign Ratings (Moody''s,S&amp;P)'!C23</f>
        <v>A2</v>
      </c>
      <c r="C23" s="136" t="s">
        <v>143</v>
      </c>
      <c r="D23" s="65" t="str">
        <f t="shared" si="0"/>
        <v>NA</v>
      </c>
      <c r="H23" s="74" t="s">
        <v>75</v>
      </c>
      <c r="I23" s="164">
        <v>42735</v>
      </c>
      <c r="J23" s="138" t="s">
        <v>485</v>
      </c>
      <c r="M23" s="164">
        <v>42460</v>
      </c>
    </row>
    <row r="24" spans="1:13" ht="15.6">
      <c r="A24" s="52" t="str">
        <f>'Sovereign Ratings (Moody''s,S&amp;P)'!A24</f>
        <v>Brazil</v>
      </c>
      <c r="B24" s="64" t="str">
        <f>'Sovereign Ratings (Moody''s,S&amp;P)'!C24</f>
        <v>Ba2</v>
      </c>
      <c r="C24" s="136">
        <f>VLOOKUP(A24,$H$24:$J$107,2,FALSE)</f>
        <v>2.1499999999999998E-2</v>
      </c>
      <c r="D24" s="65">
        <f t="shared" si="0"/>
        <v>1.9199999999999998E-2</v>
      </c>
      <c r="H24" s="52" t="s">
        <v>272</v>
      </c>
      <c r="I24" s="54">
        <v>6.8999999999999999E-3</v>
      </c>
      <c r="J24" s="27">
        <f t="shared" ref="J24:J68" si="1">IF(I24&lt;$I$104,0,I24-$I$104)</f>
        <v>4.5999999999999999E-3</v>
      </c>
      <c r="M24" s="54">
        <v>1.5965E-2</v>
      </c>
    </row>
    <row r="25" spans="1:13" ht="15.6">
      <c r="A25" s="52" t="str">
        <f>'Sovereign Ratings (Moody''s,S&amp;P)'!A25</f>
        <v>Bulgaria</v>
      </c>
      <c r="B25" s="64" t="str">
        <f>'Sovereign Ratings (Moody''s,S&amp;P)'!C25</f>
        <v>Baa1</v>
      </c>
      <c r="C25" s="136">
        <f>VLOOKUP(A25,$H$24:$J$107,2,FALSE)</f>
        <v>7.0000000000000001E-3</v>
      </c>
      <c r="D25" s="65">
        <f t="shared" si="0"/>
        <v>4.7000000000000002E-3</v>
      </c>
      <c r="H25" s="142" t="s">
        <v>337</v>
      </c>
      <c r="I25" s="54">
        <v>1.0999999999999999E-2</v>
      </c>
      <c r="J25" s="27">
        <f t="shared" si="1"/>
        <v>8.6999999999999994E-3</v>
      </c>
      <c r="M25" s="54">
        <v>1.5274000000000001E-2</v>
      </c>
    </row>
    <row r="26" spans="1:13" ht="15.6">
      <c r="A26" s="52" t="str">
        <f>'Sovereign Ratings (Moody''s,S&amp;P)'!A26</f>
        <v>Burkina Faso</v>
      </c>
      <c r="B26" s="64" t="str">
        <f>'Sovereign Ratings (Moody''s,S&amp;P)'!C26</f>
        <v>B2</v>
      </c>
      <c r="C26" s="136" t="s">
        <v>143</v>
      </c>
      <c r="D26" s="65" t="str">
        <f t="shared" si="0"/>
        <v>NA</v>
      </c>
      <c r="H26" s="142" t="s">
        <v>131</v>
      </c>
      <c r="I26" s="54">
        <v>7.4999999999999997E-2</v>
      </c>
      <c r="J26" s="27">
        <f t="shared" si="1"/>
        <v>7.2700000000000001E-2</v>
      </c>
      <c r="M26" s="54">
        <v>0.21274200000000001</v>
      </c>
    </row>
    <row r="27" spans="1:13" ht="15.6">
      <c r="A27" s="52" t="str">
        <f>'Sovereign Ratings (Moody''s,S&amp;P)'!A27</f>
        <v>Cambodia</v>
      </c>
      <c r="B27" s="64" t="str">
        <f>'Sovereign Ratings (Moody''s,S&amp;P)'!C27</f>
        <v>B2</v>
      </c>
      <c r="C27" s="136" t="s">
        <v>143</v>
      </c>
      <c r="D27" s="65" t="str">
        <f t="shared" si="0"/>
        <v>NA</v>
      </c>
      <c r="H27" s="52" t="s">
        <v>84</v>
      </c>
      <c r="I27" s="54" t="s">
        <v>143</v>
      </c>
      <c r="J27" s="27" t="e">
        <f t="shared" si="1"/>
        <v>#VALUE!</v>
      </c>
      <c r="M27" s="54" t="s">
        <v>143</v>
      </c>
    </row>
    <row r="28" spans="1:13" ht="15.6">
      <c r="A28" s="52" t="str">
        <f>'Sovereign Ratings (Moody''s,S&amp;P)'!A28</f>
        <v>Cameroon</v>
      </c>
      <c r="B28" s="64" t="str">
        <f>'Sovereign Ratings (Moody''s,S&amp;P)'!C28</f>
        <v>B2</v>
      </c>
      <c r="C28" s="136">
        <f>VLOOKUP(A28,$H$24:$J$107,2,FALSE)</f>
        <v>5.8700000000000002E-2</v>
      </c>
      <c r="D28" s="65">
        <f t="shared" si="0"/>
        <v>5.6400000000000006E-2</v>
      </c>
      <c r="H28" s="52" t="s">
        <v>85</v>
      </c>
      <c r="I28" s="54">
        <v>2.3E-3</v>
      </c>
      <c r="J28" s="27">
        <f t="shared" si="1"/>
        <v>0</v>
      </c>
      <c r="M28" s="54">
        <v>5.96E-3</v>
      </c>
    </row>
    <row r="29" spans="1:13" ht="15.6">
      <c r="A29" s="52" t="str">
        <f>'Sovereign Ratings (Moody''s,S&amp;P)'!A29</f>
        <v>Canada</v>
      </c>
      <c r="B29" s="64" t="str">
        <f>'Sovereign Ratings (Moody''s,S&amp;P)'!C29</f>
        <v>Aaa</v>
      </c>
      <c r="C29" s="136">
        <f>VLOOKUP(A29,$H$24:$J$107,2,FALSE)</f>
        <v>4.1999999999999997E-3</v>
      </c>
      <c r="D29" s="65">
        <f t="shared" si="0"/>
        <v>1.8999999999999998E-3</v>
      </c>
      <c r="H29" s="52" t="s">
        <v>176</v>
      </c>
      <c r="I29" s="54">
        <v>1.8E-3</v>
      </c>
      <c r="J29" s="27">
        <f t="shared" si="1"/>
        <v>0</v>
      </c>
      <c r="M29" s="54">
        <v>3.5820000000000001E-3</v>
      </c>
    </row>
    <row r="30" spans="1:13" ht="15.6">
      <c r="A30" s="52" t="str">
        <f>'Sovereign Ratings (Moody''s,S&amp;P)'!A30</f>
        <v>Cape Verde</v>
      </c>
      <c r="B30" s="64" t="str">
        <f>'Sovereign Ratings (Moody''s,S&amp;P)'!C30</f>
        <v>B2</v>
      </c>
      <c r="C30" s="136" t="s">
        <v>143</v>
      </c>
      <c r="D30" s="65" t="str">
        <f t="shared" si="0"/>
        <v>NA</v>
      </c>
      <c r="H30" s="52" t="s">
        <v>87</v>
      </c>
      <c r="I30" s="54">
        <v>3.1800000000000002E-2</v>
      </c>
      <c r="J30" s="27">
        <f t="shared" si="1"/>
        <v>2.9500000000000002E-2</v>
      </c>
      <c r="M30" s="54">
        <v>4.9024999999999999E-2</v>
      </c>
    </row>
    <row r="31" spans="1:13" ht="15.6">
      <c r="A31" s="52" t="str">
        <f>'Sovereign Ratings (Moody''s,S&amp;P)'!A31</f>
        <v>Cayman Islands</v>
      </c>
      <c r="B31" s="64" t="str">
        <f>'Sovereign Ratings (Moody''s,S&amp;P)'!C31</f>
        <v>Aa3</v>
      </c>
      <c r="C31" s="136" t="s">
        <v>143</v>
      </c>
      <c r="D31" s="65" t="str">
        <f t="shared" si="0"/>
        <v>NA</v>
      </c>
      <c r="H31" s="52" t="s">
        <v>177</v>
      </c>
      <c r="I31" s="54">
        <v>2.7000000000000001E-3</v>
      </c>
      <c r="J31" s="27">
        <f t="shared" si="1"/>
        <v>4.0000000000000018E-4</v>
      </c>
      <c r="M31" s="54">
        <v>6.038E-3</v>
      </c>
    </row>
    <row r="32" spans="1:13" ht="15.6">
      <c r="A32" s="52" t="str">
        <f>'Sovereign Ratings (Moody''s,S&amp;P)'!A32</f>
        <v>Chile</v>
      </c>
      <c r="B32" s="64" t="str">
        <f>'Sovereign Ratings (Moody''s,S&amp;P)'!C32</f>
        <v>A1</v>
      </c>
      <c r="C32" s="136">
        <f>VLOOKUP(A32,$H$24:$J$107,2,FALSE)</f>
        <v>8.9999999999999993E-3</v>
      </c>
      <c r="D32" s="65">
        <f t="shared" si="0"/>
        <v>6.6999999999999994E-3</v>
      </c>
      <c r="H32" s="52" t="s">
        <v>92</v>
      </c>
      <c r="I32" s="54">
        <v>2.1499999999999998E-2</v>
      </c>
      <c r="J32" s="27">
        <f t="shared" si="1"/>
        <v>1.9199999999999998E-2</v>
      </c>
      <c r="M32" s="54">
        <v>3.4694000000000003E-2</v>
      </c>
    </row>
    <row r="33" spans="1:13" ht="15.6">
      <c r="A33" s="52" t="str">
        <f>'Sovereign Ratings (Moody''s,S&amp;P)'!A33</f>
        <v>China</v>
      </c>
      <c r="B33" s="64" t="str">
        <f>'Sovereign Ratings (Moody''s,S&amp;P)'!C33</f>
        <v>A1</v>
      </c>
      <c r="C33" s="136">
        <f>VLOOKUP(A33,$H$24:$J$107,2,FALSE)</f>
        <v>5.5999999999999999E-3</v>
      </c>
      <c r="D33" s="65">
        <f t="shared" si="0"/>
        <v>3.3E-3</v>
      </c>
      <c r="H33" s="52" t="s">
        <v>94</v>
      </c>
      <c r="I33" s="54">
        <v>7.0000000000000001E-3</v>
      </c>
      <c r="J33" s="27">
        <f t="shared" si="1"/>
        <v>4.7000000000000002E-3</v>
      </c>
      <c r="M33" s="54">
        <v>9.1459999999999996E-3</v>
      </c>
    </row>
    <row r="34" spans="1:13" ht="15.6">
      <c r="A34" s="52" t="str">
        <f>'Sovereign Ratings (Moody''s,S&amp;P)'!A34</f>
        <v>Colombia</v>
      </c>
      <c r="B34" s="64" t="str">
        <f>'Sovereign Ratings (Moody''s,S&amp;P)'!C34</f>
        <v>Baa2</v>
      </c>
      <c r="C34" s="136">
        <f>VLOOKUP(A34,$H$24:$J$107,2,FALSE)</f>
        <v>1.52E-2</v>
      </c>
      <c r="D34" s="65">
        <f t="shared" si="0"/>
        <v>1.29E-2</v>
      </c>
      <c r="H34" s="142" t="s">
        <v>212</v>
      </c>
      <c r="I34" s="54">
        <v>5.8700000000000002E-2</v>
      </c>
      <c r="J34" s="27">
        <f t="shared" si="1"/>
        <v>5.6400000000000006E-2</v>
      </c>
      <c r="M34" s="54">
        <v>5.2776999999999998E-2</v>
      </c>
    </row>
    <row r="35" spans="1:13" ht="15.6">
      <c r="A35" s="52" t="str">
        <f>'Sovereign Ratings (Moody''s,S&amp;P)'!A35</f>
        <v>Congo (Democratic Republic of)</v>
      </c>
      <c r="B35" s="64" t="str">
        <f>'Sovereign Ratings (Moody''s,S&amp;P)'!C35</f>
        <v>Caa1</v>
      </c>
      <c r="C35" s="136" t="s">
        <v>143</v>
      </c>
      <c r="D35" s="65" t="str">
        <f t="shared" si="0"/>
        <v>NA</v>
      </c>
      <c r="H35" s="142" t="s">
        <v>95</v>
      </c>
      <c r="I35" s="54">
        <v>4.1999999999999997E-3</v>
      </c>
      <c r="J35" s="27">
        <f t="shared" si="1"/>
        <v>1.8999999999999998E-3</v>
      </c>
      <c r="M35" s="54">
        <v>4.9100000000000003E-3</v>
      </c>
    </row>
    <row r="36" spans="1:13" ht="15.6">
      <c r="A36" s="52" t="str">
        <f>'Sovereign Ratings (Moody''s,S&amp;P)'!A36</f>
        <v>Congo (Republic of)</v>
      </c>
      <c r="B36" s="64" t="str">
        <f>'Sovereign Ratings (Moody''s,S&amp;P)'!C36</f>
        <v>Caa2</v>
      </c>
      <c r="C36" s="136" t="s">
        <v>143</v>
      </c>
      <c r="D36" s="65" t="str">
        <f t="shared" si="0"/>
        <v>NA</v>
      </c>
      <c r="H36" s="52" t="s">
        <v>96</v>
      </c>
      <c r="I36" s="54">
        <v>8.9999999999999993E-3</v>
      </c>
      <c r="J36" s="27">
        <f t="shared" si="1"/>
        <v>6.6999999999999994E-3</v>
      </c>
      <c r="M36" s="54">
        <v>1.7450999999999998E-2</v>
      </c>
    </row>
    <row r="37" spans="1:13" ht="15.6">
      <c r="A37" s="52" t="str">
        <f>'Sovereign Ratings (Moody''s,S&amp;P)'!A37</f>
        <v>Cook Islands</v>
      </c>
      <c r="B37" s="64" t="str">
        <f>'Sovereign Ratings (Moody''s,S&amp;P)'!C37</f>
        <v>B1</v>
      </c>
      <c r="C37" s="136" t="s">
        <v>143</v>
      </c>
      <c r="D37" s="65" t="str">
        <f t="shared" si="0"/>
        <v>NA</v>
      </c>
      <c r="H37" s="52" t="s">
        <v>97</v>
      </c>
      <c r="I37" s="54">
        <v>5.5999999999999999E-3</v>
      </c>
      <c r="J37" s="27">
        <f t="shared" si="1"/>
        <v>3.3E-3</v>
      </c>
      <c r="M37" s="54">
        <v>1.0135999999999999E-2</v>
      </c>
    </row>
    <row r="38" spans="1:13" ht="15.6">
      <c r="A38" s="52" t="str">
        <f>'Sovereign Ratings (Moody''s,S&amp;P)'!A38</f>
        <v>Costa Rica</v>
      </c>
      <c r="B38" s="64" t="str">
        <f>'Sovereign Ratings (Moody''s,S&amp;P)'!C38</f>
        <v>B2</v>
      </c>
      <c r="C38" s="136">
        <f>VLOOKUP(A38,$H$24:$J$107,2,FALSE)</f>
        <v>6.13E-2</v>
      </c>
      <c r="D38" s="65">
        <f t="shared" si="0"/>
        <v>5.8999999999999997E-2</v>
      </c>
      <c r="H38" s="52" t="s">
        <v>50</v>
      </c>
      <c r="I38" s="54">
        <v>1.52E-2</v>
      </c>
      <c r="J38" s="27">
        <f t="shared" si="1"/>
        <v>1.29E-2</v>
      </c>
      <c r="M38" s="54">
        <v>2.938E-2</v>
      </c>
    </row>
    <row r="39" spans="1:13" ht="15.6">
      <c r="A39" s="52" t="str">
        <f>'Sovereign Ratings (Moody''s,S&amp;P)'!A39</f>
        <v>Côte d'Ivoire</v>
      </c>
      <c r="B39" s="64" t="str">
        <f>'Sovereign Ratings (Moody''s,S&amp;P)'!C39</f>
        <v>Ba3</v>
      </c>
      <c r="C39" s="136" t="s">
        <v>143</v>
      </c>
      <c r="D39" s="65" t="str">
        <f t="shared" si="0"/>
        <v>NA</v>
      </c>
      <c r="H39" s="52" t="s">
        <v>56</v>
      </c>
      <c r="I39" s="54">
        <v>6.13E-2</v>
      </c>
      <c r="J39" s="27">
        <f t="shared" si="1"/>
        <v>5.8999999999999997E-2</v>
      </c>
      <c r="M39" s="54">
        <v>5.5758000000000002E-2</v>
      </c>
    </row>
    <row r="40" spans="1:13" ht="15.6">
      <c r="A40" s="52" t="str">
        <f>'Sovereign Ratings (Moody''s,S&amp;P)'!A40</f>
        <v>Croatia</v>
      </c>
      <c r="B40" s="64" t="str">
        <f>'Sovereign Ratings (Moody''s,S&amp;P)'!C40</f>
        <v>Ba1</v>
      </c>
      <c r="C40" s="136">
        <f>VLOOKUP(A40,$H$24:$J$107,2,FALSE)</f>
        <v>1.2800000000000001E-2</v>
      </c>
      <c r="D40" s="65">
        <f t="shared" si="0"/>
        <v>1.0500000000000001E-2</v>
      </c>
      <c r="H40" s="52" t="s">
        <v>98</v>
      </c>
      <c r="I40" s="54">
        <v>1.2800000000000001E-2</v>
      </c>
      <c r="J40" s="27">
        <f t="shared" si="1"/>
        <v>1.0500000000000001E-2</v>
      </c>
      <c r="M40" s="54">
        <v>1.2E-2</v>
      </c>
    </row>
    <row r="41" spans="1:13" ht="15.6">
      <c r="A41" s="52" t="str">
        <f>'Sovereign Ratings (Moody''s,S&amp;P)'!A41</f>
        <v>Cuba</v>
      </c>
      <c r="B41" s="64" t="str">
        <f>'Sovereign Ratings (Moody''s,S&amp;P)'!C41</f>
        <v>Caa2</v>
      </c>
      <c r="C41" s="136" t="s">
        <v>143</v>
      </c>
      <c r="D41" s="65" t="str">
        <f t="shared" si="0"/>
        <v>NA</v>
      </c>
      <c r="H41" s="52" t="s">
        <v>178</v>
      </c>
      <c r="I41" s="54">
        <v>1.1900000000000001E-2</v>
      </c>
      <c r="J41" s="27">
        <f t="shared" si="1"/>
        <v>9.6000000000000009E-3</v>
      </c>
      <c r="M41" s="54">
        <v>1.3878999999999999E-2</v>
      </c>
    </row>
    <row r="42" spans="1:13" ht="15.6">
      <c r="A42" s="52" t="str">
        <f>'Sovereign Ratings (Moody''s,S&amp;P)'!A42</f>
        <v>Curacao</v>
      </c>
      <c r="B42" s="64" t="str">
        <f>'Sovereign Ratings (Moody''s,S&amp;P)'!C42</f>
        <v>A3</v>
      </c>
      <c r="C42" s="136" t="s">
        <v>143</v>
      </c>
      <c r="D42" s="65" t="str">
        <f t="shared" si="0"/>
        <v>NA</v>
      </c>
      <c r="H42" s="52" t="s">
        <v>101</v>
      </c>
      <c r="I42" s="54">
        <v>5.1000000000000004E-3</v>
      </c>
      <c r="J42" s="27">
        <f t="shared" si="1"/>
        <v>2.8000000000000004E-3</v>
      </c>
      <c r="M42" s="54">
        <v>7.306E-3</v>
      </c>
    </row>
    <row r="43" spans="1:13" ht="15.6">
      <c r="A43" s="52" t="str">
        <f>'Sovereign Ratings (Moody''s,S&amp;P)'!A43</f>
        <v>Cyprus</v>
      </c>
      <c r="B43" s="64" t="str">
        <f>'Sovereign Ratings (Moody''s,S&amp;P)'!C43</f>
        <v>Ba2</v>
      </c>
      <c r="C43" s="136">
        <f>VLOOKUP(A43,$H$24:$J$107,2,FALSE)</f>
        <v>1.1900000000000001E-2</v>
      </c>
      <c r="D43" s="65">
        <f t="shared" si="0"/>
        <v>9.6000000000000009E-3</v>
      </c>
      <c r="H43" s="52" t="s">
        <v>102</v>
      </c>
      <c r="I43" s="54">
        <v>1.6000000000000001E-3</v>
      </c>
      <c r="J43" s="27">
        <f t="shared" si="1"/>
        <v>0</v>
      </c>
      <c r="M43" s="54">
        <v>3.0500000000000002E-3</v>
      </c>
    </row>
    <row r="44" spans="1:13" ht="15.6">
      <c r="A44" s="52" t="str">
        <f>'Sovereign Ratings (Moody''s,S&amp;P)'!A44</f>
        <v>Czech Republic</v>
      </c>
      <c r="B44" s="64" t="str">
        <f>'Sovereign Ratings (Moody''s,S&amp;P)'!C44</f>
        <v>Aa3</v>
      </c>
      <c r="C44" s="136">
        <f>VLOOKUP(A44,$H$24:$J$107,2,FALSE)</f>
        <v>5.1000000000000004E-3</v>
      </c>
      <c r="D44" s="65">
        <f t="shared" si="0"/>
        <v>2.8000000000000004E-3</v>
      </c>
      <c r="H44" s="52" t="s">
        <v>484</v>
      </c>
      <c r="I44" s="54">
        <v>1.46E-2</v>
      </c>
      <c r="J44" s="27">
        <f t="shared" si="1"/>
        <v>1.23E-2</v>
      </c>
      <c r="M44" s="54">
        <v>3.3792000000000003E-2</v>
      </c>
    </row>
    <row r="45" spans="1:13" ht="15.6">
      <c r="A45" s="52" t="str">
        <f>'Sovereign Ratings (Moody''s,S&amp;P)'!A45</f>
        <v>Denmark</v>
      </c>
      <c r="B45" s="64" t="str">
        <f>'Sovereign Ratings (Moody''s,S&amp;P)'!C45</f>
        <v>Aaa</v>
      </c>
      <c r="C45" s="136">
        <f>VLOOKUP(A45,$H$24:$J$107,2,FALSE)</f>
        <v>1.6000000000000001E-3</v>
      </c>
      <c r="D45" s="65">
        <f t="shared" si="0"/>
        <v>0</v>
      </c>
      <c r="H45" s="249" t="s">
        <v>104</v>
      </c>
      <c r="I45" s="258">
        <v>0.1036</v>
      </c>
      <c r="J45" s="259">
        <f t="shared" si="1"/>
        <v>0.1013</v>
      </c>
      <c r="M45" s="54">
        <v>6.8317000000000003E-2</v>
      </c>
    </row>
    <row r="46" spans="1:13" ht="15.6">
      <c r="A46" s="52" t="str">
        <f>'Sovereign Ratings (Moody''s,S&amp;P)'!A46</f>
        <v>Dominican Republic</v>
      </c>
      <c r="B46" s="64" t="str">
        <f>'Sovereign Ratings (Moody''s,S&amp;P)'!C46</f>
        <v>Ba3</v>
      </c>
      <c r="C46" s="136" t="s">
        <v>143</v>
      </c>
      <c r="D46" s="65" t="str">
        <f t="shared" si="0"/>
        <v>NA</v>
      </c>
      <c r="H46" s="257" t="s">
        <v>105</v>
      </c>
      <c r="I46" s="54">
        <v>4.0800000000000003E-2</v>
      </c>
      <c r="J46" s="27">
        <f t="shared" si="1"/>
        <v>3.8500000000000006E-2</v>
      </c>
      <c r="M46" s="54">
        <v>7.8052999999999997E-2</v>
      </c>
    </row>
    <row r="47" spans="1:13" ht="15.6">
      <c r="A47" s="52" t="str">
        <f>'Sovereign Ratings (Moody''s,S&amp;P)'!A47</f>
        <v>Ecuador</v>
      </c>
      <c r="B47" s="64" t="str">
        <f>'Sovereign Ratings (Moody''s,S&amp;P)'!C47</f>
        <v>Caa3</v>
      </c>
      <c r="C47" s="136" t="s">
        <v>143</v>
      </c>
      <c r="D47" s="65" t="str">
        <f t="shared" si="0"/>
        <v>NA</v>
      </c>
      <c r="H47" s="142" t="s">
        <v>31</v>
      </c>
      <c r="I47" s="54">
        <v>7.7799999999999994E-2</v>
      </c>
      <c r="J47" s="27">
        <f t="shared" si="1"/>
        <v>7.5499999999999998E-2</v>
      </c>
      <c r="M47" s="54">
        <v>8.4499999999999992E-3</v>
      </c>
    </row>
    <row r="48" spans="1:13" ht="15.6">
      <c r="A48" s="52" t="str">
        <f>'Sovereign Ratings (Moody''s,S&amp;P)'!A48</f>
        <v>Egypt</v>
      </c>
      <c r="B48" s="64" t="str">
        <f>'Sovereign Ratings (Moody''s,S&amp;P)'!C48</f>
        <v>B2</v>
      </c>
      <c r="C48" s="136">
        <f>VLOOKUP(A48,$H$24:$J$107,2,FALSE)</f>
        <v>4.0800000000000003E-2</v>
      </c>
      <c r="D48" s="65">
        <f t="shared" si="0"/>
        <v>3.8500000000000006E-2</v>
      </c>
      <c r="H48" s="52" t="s">
        <v>106</v>
      </c>
      <c r="I48" s="54">
        <v>7.0000000000000001E-3</v>
      </c>
      <c r="J48" s="27">
        <f t="shared" si="1"/>
        <v>4.7000000000000002E-3</v>
      </c>
      <c r="M48" s="54">
        <v>3.5700000000000003E-3</v>
      </c>
    </row>
    <row r="49" spans="1:13" ht="15.6">
      <c r="A49" s="52" t="str">
        <f>'Sovereign Ratings (Moody''s,S&amp;P)'!A49</f>
        <v>El Salvador</v>
      </c>
      <c r="B49" s="64" t="str">
        <f>'Sovereign Ratings (Moody''s,S&amp;P)'!C49</f>
        <v>B3</v>
      </c>
      <c r="C49" s="136">
        <f>VLOOKUP(A49,$H$24:$J$107,2,FALSE)</f>
        <v>7.7799999999999994E-2</v>
      </c>
      <c r="D49" s="65">
        <f t="shared" si="0"/>
        <v>7.5499999999999998E-2</v>
      </c>
      <c r="H49" s="52" t="s">
        <v>179</v>
      </c>
      <c r="I49" s="54">
        <v>2.5000000000000001E-3</v>
      </c>
      <c r="J49" s="27">
        <f t="shared" si="1"/>
        <v>2.0000000000000009E-4</v>
      </c>
      <c r="M49" s="54">
        <v>6.1460000000000004E-3</v>
      </c>
    </row>
    <row r="50" spans="1:13" ht="15.6">
      <c r="A50" s="52" t="str">
        <f>'Sovereign Ratings (Moody''s,S&amp;P)'!A50</f>
        <v>Estonia</v>
      </c>
      <c r="B50" s="64" t="str">
        <f>'Sovereign Ratings (Moody''s,S&amp;P)'!C50</f>
        <v>A1</v>
      </c>
      <c r="C50" s="136">
        <f>VLOOKUP(A50,$H$24:$J$107,2,FALSE)</f>
        <v>7.0000000000000001E-3</v>
      </c>
      <c r="D50" s="65">
        <f t="shared" si="0"/>
        <v>4.7000000000000002E-3</v>
      </c>
      <c r="H50" s="52" t="s">
        <v>180</v>
      </c>
      <c r="I50" s="54">
        <v>3.2000000000000002E-3</v>
      </c>
      <c r="J50" s="27">
        <f t="shared" si="1"/>
        <v>9.0000000000000019E-4</v>
      </c>
      <c r="M50" s="54">
        <v>3.6189999999999998E-3</v>
      </c>
    </row>
    <row r="51" spans="1:13" ht="15.6">
      <c r="A51" s="52" t="str">
        <f>'Sovereign Ratings (Moody''s,S&amp;P)'!A51</f>
        <v>Ethiopia</v>
      </c>
      <c r="B51" s="64" t="str">
        <f>'Sovereign Ratings (Moody''s,S&amp;P)'!C51</f>
        <v>B2</v>
      </c>
      <c r="C51" s="136" t="s">
        <v>143</v>
      </c>
      <c r="D51" s="65" t="str">
        <f t="shared" si="0"/>
        <v>NA</v>
      </c>
      <c r="H51" s="52" t="s">
        <v>181</v>
      </c>
      <c r="I51" s="54">
        <v>2.3E-3</v>
      </c>
      <c r="J51" s="27">
        <f t="shared" si="1"/>
        <v>0</v>
      </c>
      <c r="M51" s="54">
        <v>2.3188E-2</v>
      </c>
    </row>
    <row r="52" spans="1:13" ht="15.6">
      <c r="A52" s="52" t="str">
        <f>'Sovereign Ratings (Moody''s,S&amp;P)'!A52</f>
        <v>Fiji</v>
      </c>
      <c r="B52" s="64" t="str">
        <f>'Sovereign Ratings (Moody''s,S&amp;P)'!C52</f>
        <v>Ba3</v>
      </c>
      <c r="C52" s="136" t="s">
        <v>143</v>
      </c>
      <c r="D52" s="65" t="str">
        <f t="shared" si="0"/>
        <v>NA</v>
      </c>
      <c r="H52" s="52" t="s">
        <v>182</v>
      </c>
      <c r="I52" s="54">
        <v>1.61E-2</v>
      </c>
      <c r="J52" s="27">
        <f t="shared" si="1"/>
        <v>1.38E-2</v>
      </c>
      <c r="M52" s="54">
        <v>4.2686000000000002E-2</v>
      </c>
    </row>
    <row r="53" spans="1:13" ht="15.6">
      <c r="A53" s="52" t="str">
        <f>'Sovereign Ratings (Moody''s,S&amp;P)'!A53</f>
        <v>Finland</v>
      </c>
      <c r="B53" s="64" t="str">
        <f>'Sovereign Ratings (Moody''s,S&amp;P)'!C53</f>
        <v>Aa1</v>
      </c>
      <c r="C53" s="136">
        <f>VLOOKUP(A53,$H$24:$J$107,2,FALSE)</f>
        <v>2.5000000000000001E-3</v>
      </c>
      <c r="D53" s="65">
        <f t="shared" si="0"/>
        <v>2.0000000000000009E-4</v>
      </c>
      <c r="H53" s="142" t="s">
        <v>496</v>
      </c>
      <c r="I53" s="54">
        <v>2.1499999999999998E-2</v>
      </c>
      <c r="J53" s="27">
        <f t="shared" si="1"/>
        <v>1.9199999999999998E-2</v>
      </c>
      <c r="M53" s="54">
        <v>6.5870000000000008E-3</v>
      </c>
    </row>
    <row r="54" spans="1:13" ht="15.6">
      <c r="A54" s="52" t="str">
        <f>'Sovereign Ratings (Moody''s,S&amp;P)'!A54</f>
        <v>France</v>
      </c>
      <c r="B54" s="64" t="str">
        <f>'Sovereign Ratings (Moody''s,S&amp;P)'!C54</f>
        <v>Aa2</v>
      </c>
      <c r="C54" s="136">
        <f>VLOOKUP(A54,$H$24:$J$107,2,FALSE)</f>
        <v>3.2000000000000002E-3</v>
      </c>
      <c r="D54" s="65">
        <f t="shared" si="0"/>
        <v>9.0000000000000019E-4</v>
      </c>
      <c r="H54" s="52" t="s">
        <v>59</v>
      </c>
      <c r="I54" s="54">
        <v>7.3000000000000001E-3</v>
      </c>
      <c r="J54" s="27">
        <f t="shared" si="1"/>
        <v>5.0000000000000001E-3</v>
      </c>
      <c r="M54" s="54">
        <v>1.1882999999999999E-2</v>
      </c>
    </row>
    <row r="55" spans="1:13" ht="15.6">
      <c r="A55" s="52" t="str">
        <f>'Sovereign Ratings (Moody''s,S&amp;P)'!A55</f>
        <v>Gabon</v>
      </c>
      <c r="B55" s="64" t="str">
        <f>'Sovereign Ratings (Moody''s,S&amp;P)'!C55</f>
        <v>Caa1</v>
      </c>
      <c r="C55" s="136" t="s">
        <v>143</v>
      </c>
      <c r="D55" s="65" t="str">
        <f t="shared" si="0"/>
        <v>NA</v>
      </c>
      <c r="H55" s="52" t="s">
        <v>109</v>
      </c>
      <c r="I55" s="54">
        <v>9.4000000000000004E-3</v>
      </c>
      <c r="J55" s="27">
        <f t="shared" si="1"/>
        <v>7.1000000000000004E-3</v>
      </c>
      <c r="M55" s="54">
        <v>9.9109999999999997E-3</v>
      </c>
    </row>
    <row r="56" spans="1:13" ht="15.6">
      <c r="A56" s="52" t="str">
        <f>'Sovereign Ratings (Moody''s,S&amp;P)'!A56</f>
        <v>Georgia</v>
      </c>
      <c r="B56" s="64" t="str">
        <f>'Sovereign Ratings (Moody''s,S&amp;P)'!C56</f>
        <v>Ba2</v>
      </c>
      <c r="C56" s="136" t="s">
        <v>143</v>
      </c>
      <c r="D56" s="65" t="str">
        <f t="shared" si="0"/>
        <v>NA</v>
      </c>
      <c r="H56" s="52" t="s">
        <v>110</v>
      </c>
      <c r="I56" s="54">
        <v>8.5000000000000006E-3</v>
      </c>
      <c r="J56" s="27">
        <f t="shared" si="1"/>
        <v>6.2000000000000006E-3</v>
      </c>
      <c r="M56" s="54">
        <v>3.0117000000000001E-2</v>
      </c>
    </row>
    <row r="57" spans="1:13" ht="15.6">
      <c r="A57" s="52" t="str">
        <f>'Sovereign Ratings (Moody''s,S&amp;P)'!A57</f>
        <v>Germany</v>
      </c>
      <c r="B57" s="64" t="str">
        <f>'Sovereign Ratings (Moody''s,S&amp;P)'!C57</f>
        <v>Aaa</v>
      </c>
      <c r="C57" s="136">
        <f>VLOOKUP(A57,$H$24:$J$107,2,FALSE)</f>
        <v>2.3E-3</v>
      </c>
      <c r="D57" s="65">
        <f t="shared" si="0"/>
        <v>0</v>
      </c>
      <c r="H57" s="52" t="s">
        <v>111</v>
      </c>
      <c r="I57" s="54">
        <v>1.24E-2</v>
      </c>
      <c r="J57" s="27">
        <f t="shared" si="1"/>
        <v>1.01E-2</v>
      </c>
      <c r="M57" s="54">
        <v>3.0987000000000001E-2</v>
      </c>
    </row>
    <row r="58" spans="1:13" ht="15.6">
      <c r="A58" s="52" t="str">
        <f>'Sovereign Ratings (Moody''s,S&amp;P)'!A58</f>
        <v>Ghana</v>
      </c>
      <c r="B58" s="64" t="str">
        <f>'Sovereign Ratings (Moody''s,S&amp;P)'!C58</f>
        <v>B3</v>
      </c>
      <c r="C58" s="136" t="s">
        <v>143</v>
      </c>
      <c r="D58" s="65" t="str">
        <f t="shared" si="0"/>
        <v>NA</v>
      </c>
      <c r="H58" s="52" t="s">
        <v>112</v>
      </c>
      <c r="I58" s="54">
        <v>1.2800000000000001E-2</v>
      </c>
      <c r="J58" s="27">
        <f t="shared" si="1"/>
        <v>1.0500000000000001E-2</v>
      </c>
      <c r="M58" s="54">
        <v>9.9683000000000008E-2</v>
      </c>
    </row>
    <row r="59" spans="1:13" ht="15.6">
      <c r="A59" s="52" t="str">
        <f>'Sovereign Ratings (Moody''s,S&amp;P)'!A59</f>
        <v>Greece</v>
      </c>
      <c r="B59" s="64" t="str">
        <f>'Sovereign Ratings (Moody''s,S&amp;P)'!C59</f>
        <v>Ba3</v>
      </c>
      <c r="C59" s="136">
        <f>VLOOKUP(A59,$H$24:$J$107,2,FALSE)</f>
        <v>1.61E-2</v>
      </c>
      <c r="D59" s="65">
        <f t="shared" si="0"/>
        <v>1.38E-2</v>
      </c>
      <c r="H59" s="142" t="s">
        <v>331</v>
      </c>
      <c r="I59" s="54">
        <v>6.9800000000000001E-2</v>
      </c>
      <c r="J59" s="27">
        <f t="shared" si="1"/>
        <v>6.7500000000000004E-2</v>
      </c>
      <c r="M59" s="54">
        <v>6.7620000000000006E-3</v>
      </c>
    </row>
    <row r="60" spans="1:13" ht="15.6">
      <c r="A60" s="52" t="str">
        <f>'Sovereign Ratings (Moody''s,S&amp;P)'!A60</f>
        <v>Guatemala</v>
      </c>
      <c r="B60" s="64" t="str">
        <f>'Sovereign Ratings (Moody''s,S&amp;P)'!C60</f>
        <v>Ba1</v>
      </c>
      <c r="C60" s="136" t="s">
        <v>143</v>
      </c>
      <c r="D60" s="65" t="str">
        <f t="shared" si="0"/>
        <v>NA</v>
      </c>
      <c r="H60" s="52" t="s">
        <v>183</v>
      </c>
      <c r="I60" s="54">
        <v>3.2000000000000002E-3</v>
      </c>
      <c r="J60" s="27">
        <f t="shared" si="1"/>
        <v>9.0000000000000019E-4</v>
      </c>
      <c r="M60" s="54">
        <v>1.1045999999999999E-2</v>
      </c>
    </row>
    <row r="61" spans="1:13" ht="15.6">
      <c r="A61" s="52" t="str">
        <f>'Sovereign Ratings (Moody''s,S&amp;P)'!A61</f>
        <v>Guernsey (States of)</v>
      </c>
      <c r="B61" s="64" t="str">
        <f>'Sovereign Ratings (Moody''s,S&amp;P)'!C61</f>
        <v>Aaa</v>
      </c>
      <c r="C61" s="136" t="s">
        <v>143</v>
      </c>
      <c r="D61" s="65" t="str">
        <f t="shared" si="0"/>
        <v>NA</v>
      </c>
      <c r="H61" s="52" t="s">
        <v>114</v>
      </c>
      <c r="I61" s="54">
        <v>7.7000000000000002E-3</v>
      </c>
      <c r="J61" s="27">
        <f t="shared" si="1"/>
        <v>5.4000000000000003E-3</v>
      </c>
      <c r="M61" s="54">
        <v>2.2974000000000001E-2</v>
      </c>
    </row>
    <row r="62" spans="1:13" ht="15.6">
      <c r="A62" s="52" t="str">
        <f>'Sovereign Ratings (Moody''s,S&amp;P)'!A62</f>
        <v>Honduras</v>
      </c>
      <c r="B62" s="64" t="str">
        <f>'Sovereign Ratings (Moody''s,S&amp;P)'!C62</f>
        <v>B1</v>
      </c>
      <c r="C62" s="136" t="s">
        <v>143</v>
      </c>
      <c r="D62" s="65" t="str">
        <f t="shared" si="0"/>
        <v>NA</v>
      </c>
      <c r="H62" s="52" t="s">
        <v>145</v>
      </c>
      <c r="I62" s="54">
        <v>1.43E-2</v>
      </c>
      <c r="J62" s="27">
        <f t="shared" si="1"/>
        <v>1.2E-2</v>
      </c>
      <c r="M62" s="54">
        <v>7.8890000000000002E-3</v>
      </c>
    </row>
    <row r="63" spans="1:13" ht="15.6">
      <c r="A63" s="52" t="str">
        <f>'Sovereign Ratings (Moody''s,S&amp;P)'!A63</f>
        <v>Hong Kong</v>
      </c>
      <c r="B63" s="64" t="str">
        <f>'Sovereign Ratings (Moody''s,S&amp;P)'!C63</f>
        <v>Aa3</v>
      </c>
      <c r="C63" s="136">
        <f t="shared" ref="C63:C69" si="2">VLOOKUP(A63,$H$24:$J$107,2,FALSE)</f>
        <v>7.3000000000000001E-3</v>
      </c>
      <c r="D63" s="65">
        <f t="shared" si="0"/>
        <v>5.0000000000000001E-3</v>
      </c>
      <c r="H63" s="52" t="s">
        <v>116</v>
      </c>
      <c r="I63" s="54">
        <v>2.8E-3</v>
      </c>
      <c r="J63" s="27">
        <f t="shared" si="1"/>
        <v>5.0000000000000001E-4</v>
      </c>
      <c r="M63" s="54">
        <v>1.7731E-2</v>
      </c>
    </row>
    <row r="64" spans="1:13" ht="15.6">
      <c r="A64" s="52" t="str">
        <f>'Sovereign Ratings (Moody''s,S&amp;P)'!A64</f>
        <v>Hungary</v>
      </c>
      <c r="B64" s="64" t="str">
        <f>'Sovereign Ratings (Moody''s,S&amp;P)'!C64</f>
        <v>Baa3</v>
      </c>
      <c r="C64" s="136">
        <f t="shared" si="2"/>
        <v>9.4000000000000004E-3</v>
      </c>
      <c r="D64" s="65">
        <f t="shared" si="0"/>
        <v>7.1000000000000004E-3</v>
      </c>
      <c r="H64" s="52" t="s">
        <v>118</v>
      </c>
      <c r="I64" s="54">
        <v>9.5999999999999992E-3</v>
      </c>
      <c r="J64" s="27">
        <f t="shared" si="1"/>
        <v>7.2999999999999992E-3</v>
      </c>
      <c r="M64" s="54">
        <v>7.2930999999999996E-2</v>
      </c>
    </row>
    <row r="65" spans="1:13" ht="15.6">
      <c r="A65" s="52" t="str">
        <f>'Sovereign Ratings (Moody''s,S&amp;P)'!A65</f>
        <v>Iceland</v>
      </c>
      <c r="B65" s="64" t="str">
        <f>'Sovereign Ratings (Moody''s,S&amp;P)'!C65</f>
        <v>A2</v>
      </c>
      <c r="C65" s="136">
        <f t="shared" si="2"/>
        <v>8.5000000000000006E-3</v>
      </c>
      <c r="D65" s="65">
        <f t="shared" si="0"/>
        <v>6.2000000000000006E-3</v>
      </c>
      <c r="H65" s="142" t="s">
        <v>184</v>
      </c>
      <c r="I65" s="54">
        <v>4.0599999999999997E-2</v>
      </c>
      <c r="J65" s="27">
        <f t="shared" si="1"/>
        <v>3.8300000000000001E-2</v>
      </c>
      <c r="M65" s="54">
        <v>6.8859999999999998E-3</v>
      </c>
    </row>
    <row r="66" spans="1:13" ht="15.6">
      <c r="A66" s="52" t="str">
        <f>'Sovereign Ratings (Moody''s,S&amp;P)'!A66</f>
        <v>India</v>
      </c>
      <c r="B66" s="64" t="str">
        <f>'Sovereign Ratings (Moody''s,S&amp;P)'!C66</f>
        <v>Baa3</v>
      </c>
      <c r="C66" s="136">
        <f t="shared" si="2"/>
        <v>1.24E-2</v>
      </c>
      <c r="D66" s="65">
        <f t="shared" ref="D66:D129" si="3">IF(C66="NA","NA",IF(C66&gt;$C$153,C66-$C$153,0))</f>
        <v>1.01E-2</v>
      </c>
      <c r="H66" s="52" t="s">
        <v>119</v>
      </c>
      <c r="I66" s="54">
        <v>4.1999999999999997E-3</v>
      </c>
      <c r="J66" s="27">
        <f t="shared" si="1"/>
        <v>1.8999999999999998E-3</v>
      </c>
      <c r="M66" s="54">
        <v>1.7715000000000002E-2</v>
      </c>
    </row>
    <row r="67" spans="1:13" ht="15.6">
      <c r="A67" s="52" t="str">
        <f>'Sovereign Ratings (Moody''s,S&amp;P)'!A67</f>
        <v>Indonesia</v>
      </c>
      <c r="B67" s="64" t="str">
        <f>'Sovereign Ratings (Moody''s,S&amp;P)'!C67</f>
        <v>Baa2</v>
      </c>
      <c r="C67" s="136">
        <f t="shared" si="2"/>
        <v>1.2800000000000001E-2</v>
      </c>
      <c r="D67" s="65">
        <f t="shared" si="3"/>
        <v>1.0500000000000001E-2</v>
      </c>
      <c r="H67" s="52" t="s">
        <v>120</v>
      </c>
      <c r="I67" s="54">
        <v>7.4999999999999997E-3</v>
      </c>
      <c r="J67" s="27">
        <f t="shared" si="1"/>
        <v>5.1999999999999998E-3</v>
      </c>
      <c r="M67" s="54">
        <v>1.0323000000000001E-2</v>
      </c>
    </row>
    <row r="68" spans="1:13" ht="15.6">
      <c r="A68" s="52" t="str">
        <f>'Sovereign Ratings (Moody''s,S&amp;P)'!A68</f>
        <v>Iraq</v>
      </c>
      <c r="B68" s="64" t="str">
        <f>'Sovereign Ratings (Moody''s,S&amp;P)'!C68</f>
        <v>Caa1</v>
      </c>
      <c r="C68" s="136">
        <f t="shared" si="2"/>
        <v>6.9800000000000001E-2</v>
      </c>
      <c r="D68" s="65">
        <f t="shared" si="3"/>
        <v>6.7500000000000004E-2</v>
      </c>
      <c r="H68" s="52" t="s">
        <v>121</v>
      </c>
      <c r="I68" s="54">
        <v>9.2999999999999992E-3</v>
      </c>
      <c r="J68" s="27">
        <f t="shared" si="1"/>
        <v>6.9999999999999993E-3</v>
      </c>
      <c r="M68" s="54" t="s">
        <v>143</v>
      </c>
    </row>
    <row r="69" spans="1:13" ht="15.6">
      <c r="A69" s="52" t="str">
        <f>'Sovereign Ratings (Moody''s,S&amp;P)'!A69</f>
        <v>Ireland</v>
      </c>
      <c r="B69" s="64" t="str">
        <f>'Sovereign Ratings (Moody''s,S&amp;P)'!C69</f>
        <v>A2</v>
      </c>
      <c r="C69" s="136">
        <f t="shared" si="2"/>
        <v>3.2000000000000002E-3</v>
      </c>
      <c r="D69" s="65">
        <f t="shared" si="3"/>
        <v>9.0000000000000019E-4</v>
      </c>
      <c r="H69" s="52" t="s">
        <v>122</v>
      </c>
      <c r="I69" s="54" t="s">
        <v>143</v>
      </c>
      <c r="J69" s="27" t="s">
        <v>143</v>
      </c>
      <c r="M69" s="54">
        <v>9.4409999999999997E-3</v>
      </c>
    </row>
    <row r="70" spans="1:13" ht="15.6">
      <c r="A70" s="52" t="str">
        <f>'Sovereign Ratings (Moody''s,S&amp;P)'!A70</f>
        <v>Isle of Man</v>
      </c>
      <c r="B70" s="64" t="str">
        <f>'Sovereign Ratings (Moody''s,S&amp;P)'!C70</f>
        <v>Aa3</v>
      </c>
      <c r="C70" s="136" t="s">
        <v>143</v>
      </c>
      <c r="D70" s="65" t="str">
        <f t="shared" si="3"/>
        <v>NA</v>
      </c>
      <c r="H70" s="52" t="s">
        <v>13</v>
      </c>
      <c r="I70" s="54">
        <v>8.9999999999999993E-3</v>
      </c>
      <c r="J70" s="27">
        <f t="shared" ref="J70:J90" si="4">IF(I70&lt;$I$104,0,I70-$I$104)</f>
        <v>6.6999999999999994E-3</v>
      </c>
      <c r="M70" s="54">
        <v>1.7649999999999999E-2</v>
      </c>
    </row>
    <row r="71" spans="1:13" ht="15.6">
      <c r="A71" s="52" t="str">
        <f>'Sovereign Ratings (Moody''s,S&amp;P)'!A71</f>
        <v>Israel</v>
      </c>
      <c r="B71" s="64" t="str">
        <f>'Sovereign Ratings (Moody''s,S&amp;P)'!C71</f>
        <v>A1</v>
      </c>
      <c r="C71" s="136">
        <f>VLOOKUP(A71,$H$24:$J$107,2,FALSE)</f>
        <v>7.7000000000000002E-3</v>
      </c>
      <c r="D71" s="65">
        <f t="shared" si="3"/>
        <v>5.4000000000000003E-3</v>
      </c>
      <c r="H71" s="52" t="s">
        <v>14</v>
      </c>
      <c r="I71" s="54">
        <v>7.0000000000000001E-3</v>
      </c>
      <c r="J71" s="27">
        <f t="shared" si="4"/>
        <v>4.7000000000000002E-3</v>
      </c>
      <c r="M71" s="54">
        <v>3.0014999999999997E-2</v>
      </c>
    </row>
    <row r="72" spans="1:13" ht="15.6">
      <c r="A72" s="52" t="str">
        <f>'Sovereign Ratings (Moody''s,S&amp;P)'!A72</f>
        <v>Italy</v>
      </c>
      <c r="B72" s="64" t="str">
        <f>'Sovereign Ratings (Moody''s,S&amp;P)'!C72</f>
        <v>Baa3</v>
      </c>
      <c r="C72" s="136">
        <f>VLOOKUP(A72,$H$24:$J$107,2,FALSE)</f>
        <v>1.43E-2</v>
      </c>
      <c r="D72" s="65">
        <f t="shared" si="3"/>
        <v>1.2E-2</v>
      </c>
      <c r="H72" s="52" t="s">
        <v>16</v>
      </c>
      <c r="I72" s="54">
        <v>1.4500000000000001E-2</v>
      </c>
      <c r="J72" s="27">
        <f t="shared" si="4"/>
        <v>1.2200000000000001E-2</v>
      </c>
      <c r="M72" s="54">
        <v>2.8104000000000001E-2</v>
      </c>
    </row>
    <row r="73" spans="1:13" ht="15.6">
      <c r="A73" s="52" t="str">
        <f>'Sovereign Ratings (Moody''s,S&amp;P)'!A73</f>
        <v>Jamaica</v>
      </c>
      <c r="B73" s="64" t="str">
        <f>'Sovereign Ratings (Moody''s,S&amp;P)'!C73</f>
        <v>B2</v>
      </c>
      <c r="C73" s="136" t="s">
        <v>143</v>
      </c>
      <c r="D73" s="65" t="str">
        <f t="shared" si="3"/>
        <v>NA</v>
      </c>
      <c r="H73" s="52" t="s">
        <v>18</v>
      </c>
      <c r="I73" s="54">
        <v>1.5599999999999999E-2</v>
      </c>
      <c r="J73" s="27">
        <f t="shared" si="4"/>
        <v>1.3299999999999999E-2</v>
      </c>
      <c r="M73" s="54">
        <v>3.3590000000000004E-3</v>
      </c>
    </row>
    <row r="74" spans="1:13" ht="15.6">
      <c r="A74" s="52" t="str">
        <f>'Sovereign Ratings (Moody''s,S&amp;P)'!A74</f>
        <v>Japan</v>
      </c>
      <c r="B74" s="64" t="str">
        <f>'Sovereign Ratings (Moody''s,S&amp;P)'!C74</f>
        <v>A1</v>
      </c>
      <c r="C74" s="136">
        <f>VLOOKUP(A74,$H$24:$J$107,2,FALSE)</f>
        <v>2.8E-3</v>
      </c>
      <c r="D74" s="65">
        <f t="shared" si="3"/>
        <v>5.0000000000000001E-4</v>
      </c>
      <c r="H74" s="52" t="s">
        <v>187</v>
      </c>
      <c r="I74" s="54">
        <v>2E-3</v>
      </c>
      <c r="J74" s="27">
        <f t="shared" si="4"/>
        <v>0</v>
      </c>
      <c r="M74" s="54">
        <v>6.5719999999999997E-3</v>
      </c>
    </row>
    <row r="75" spans="1:13" ht="15.6">
      <c r="A75" s="52" t="str">
        <f>'Sovereign Ratings (Moody''s,S&amp;P)'!A75</f>
        <v>Jersey (States of)</v>
      </c>
      <c r="B75" s="64" t="str">
        <f>'Sovereign Ratings (Moody''s,S&amp;P)'!C75</f>
        <v>Aaa</v>
      </c>
      <c r="C75" s="136" t="s">
        <v>143</v>
      </c>
      <c r="D75" s="65" t="str">
        <f t="shared" si="3"/>
        <v>NA</v>
      </c>
      <c r="H75" s="52" t="s">
        <v>21</v>
      </c>
      <c r="I75" s="54">
        <v>2.5000000000000001E-3</v>
      </c>
      <c r="J75" s="27">
        <f t="shared" si="4"/>
        <v>2.0000000000000009E-4</v>
      </c>
      <c r="M75" s="54">
        <v>9.9833000000000005E-2</v>
      </c>
    </row>
    <row r="76" spans="1:13" ht="15.6">
      <c r="A76" s="52" t="str">
        <f>'Sovereign Ratings (Moody''s,S&amp;P)'!A76</f>
        <v>Jordan</v>
      </c>
      <c r="B76" s="64" t="str">
        <f>'Sovereign Ratings (Moody''s,S&amp;P)'!C76</f>
        <v>B1</v>
      </c>
      <c r="C76" s="136" t="s">
        <v>143</v>
      </c>
      <c r="D76" s="65" t="str">
        <f t="shared" si="3"/>
        <v>NA</v>
      </c>
      <c r="H76" s="249" t="s">
        <v>22</v>
      </c>
      <c r="I76" s="258">
        <v>4.5199999999999997E-2</v>
      </c>
      <c r="J76" s="259">
        <f t="shared" si="4"/>
        <v>4.2899999999999994E-2</v>
      </c>
      <c r="M76" s="54">
        <v>3.3319999999999999E-3</v>
      </c>
    </row>
    <row r="77" spans="1:13" ht="15.6">
      <c r="A77" s="52" t="str">
        <f>'Sovereign Ratings (Moody''s,S&amp;P)'!A77</f>
        <v>Kazakhstan</v>
      </c>
      <c r="B77" s="64" t="str">
        <f>'Sovereign Ratings (Moody''s,S&amp;P)'!C77</f>
        <v>Baa3</v>
      </c>
      <c r="C77" s="136">
        <f>VLOOKUP(A77,$H$24:$J$107,2,FALSE)</f>
        <v>9.5999999999999992E-3</v>
      </c>
      <c r="D77" s="65">
        <f t="shared" si="3"/>
        <v>7.2999999999999992E-3</v>
      </c>
      <c r="H77" s="52" t="s">
        <v>188</v>
      </c>
      <c r="I77" s="54">
        <v>3.5900000000000001E-2</v>
      </c>
      <c r="J77" s="27">
        <f t="shared" si="4"/>
        <v>3.3600000000000005E-2</v>
      </c>
      <c r="M77" s="54">
        <v>7.0927000000000004E-2</v>
      </c>
    </row>
    <row r="78" spans="1:13" ht="15.6">
      <c r="A78" s="52" t="str">
        <f>'Sovereign Ratings (Moody''s,S&amp;P)'!A78</f>
        <v>Kenya</v>
      </c>
      <c r="B78" s="64" t="str">
        <f>'Sovereign Ratings (Moody''s,S&amp;P)'!C78</f>
        <v>B2</v>
      </c>
      <c r="C78" s="136">
        <f>VLOOKUP(A78,$H$24:$J$107,2,FALSE)</f>
        <v>4.0599999999999997E-2</v>
      </c>
      <c r="D78" s="65">
        <f t="shared" si="3"/>
        <v>3.8300000000000001E-2</v>
      </c>
      <c r="H78" s="52" t="s">
        <v>23</v>
      </c>
      <c r="I78" s="54">
        <v>2.3E-3</v>
      </c>
      <c r="J78" s="27">
        <f t="shared" si="4"/>
        <v>0</v>
      </c>
      <c r="M78" s="54">
        <v>6.9338999999999998E-2</v>
      </c>
    </row>
    <row r="79" spans="1:13" ht="15.6">
      <c r="A79" s="52" t="str">
        <f>'Sovereign Ratings (Moody''s,S&amp;P)'!A79</f>
        <v>Korea</v>
      </c>
      <c r="B79" s="64" t="str">
        <f>'Sovereign Ratings (Moody''s,S&amp;P)'!C79</f>
        <v>Aa2</v>
      </c>
      <c r="C79" s="136">
        <f>VLOOKUP(A79,$H$24:$J$107,2,FALSE)</f>
        <v>4.1999999999999997E-3</v>
      </c>
      <c r="D79" s="65">
        <f t="shared" si="3"/>
        <v>1.8999999999999998E-3</v>
      </c>
      <c r="H79" s="142" t="s">
        <v>24</v>
      </c>
      <c r="I79" s="54">
        <v>3.9E-2</v>
      </c>
      <c r="J79" s="27">
        <f t="shared" si="4"/>
        <v>3.6699999999999997E-2</v>
      </c>
      <c r="M79" s="54">
        <v>1.8312000000000002E-2</v>
      </c>
    </row>
    <row r="80" spans="1:13" ht="15.6">
      <c r="A80" s="52" t="str">
        <f>'Sovereign Ratings (Moody''s,S&amp;P)'!A80</f>
        <v>Kuwait</v>
      </c>
      <c r="B80" s="64" t="str">
        <f>'Sovereign Ratings (Moody''s,S&amp;P)'!C80</f>
        <v>A1</v>
      </c>
      <c r="C80" s="136">
        <f>VLOOKUP(A80,$H$24:$J$107,2,FALSE)</f>
        <v>7.4999999999999997E-3</v>
      </c>
      <c r="D80" s="65">
        <f t="shared" si="3"/>
        <v>5.1999999999999998E-3</v>
      </c>
      <c r="H80" s="52" t="s">
        <v>25</v>
      </c>
      <c r="I80" s="54">
        <v>4.5100000000000001E-2</v>
      </c>
      <c r="J80" s="27">
        <f t="shared" si="4"/>
        <v>4.2800000000000005E-2</v>
      </c>
      <c r="M80" s="54">
        <v>1.7080999999999999E-2</v>
      </c>
    </row>
    <row r="81" spans="1:13" ht="15.6">
      <c r="A81" s="52" t="str">
        <f>'Sovereign Ratings (Moody''s,S&amp;P)'!A81</f>
        <v>Kyrgyzstan</v>
      </c>
      <c r="B81" s="64" t="str">
        <f>'Sovereign Ratings (Moody''s,S&amp;P)'!C81</f>
        <v>B2</v>
      </c>
      <c r="C81" s="136" t="s">
        <v>143</v>
      </c>
      <c r="D81" s="65" t="str">
        <f t="shared" si="3"/>
        <v>NA</v>
      </c>
      <c r="H81" s="52" t="s">
        <v>26</v>
      </c>
      <c r="I81" s="54">
        <v>9.4999999999999998E-3</v>
      </c>
      <c r="J81" s="27">
        <f t="shared" si="4"/>
        <v>7.1999999999999998E-3</v>
      </c>
      <c r="M81" s="54">
        <v>1.8141999999999998E-2</v>
      </c>
    </row>
    <row r="82" spans="1:13" ht="15.6">
      <c r="A82" s="52" t="str">
        <f>'Sovereign Ratings (Moody''s,S&amp;P)'!A82</f>
        <v>Laos</v>
      </c>
      <c r="B82" s="64" t="str">
        <f>'Sovereign Ratings (Moody''s,S&amp;P)'!C82</f>
        <v>Caa2</v>
      </c>
      <c r="C82" s="136" t="s">
        <v>143</v>
      </c>
      <c r="D82" s="65" t="str">
        <f t="shared" si="3"/>
        <v>NA</v>
      </c>
      <c r="H82" s="52" t="s">
        <v>28</v>
      </c>
      <c r="I82" s="54">
        <v>1.04E-2</v>
      </c>
      <c r="J82" s="27">
        <f t="shared" si="4"/>
        <v>8.0999999999999996E-3</v>
      </c>
      <c r="M82" s="54">
        <v>9.4769999999999993E-3</v>
      </c>
    </row>
    <row r="83" spans="1:13" ht="15.6">
      <c r="A83" s="52" t="str">
        <f>'Sovereign Ratings (Moody''s,S&amp;P)'!A83</f>
        <v>Latvia</v>
      </c>
      <c r="B83" s="64" t="str">
        <f>'Sovereign Ratings (Moody''s,S&amp;P)'!C83</f>
        <v>A3</v>
      </c>
      <c r="C83" s="136">
        <f>VLOOKUP(A83,$H$24:$J$107,2,FALSE)</f>
        <v>9.2999999999999992E-3</v>
      </c>
      <c r="D83" s="65">
        <f t="shared" si="3"/>
        <v>6.9999999999999993E-3</v>
      </c>
      <c r="H83" s="52" t="s">
        <v>29</v>
      </c>
      <c r="I83" s="54">
        <v>6.7000000000000002E-3</v>
      </c>
      <c r="J83" s="27">
        <f t="shared" si="4"/>
        <v>4.4000000000000003E-3</v>
      </c>
      <c r="M83" s="54">
        <v>1.3124E-2</v>
      </c>
    </row>
    <row r="84" spans="1:13" ht="15.6">
      <c r="A84" s="52" t="str">
        <f>'Sovereign Ratings (Moody''s,S&amp;P)'!A84</f>
        <v>Lebanon</v>
      </c>
      <c r="B84" s="64" t="str">
        <f>'Sovereign Ratings (Moody''s,S&amp;P)'!C84</f>
        <v>C</v>
      </c>
      <c r="C84" s="136" t="s">
        <v>143</v>
      </c>
      <c r="D84" s="65" t="str">
        <f t="shared" si="3"/>
        <v>NA</v>
      </c>
      <c r="H84" s="52" t="s">
        <v>30</v>
      </c>
      <c r="I84" s="54">
        <v>9.1000000000000004E-3</v>
      </c>
      <c r="J84" s="27">
        <f t="shared" si="4"/>
        <v>6.8000000000000005E-3</v>
      </c>
      <c r="M84" s="54">
        <v>1.8294000000000001E-2</v>
      </c>
    </row>
    <row r="85" spans="1:13" ht="15.6">
      <c r="A85" s="52" t="str">
        <f>'Sovereign Ratings (Moody''s,S&amp;P)'!A85</f>
        <v>Liechtenstein</v>
      </c>
      <c r="B85" s="64" t="str">
        <f>'Sovereign Ratings (Moody''s,S&amp;P)'!C85</f>
        <v>Aaa</v>
      </c>
      <c r="C85" s="136" t="s">
        <v>143</v>
      </c>
      <c r="D85" s="65" t="str">
        <f t="shared" si="3"/>
        <v>NA</v>
      </c>
      <c r="H85" s="52" t="s">
        <v>189</v>
      </c>
      <c r="I85" s="54">
        <v>6.4999999999999997E-3</v>
      </c>
      <c r="J85" s="27">
        <f t="shared" si="4"/>
        <v>4.1999999999999997E-3</v>
      </c>
      <c r="M85" s="54">
        <v>1.7062000000000001E-2</v>
      </c>
    </row>
    <row r="86" spans="1:13" ht="15.6">
      <c r="A86" s="52" t="str">
        <f>'Sovereign Ratings (Moody''s,S&amp;P)'!A86</f>
        <v>Lithuania</v>
      </c>
      <c r="B86" s="64" t="str">
        <f>'Sovereign Ratings (Moody''s,S&amp;P)'!C86</f>
        <v>A3</v>
      </c>
      <c r="C86" s="136">
        <f>VLOOKUP(A86,$H$24:$J$107,2,FALSE)</f>
        <v>8.9999999999999993E-3</v>
      </c>
      <c r="D86" s="65">
        <f t="shared" si="3"/>
        <v>6.6999999999999994E-3</v>
      </c>
      <c r="H86" s="52" t="s">
        <v>74</v>
      </c>
      <c r="I86" s="54">
        <v>7.4000000000000003E-3</v>
      </c>
      <c r="J86" s="27">
        <f t="shared" si="4"/>
        <v>5.1000000000000004E-3</v>
      </c>
      <c r="M86" s="54">
        <v>2.7479000000000003E-2</v>
      </c>
    </row>
    <row r="87" spans="1:13" ht="15.6">
      <c r="A87" s="52" t="str">
        <f>'Sovereign Ratings (Moody''s,S&amp;P)'!A87</f>
        <v>Luxembourg</v>
      </c>
      <c r="B87" s="64" t="str">
        <f>'Sovereign Ratings (Moody''s,S&amp;P)'!C87</f>
        <v>Aaa</v>
      </c>
      <c r="C87" s="136" t="s">
        <v>143</v>
      </c>
      <c r="D87" s="65" t="str">
        <f t="shared" si="3"/>
        <v>NA</v>
      </c>
      <c r="H87" s="52" t="s">
        <v>0</v>
      </c>
      <c r="I87" s="54">
        <v>1.2200000000000001E-2</v>
      </c>
      <c r="J87" s="27">
        <f t="shared" si="4"/>
        <v>9.9000000000000008E-3</v>
      </c>
      <c r="M87" s="54">
        <v>8.1319000000000002E-2</v>
      </c>
    </row>
    <row r="88" spans="1:13" ht="15.6">
      <c r="A88" s="52" t="str">
        <f>'Sovereign Ratings (Moody''s,S&amp;P)'!A88</f>
        <v>Macao</v>
      </c>
      <c r="B88" s="64" t="str">
        <f>'Sovereign Ratings (Moody''s,S&amp;P)'!C88</f>
        <v>Aa3</v>
      </c>
      <c r="C88" s="136" t="s">
        <v>143</v>
      </c>
      <c r="D88" s="65" t="str">
        <f t="shared" si="3"/>
        <v>NA</v>
      </c>
      <c r="H88" s="52" t="s">
        <v>1</v>
      </c>
      <c r="I88" s="54">
        <v>1.47E-2</v>
      </c>
      <c r="J88" s="27">
        <f t="shared" si="4"/>
        <v>1.24E-2</v>
      </c>
      <c r="M88" s="54">
        <v>2.3168000000000001E-2</v>
      </c>
    </row>
    <row r="89" spans="1:13" ht="15.6">
      <c r="A89" s="52" t="str">
        <f>'Sovereign Ratings (Moody''s,S&amp;P)'!A89</f>
        <v>Macedonia</v>
      </c>
      <c r="B89" s="64" t="str">
        <f>'Sovereign Ratings (Moody''s,S&amp;P)'!C89</f>
        <v>Ba3</v>
      </c>
      <c r="C89" s="136" t="s">
        <v>143</v>
      </c>
      <c r="D89" s="65" t="str">
        <f t="shared" si="3"/>
        <v>NA</v>
      </c>
      <c r="H89" s="142" t="s">
        <v>227</v>
      </c>
      <c r="I89" s="54">
        <v>3.7199999999999997E-2</v>
      </c>
      <c r="J89" s="27">
        <f t="shared" si="4"/>
        <v>3.49E-2</v>
      </c>
      <c r="M89" s="54">
        <v>5.6741999999999994E-2</v>
      </c>
    </row>
    <row r="90" spans="1:13" ht="15.6">
      <c r="A90" s="52" t="str">
        <f>'Sovereign Ratings (Moody''s,S&amp;P)'!A90</f>
        <v>Malaysia</v>
      </c>
      <c r="B90" s="64" t="str">
        <f>'Sovereign Ratings (Moody''s,S&amp;P)'!C90</f>
        <v>A3</v>
      </c>
      <c r="C90" s="136">
        <f>VLOOKUP(A90,$H$24:$J$107,2,FALSE)</f>
        <v>7.0000000000000001E-3</v>
      </c>
      <c r="D90" s="65">
        <f t="shared" si="3"/>
        <v>4.7000000000000002E-3</v>
      </c>
      <c r="H90" s="52" t="s">
        <v>2</v>
      </c>
      <c r="I90" s="54">
        <v>1.12E-2</v>
      </c>
      <c r="J90" s="27">
        <f t="shared" si="4"/>
        <v>8.8999999999999999E-3</v>
      </c>
      <c r="M90" s="54">
        <v>1.3900999999999998E-2</v>
      </c>
    </row>
    <row r="91" spans="1:13" ht="15.6">
      <c r="A91" s="52" t="str">
        <f>'Sovereign Ratings (Moody''s,S&amp;P)'!A91</f>
        <v>Maldives</v>
      </c>
      <c r="B91" s="64" t="str">
        <f>'Sovereign Ratings (Moody''s,S&amp;P)'!C91</f>
        <v>B3</v>
      </c>
      <c r="C91" s="136" t="s">
        <v>143</v>
      </c>
      <c r="D91" s="65" t="str">
        <f t="shared" si="3"/>
        <v>NA</v>
      </c>
      <c r="H91" s="142" t="s">
        <v>135</v>
      </c>
      <c r="I91" s="54">
        <v>2.9399999999999999E-2</v>
      </c>
      <c r="J91" s="27">
        <f t="shared" ref="J91:J107" si="5">IF(I91&lt;$I$104,0,I91-$I$104)</f>
        <v>2.7099999999999999E-2</v>
      </c>
      <c r="M91" s="54">
        <v>8.2769999999999996E-3</v>
      </c>
    </row>
    <row r="92" spans="1:13" ht="15.6">
      <c r="A92" s="52" t="str">
        <f>'Sovereign Ratings (Moody''s,S&amp;P)'!A92</f>
        <v>Mali</v>
      </c>
      <c r="B92" s="64" t="str">
        <f>'Sovereign Ratings (Moody''s,S&amp;P)'!C92</f>
        <v>Caa1</v>
      </c>
      <c r="C92" s="136" t="s">
        <v>143</v>
      </c>
      <c r="D92" s="65" t="str">
        <f t="shared" si="3"/>
        <v>NA</v>
      </c>
      <c r="H92" s="142" t="s">
        <v>147</v>
      </c>
      <c r="I92" s="54">
        <v>1.61E-2</v>
      </c>
      <c r="J92" s="27">
        <f t="shared" si="5"/>
        <v>1.38E-2</v>
      </c>
      <c r="M92" s="54">
        <v>1.3390000000000001E-2</v>
      </c>
    </row>
    <row r="93" spans="1:13" ht="15.6">
      <c r="A93" s="52" t="str">
        <f>'Sovereign Ratings (Moody''s,S&amp;P)'!A93</f>
        <v>Malta</v>
      </c>
      <c r="B93" s="64" t="str">
        <f>'Sovereign Ratings (Moody''s,S&amp;P)'!C93</f>
        <v>A2</v>
      </c>
      <c r="C93" s="136" t="s">
        <v>143</v>
      </c>
      <c r="D93" s="65" t="str">
        <f t="shared" si="3"/>
        <v>NA</v>
      </c>
      <c r="H93" s="52" t="s">
        <v>61</v>
      </c>
      <c r="I93" s="54">
        <v>7.9000000000000008E-3</v>
      </c>
      <c r="J93" s="27">
        <f t="shared" si="5"/>
        <v>5.6000000000000008E-3</v>
      </c>
      <c r="M93" s="54">
        <v>4.7306000000000001E-2</v>
      </c>
    </row>
    <row r="94" spans="1:13" ht="15.6">
      <c r="A94" s="52" t="str">
        <f>'Sovereign Ratings (Moody''s,S&amp;P)'!A94</f>
        <v>Mauritius</v>
      </c>
      <c r="B94" s="64" t="str">
        <f>'Sovereign Ratings (Moody''s,S&amp;P)'!C94</f>
        <v>Baa1</v>
      </c>
      <c r="C94" s="136" t="s">
        <v>143</v>
      </c>
      <c r="D94" s="65" t="str">
        <f t="shared" si="3"/>
        <v>NA</v>
      </c>
      <c r="H94" s="52" t="s">
        <v>190</v>
      </c>
      <c r="I94" s="54">
        <v>1.06E-2</v>
      </c>
      <c r="J94" s="27">
        <f t="shared" si="5"/>
        <v>8.3000000000000001E-3</v>
      </c>
      <c r="M94" s="54">
        <v>1.4343E-2</v>
      </c>
    </row>
    <row r="95" spans="1:13" ht="15.6">
      <c r="A95" s="52" t="str">
        <f>'Sovereign Ratings (Moody''s,S&amp;P)'!A95</f>
        <v>Mexico</v>
      </c>
      <c r="B95" s="64" t="str">
        <f>'Sovereign Ratings (Moody''s,S&amp;P)'!C95</f>
        <v>Baa1</v>
      </c>
      <c r="C95" s="136">
        <f>VLOOKUP(A95,$H$24:$J$107,2,FALSE)</f>
        <v>1.4500000000000001E-2</v>
      </c>
      <c r="D95" s="65">
        <f t="shared" si="3"/>
        <v>1.2200000000000001E-2</v>
      </c>
      <c r="H95" s="52" t="s">
        <v>76</v>
      </c>
      <c r="I95" s="54">
        <v>2.93E-2</v>
      </c>
      <c r="J95" s="27">
        <f t="shared" si="5"/>
        <v>2.7E-2</v>
      </c>
      <c r="M95" s="54">
        <v>3.2109999999999999E-3</v>
      </c>
    </row>
    <row r="96" spans="1:13" ht="15.6">
      <c r="A96" s="52" t="str">
        <f>'Sovereign Ratings (Moody''s,S&amp;P)'!A96</f>
        <v>Moldova</v>
      </c>
      <c r="B96" s="64" t="str">
        <f>'Sovereign Ratings (Moody''s,S&amp;P)'!C96</f>
        <v>B3</v>
      </c>
      <c r="C96" s="136" t="s">
        <v>143</v>
      </c>
      <c r="D96" s="65" t="str">
        <f t="shared" si="3"/>
        <v>NA</v>
      </c>
      <c r="H96" s="52" t="s">
        <v>138</v>
      </c>
      <c r="I96" s="54">
        <v>7.1999999999999998E-3</v>
      </c>
      <c r="J96" s="27">
        <f t="shared" si="5"/>
        <v>4.8999999999999998E-3</v>
      </c>
      <c r="M96" s="54">
        <v>2.3440000000000002E-3</v>
      </c>
    </row>
    <row r="97" spans="1:13" ht="15.6">
      <c r="A97" s="52" t="str">
        <f>'Sovereign Ratings (Moody''s,S&amp;P)'!A97</f>
        <v>Mongolia</v>
      </c>
      <c r="B97" s="64" t="str">
        <f>'Sovereign Ratings (Moody''s,S&amp;P)'!C97</f>
        <v>B3</v>
      </c>
      <c r="C97" s="136" t="s">
        <v>143</v>
      </c>
      <c r="D97" s="65" t="str">
        <f t="shared" si="3"/>
        <v>NA</v>
      </c>
      <c r="H97" s="52" t="s">
        <v>34</v>
      </c>
      <c r="I97" s="54">
        <v>2E-3</v>
      </c>
      <c r="J97" s="27">
        <f t="shared" si="5"/>
        <v>0</v>
      </c>
      <c r="M97" s="54">
        <v>1.2111E-2</v>
      </c>
    </row>
    <row r="98" spans="1:13" ht="15.6">
      <c r="A98" s="52" t="str">
        <f>'Sovereign Ratings (Moody''s,S&amp;P)'!A98</f>
        <v>Montenegro</v>
      </c>
      <c r="B98" s="64" t="str">
        <f>'Sovereign Ratings (Moody''s,S&amp;P)'!C98</f>
        <v>B1</v>
      </c>
      <c r="C98" s="136" t="s">
        <v>143</v>
      </c>
      <c r="D98" s="65" t="str">
        <f t="shared" si="3"/>
        <v>NA</v>
      </c>
      <c r="H98" s="52" t="s">
        <v>35</v>
      </c>
      <c r="I98" s="54">
        <v>1.5E-3</v>
      </c>
      <c r="J98" s="27">
        <f t="shared" si="5"/>
        <v>0</v>
      </c>
      <c r="M98" s="54">
        <v>5.8314999999999999E-2</v>
      </c>
    </row>
    <row r="99" spans="1:13" ht="15.6">
      <c r="A99" s="52" t="str">
        <f>'Sovereign Ratings (Moody''s,S&amp;P)'!A99</f>
        <v>Montserrat</v>
      </c>
      <c r="B99" s="64" t="str">
        <f>'Sovereign Ratings (Moody''s,S&amp;P)'!C99</f>
        <v>Baa3</v>
      </c>
      <c r="C99" s="136" t="s">
        <v>143</v>
      </c>
      <c r="D99" s="65" t="str">
        <f t="shared" si="3"/>
        <v>NA</v>
      </c>
      <c r="H99" s="52" t="s">
        <v>65</v>
      </c>
      <c r="I99" s="54">
        <v>6.1999999999999998E-3</v>
      </c>
      <c r="J99" s="27">
        <f t="shared" si="5"/>
        <v>3.8999999999999998E-3</v>
      </c>
      <c r="M99" s="54">
        <v>5.4034000000000006E-2</v>
      </c>
    </row>
    <row r="100" spans="1:13" ht="15.6">
      <c r="A100" s="52" t="str">
        <f>'Sovereign Ratings (Moody''s,S&amp;P)'!A100</f>
        <v>Morocco</v>
      </c>
      <c r="B100" s="64" t="str">
        <f>'Sovereign Ratings (Moody''s,S&amp;P)'!C100</f>
        <v>Ba1</v>
      </c>
      <c r="C100" s="136">
        <f>VLOOKUP(A100,$H$24:$J$107,2,FALSE)</f>
        <v>1.5599999999999999E-2</v>
      </c>
      <c r="D100" s="65">
        <f t="shared" si="3"/>
        <v>1.3299999999999999E-2</v>
      </c>
      <c r="H100" s="52" t="s">
        <v>77</v>
      </c>
      <c r="I100" s="54">
        <v>4.8500000000000001E-2</v>
      </c>
      <c r="J100" s="27">
        <f t="shared" si="5"/>
        <v>4.6200000000000005E-2</v>
      </c>
      <c r="M100" s="54">
        <v>8.4873000000000004E-2</v>
      </c>
    </row>
    <row r="101" spans="1:13" ht="15.6">
      <c r="A101" s="52" t="str">
        <f>'Sovereign Ratings (Moody''s,S&amp;P)'!A101</f>
        <v>Mozambique</v>
      </c>
      <c r="B101" s="64" t="str">
        <f>'Sovereign Ratings (Moody''s,S&amp;P)'!C101</f>
        <v>Caa2</v>
      </c>
      <c r="C101" s="136" t="s">
        <v>143</v>
      </c>
      <c r="D101" s="65" t="str">
        <f t="shared" si="3"/>
        <v>NA</v>
      </c>
      <c r="H101" s="52" t="s">
        <v>66</v>
      </c>
      <c r="I101" s="54">
        <v>3.3099999999999997E-2</v>
      </c>
      <c r="J101" s="27">
        <f t="shared" si="5"/>
        <v>3.0799999999999998E-2</v>
      </c>
      <c r="M101" s="54">
        <v>5.7920000000000003E-3</v>
      </c>
    </row>
    <row r="102" spans="1:13" ht="15.6">
      <c r="A102" s="52" t="str">
        <f>'Sovereign Ratings (Moody''s,S&amp;P)'!A102</f>
        <v>Namibia</v>
      </c>
      <c r="B102" s="64" t="str">
        <f>'Sovereign Ratings (Moody''s,S&amp;P)'!C102</f>
        <v>Ba3</v>
      </c>
      <c r="C102" s="136" t="s">
        <v>143</v>
      </c>
      <c r="D102" s="65" t="str">
        <f t="shared" si="3"/>
        <v>NA</v>
      </c>
      <c r="H102" s="52" t="s">
        <v>68</v>
      </c>
      <c r="I102" s="54">
        <v>4.1799999999999997E-2</v>
      </c>
      <c r="J102" s="27">
        <f t="shared" si="5"/>
        <v>3.9499999999999993E-2</v>
      </c>
      <c r="M102" s="54">
        <v>3.9590000000000007E-3</v>
      </c>
    </row>
    <row r="103" spans="1:13" ht="15.6">
      <c r="A103" s="52" t="str">
        <f>'Sovereign Ratings (Moody''s,S&amp;P)'!A103</f>
        <v>Netherlands</v>
      </c>
      <c r="B103" s="64" t="str">
        <f>'Sovereign Ratings (Moody''s,S&amp;P)'!C103</f>
        <v>Aaa</v>
      </c>
      <c r="C103" s="136">
        <f>VLOOKUP(A103,$H$24:$J$107,2,FALSE)</f>
        <v>2E-3</v>
      </c>
      <c r="D103" s="65">
        <f t="shared" si="3"/>
        <v>0</v>
      </c>
      <c r="H103" s="52" t="s">
        <v>57</v>
      </c>
      <c r="I103" s="54">
        <v>3.0000000000000001E-3</v>
      </c>
      <c r="J103" s="27">
        <f t="shared" si="5"/>
        <v>7.000000000000001E-4</v>
      </c>
      <c r="M103" s="54">
        <v>2.2202E-2</v>
      </c>
    </row>
    <row r="104" spans="1:13" ht="15.6">
      <c r="A104" s="52" t="str">
        <f>'Sovereign Ratings (Moody''s,S&amp;P)'!A104</f>
        <v>New Zealand</v>
      </c>
      <c r="B104" s="64" t="str">
        <f>'Sovereign Ratings (Moody''s,S&amp;P)'!C104</f>
        <v>Aaa</v>
      </c>
      <c r="C104" s="136">
        <f>VLOOKUP(A104,$H$24:$J$107,2,FALSE)</f>
        <v>2.5000000000000001E-3</v>
      </c>
      <c r="D104" s="65">
        <f t="shared" si="3"/>
        <v>2.0000000000000009E-4</v>
      </c>
      <c r="H104" s="52" t="s">
        <v>356</v>
      </c>
      <c r="I104" s="54">
        <v>2.3E-3</v>
      </c>
      <c r="J104" s="27">
        <f t="shared" si="5"/>
        <v>0</v>
      </c>
      <c r="M104" s="54" t="s">
        <v>143</v>
      </c>
    </row>
    <row r="105" spans="1:13" ht="15.6">
      <c r="A105" s="52" t="str">
        <f>'Sovereign Ratings (Moody''s,S&amp;P)'!A105</f>
        <v>Nicaragua</v>
      </c>
      <c r="B105" s="64" t="str">
        <f>'Sovereign Ratings (Moody''s,S&amp;P)'!C105</f>
        <v>B3</v>
      </c>
      <c r="C105" s="136" t="s">
        <v>143</v>
      </c>
      <c r="D105" s="65" t="str">
        <f t="shared" si="3"/>
        <v>NA</v>
      </c>
      <c r="H105" s="142" t="s">
        <v>69</v>
      </c>
      <c r="I105" s="54">
        <v>1.2699999999999999E-2</v>
      </c>
      <c r="J105" s="27">
        <f t="shared" si="5"/>
        <v>1.04E-2</v>
      </c>
      <c r="M105" s="54">
        <v>3.2811E-2</v>
      </c>
    </row>
    <row r="106" spans="1:13" ht="15.6">
      <c r="A106" s="52" t="s">
        <v>321</v>
      </c>
      <c r="B106" s="64" t="str">
        <f>'Sovereign Ratings (Moody''s,S&amp;P)'!C106</f>
        <v>B3</v>
      </c>
      <c r="C106" s="136" t="s">
        <v>143</v>
      </c>
      <c r="D106" s="65" t="str">
        <f t="shared" si="3"/>
        <v>NA</v>
      </c>
      <c r="H106" s="52" t="s">
        <v>70</v>
      </c>
      <c r="I106" s="54" t="s">
        <v>143</v>
      </c>
      <c r="J106" s="27" t="s">
        <v>143</v>
      </c>
      <c r="M106" s="54">
        <v>0.1565</v>
      </c>
    </row>
    <row r="107" spans="1:13" ht="15.6">
      <c r="A107" s="52" t="str">
        <f>'Sovereign Ratings (Moody''s,S&amp;P)'!A107</f>
        <v>Nigeria</v>
      </c>
      <c r="B107" s="64" t="str">
        <f>'Sovereign Ratings (Moody''s,S&amp;P)'!C107</f>
        <v>B2</v>
      </c>
      <c r="C107" s="136">
        <f>VLOOKUP(A107,$H$24:$J$107,2,FALSE)</f>
        <v>3.5900000000000001E-2</v>
      </c>
      <c r="D107" s="65">
        <f t="shared" si="3"/>
        <v>3.3600000000000005E-2</v>
      </c>
      <c r="H107" s="52" t="s">
        <v>71</v>
      </c>
      <c r="I107" s="54">
        <v>1.49E-2</v>
      </c>
      <c r="J107" s="27">
        <f t="shared" si="5"/>
        <v>1.26E-2</v>
      </c>
    </row>
    <row r="108" spans="1:13" ht="15.6">
      <c r="A108" s="52" t="str">
        <f>'Sovereign Ratings (Moody''s,S&amp;P)'!A108</f>
        <v>Norway</v>
      </c>
      <c r="B108" s="64" t="str">
        <f>'Sovereign Ratings (Moody''s,S&amp;P)'!C108</f>
        <v>Aaa</v>
      </c>
      <c r="C108" s="136">
        <f>VLOOKUP(A108,$H$24:$J$107,2,FALSE)</f>
        <v>2.3E-3</v>
      </c>
      <c r="D108" s="65">
        <f t="shared" si="3"/>
        <v>0</v>
      </c>
      <c r="H108" s="180" t="s">
        <v>192</v>
      </c>
      <c r="I108" s="54" t="s">
        <v>143</v>
      </c>
      <c r="J108" s="27" t="s">
        <v>143</v>
      </c>
    </row>
    <row r="109" spans="1:13" ht="15.6">
      <c r="A109" s="52" t="str">
        <f>'Sovereign Ratings (Moody''s,S&amp;P)'!A109</f>
        <v>Oman</v>
      </c>
      <c r="B109" s="64" t="str">
        <f>'Sovereign Ratings (Moody''s,S&amp;P)'!C109</f>
        <v>Ba3</v>
      </c>
      <c r="C109" s="136">
        <f>VLOOKUP(A109,$H$24:$J$107,2,FALSE)</f>
        <v>3.9E-2</v>
      </c>
      <c r="D109" s="65">
        <f t="shared" si="3"/>
        <v>3.6699999999999997E-2</v>
      </c>
    </row>
    <row r="110" spans="1:13" ht="15.6">
      <c r="A110" s="52" t="str">
        <f>'Sovereign Ratings (Moody''s,S&amp;P)'!A110</f>
        <v>Pakistan</v>
      </c>
      <c r="B110" s="64" t="str">
        <f>'Sovereign Ratings (Moody''s,S&amp;P)'!C110</f>
        <v>B3</v>
      </c>
      <c r="C110" s="136">
        <f>VLOOKUP(A110,$H$24:$J$107,2,FALSE)</f>
        <v>4.5100000000000001E-2</v>
      </c>
      <c r="D110" s="65">
        <f t="shared" si="3"/>
        <v>4.2800000000000005E-2</v>
      </c>
    </row>
    <row r="111" spans="1:13" ht="15.6">
      <c r="A111" s="52" t="str">
        <f>'Sovereign Ratings (Moody''s,S&amp;P)'!A111</f>
        <v>Panama</v>
      </c>
      <c r="B111" s="64" t="str">
        <f>'Sovereign Ratings (Moody''s,S&amp;P)'!C111</f>
        <v>Baa1</v>
      </c>
      <c r="C111" s="136">
        <f>VLOOKUP(A111,$H$24:$J$107,2,FALSE)</f>
        <v>9.4999999999999998E-3</v>
      </c>
      <c r="D111" s="65">
        <f t="shared" si="3"/>
        <v>7.1999999999999998E-3</v>
      </c>
    </row>
    <row r="112" spans="1:13" ht="15.6">
      <c r="A112" s="52" t="str">
        <f>'Sovereign Ratings (Moody''s,S&amp;P)'!A112</f>
        <v>Papua New Guinea</v>
      </c>
      <c r="B112" s="64" t="str">
        <f>'Sovereign Ratings (Moody''s,S&amp;P)'!C112</f>
        <v>B2</v>
      </c>
      <c r="C112" s="136" t="s">
        <v>143</v>
      </c>
      <c r="D112" s="65" t="str">
        <f t="shared" si="3"/>
        <v>NA</v>
      </c>
    </row>
    <row r="113" spans="1:4" ht="15.6">
      <c r="A113" s="52" t="str">
        <f>'Sovereign Ratings (Moody''s,S&amp;P)'!A113</f>
        <v>Paraguay</v>
      </c>
      <c r="B113" s="64" t="str">
        <f>'Sovereign Ratings (Moody''s,S&amp;P)'!C113</f>
        <v>Ba1</v>
      </c>
      <c r="C113" s="136" t="s">
        <v>143</v>
      </c>
      <c r="D113" s="65" t="str">
        <f t="shared" si="3"/>
        <v>NA</v>
      </c>
    </row>
    <row r="114" spans="1:4" ht="15.6">
      <c r="A114" s="52" t="str">
        <f>'Sovereign Ratings (Moody''s,S&amp;P)'!A114</f>
        <v>Peru</v>
      </c>
      <c r="B114" s="64" t="str">
        <f>'Sovereign Ratings (Moody''s,S&amp;P)'!C114</f>
        <v>A3</v>
      </c>
      <c r="C114" s="136">
        <f>VLOOKUP(A114,$H$24:$J$107,2,FALSE)</f>
        <v>1.04E-2</v>
      </c>
      <c r="D114" s="65">
        <f t="shared" si="3"/>
        <v>8.0999999999999996E-3</v>
      </c>
    </row>
    <row r="115" spans="1:4" ht="15.6">
      <c r="A115" s="52" t="str">
        <f>'Sovereign Ratings (Moody''s,S&amp;P)'!A115</f>
        <v>Philippines</v>
      </c>
      <c r="B115" s="64" t="str">
        <f>'Sovereign Ratings (Moody''s,S&amp;P)'!C115</f>
        <v>Baa2</v>
      </c>
      <c r="C115" s="136">
        <f>VLOOKUP(A115,$H$24:$J$107,2,FALSE)</f>
        <v>6.7000000000000002E-3</v>
      </c>
      <c r="D115" s="65">
        <f t="shared" si="3"/>
        <v>4.4000000000000003E-3</v>
      </c>
    </row>
    <row r="116" spans="1:4" ht="15.6">
      <c r="A116" s="52" t="str">
        <f>'Sovereign Ratings (Moody''s,S&amp;P)'!A116</f>
        <v>Poland</v>
      </c>
      <c r="B116" s="64" t="str">
        <f>'Sovereign Ratings (Moody''s,S&amp;P)'!C116</f>
        <v>A2</v>
      </c>
      <c r="C116" s="136">
        <f>VLOOKUP(A116,$H$24:$J$107,2,FALSE)</f>
        <v>9.1000000000000004E-3</v>
      </c>
      <c r="D116" s="65">
        <f t="shared" si="3"/>
        <v>6.8000000000000005E-3</v>
      </c>
    </row>
    <row r="117" spans="1:4" ht="15.6">
      <c r="A117" s="52" t="str">
        <f>'Sovereign Ratings (Moody''s,S&amp;P)'!A117</f>
        <v>Portugal</v>
      </c>
      <c r="B117" s="64" t="str">
        <f>'Sovereign Ratings (Moody''s,S&amp;P)'!C117</f>
        <v>Baa3</v>
      </c>
      <c r="C117" s="136">
        <f>VLOOKUP(A117,$H$24:$J$107,2,FALSE)</f>
        <v>6.4999999999999997E-3</v>
      </c>
      <c r="D117" s="65">
        <f t="shared" si="3"/>
        <v>4.1999999999999997E-3</v>
      </c>
    </row>
    <row r="118" spans="1:4" ht="15.6">
      <c r="A118" s="52" t="str">
        <f>'Sovereign Ratings (Moody''s,S&amp;P)'!A118</f>
        <v>Qatar</v>
      </c>
      <c r="B118" s="64" t="str">
        <f>'Sovereign Ratings (Moody''s,S&amp;P)'!C118</f>
        <v>Aa3</v>
      </c>
      <c r="C118" s="136">
        <f>VLOOKUP(A118,$H$24:$J$107,2,FALSE)</f>
        <v>7.4000000000000003E-3</v>
      </c>
      <c r="D118" s="65">
        <f t="shared" si="3"/>
        <v>5.1000000000000004E-3</v>
      </c>
    </row>
    <row r="119" spans="1:4" ht="15.6">
      <c r="A119" s="52" t="str">
        <f>'Sovereign Ratings (Moody''s,S&amp;P)'!A119</f>
        <v>Ras Al Khaimah (Emirate of)</v>
      </c>
      <c r="B119" s="64" t="str">
        <f>'Sovereign Ratings (Moody''s,S&amp;P)'!C119</f>
        <v>Aaa</v>
      </c>
      <c r="C119" s="136" t="s">
        <v>143</v>
      </c>
      <c r="D119" s="65" t="str">
        <f t="shared" si="3"/>
        <v>NA</v>
      </c>
    </row>
    <row r="120" spans="1:4" ht="15.6">
      <c r="A120" s="52" t="str">
        <f>'Sovereign Ratings (Moody''s,S&amp;P)'!A120</f>
        <v>Romania</v>
      </c>
      <c r="B120" s="64" t="str">
        <f>'Sovereign Ratings (Moody''s,S&amp;P)'!C120</f>
        <v>Baa3</v>
      </c>
      <c r="C120" s="136">
        <f t="shared" ref="C120:C125" si="6">VLOOKUP(A120,$H$24:$J$107,2,FALSE)</f>
        <v>1.2200000000000001E-2</v>
      </c>
      <c r="D120" s="65">
        <f t="shared" si="3"/>
        <v>9.9000000000000008E-3</v>
      </c>
    </row>
    <row r="121" spans="1:4" ht="15.6">
      <c r="A121" s="52" t="str">
        <f>'Sovereign Ratings (Moody''s,S&amp;P)'!A121</f>
        <v>Russia</v>
      </c>
      <c r="B121" s="64" t="str">
        <f>'Sovereign Ratings (Moody''s,S&amp;P)'!C121</f>
        <v>Baa3</v>
      </c>
      <c r="C121" s="136">
        <f t="shared" si="6"/>
        <v>1.47E-2</v>
      </c>
      <c r="D121" s="65">
        <f t="shared" si="3"/>
        <v>1.24E-2</v>
      </c>
    </row>
    <row r="122" spans="1:4" ht="15.6">
      <c r="A122" s="52" t="str">
        <f>'Sovereign Ratings (Moody''s,S&amp;P)'!A122</f>
        <v>Rwanda</v>
      </c>
      <c r="B122" s="64" t="str">
        <f>'Sovereign Ratings (Moody''s,S&amp;P)'!C122</f>
        <v>B2</v>
      </c>
      <c r="C122" s="136">
        <f t="shared" si="6"/>
        <v>3.7199999999999997E-2</v>
      </c>
      <c r="D122" s="65">
        <f t="shared" si="3"/>
        <v>3.49E-2</v>
      </c>
    </row>
    <row r="123" spans="1:4" ht="15.6">
      <c r="A123" s="52" t="str">
        <f>'Sovereign Ratings (Moody''s,S&amp;P)'!A123</f>
        <v>Saudi Arabia</v>
      </c>
      <c r="B123" s="64" t="str">
        <f>'Sovereign Ratings (Moody''s,S&amp;P)'!C123</f>
        <v>A1</v>
      </c>
      <c r="C123" s="136">
        <f t="shared" si="6"/>
        <v>1.12E-2</v>
      </c>
      <c r="D123" s="65">
        <f t="shared" si="3"/>
        <v>8.8999999999999999E-3</v>
      </c>
    </row>
    <row r="124" spans="1:4" ht="15.6">
      <c r="A124" s="52" t="str">
        <f>'Sovereign Ratings (Moody''s,S&amp;P)'!A124</f>
        <v>Senegal</v>
      </c>
      <c r="B124" s="64" t="str">
        <f>'Sovereign Ratings (Moody''s,S&amp;P)'!C124</f>
        <v>Ba3</v>
      </c>
      <c r="C124" s="136">
        <f t="shared" si="6"/>
        <v>2.9399999999999999E-2</v>
      </c>
      <c r="D124" s="65">
        <f t="shared" si="3"/>
        <v>2.7099999999999999E-2</v>
      </c>
    </row>
    <row r="125" spans="1:4" ht="15.6">
      <c r="A125" s="52" t="str">
        <f>'Sovereign Ratings (Moody''s,S&amp;P)'!A125</f>
        <v>Serbia</v>
      </c>
      <c r="B125" s="64" t="str">
        <f>'Sovereign Ratings (Moody''s,S&amp;P)'!C125</f>
        <v>Ba3</v>
      </c>
      <c r="C125" s="136">
        <f t="shared" si="6"/>
        <v>1.61E-2</v>
      </c>
      <c r="D125" s="65">
        <f t="shared" si="3"/>
        <v>1.38E-2</v>
      </c>
    </row>
    <row r="126" spans="1:4" ht="15.6">
      <c r="A126" s="52" t="str">
        <f>'Sovereign Ratings (Moody''s,S&amp;P)'!A126</f>
        <v>Sharjah</v>
      </c>
      <c r="B126" s="64" t="str">
        <f>'Sovereign Ratings (Moody''s,S&amp;P)'!C126</f>
        <v>Baa2</v>
      </c>
      <c r="C126" s="136" t="s">
        <v>143</v>
      </c>
      <c r="D126" s="65" t="str">
        <f t="shared" si="3"/>
        <v>NA</v>
      </c>
    </row>
    <row r="127" spans="1:4" ht="15.6">
      <c r="A127" s="52" t="str">
        <f>'Sovereign Ratings (Moody''s,S&amp;P)'!A127</f>
        <v>Singapore</v>
      </c>
      <c r="B127" s="64" t="str">
        <f>'Sovereign Ratings (Moody''s,S&amp;P)'!C127</f>
        <v>Aaa</v>
      </c>
      <c r="C127" s="136" t="s">
        <v>143</v>
      </c>
      <c r="D127" s="65" t="str">
        <f t="shared" si="3"/>
        <v>NA</v>
      </c>
    </row>
    <row r="128" spans="1:4" ht="15.6">
      <c r="A128" s="52" t="str">
        <f>'Sovereign Ratings (Moody''s,S&amp;P)'!A128</f>
        <v>Slovakia</v>
      </c>
      <c r="B128" s="64" t="str">
        <f>'Sovereign Ratings (Moody''s,S&amp;P)'!C128</f>
        <v>A2</v>
      </c>
      <c r="C128" s="136">
        <f>VLOOKUP(A128,$H$24:$J$107,2,FALSE)</f>
        <v>7.9000000000000008E-3</v>
      </c>
      <c r="D128" s="65">
        <f t="shared" si="3"/>
        <v>5.6000000000000008E-3</v>
      </c>
    </row>
    <row r="129" spans="1:4" ht="15.6">
      <c r="A129" s="52" t="str">
        <f>'Sovereign Ratings (Moody''s,S&amp;P)'!A129</f>
        <v>Slovenia</v>
      </c>
      <c r="B129" s="64" t="str">
        <f>'Sovereign Ratings (Moody''s,S&amp;P)'!C129</f>
        <v>A3</v>
      </c>
      <c r="C129" s="136">
        <f>VLOOKUP(A129,$H$24:$J$107,2,FALSE)</f>
        <v>1.06E-2</v>
      </c>
      <c r="D129" s="65">
        <f t="shared" si="3"/>
        <v>8.3000000000000001E-3</v>
      </c>
    </row>
    <row r="130" spans="1:4" ht="15.6">
      <c r="A130" s="52" t="str">
        <f>'Sovereign Ratings (Moody''s,S&amp;P)'!A130</f>
        <v>Solomon Islands</v>
      </c>
      <c r="B130" s="64" t="str">
        <f>'Sovereign Ratings (Moody''s,S&amp;P)'!C130</f>
        <v>B3</v>
      </c>
      <c r="C130" s="136" t="s">
        <v>143</v>
      </c>
      <c r="D130" s="65" t="str">
        <f t="shared" ref="D130:D140" si="7">IF(C130="NA","NA",IF(C130&gt;$C$153,C130-$C$153,0))</f>
        <v>NA</v>
      </c>
    </row>
    <row r="131" spans="1:4" ht="15.6">
      <c r="A131" s="52" t="str">
        <f>'Sovereign Ratings (Moody''s,S&amp;P)'!A131</f>
        <v>South Africa</v>
      </c>
      <c r="B131" s="64" t="str">
        <f>'Sovereign Ratings (Moody''s,S&amp;P)'!C131</f>
        <v>Ba2</v>
      </c>
      <c r="C131" s="136">
        <f>VLOOKUP(A131,$H$24:$J$107,2,FALSE)</f>
        <v>2.93E-2</v>
      </c>
      <c r="D131" s="65">
        <f t="shared" si="7"/>
        <v>2.7E-2</v>
      </c>
    </row>
    <row r="132" spans="1:4" ht="15.6">
      <c r="A132" s="52" t="str">
        <f>'Sovereign Ratings (Moody''s,S&amp;P)'!A132</f>
        <v>Spain</v>
      </c>
      <c r="B132" s="64" t="str">
        <f>'Sovereign Ratings (Moody''s,S&amp;P)'!C132</f>
        <v>Baa1</v>
      </c>
      <c r="C132" s="136">
        <f>VLOOKUP(A132,$H$24:$J$107,2,FALSE)</f>
        <v>7.1999999999999998E-3</v>
      </c>
      <c r="D132" s="65">
        <f t="shared" si="7"/>
        <v>4.8999999999999998E-3</v>
      </c>
    </row>
    <row r="133" spans="1:4" ht="15.6">
      <c r="A133" s="52" t="str">
        <f>'Sovereign Ratings (Moody''s,S&amp;P)'!A133</f>
        <v>Sri Lanka</v>
      </c>
      <c r="B133" s="64" t="str">
        <f>'Sovereign Ratings (Moody''s,S&amp;P)'!C133</f>
        <v>Caa1</v>
      </c>
      <c r="C133" s="136" t="s">
        <v>143</v>
      </c>
      <c r="D133" s="65" t="str">
        <f t="shared" si="7"/>
        <v>NA</v>
      </c>
    </row>
    <row r="134" spans="1:4" ht="15.6">
      <c r="A134" s="52" t="str">
        <f>'Sovereign Ratings (Moody''s,S&amp;P)'!A134</f>
        <v>St. Maarten</v>
      </c>
      <c r="B134" s="64" t="str">
        <f>'Sovereign Ratings (Moody''s,S&amp;P)'!C134</f>
        <v>Baa3</v>
      </c>
      <c r="C134" s="136" t="s">
        <v>143</v>
      </c>
      <c r="D134" s="65" t="str">
        <f t="shared" si="7"/>
        <v>NA</v>
      </c>
    </row>
    <row r="135" spans="1:4" ht="15.6">
      <c r="A135" s="52" t="str">
        <f>'Sovereign Ratings (Moody''s,S&amp;P)'!A135</f>
        <v>St. Vincent &amp; the Grenadines</v>
      </c>
      <c r="B135" s="64" t="str">
        <f>'Sovereign Ratings (Moody''s,S&amp;P)'!C135</f>
        <v>B3</v>
      </c>
      <c r="C135" s="136" t="s">
        <v>143</v>
      </c>
      <c r="D135" s="65" t="str">
        <f t="shared" si="7"/>
        <v>NA</v>
      </c>
    </row>
    <row r="136" spans="1:4" ht="15.6">
      <c r="A136" s="52" t="str">
        <f>'Sovereign Ratings (Moody''s,S&amp;P)'!A136</f>
        <v>Suriname</v>
      </c>
      <c r="B136" s="64" t="str">
        <f>'Sovereign Ratings (Moody''s,S&amp;P)'!C136</f>
        <v>Caa3</v>
      </c>
      <c r="C136" s="136" t="s">
        <v>143</v>
      </c>
      <c r="D136" s="65" t="str">
        <f t="shared" si="7"/>
        <v>NA</v>
      </c>
    </row>
    <row r="137" spans="1:4" ht="15.6">
      <c r="A137" s="52" t="str">
        <f>'Sovereign Ratings (Moody''s,S&amp;P)'!A137</f>
        <v>Swaziland</v>
      </c>
      <c r="B137" s="64" t="str">
        <f>'Sovereign Ratings (Moody''s,S&amp;P)'!C137</f>
        <v>B3</v>
      </c>
      <c r="C137" s="136" t="s">
        <v>143</v>
      </c>
      <c r="D137" s="65" t="str">
        <f t="shared" si="7"/>
        <v>NA</v>
      </c>
    </row>
    <row r="138" spans="1:4" ht="15.6">
      <c r="A138" s="52" t="str">
        <f>'Sovereign Ratings (Moody''s,S&amp;P)'!A138</f>
        <v>Sweden</v>
      </c>
      <c r="B138" s="64" t="str">
        <f>'Sovereign Ratings (Moody''s,S&amp;P)'!C138</f>
        <v>Aaa</v>
      </c>
      <c r="C138" s="136">
        <f>VLOOKUP(A138,$H$24:$J$107,2,FALSE)</f>
        <v>2E-3</v>
      </c>
      <c r="D138" s="65">
        <f t="shared" si="7"/>
        <v>0</v>
      </c>
    </row>
    <row r="139" spans="1:4" ht="15.6">
      <c r="A139" s="52" t="str">
        <f>'Sovereign Ratings (Moody''s,S&amp;P)'!A139</f>
        <v>Switzerland</v>
      </c>
      <c r="B139" s="64" t="str">
        <f>'Sovereign Ratings (Moody''s,S&amp;P)'!C139</f>
        <v>Aaa</v>
      </c>
      <c r="C139" s="136">
        <f>VLOOKUP(A139,$H$24:$J$107,2,FALSE)</f>
        <v>1.5E-3</v>
      </c>
      <c r="D139" s="65">
        <f t="shared" si="7"/>
        <v>0</v>
      </c>
    </row>
    <row r="140" spans="1:4" ht="15.6">
      <c r="A140" s="52" t="str">
        <f>'Sovereign Ratings (Moody''s,S&amp;P)'!A140</f>
        <v>Taiwan</v>
      </c>
      <c r="B140" s="64" t="str">
        <f>'Sovereign Ratings (Moody''s,S&amp;P)'!C140</f>
        <v>Aa3</v>
      </c>
      <c r="C140" s="136" t="s">
        <v>143</v>
      </c>
      <c r="D140" s="65" t="str">
        <f t="shared" si="7"/>
        <v>NA</v>
      </c>
    </row>
    <row r="141" spans="1:4" ht="15.6">
      <c r="A141" s="52" t="str">
        <f>'Sovereign Ratings (Moody''s,S&amp;P)'!A141</f>
        <v>Tajikistan</v>
      </c>
      <c r="B141" s="64" t="str">
        <f>'Sovereign Ratings (Moody''s,S&amp;P)'!C141</f>
        <v>B3</v>
      </c>
      <c r="C141" s="136" t="s">
        <v>143</v>
      </c>
      <c r="D141" s="65" t="str">
        <f>IF(C141="NA","NA",IF(C141&gt;$C$153,C141-$C$153,0))</f>
        <v>NA</v>
      </c>
    </row>
    <row r="142" spans="1:4" ht="15.6">
      <c r="A142" s="52" t="str">
        <f>'Sovereign Ratings (Moody''s,S&amp;P)'!A142</f>
        <v>Tanzania</v>
      </c>
      <c r="B142" s="64" t="str">
        <f>'Sovereign Ratings (Moody''s,S&amp;P)'!C142</f>
        <v>B2</v>
      </c>
      <c r="C142" s="136" t="s">
        <v>143</v>
      </c>
      <c r="D142" s="65" t="str">
        <f t="shared" ref="D142:D158" si="8">IF(C142="NA","NA",IF(C142&gt;$C$153,C142-$C$153,0))</f>
        <v>NA</v>
      </c>
    </row>
    <row r="143" spans="1:4" ht="15.6">
      <c r="A143" s="52" t="str">
        <f>'Sovereign Ratings (Moody''s,S&amp;P)'!A143</f>
        <v>Thailand</v>
      </c>
      <c r="B143" s="64" t="str">
        <f>'Sovereign Ratings (Moody''s,S&amp;P)'!C143</f>
        <v>Baa1</v>
      </c>
      <c r="C143" s="136">
        <f>VLOOKUP(A143,$H$24:$J$107,2,FALSE)</f>
        <v>6.1999999999999998E-3</v>
      </c>
      <c r="D143" s="65">
        <f t="shared" si="8"/>
        <v>3.8999999999999998E-3</v>
      </c>
    </row>
    <row r="144" spans="1:4" ht="15.6">
      <c r="A144" s="52" t="str">
        <f>'Sovereign Ratings (Moody''s,S&amp;P)'!A144</f>
        <v>Togo</v>
      </c>
      <c r="B144" s="64" t="str">
        <f>'Sovereign Ratings (Moody''s,S&amp;P)'!C144</f>
        <v>B3</v>
      </c>
      <c r="C144" s="136" t="s">
        <v>143</v>
      </c>
      <c r="D144" s="65" t="str">
        <f t="shared" si="8"/>
        <v>NA</v>
      </c>
    </row>
    <row r="145" spans="1:4" ht="15.6">
      <c r="A145" s="52" t="str">
        <f>'Sovereign Ratings (Moody''s,S&amp;P)'!A145</f>
        <v>Trinidad and Tobago</v>
      </c>
      <c r="B145" s="64" t="str">
        <f>'Sovereign Ratings (Moody''s,S&amp;P)'!C145</f>
        <v>Ba1</v>
      </c>
      <c r="C145" s="136" t="s">
        <v>143</v>
      </c>
      <c r="D145" s="65" t="str">
        <f t="shared" si="8"/>
        <v>NA</v>
      </c>
    </row>
    <row r="146" spans="1:4" ht="15.6">
      <c r="A146" s="52" t="str">
        <f>'Sovereign Ratings (Moody''s,S&amp;P)'!A146</f>
        <v>Tunisia</v>
      </c>
      <c r="B146" s="64" t="str">
        <f>'Sovereign Ratings (Moody''s,S&amp;P)'!C146</f>
        <v>B2</v>
      </c>
      <c r="C146" s="136">
        <f>VLOOKUP(A146,$H$24:$J$107,2,FALSE)</f>
        <v>4.8500000000000001E-2</v>
      </c>
      <c r="D146" s="65">
        <f t="shared" si="8"/>
        <v>4.6200000000000005E-2</v>
      </c>
    </row>
    <row r="147" spans="1:4" ht="15.6">
      <c r="A147" s="52" t="str">
        <f>'Sovereign Ratings (Moody''s,S&amp;P)'!A147</f>
        <v>Turkey</v>
      </c>
      <c r="B147" s="64" t="str">
        <f>'Sovereign Ratings (Moody''s,S&amp;P)'!C147</f>
        <v>B2</v>
      </c>
      <c r="C147" s="136">
        <f>VLOOKUP(A147,$H$24:$J$107,2,FALSE)</f>
        <v>3.3099999999999997E-2</v>
      </c>
      <c r="D147" s="65">
        <f t="shared" si="8"/>
        <v>3.0799999999999998E-2</v>
      </c>
    </row>
    <row r="148" spans="1:4" ht="15.6">
      <c r="A148" s="52" t="str">
        <f>'Sovereign Ratings (Moody''s,S&amp;P)'!A148</f>
        <v>Turks and Caicos Islands</v>
      </c>
      <c r="B148" s="64" t="str">
        <f>'Sovereign Ratings (Moody''s,S&amp;P)'!C148</f>
        <v>Baa1</v>
      </c>
      <c r="C148" s="136" t="s">
        <v>143</v>
      </c>
      <c r="D148" s="65" t="str">
        <f t="shared" si="8"/>
        <v>NA</v>
      </c>
    </row>
    <row r="149" spans="1:4" ht="15.6">
      <c r="A149" s="52" t="str">
        <f>'Sovereign Ratings (Moody''s,S&amp;P)'!A149</f>
        <v>Uganda</v>
      </c>
      <c r="B149" s="64" t="str">
        <f>'Sovereign Ratings (Moody''s,S&amp;P)'!C149</f>
        <v>B2</v>
      </c>
      <c r="C149" s="136" t="s">
        <v>143</v>
      </c>
      <c r="D149" s="65" t="str">
        <f t="shared" si="8"/>
        <v>NA</v>
      </c>
    </row>
    <row r="150" spans="1:4" ht="15.6">
      <c r="A150" s="52" t="str">
        <f>'Sovereign Ratings (Moody''s,S&amp;P)'!A150</f>
        <v>Ukraine</v>
      </c>
      <c r="B150" s="64" t="str">
        <f>'Sovereign Ratings (Moody''s,S&amp;P)'!C150</f>
        <v>B3</v>
      </c>
      <c r="C150" s="136">
        <f>VLOOKUP(A150,$H$24:$J$107,2,FALSE)</f>
        <v>4.1799999999999997E-2</v>
      </c>
      <c r="D150" s="65">
        <f t="shared" si="8"/>
        <v>3.9499999999999993E-2</v>
      </c>
    </row>
    <row r="151" spans="1:4" ht="15.6">
      <c r="A151" s="52" t="str">
        <f>'Sovereign Ratings (Moody''s,S&amp;P)'!A151</f>
        <v>United Arab Emirates</v>
      </c>
      <c r="B151" s="64" t="str">
        <f>'Sovereign Ratings (Moody''s,S&amp;P)'!C151</f>
        <v>Aa2</v>
      </c>
      <c r="C151" s="136" t="s">
        <v>143</v>
      </c>
      <c r="D151" s="65" t="str">
        <f t="shared" si="8"/>
        <v>NA</v>
      </c>
    </row>
    <row r="152" spans="1:4" ht="15.6">
      <c r="A152" s="52" t="str">
        <f>'Sovereign Ratings (Moody''s,S&amp;P)'!A152</f>
        <v>United Kingdom</v>
      </c>
      <c r="B152" s="64" t="str">
        <f>'Sovereign Ratings (Moody''s,S&amp;P)'!C152</f>
        <v>Aa3</v>
      </c>
      <c r="C152" s="136">
        <f>VLOOKUP(A152,$H$24:$J$107,2,FALSE)</f>
        <v>3.0000000000000001E-3</v>
      </c>
      <c r="D152" s="65">
        <f t="shared" si="8"/>
        <v>7.000000000000001E-4</v>
      </c>
    </row>
    <row r="153" spans="1:4" ht="15.6">
      <c r="A153" s="52" t="str">
        <f>'Sovereign Ratings (Moody''s,S&amp;P)'!A153</f>
        <v>United States</v>
      </c>
      <c r="B153" s="64" t="str">
        <f>'Sovereign Ratings (Moody''s,S&amp;P)'!C153</f>
        <v>Aaa</v>
      </c>
      <c r="C153" s="136">
        <f>VLOOKUP(A153,$H$24:$J$107,2,FALSE)</f>
        <v>2.3E-3</v>
      </c>
      <c r="D153" s="65">
        <f t="shared" si="8"/>
        <v>0</v>
      </c>
    </row>
    <row r="154" spans="1:4" ht="15.6">
      <c r="A154" s="52" t="str">
        <f>'Sovereign Ratings (Moody''s,S&amp;P)'!A154</f>
        <v>Uruguay</v>
      </c>
      <c r="B154" s="64" t="str">
        <f>'Sovereign Ratings (Moody''s,S&amp;P)'!C154</f>
        <v>Baa2</v>
      </c>
      <c r="C154" s="136">
        <f>VLOOKUP(A154,$H$24:$J$107,2,FALSE)</f>
        <v>1.2699999999999999E-2</v>
      </c>
      <c r="D154" s="65">
        <f t="shared" si="8"/>
        <v>1.04E-2</v>
      </c>
    </row>
    <row r="155" spans="1:4" ht="15.6">
      <c r="A155" s="52" t="str">
        <f>'Sovereign Ratings (Moody''s,S&amp;P)'!A155</f>
        <v>Uzbekistan</v>
      </c>
      <c r="B155" s="64" t="str">
        <f>'Sovereign Ratings (Moody''s,S&amp;P)'!C155</f>
        <v>B1</v>
      </c>
      <c r="C155" s="136" t="s">
        <v>143</v>
      </c>
      <c r="D155" s="65" t="str">
        <f t="shared" si="8"/>
        <v>NA</v>
      </c>
    </row>
    <row r="156" spans="1:4" ht="15.6">
      <c r="A156" s="52" t="str">
        <f>'Sovereign Ratings (Moody''s,S&amp;P)'!A156</f>
        <v>Venezuela</v>
      </c>
      <c r="B156" s="64" t="str">
        <f>'Sovereign Ratings (Moody''s,S&amp;P)'!C156</f>
        <v>C</v>
      </c>
      <c r="C156" s="136" t="s">
        <v>143</v>
      </c>
      <c r="D156" s="65" t="str">
        <f t="shared" si="8"/>
        <v>NA</v>
      </c>
    </row>
    <row r="157" spans="1:4" ht="15.6">
      <c r="A157" s="52" t="str">
        <f>'Sovereign Ratings (Moody''s,S&amp;P)'!A157</f>
        <v>Vietnam</v>
      </c>
      <c r="B157" s="64" t="str">
        <f>'Sovereign Ratings (Moody''s,S&amp;P)'!C157</f>
        <v>Ba3</v>
      </c>
      <c r="C157" s="136">
        <f>VLOOKUP(A157,$H$24:$J$109,2,FALSE)</f>
        <v>1.49E-2</v>
      </c>
      <c r="D157" s="65">
        <f t="shared" si="8"/>
        <v>1.26E-2</v>
      </c>
    </row>
    <row r="158" spans="1:4" ht="15.6">
      <c r="A158" s="52" t="str">
        <f>'Sovereign Ratings (Moody''s,S&amp;P)'!A158</f>
        <v>Zambia</v>
      </c>
      <c r="B158" s="64" t="str">
        <f>'Sovereign Ratings (Moody''s,S&amp;P)'!C158</f>
        <v>Ca</v>
      </c>
      <c r="C158" s="136" t="str">
        <f>VLOOKUP(A158,$H$24:$J$109,2,FALSE)</f>
        <v>NA</v>
      </c>
      <c r="D158" s="65" t="str">
        <f t="shared" si="8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9"/>
  <sheetViews>
    <sheetView workbookViewId="0">
      <selection activeCell="B41" sqref="B41"/>
    </sheetView>
  </sheetViews>
  <sheetFormatPr defaultColWidth="11" defaultRowHeight="11.4"/>
  <cols>
    <col min="1" max="1" width="12.125" style="22" bestFit="1" customWidth="1"/>
    <col min="2" max="2" width="35.5" bestFit="1" customWidth="1"/>
    <col min="3" max="3" width="21" bestFit="1" customWidth="1"/>
    <col min="4" max="4" width="21.375" bestFit="1" customWidth="1"/>
  </cols>
  <sheetData>
    <row r="1" spans="1:8" s="225" customFormat="1" ht="17.399999999999999">
      <c r="A1" s="223" t="s">
        <v>527</v>
      </c>
      <c r="B1" s="224">
        <v>42400</v>
      </c>
    </row>
    <row r="2" spans="1:8" ht="12">
      <c r="A2" s="221"/>
      <c r="B2" s="222"/>
    </row>
    <row r="3" spans="1:8" ht="31.2">
      <c r="A3" s="187" t="s">
        <v>75</v>
      </c>
      <c r="B3" s="188" t="s">
        <v>400</v>
      </c>
      <c r="C3" s="189" t="s">
        <v>520</v>
      </c>
      <c r="D3" s="190" t="s">
        <v>521</v>
      </c>
      <c r="E3" s="191" t="s">
        <v>522</v>
      </c>
      <c r="F3" s="192" t="s">
        <v>398</v>
      </c>
      <c r="G3" s="80" t="s">
        <v>523</v>
      </c>
      <c r="H3" s="190" t="s">
        <v>524</v>
      </c>
    </row>
    <row r="4" spans="1:8" ht="15.6">
      <c r="A4" s="193" t="s">
        <v>337</v>
      </c>
      <c r="B4" s="194" t="s">
        <v>143</v>
      </c>
      <c r="C4" s="194" t="s">
        <v>143</v>
      </c>
      <c r="D4" s="195" t="str">
        <f>IF(C4="NA","NA",B4/C4)</f>
        <v>NA</v>
      </c>
      <c r="E4" s="196">
        <v>3.2000000000000002E-3</v>
      </c>
      <c r="F4" s="196">
        <v>1.1299999999999999E-2</v>
      </c>
      <c r="G4" s="80">
        <f>IF(F4="NA","NA",E4/F4)</f>
        <v>0.28318584070796465</v>
      </c>
      <c r="H4" s="195" t="str">
        <f>IF(G4="NA","NA",(IF(B4="NA","NA",B4/G4)))</f>
        <v>NA</v>
      </c>
    </row>
    <row r="5" spans="1:8" ht="15.6">
      <c r="A5" s="193" t="s">
        <v>131</v>
      </c>
      <c r="B5" s="194" t="s">
        <v>143</v>
      </c>
      <c r="C5" s="194" t="s">
        <v>143</v>
      </c>
      <c r="D5" s="195" t="str">
        <f t="shared" ref="D5:D68" si="0">IF(C5="NA","NA",B5/C5)</f>
        <v>NA</v>
      </c>
      <c r="E5" s="196">
        <v>3.2000000000000002E-3</v>
      </c>
      <c r="F5" s="196">
        <v>5.8400000000000001E-2</v>
      </c>
      <c r="G5" s="80">
        <f t="shared" ref="G5:G68" si="1">IF(F5="NA","NA",E5/F5)</f>
        <v>5.4794520547945209E-2</v>
      </c>
      <c r="H5" s="195" t="str">
        <f t="shared" ref="H5:H68" si="2">IF(G5="NA","NA",(IF(B5="NA","NA",B5/G5)))</f>
        <v>NA</v>
      </c>
    </row>
    <row r="6" spans="1:8" ht="15.6">
      <c r="A6" s="193" t="s">
        <v>84</v>
      </c>
      <c r="B6" s="194">
        <v>0.65920000000000001</v>
      </c>
      <c r="C6" s="194">
        <v>0.47699999999999998</v>
      </c>
      <c r="D6" s="195">
        <f t="shared" si="0"/>
        <v>1.3819706498951783</v>
      </c>
      <c r="E6" s="196">
        <v>1.1599999999999999E-2</v>
      </c>
      <c r="F6" s="196">
        <v>0.37630000000000002</v>
      </c>
      <c r="G6" s="80">
        <f t="shared" si="1"/>
        <v>3.0826468243422799E-2</v>
      </c>
      <c r="H6" s="195">
        <f t="shared" si="2"/>
        <v>21.384220689655173</v>
      </c>
    </row>
    <row r="7" spans="1:8" ht="15.6">
      <c r="A7" s="193" t="s">
        <v>87</v>
      </c>
      <c r="B7" s="194">
        <v>7.9899999999999999E-2</v>
      </c>
      <c r="C7" s="194" t="s">
        <v>143</v>
      </c>
      <c r="D7" s="195" t="str">
        <f t="shared" si="0"/>
        <v>NA</v>
      </c>
      <c r="E7" s="196">
        <v>2.8E-3</v>
      </c>
      <c r="F7" s="196">
        <v>2.53E-2</v>
      </c>
      <c r="G7" s="80">
        <f t="shared" si="1"/>
        <v>0.11067193675889328</v>
      </c>
      <c r="H7" s="195">
        <f t="shared" si="2"/>
        <v>0.72195357142857142</v>
      </c>
    </row>
    <row r="8" spans="1:8" ht="15.6">
      <c r="A8" s="193" t="s">
        <v>132</v>
      </c>
      <c r="B8" s="194">
        <v>0.1434</v>
      </c>
      <c r="C8" s="194">
        <v>9.2299999999999993E-2</v>
      </c>
      <c r="D8" s="195">
        <f t="shared" si="0"/>
        <v>1.5536294691224271</v>
      </c>
      <c r="E8" s="19" t="s">
        <v>143</v>
      </c>
      <c r="F8" s="196" t="s">
        <v>143</v>
      </c>
      <c r="G8" s="80" t="str">
        <f t="shared" si="1"/>
        <v>NA</v>
      </c>
      <c r="H8" s="195" t="str">
        <f t="shared" si="2"/>
        <v>NA</v>
      </c>
    </row>
    <row r="9" spans="1:8" ht="15.6">
      <c r="A9" s="193" t="s">
        <v>144</v>
      </c>
      <c r="B9" s="194">
        <v>0.14560000000000001</v>
      </c>
      <c r="C9" s="194" t="s">
        <v>143</v>
      </c>
      <c r="D9" s="195" t="str">
        <f t="shared" si="0"/>
        <v>NA</v>
      </c>
      <c r="E9" s="19" t="s">
        <v>143</v>
      </c>
      <c r="F9" s="196" t="s">
        <v>143</v>
      </c>
      <c r="G9" s="80" t="str">
        <f t="shared" si="1"/>
        <v>NA</v>
      </c>
      <c r="H9" s="195" t="str">
        <f t="shared" si="2"/>
        <v>NA</v>
      </c>
    </row>
    <row r="10" spans="1:8" ht="15.6">
      <c r="A10" s="193" t="s">
        <v>123</v>
      </c>
      <c r="B10" s="194">
        <v>3.3700000000000001E-2</v>
      </c>
      <c r="C10" s="194" t="s">
        <v>143</v>
      </c>
      <c r="D10" s="195" t="str">
        <f t="shared" si="0"/>
        <v>NA</v>
      </c>
      <c r="E10" s="19" t="s">
        <v>143</v>
      </c>
      <c r="F10" s="196" t="s">
        <v>143</v>
      </c>
      <c r="G10" s="80" t="str">
        <f t="shared" si="1"/>
        <v>NA</v>
      </c>
      <c r="H10" s="195" t="str">
        <f t="shared" si="2"/>
        <v>NA</v>
      </c>
    </row>
    <row r="11" spans="1:8" ht="15.6">
      <c r="A11" s="193" t="s">
        <v>92</v>
      </c>
      <c r="B11" s="194">
        <v>0.1983</v>
      </c>
      <c r="C11" s="194">
        <v>0.14280000000000001</v>
      </c>
      <c r="D11" s="195">
        <f t="shared" si="0"/>
        <v>1.3886554621848739</v>
      </c>
      <c r="E11" s="196">
        <v>4.1000000000000003E-3</v>
      </c>
      <c r="F11" s="196">
        <v>2.1000000000000001E-2</v>
      </c>
      <c r="G11" s="80">
        <f t="shared" si="1"/>
        <v>0.19523809523809524</v>
      </c>
      <c r="H11" s="195">
        <f t="shared" si="2"/>
        <v>1.0156829268292684</v>
      </c>
    </row>
    <row r="12" spans="1:8" ht="15.6">
      <c r="A12" s="193" t="s">
        <v>94</v>
      </c>
      <c r="B12" s="194">
        <v>9.3200000000000005E-2</v>
      </c>
      <c r="C12" s="194">
        <v>7.0499999999999993E-2</v>
      </c>
      <c r="D12" s="195">
        <f t="shared" si="0"/>
        <v>1.321985815602837</v>
      </c>
      <c r="E12" s="196">
        <v>3.2000000000000002E-3</v>
      </c>
      <c r="F12" s="196">
        <v>6.7999999999999996E-3</v>
      </c>
      <c r="G12" s="80">
        <f t="shared" si="1"/>
        <v>0.4705882352941177</v>
      </c>
      <c r="H12" s="195">
        <f t="shared" si="2"/>
        <v>0.19805</v>
      </c>
    </row>
    <row r="13" spans="1:8" ht="15.6">
      <c r="A13" s="193" t="s">
        <v>212</v>
      </c>
      <c r="B13" s="194" t="s">
        <v>143</v>
      </c>
      <c r="C13" s="194" t="s">
        <v>143</v>
      </c>
      <c r="D13" s="195" t="str">
        <f t="shared" si="0"/>
        <v>NA</v>
      </c>
      <c r="E13" s="196">
        <v>2.8E-3</v>
      </c>
      <c r="F13" s="196">
        <v>5.0200000000000002E-2</v>
      </c>
      <c r="G13" s="80">
        <f t="shared" si="1"/>
        <v>5.5776892430278883E-2</v>
      </c>
      <c r="H13" s="195" t="str">
        <f t="shared" si="2"/>
        <v>NA</v>
      </c>
    </row>
    <row r="14" spans="1:8" ht="15.6">
      <c r="A14" s="193" t="s">
        <v>96</v>
      </c>
      <c r="B14" s="194">
        <v>0.18410000000000001</v>
      </c>
      <c r="C14" s="194">
        <v>0.12330000000000001</v>
      </c>
      <c r="D14" s="195">
        <f t="shared" si="0"/>
        <v>1.4931062449310626</v>
      </c>
      <c r="E14" s="196">
        <v>3.0000000000000001E-3</v>
      </c>
      <c r="F14" s="196">
        <v>1.04E-2</v>
      </c>
      <c r="G14" s="80">
        <f t="shared" si="1"/>
        <v>0.28846153846153849</v>
      </c>
      <c r="H14" s="195">
        <f t="shared" si="2"/>
        <v>0.6382133333333333</v>
      </c>
    </row>
    <row r="15" spans="1:8" ht="15.6">
      <c r="A15" s="193" t="s">
        <v>97</v>
      </c>
      <c r="B15" s="194">
        <v>0.22309999999999999</v>
      </c>
      <c r="C15" s="194">
        <v>0.12330000000000001</v>
      </c>
      <c r="D15" s="195">
        <f t="shared" si="0"/>
        <v>1.8094079480940792</v>
      </c>
      <c r="E15" s="196">
        <v>3.7000000000000002E-3</v>
      </c>
      <c r="F15" s="196">
        <v>8.6999999999999994E-3</v>
      </c>
      <c r="G15" s="80">
        <f t="shared" si="1"/>
        <v>0.42528735632183912</v>
      </c>
      <c r="H15" s="195">
        <f t="shared" si="2"/>
        <v>0.52458648648648643</v>
      </c>
    </row>
    <row r="16" spans="1:8" ht="15.6">
      <c r="A16" s="193" t="s">
        <v>50</v>
      </c>
      <c r="B16" s="194">
        <v>0.1258</v>
      </c>
      <c r="C16" s="194">
        <v>0.14149999999999999</v>
      </c>
      <c r="D16" s="195">
        <f t="shared" si="0"/>
        <v>0.88904593639575979</v>
      </c>
      <c r="E16" s="196">
        <v>4.7999999999999996E-3</v>
      </c>
      <c r="F16" s="196">
        <v>1.6500000000000001E-2</v>
      </c>
      <c r="G16" s="80">
        <f t="shared" si="1"/>
        <v>0.29090909090909089</v>
      </c>
      <c r="H16" s="195">
        <f t="shared" si="2"/>
        <v>0.43243750000000003</v>
      </c>
    </row>
    <row r="17" spans="1:8" ht="15.6">
      <c r="A17" s="193" t="s">
        <v>56</v>
      </c>
      <c r="B17" s="194">
        <v>5.2499999999999998E-2</v>
      </c>
      <c r="C17" s="194">
        <v>6.7400000000000002E-2</v>
      </c>
      <c r="D17" s="195">
        <f t="shared" si="0"/>
        <v>0.77893175074183973</v>
      </c>
      <c r="E17" s="196">
        <v>2.8E-3</v>
      </c>
      <c r="F17" s="196">
        <v>3.49E-2</v>
      </c>
      <c r="G17" s="80">
        <f t="shared" si="1"/>
        <v>8.0229226361031511E-2</v>
      </c>
      <c r="H17" s="195">
        <f t="shared" si="2"/>
        <v>0.65437500000000004</v>
      </c>
    </row>
    <row r="18" spans="1:8" ht="15.6">
      <c r="A18" s="193" t="s">
        <v>98</v>
      </c>
      <c r="B18" s="194">
        <v>9.1899999999999996E-2</v>
      </c>
      <c r="C18" s="194">
        <v>7.1499999999999994E-2</v>
      </c>
      <c r="D18" s="195">
        <f t="shared" si="0"/>
        <v>1.2853146853146853</v>
      </c>
      <c r="E18" s="196">
        <v>4.1999999999999997E-3</v>
      </c>
      <c r="F18" s="196">
        <v>8.3000000000000001E-3</v>
      </c>
      <c r="G18" s="80">
        <f t="shared" si="1"/>
        <v>0.50602409638554213</v>
      </c>
      <c r="H18" s="195">
        <f t="shared" si="2"/>
        <v>0.18161190476190478</v>
      </c>
    </row>
    <row r="19" spans="1:8" ht="15.6">
      <c r="A19" s="193" t="s">
        <v>178</v>
      </c>
      <c r="B19" s="194">
        <v>0.13070000000000001</v>
      </c>
      <c r="C19" s="194">
        <v>0.15659999999999999</v>
      </c>
      <c r="D19" s="195">
        <f t="shared" si="0"/>
        <v>0.83461047254150711</v>
      </c>
      <c r="E19" s="196">
        <v>5.0000000000000001E-3</v>
      </c>
      <c r="F19" s="196">
        <v>1.21E-2</v>
      </c>
      <c r="G19" s="80">
        <f t="shared" si="1"/>
        <v>0.41322314049586778</v>
      </c>
      <c r="H19" s="195">
        <f t="shared" si="2"/>
        <v>0.31629400000000002</v>
      </c>
    </row>
    <row r="20" spans="1:8" ht="15.6">
      <c r="A20" s="193" t="s">
        <v>101</v>
      </c>
      <c r="B20" s="194">
        <v>0.1137</v>
      </c>
      <c r="C20" s="194">
        <v>0.1215</v>
      </c>
      <c r="D20" s="195">
        <f t="shared" si="0"/>
        <v>0.93580246913580245</v>
      </c>
      <c r="E20" s="196">
        <v>3.0000000000000001E-3</v>
      </c>
      <c r="F20" s="196">
        <v>5.4000000000000003E-3</v>
      </c>
      <c r="G20" s="80">
        <f t="shared" si="1"/>
        <v>0.55555555555555558</v>
      </c>
      <c r="H20" s="195">
        <f t="shared" si="2"/>
        <v>0.20465999999999998</v>
      </c>
    </row>
    <row r="21" spans="1:8" ht="15.6">
      <c r="A21" s="193" t="s">
        <v>105</v>
      </c>
      <c r="B21" s="194">
        <v>0.1734</v>
      </c>
      <c r="C21" s="194" t="s">
        <v>143</v>
      </c>
      <c r="D21" s="195" t="str">
        <f t="shared" si="0"/>
        <v>NA</v>
      </c>
      <c r="E21" s="196">
        <v>2.5999999999999999E-3</v>
      </c>
      <c r="F21" s="196">
        <v>3.73E-2</v>
      </c>
      <c r="G21" s="80">
        <f t="shared" si="1"/>
        <v>6.9705093833780152E-2</v>
      </c>
      <c r="H21" s="195">
        <f t="shared" si="2"/>
        <v>2.4876230769230774</v>
      </c>
    </row>
    <row r="22" spans="1:8" ht="15.6">
      <c r="A22" s="193" t="s">
        <v>31</v>
      </c>
      <c r="B22" s="194" t="s">
        <v>143</v>
      </c>
      <c r="C22" s="194" t="s">
        <v>143</v>
      </c>
      <c r="D22" s="195" t="str">
        <f t="shared" si="0"/>
        <v>NA</v>
      </c>
      <c r="E22" s="196">
        <v>3.0999999999999999E-3</v>
      </c>
      <c r="F22" s="196">
        <v>3.9100000000000003E-2</v>
      </c>
      <c r="G22" s="80">
        <f t="shared" si="1"/>
        <v>7.9283887468030681E-2</v>
      </c>
      <c r="H22" s="195" t="str">
        <f t="shared" si="2"/>
        <v>NA</v>
      </c>
    </row>
    <row r="23" spans="1:8" ht="15.6">
      <c r="A23" s="193" t="s">
        <v>106</v>
      </c>
      <c r="B23" s="194">
        <v>7.2499999999999995E-2</v>
      </c>
      <c r="C23" s="194" t="s">
        <v>143</v>
      </c>
      <c r="D23" s="195" t="str">
        <f t="shared" si="0"/>
        <v>NA</v>
      </c>
      <c r="E23" s="196">
        <v>1.9E-3</v>
      </c>
      <c r="F23" s="196">
        <v>7.1000000000000004E-3</v>
      </c>
      <c r="G23" s="80">
        <f t="shared" si="1"/>
        <v>0.26760563380281688</v>
      </c>
      <c r="H23" s="195">
        <f t="shared" si="2"/>
        <v>0.27092105263157895</v>
      </c>
    </row>
    <row r="24" spans="1:8" ht="15.6">
      <c r="A24" s="193" t="s">
        <v>221</v>
      </c>
      <c r="B24" s="194">
        <v>0.12540000000000001</v>
      </c>
      <c r="C24" s="194" t="s">
        <v>143</v>
      </c>
      <c r="D24" s="195" t="str">
        <f t="shared" si="0"/>
        <v>NA</v>
      </c>
      <c r="E24" s="19" t="s">
        <v>525</v>
      </c>
      <c r="F24" s="196" t="s">
        <v>143</v>
      </c>
      <c r="G24" s="80" t="str">
        <f t="shared" si="1"/>
        <v>NA</v>
      </c>
      <c r="H24" s="195" t="str">
        <f t="shared" si="2"/>
        <v>NA</v>
      </c>
    </row>
    <row r="25" spans="1:8" ht="15.6">
      <c r="A25" s="193" t="s">
        <v>182</v>
      </c>
      <c r="B25" s="194">
        <v>0.23719999999999999</v>
      </c>
      <c r="C25" s="194">
        <v>0.1371</v>
      </c>
      <c r="D25" s="195">
        <f t="shared" si="0"/>
        <v>1.7301239970824216</v>
      </c>
      <c r="E25" s="196">
        <v>4.4000000000000003E-3</v>
      </c>
      <c r="F25" s="196">
        <v>2.5100000000000001E-2</v>
      </c>
      <c r="G25" s="80">
        <f t="shared" si="1"/>
        <v>0.1752988047808765</v>
      </c>
      <c r="H25" s="195">
        <f t="shared" si="2"/>
        <v>1.3531181818181817</v>
      </c>
    </row>
    <row r="26" spans="1:8" ht="15.6">
      <c r="A26" s="193" t="s">
        <v>496</v>
      </c>
      <c r="B26" s="194" t="s">
        <v>143</v>
      </c>
      <c r="C26" s="194" t="s">
        <v>143</v>
      </c>
      <c r="D26" s="195" t="str">
        <f t="shared" si="0"/>
        <v>NA</v>
      </c>
      <c r="E26" s="196">
        <v>2.7000000000000001E-3</v>
      </c>
      <c r="F26" s="196">
        <v>2.3E-2</v>
      </c>
      <c r="G26" s="80">
        <f t="shared" si="1"/>
        <v>0.11739130434782609</v>
      </c>
      <c r="H26" s="195" t="str">
        <f t="shared" si="2"/>
        <v>NA</v>
      </c>
    </row>
    <row r="27" spans="1:8" ht="15.6">
      <c r="A27" s="193" t="s">
        <v>109</v>
      </c>
      <c r="B27" s="194">
        <v>0.1573</v>
      </c>
      <c r="C27" s="194">
        <v>0.14019999999999999</v>
      </c>
      <c r="D27" s="195">
        <f t="shared" si="0"/>
        <v>1.1219686162624822</v>
      </c>
      <c r="E27" s="196">
        <v>2.2000000000000001E-3</v>
      </c>
      <c r="F27" s="196">
        <v>7.7000000000000002E-3</v>
      </c>
      <c r="G27" s="80">
        <f t="shared" si="1"/>
        <v>0.2857142857142857</v>
      </c>
      <c r="H27" s="195">
        <f t="shared" si="2"/>
        <v>0.55054999999999998</v>
      </c>
    </row>
    <row r="28" spans="1:8" ht="15.6">
      <c r="A28" s="193" t="s">
        <v>110</v>
      </c>
      <c r="B28" s="194">
        <v>0.1469</v>
      </c>
      <c r="C28" s="194">
        <v>0.17119999999999999</v>
      </c>
      <c r="D28" s="195">
        <f t="shared" si="0"/>
        <v>0.85806074766355145</v>
      </c>
      <c r="E28" s="196">
        <v>4.5999999999999999E-3</v>
      </c>
      <c r="F28" s="196">
        <v>8.5000000000000006E-3</v>
      </c>
      <c r="G28" s="80">
        <f t="shared" si="1"/>
        <v>0.54117647058823526</v>
      </c>
      <c r="H28" s="195">
        <f t="shared" si="2"/>
        <v>0.27144565217391309</v>
      </c>
    </row>
    <row r="29" spans="1:8" ht="15.6">
      <c r="A29" s="193" t="s">
        <v>111</v>
      </c>
      <c r="B29" s="194">
        <v>0.1472</v>
      </c>
      <c r="C29" s="194">
        <v>8.0100000000000005E-2</v>
      </c>
      <c r="D29" s="195">
        <f t="shared" si="0"/>
        <v>1.8377028714107364</v>
      </c>
      <c r="E29" s="196">
        <v>3.0000000000000001E-3</v>
      </c>
      <c r="F29" s="196">
        <v>1.41E-2</v>
      </c>
      <c r="G29" s="80">
        <f t="shared" si="1"/>
        <v>0.21276595744680851</v>
      </c>
      <c r="H29" s="195">
        <f t="shared" si="2"/>
        <v>0.69184000000000001</v>
      </c>
    </row>
    <row r="30" spans="1:8" ht="15.6">
      <c r="A30" s="193" t="s">
        <v>112</v>
      </c>
      <c r="B30" s="194">
        <v>0.12590000000000001</v>
      </c>
      <c r="C30" s="194">
        <v>0.1077</v>
      </c>
      <c r="D30" s="195">
        <f t="shared" si="0"/>
        <v>1.1689879294336118</v>
      </c>
      <c r="E30" s="196">
        <v>4.0000000000000001E-3</v>
      </c>
      <c r="F30" s="196">
        <v>1.66E-2</v>
      </c>
      <c r="G30" s="80">
        <f t="shared" si="1"/>
        <v>0.24096385542168675</v>
      </c>
      <c r="H30" s="195">
        <f t="shared" si="2"/>
        <v>0.52248500000000009</v>
      </c>
    </row>
    <row r="31" spans="1:8" ht="15.6">
      <c r="A31" s="193" t="s">
        <v>183</v>
      </c>
      <c r="B31" s="194">
        <v>0.16900000000000001</v>
      </c>
      <c r="C31" s="194">
        <v>8.5300000000000001E-2</v>
      </c>
      <c r="D31" s="195">
        <f t="shared" si="0"/>
        <v>1.981242672919109</v>
      </c>
      <c r="E31" s="196">
        <v>7.3000000000000001E-3</v>
      </c>
      <c r="F31" s="196">
        <v>3.5999999999999999E-3</v>
      </c>
      <c r="G31" s="80">
        <f t="shared" si="1"/>
        <v>2.0277777777777777</v>
      </c>
      <c r="H31" s="195">
        <f t="shared" si="2"/>
        <v>8.334246575342466E-2</v>
      </c>
    </row>
    <row r="32" spans="1:8" ht="15.6">
      <c r="A32" s="193" t="s">
        <v>331</v>
      </c>
      <c r="B32" s="194" t="s">
        <v>143</v>
      </c>
      <c r="C32" s="194" t="s">
        <v>143</v>
      </c>
      <c r="D32" s="195" t="str">
        <f t="shared" si="0"/>
        <v>NA</v>
      </c>
      <c r="E32" s="196">
        <v>3.3E-3</v>
      </c>
      <c r="F32" s="196">
        <v>5.0599999999999999E-2</v>
      </c>
      <c r="G32" s="80">
        <f t="shared" si="1"/>
        <v>6.5217391304347824E-2</v>
      </c>
      <c r="H32" s="195" t="str">
        <f t="shared" si="2"/>
        <v>NA</v>
      </c>
    </row>
    <row r="33" spans="1:8" ht="15.6">
      <c r="A33" s="193" t="s">
        <v>114</v>
      </c>
      <c r="B33" s="194">
        <v>0.13500000000000001</v>
      </c>
      <c r="C33" s="194">
        <v>0.10059999999999999</v>
      </c>
      <c r="D33" s="195">
        <f t="shared" si="0"/>
        <v>1.3419483101391652</v>
      </c>
      <c r="E33" s="196">
        <v>2.5000000000000001E-3</v>
      </c>
      <c r="F33" s="196">
        <v>8.2000000000000007E-3</v>
      </c>
      <c r="G33" s="80">
        <f t="shared" si="1"/>
        <v>0.3048780487804878</v>
      </c>
      <c r="H33" s="195">
        <f t="shared" si="2"/>
        <v>0.44280000000000003</v>
      </c>
    </row>
    <row r="34" spans="1:8" ht="15.6">
      <c r="A34" s="193" t="s">
        <v>145</v>
      </c>
      <c r="B34" s="194">
        <v>0.1696</v>
      </c>
      <c r="C34" s="194">
        <v>0.1215</v>
      </c>
      <c r="D34" s="195">
        <f t="shared" si="0"/>
        <v>1.3958847736625515</v>
      </c>
      <c r="E34" s="196">
        <v>3.8999999999999998E-3</v>
      </c>
      <c r="F34" s="196">
        <v>2.06E-2</v>
      </c>
      <c r="G34" s="80">
        <f t="shared" si="1"/>
        <v>0.18932038834951456</v>
      </c>
      <c r="H34" s="195">
        <f t="shared" si="2"/>
        <v>0.89583589743589742</v>
      </c>
    </row>
    <row r="35" spans="1:8" ht="15.6">
      <c r="A35" s="193" t="s">
        <v>115</v>
      </c>
      <c r="B35" s="194">
        <v>0.11600000000000001</v>
      </c>
      <c r="C35" s="194" t="s">
        <v>143</v>
      </c>
      <c r="D35" s="195" t="str">
        <f t="shared" si="0"/>
        <v>NA</v>
      </c>
      <c r="E35" s="196" t="s">
        <v>143</v>
      </c>
      <c r="F35" s="196" t="s">
        <v>143</v>
      </c>
      <c r="G35" s="80" t="str">
        <f t="shared" si="1"/>
        <v>NA</v>
      </c>
      <c r="H35" s="195" t="str">
        <f t="shared" si="2"/>
        <v>NA</v>
      </c>
    </row>
    <row r="36" spans="1:8" ht="15.6">
      <c r="A36" s="193" t="s">
        <v>117</v>
      </c>
      <c r="B36" s="194">
        <v>6.1899999999999997E-2</v>
      </c>
      <c r="C36" s="194" t="s">
        <v>526</v>
      </c>
      <c r="D36" s="195" t="str">
        <f t="shared" si="0"/>
        <v>NA</v>
      </c>
      <c r="E36" s="196" t="s">
        <v>143</v>
      </c>
      <c r="F36" s="196" t="s">
        <v>143</v>
      </c>
      <c r="G36" s="80" t="str">
        <f t="shared" si="1"/>
        <v>NA</v>
      </c>
      <c r="H36" s="195" t="str">
        <f t="shared" si="2"/>
        <v>NA</v>
      </c>
    </row>
    <row r="37" spans="1:8" ht="15.6">
      <c r="A37" s="193" t="s">
        <v>342</v>
      </c>
      <c r="B37" s="194">
        <v>0.1193</v>
      </c>
      <c r="C37" s="194" t="s">
        <v>143</v>
      </c>
      <c r="D37" s="195" t="str">
        <f t="shared" si="0"/>
        <v>NA</v>
      </c>
      <c r="E37" s="196">
        <v>3.2000000000000002E-3</v>
      </c>
      <c r="F37" s="196">
        <v>1.0699999999999999E-2</v>
      </c>
      <c r="G37" s="80">
        <f t="shared" si="1"/>
        <v>0.2990654205607477</v>
      </c>
      <c r="H37" s="195">
        <f t="shared" si="2"/>
        <v>0.39890937499999995</v>
      </c>
    </row>
    <row r="38" spans="1:8" ht="15.6">
      <c r="A38" s="193" t="s">
        <v>184</v>
      </c>
      <c r="B38" s="194">
        <v>0.1108</v>
      </c>
      <c r="C38" s="194" t="s">
        <v>143</v>
      </c>
      <c r="D38" s="195" t="str">
        <f t="shared" si="0"/>
        <v>NA</v>
      </c>
      <c r="E38" s="196">
        <v>3.3999999999999998E-3</v>
      </c>
      <c r="F38" s="196">
        <v>4.65E-2</v>
      </c>
      <c r="G38" s="80">
        <f t="shared" si="1"/>
        <v>7.3118279569892475E-2</v>
      </c>
      <c r="H38" s="195">
        <f t="shared" si="2"/>
        <v>1.5153529411764706</v>
      </c>
    </row>
    <row r="39" spans="1:8" ht="15.6">
      <c r="A39" s="193" t="s">
        <v>119</v>
      </c>
      <c r="B39" s="194">
        <v>0.15290000000000001</v>
      </c>
      <c r="C39" s="194">
        <v>0.18540000000000001</v>
      </c>
      <c r="D39" s="195">
        <f t="shared" si="0"/>
        <v>0.8247033441208198</v>
      </c>
      <c r="E39" s="196">
        <v>5.4999999999999997E-3</v>
      </c>
      <c r="F39" s="196">
        <v>5.7000000000000002E-3</v>
      </c>
      <c r="G39" s="80">
        <f t="shared" si="1"/>
        <v>0.96491228070175428</v>
      </c>
      <c r="H39" s="195">
        <f t="shared" si="2"/>
        <v>0.15846000000000002</v>
      </c>
    </row>
    <row r="40" spans="1:8" ht="15.6">
      <c r="A40" s="193" t="s">
        <v>120</v>
      </c>
      <c r="B40" s="194">
        <v>0.18740000000000001</v>
      </c>
      <c r="C40" s="194" t="s">
        <v>143</v>
      </c>
      <c r="D40" s="195" t="str">
        <f t="shared" si="0"/>
        <v>NA</v>
      </c>
      <c r="E40" s="196">
        <v>3.3E-3</v>
      </c>
      <c r="F40" s="196">
        <v>8.9999999999999993E-3</v>
      </c>
      <c r="G40" s="80">
        <f t="shared" si="1"/>
        <v>0.3666666666666667</v>
      </c>
      <c r="H40" s="195">
        <f t="shared" si="2"/>
        <v>0.51109090909090904</v>
      </c>
    </row>
    <row r="41" spans="1:8" ht="15.6">
      <c r="A41" s="193" t="s">
        <v>343</v>
      </c>
      <c r="B41" s="194">
        <v>0.19670000000000001</v>
      </c>
      <c r="C41" s="194" t="s">
        <v>143</v>
      </c>
      <c r="D41" s="195" t="str">
        <f t="shared" si="0"/>
        <v>NA</v>
      </c>
      <c r="E41" s="196" t="s">
        <v>143</v>
      </c>
      <c r="F41" s="196" t="s">
        <v>143</v>
      </c>
      <c r="G41" s="80" t="str">
        <f t="shared" si="1"/>
        <v>NA</v>
      </c>
      <c r="H41" s="195" t="str">
        <f t="shared" si="2"/>
        <v>NA</v>
      </c>
    </row>
    <row r="42" spans="1:8" ht="15.6">
      <c r="A42" s="193" t="s">
        <v>121</v>
      </c>
      <c r="B42" s="194">
        <v>0.1285</v>
      </c>
      <c r="C42" s="194">
        <v>8.8499999999999995E-2</v>
      </c>
      <c r="D42" s="195">
        <f t="shared" si="0"/>
        <v>1.4519774011299436</v>
      </c>
      <c r="E42" s="196">
        <v>2.0999999999999999E-3</v>
      </c>
      <c r="F42" s="196">
        <v>8.6E-3</v>
      </c>
      <c r="G42" s="80">
        <f t="shared" si="1"/>
        <v>0.2441860465116279</v>
      </c>
      <c r="H42" s="195">
        <f t="shared" si="2"/>
        <v>0.52623809523809528</v>
      </c>
    </row>
    <row r="43" spans="1:8" ht="15.6">
      <c r="A43" s="193" t="s">
        <v>122</v>
      </c>
      <c r="B43" s="194">
        <v>0.18049999999999999</v>
      </c>
      <c r="C43" s="194">
        <v>0.15659999999999999</v>
      </c>
      <c r="D43" s="195">
        <f t="shared" si="0"/>
        <v>1.1526181353767562</v>
      </c>
      <c r="E43" s="196">
        <v>2.8899999999999999E-2</v>
      </c>
      <c r="F43" s="196">
        <v>2.0543</v>
      </c>
      <c r="G43" s="80">
        <f t="shared" si="1"/>
        <v>1.4068052377938957E-2</v>
      </c>
      <c r="H43" s="195">
        <f t="shared" si="2"/>
        <v>12.830489619377163</v>
      </c>
    </row>
    <row r="44" spans="1:8" ht="15.6">
      <c r="A44" s="193" t="s">
        <v>13</v>
      </c>
      <c r="B44" s="194">
        <v>7.0999999999999994E-2</v>
      </c>
      <c r="C44" s="194" t="s">
        <v>143</v>
      </c>
      <c r="D44" s="195" t="str">
        <f t="shared" si="0"/>
        <v>NA</v>
      </c>
      <c r="E44" s="196">
        <v>2.2000000000000001E-3</v>
      </c>
      <c r="F44" s="196">
        <v>7.7999999999999996E-3</v>
      </c>
      <c r="G44" s="80">
        <f t="shared" si="1"/>
        <v>0.2820512820512821</v>
      </c>
      <c r="H44" s="195">
        <f t="shared" si="2"/>
        <v>0.25172727272727263</v>
      </c>
    </row>
    <row r="45" spans="1:8" ht="15.6">
      <c r="A45" s="193" t="s">
        <v>146</v>
      </c>
      <c r="B45" s="194">
        <v>0.1171</v>
      </c>
      <c r="C45" s="194" t="s">
        <v>143</v>
      </c>
      <c r="D45" s="195" t="str">
        <f t="shared" si="0"/>
        <v>NA</v>
      </c>
      <c r="E45" s="19" t="s">
        <v>143</v>
      </c>
      <c r="F45" s="196" t="s">
        <v>143</v>
      </c>
      <c r="G45" s="80" t="str">
        <f t="shared" si="1"/>
        <v>NA</v>
      </c>
      <c r="H45" s="195" t="str">
        <f t="shared" si="2"/>
        <v>NA</v>
      </c>
    </row>
    <row r="46" spans="1:8" ht="15.6">
      <c r="A46" s="193" t="s">
        <v>14</v>
      </c>
      <c r="B46" s="194">
        <v>8.7400000000000005E-2</v>
      </c>
      <c r="C46" s="194">
        <v>0.1222</v>
      </c>
      <c r="D46" s="195">
        <f t="shared" si="0"/>
        <v>0.71522094926350244</v>
      </c>
      <c r="E46" s="196">
        <v>5.1000000000000004E-3</v>
      </c>
      <c r="F46" s="196">
        <v>9.7000000000000003E-3</v>
      </c>
      <c r="G46" s="80">
        <f t="shared" si="1"/>
        <v>0.52577319587628868</v>
      </c>
      <c r="H46" s="195">
        <f t="shared" si="2"/>
        <v>0.16623137254901962</v>
      </c>
    </row>
    <row r="47" spans="1:8" ht="15.6">
      <c r="A47" s="193" t="s">
        <v>186</v>
      </c>
      <c r="B47" s="194">
        <v>8.1500000000000003E-2</v>
      </c>
      <c r="C47" s="194" t="s">
        <v>143</v>
      </c>
      <c r="D47" s="195" t="str">
        <f t="shared" si="0"/>
        <v>NA</v>
      </c>
      <c r="E47" s="19"/>
      <c r="F47" s="196" t="s">
        <v>143</v>
      </c>
      <c r="G47" s="80" t="str">
        <f t="shared" si="1"/>
        <v>NA</v>
      </c>
      <c r="H47" s="195" t="str">
        <f t="shared" si="2"/>
        <v>NA</v>
      </c>
    </row>
    <row r="48" spans="1:8" ht="15.6">
      <c r="A48" s="193" t="s">
        <v>15</v>
      </c>
      <c r="B48" s="194">
        <v>5.21E-2</v>
      </c>
      <c r="C48" s="194" t="s">
        <v>143</v>
      </c>
      <c r="D48" s="195" t="str">
        <f t="shared" si="0"/>
        <v>NA</v>
      </c>
      <c r="E48" s="19"/>
      <c r="F48" s="196" t="s">
        <v>143</v>
      </c>
      <c r="G48" s="80" t="str">
        <f t="shared" si="1"/>
        <v>NA</v>
      </c>
      <c r="H48" s="195" t="str">
        <f t="shared" si="2"/>
        <v>NA</v>
      </c>
    </row>
    <row r="49" spans="1:8" ht="15.6">
      <c r="A49" s="193" t="s">
        <v>16</v>
      </c>
      <c r="B49" s="194">
        <v>0.15240000000000001</v>
      </c>
      <c r="C49" s="194">
        <v>5.9400000000000001E-2</v>
      </c>
      <c r="D49" s="195">
        <f t="shared" si="0"/>
        <v>2.5656565656565657</v>
      </c>
      <c r="E49" s="196">
        <v>4.4000000000000003E-3</v>
      </c>
      <c r="F49" s="196">
        <v>1.7100000000000001E-2</v>
      </c>
      <c r="G49" s="80">
        <f t="shared" si="1"/>
        <v>0.25730994152046782</v>
      </c>
      <c r="H49" s="195">
        <f t="shared" si="2"/>
        <v>0.59228181818181824</v>
      </c>
    </row>
    <row r="50" spans="1:8" ht="15.6">
      <c r="A50" s="193" t="s">
        <v>63</v>
      </c>
      <c r="B50" s="194">
        <v>0.1137</v>
      </c>
      <c r="C50" s="194" t="s">
        <v>143</v>
      </c>
      <c r="D50" s="195" t="str">
        <f t="shared" si="0"/>
        <v>NA</v>
      </c>
      <c r="E50" s="19"/>
      <c r="F50" s="196" t="s">
        <v>143</v>
      </c>
      <c r="G50" s="80" t="str">
        <f t="shared" si="1"/>
        <v>NA</v>
      </c>
      <c r="H50" s="195" t="str">
        <f t="shared" si="2"/>
        <v>NA</v>
      </c>
    </row>
    <row r="51" spans="1:8" ht="15.6">
      <c r="A51" s="193" t="s">
        <v>8</v>
      </c>
      <c r="B51" s="194">
        <v>9.5500000000000002E-2</v>
      </c>
      <c r="C51" s="194" t="s">
        <v>143</v>
      </c>
      <c r="D51" s="195" t="str">
        <f t="shared" si="0"/>
        <v>NA</v>
      </c>
      <c r="E51" s="19"/>
      <c r="F51" s="196" t="s">
        <v>143</v>
      </c>
      <c r="G51" s="80" t="str">
        <f t="shared" si="1"/>
        <v>NA</v>
      </c>
      <c r="H51" s="195" t="str">
        <f t="shared" si="2"/>
        <v>NA</v>
      </c>
    </row>
    <row r="52" spans="1:8" ht="15.6">
      <c r="A52" s="193" t="s">
        <v>18</v>
      </c>
      <c r="B52" s="194">
        <v>8.8599999999999998E-2</v>
      </c>
      <c r="C52" s="194" t="s">
        <v>143</v>
      </c>
      <c r="D52" s="195" t="str">
        <f t="shared" si="0"/>
        <v>NA</v>
      </c>
      <c r="E52" s="196">
        <v>3.8999999999999998E-3</v>
      </c>
      <c r="F52" s="196">
        <v>1.4500000000000001E-2</v>
      </c>
      <c r="G52" s="80">
        <f t="shared" si="1"/>
        <v>0.26896551724137929</v>
      </c>
      <c r="H52" s="195">
        <f t="shared" si="2"/>
        <v>0.32941025641025645</v>
      </c>
    </row>
    <row r="53" spans="1:8" ht="15.6">
      <c r="A53" s="193" t="s">
        <v>136</v>
      </c>
      <c r="B53" s="194">
        <v>0.1787</v>
      </c>
      <c r="C53" s="194" t="s">
        <v>143</v>
      </c>
      <c r="D53" s="195" t="str">
        <f t="shared" si="0"/>
        <v>NA</v>
      </c>
      <c r="E53" s="196" t="s">
        <v>143</v>
      </c>
      <c r="F53" s="196" t="s">
        <v>143</v>
      </c>
      <c r="G53" s="80" t="str">
        <f t="shared" si="1"/>
        <v>NA</v>
      </c>
      <c r="H53" s="195" t="str">
        <f t="shared" si="2"/>
        <v>NA</v>
      </c>
    </row>
    <row r="54" spans="1:8" ht="15.6">
      <c r="A54" s="193" t="s">
        <v>188</v>
      </c>
      <c r="B54" s="194">
        <v>0.1303</v>
      </c>
      <c r="C54" s="194" t="s">
        <v>143</v>
      </c>
      <c r="D54" s="195" t="str">
        <f t="shared" si="0"/>
        <v>NA</v>
      </c>
      <c r="E54" s="196">
        <v>4.0000000000000001E-3</v>
      </c>
      <c r="F54" s="196">
        <v>3.6499999999999998E-2</v>
      </c>
      <c r="G54" s="80">
        <f t="shared" si="1"/>
        <v>0.10958904109589042</v>
      </c>
      <c r="H54" s="195">
        <f t="shared" si="2"/>
        <v>1.1889874999999999</v>
      </c>
    </row>
    <row r="55" spans="1:8" ht="15.6">
      <c r="A55" s="193" t="s">
        <v>24</v>
      </c>
      <c r="B55" s="194">
        <v>7.8299999999999995E-2</v>
      </c>
      <c r="C55" s="194" t="s">
        <v>143</v>
      </c>
      <c r="D55" s="195" t="str">
        <f t="shared" si="0"/>
        <v>NA</v>
      </c>
      <c r="E55" s="196">
        <v>4.1000000000000003E-3</v>
      </c>
      <c r="F55" s="196">
        <v>3.8300000000000001E-2</v>
      </c>
      <c r="G55" s="80">
        <f t="shared" si="1"/>
        <v>0.10704960835509139</v>
      </c>
      <c r="H55" s="195">
        <f t="shared" si="2"/>
        <v>0.73143658536585354</v>
      </c>
    </row>
    <row r="56" spans="1:8" ht="15.6">
      <c r="A56" s="193" t="s">
        <v>25</v>
      </c>
      <c r="B56" s="194">
        <v>0.19869999999999999</v>
      </c>
      <c r="C56" s="194">
        <v>0.1018</v>
      </c>
      <c r="D56" s="195">
        <f t="shared" si="0"/>
        <v>1.9518664047151275</v>
      </c>
      <c r="E56" s="196">
        <v>3.0000000000000001E-3</v>
      </c>
      <c r="F56" s="196">
        <v>4.2599999999999999E-2</v>
      </c>
      <c r="G56" s="80">
        <f t="shared" si="1"/>
        <v>7.0422535211267609E-2</v>
      </c>
      <c r="H56" s="195">
        <f t="shared" si="2"/>
        <v>2.8215399999999997</v>
      </c>
    </row>
    <row r="57" spans="1:8" ht="15.6">
      <c r="A57" s="193" t="s">
        <v>344</v>
      </c>
      <c r="B57" s="194">
        <v>5.4199999999999998E-2</v>
      </c>
      <c r="C57" s="194" t="s">
        <v>143</v>
      </c>
      <c r="D57" s="195" t="str">
        <f t="shared" si="0"/>
        <v>NA</v>
      </c>
      <c r="E57" s="196" t="s">
        <v>143</v>
      </c>
      <c r="F57" s="196" t="s">
        <v>143</v>
      </c>
      <c r="G57" s="80" t="str">
        <f t="shared" si="1"/>
        <v>NA</v>
      </c>
      <c r="H57" s="195" t="str">
        <f t="shared" si="2"/>
        <v>NA</v>
      </c>
    </row>
    <row r="58" spans="1:8" ht="15.6">
      <c r="A58" s="193" t="s">
        <v>26</v>
      </c>
      <c r="B58" s="194">
        <v>2.92E-2</v>
      </c>
      <c r="C58" s="194" t="s">
        <v>143</v>
      </c>
      <c r="D58" s="195" t="str">
        <f t="shared" si="0"/>
        <v>NA</v>
      </c>
      <c r="E58" s="196">
        <v>2.5999999999999999E-3</v>
      </c>
      <c r="F58" s="196">
        <v>1.09E-2</v>
      </c>
      <c r="G58" s="80">
        <f t="shared" si="1"/>
        <v>0.2385321100917431</v>
      </c>
      <c r="H58" s="195">
        <f t="shared" si="2"/>
        <v>0.12241538461538462</v>
      </c>
    </row>
    <row r="59" spans="1:8" ht="15.6">
      <c r="A59" s="193" t="s">
        <v>28</v>
      </c>
      <c r="B59" s="194">
        <v>0.1114</v>
      </c>
      <c r="C59" s="194">
        <v>8.3000000000000004E-2</v>
      </c>
      <c r="D59" s="195">
        <f t="shared" si="0"/>
        <v>1.3421686746987951</v>
      </c>
      <c r="E59" s="196">
        <v>2.5999999999999999E-3</v>
      </c>
      <c r="F59" s="196">
        <v>1.09E-2</v>
      </c>
      <c r="G59" s="80">
        <f t="shared" si="1"/>
        <v>0.2385321100917431</v>
      </c>
      <c r="H59" s="195">
        <f t="shared" si="2"/>
        <v>0.46702307692307693</v>
      </c>
    </row>
    <row r="60" spans="1:8" ht="15.6">
      <c r="A60" s="193" t="s">
        <v>29</v>
      </c>
      <c r="B60" s="194">
        <v>0.1595</v>
      </c>
      <c r="C60" s="194">
        <v>7.8600000000000003E-2</v>
      </c>
      <c r="D60" s="195">
        <f t="shared" si="0"/>
        <v>2.0292620865139948</v>
      </c>
      <c r="E60" s="196">
        <v>4.8999999999999998E-3</v>
      </c>
      <c r="F60" s="196">
        <v>1.03E-2</v>
      </c>
      <c r="G60" s="80">
        <f t="shared" si="1"/>
        <v>0.47572815533980578</v>
      </c>
      <c r="H60" s="195">
        <f t="shared" si="2"/>
        <v>0.33527551020408169</v>
      </c>
    </row>
    <row r="61" spans="1:8" ht="15.6">
      <c r="A61" s="193" t="s">
        <v>30</v>
      </c>
      <c r="B61" s="194">
        <v>0.15390000000000001</v>
      </c>
      <c r="C61" s="194">
        <v>0.1825</v>
      </c>
      <c r="D61" s="195">
        <f t="shared" si="0"/>
        <v>0.84328767123287673</v>
      </c>
      <c r="E61" s="196">
        <v>2.0999999999999999E-3</v>
      </c>
      <c r="F61" s="196">
        <v>7.9000000000000008E-3</v>
      </c>
      <c r="G61" s="80">
        <f t="shared" si="1"/>
        <v>0.26582278481012656</v>
      </c>
      <c r="H61" s="195">
        <f t="shared" si="2"/>
        <v>0.57895714285714295</v>
      </c>
    </row>
    <row r="62" spans="1:8" ht="15.6">
      <c r="A62" s="193" t="s">
        <v>189</v>
      </c>
      <c r="B62" s="194">
        <v>0.1295</v>
      </c>
      <c r="C62" s="194">
        <v>0.16550000000000001</v>
      </c>
      <c r="D62" s="195">
        <f t="shared" si="0"/>
        <v>0.78247734138972813</v>
      </c>
      <c r="E62" s="196">
        <v>4.8999999999999998E-3</v>
      </c>
      <c r="F62" s="196">
        <v>8.3000000000000001E-3</v>
      </c>
      <c r="G62" s="80">
        <f t="shared" si="1"/>
        <v>0.59036144578313254</v>
      </c>
      <c r="H62" s="195">
        <f t="shared" si="2"/>
        <v>0.21935714285714286</v>
      </c>
    </row>
    <row r="63" spans="1:8" ht="15.6">
      <c r="A63" s="193" t="s">
        <v>74</v>
      </c>
      <c r="B63" s="194">
        <v>0.13270000000000001</v>
      </c>
      <c r="C63" s="194" t="s">
        <v>143</v>
      </c>
      <c r="D63" s="195" t="str">
        <f t="shared" si="0"/>
        <v>NA</v>
      </c>
      <c r="E63" s="196">
        <v>3.3E-3</v>
      </c>
      <c r="F63" s="196">
        <v>9.2999999999999992E-3</v>
      </c>
      <c r="G63" s="80">
        <f t="shared" si="1"/>
        <v>0.35483870967741937</v>
      </c>
      <c r="H63" s="195">
        <f t="shared" si="2"/>
        <v>0.37397272727272729</v>
      </c>
    </row>
    <row r="64" spans="1:8" ht="15.6">
      <c r="A64" s="193" t="s">
        <v>0</v>
      </c>
      <c r="B64" s="194">
        <v>0.1275</v>
      </c>
      <c r="C64" s="194">
        <v>9.7100000000000006E-2</v>
      </c>
      <c r="D64" s="195">
        <f t="shared" si="0"/>
        <v>1.3130792996910401</v>
      </c>
      <c r="E64" s="196">
        <v>2.5000000000000001E-3</v>
      </c>
      <c r="F64" s="196">
        <v>1.24E-2</v>
      </c>
      <c r="G64" s="80">
        <f t="shared" si="1"/>
        <v>0.20161290322580647</v>
      </c>
      <c r="H64" s="195">
        <f t="shared" si="2"/>
        <v>0.63239999999999996</v>
      </c>
    </row>
    <row r="65" spans="1:8" ht="15.6">
      <c r="A65" s="193" t="s">
        <v>1</v>
      </c>
      <c r="B65" s="194">
        <v>0.1333</v>
      </c>
      <c r="C65" s="194">
        <v>0.10009999999999999</v>
      </c>
      <c r="D65" s="195">
        <f t="shared" si="0"/>
        <v>1.3316683316683318</v>
      </c>
      <c r="E65" s="196">
        <v>3.8999999999999998E-3</v>
      </c>
      <c r="F65" s="196">
        <v>1.41E-2</v>
      </c>
      <c r="G65" s="80">
        <f t="shared" si="1"/>
        <v>0.27659574468085107</v>
      </c>
      <c r="H65" s="195">
        <f t="shared" si="2"/>
        <v>0.48193076923076922</v>
      </c>
    </row>
    <row r="66" spans="1:8" ht="15.6">
      <c r="A66" s="193" t="s">
        <v>227</v>
      </c>
      <c r="B66" s="194" t="s">
        <v>143</v>
      </c>
      <c r="C66" s="194" t="s">
        <v>143</v>
      </c>
      <c r="D66" s="195" t="str">
        <f t="shared" si="0"/>
        <v>NA</v>
      </c>
      <c r="E66" s="196">
        <v>3.3999999999999998E-3</v>
      </c>
      <c r="F66" s="196">
        <v>3.6400000000000002E-2</v>
      </c>
      <c r="G66" s="80">
        <f t="shared" si="1"/>
        <v>9.3406593406593394E-2</v>
      </c>
      <c r="H66" s="195" t="str">
        <f t="shared" si="2"/>
        <v>NA</v>
      </c>
    </row>
    <row r="67" spans="1:8" ht="15.6">
      <c r="A67" s="193" t="s">
        <v>2</v>
      </c>
      <c r="B67" s="194">
        <v>0.1573</v>
      </c>
      <c r="C67" s="194" t="s">
        <v>143</v>
      </c>
      <c r="D67" s="195" t="str">
        <f t="shared" si="0"/>
        <v>NA</v>
      </c>
      <c r="E67" s="196">
        <v>3.7000000000000002E-3</v>
      </c>
      <c r="F67" s="196">
        <v>1.23E-2</v>
      </c>
      <c r="G67" s="80">
        <f t="shared" si="1"/>
        <v>0.30081300813008133</v>
      </c>
      <c r="H67" s="195">
        <f t="shared" si="2"/>
        <v>0.5229162162162162</v>
      </c>
    </row>
    <row r="68" spans="1:8" ht="15.6">
      <c r="A68" s="193" t="s">
        <v>135</v>
      </c>
      <c r="B68" s="194" t="s">
        <v>143</v>
      </c>
      <c r="C68" s="194" t="s">
        <v>143</v>
      </c>
      <c r="D68" s="195" t="str">
        <f t="shared" si="0"/>
        <v>NA</v>
      </c>
      <c r="E68" s="196">
        <v>4.0000000000000001E-3</v>
      </c>
      <c r="F68" s="196">
        <v>3.3099999999999997E-2</v>
      </c>
      <c r="G68" s="80">
        <f t="shared" si="1"/>
        <v>0.12084592145015106</v>
      </c>
      <c r="H68" s="195" t="str">
        <f t="shared" si="2"/>
        <v>NA</v>
      </c>
    </row>
    <row r="69" spans="1:8" ht="15.6">
      <c r="A69" s="193" t="s">
        <v>147</v>
      </c>
      <c r="B69" s="194">
        <v>7.3899999999999993E-2</v>
      </c>
      <c r="C69" s="194">
        <v>0.1011</v>
      </c>
      <c r="D69" s="195">
        <f t="shared" ref="D69:D87" si="3">IF(C69="NA","NA",B69/C69)</f>
        <v>0.73095944609297725</v>
      </c>
      <c r="E69" s="196">
        <v>3.0000000000000001E-3</v>
      </c>
      <c r="F69" s="196">
        <v>1.21E-2</v>
      </c>
      <c r="G69" s="80">
        <f t="shared" ref="G69:G87" si="4">IF(F69="NA","NA",E69/F69)</f>
        <v>0.24793388429752067</v>
      </c>
      <c r="H69" s="195">
        <f t="shared" ref="H69:H87" si="5">IF(G69="NA","NA",(IF(B69="NA","NA",B69/G69)))</f>
        <v>0.29806333333333329</v>
      </c>
    </row>
    <row r="70" spans="1:8" ht="15.6">
      <c r="A70" s="193" t="s">
        <v>3</v>
      </c>
      <c r="B70" s="194">
        <v>0.1075</v>
      </c>
      <c r="C70" s="194" t="s">
        <v>143</v>
      </c>
      <c r="D70" s="195" t="str">
        <f t="shared" si="3"/>
        <v>NA</v>
      </c>
      <c r="E70" s="19" t="s">
        <v>143</v>
      </c>
      <c r="F70" s="196" t="s">
        <v>143</v>
      </c>
      <c r="G70" s="80" t="str">
        <f t="shared" si="4"/>
        <v>NA</v>
      </c>
      <c r="H70" s="195" t="str">
        <f t="shared" si="5"/>
        <v>NA</v>
      </c>
    </row>
    <row r="71" spans="1:8" ht="15.6">
      <c r="A71" s="193" t="s">
        <v>61</v>
      </c>
      <c r="B71" s="194">
        <v>0.1313</v>
      </c>
      <c r="C71" s="194">
        <v>0.12859999999999999</v>
      </c>
      <c r="D71" s="195">
        <f t="shared" si="3"/>
        <v>1.0209953343701401</v>
      </c>
      <c r="E71" s="196">
        <v>3.2000000000000002E-3</v>
      </c>
      <c r="F71" s="196">
        <v>6.7999999999999996E-3</v>
      </c>
      <c r="G71" s="80">
        <f t="shared" si="4"/>
        <v>0.4705882352941177</v>
      </c>
      <c r="H71" s="195">
        <f t="shared" si="5"/>
        <v>0.2790125</v>
      </c>
    </row>
    <row r="72" spans="1:8" ht="15.6">
      <c r="A72" s="193" t="s">
        <v>190</v>
      </c>
      <c r="B72" s="194">
        <v>9.4E-2</v>
      </c>
      <c r="C72" s="194">
        <v>0.1449</v>
      </c>
      <c r="D72" s="195">
        <f t="shared" si="3"/>
        <v>0.64872325741890957</v>
      </c>
      <c r="E72" s="196">
        <v>1.6999999999999999E-3</v>
      </c>
      <c r="F72" s="196">
        <v>1.0999999999999999E-2</v>
      </c>
      <c r="G72" s="80">
        <f t="shared" si="4"/>
        <v>0.15454545454545454</v>
      </c>
      <c r="H72" s="195">
        <f t="shared" si="5"/>
        <v>0.6082352941176471</v>
      </c>
    </row>
    <row r="73" spans="1:8" ht="15.6">
      <c r="A73" s="193" t="s">
        <v>76</v>
      </c>
      <c r="B73" s="194">
        <v>0.15640000000000001</v>
      </c>
      <c r="C73" s="194">
        <v>9.8599999999999993E-2</v>
      </c>
      <c r="D73" s="195">
        <f t="shared" si="3"/>
        <v>1.5862068965517244</v>
      </c>
      <c r="E73" s="196">
        <v>3.3E-3</v>
      </c>
      <c r="F73" s="196">
        <v>3.0200000000000001E-2</v>
      </c>
      <c r="G73" s="80">
        <f t="shared" si="4"/>
        <v>0.10927152317880794</v>
      </c>
      <c r="H73" s="195">
        <f t="shared" si="5"/>
        <v>1.43129696969697</v>
      </c>
    </row>
    <row r="74" spans="1:8" ht="15.6">
      <c r="A74" s="193" t="s">
        <v>138</v>
      </c>
      <c r="B74" s="194">
        <v>0.1434</v>
      </c>
      <c r="C74" s="194">
        <v>0.14560000000000001</v>
      </c>
      <c r="D74" s="195">
        <f t="shared" si="3"/>
        <v>0.98489010989010983</v>
      </c>
      <c r="E74" s="196">
        <v>3.2000000000000002E-3</v>
      </c>
      <c r="F74" s="196">
        <v>8.2000000000000007E-3</v>
      </c>
      <c r="G74" s="80">
        <f t="shared" si="4"/>
        <v>0.3902439024390244</v>
      </c>
      <c r="H74" s="195">
        <f t="shared" si="5"/>
        <v>0.36746249999999997</v>
      </c>
    </row>
    <row r="75" spans="1:8" ht="15.6">
      <c r="A75" s="193" t="s">
        <v>134</v>
      </c>
      <c r="B75" s="194">
        <v>9.4100000000000003E-2</v>
      </c>
      <c r="C75" s="194" t="s">
        <v>143</v>
      </c>
      <c r="D75" s="195" t="str">
        <f t="shared" si="3"/>
        <v>NA</v>
      </c>
      <c r="E75" s="196" t="s">
        <v>143</v>
      </c>
      <c r="F75" s="196" t="s">
        <v>143</v>
      </c>
      <c r="G75" s="80" t="str">
        <f t="shared" si="4"/>
        <v>NA</v>
      </c>
      <c r="H75" s="195" t="str">
        <f t="shared" si="5"/>
        <v>NA</v>
      </c>
    </row>
    <row r="76" spans="1:8" ht="15.6">
      <c r="A76" s="193" t="s">
        <v>64</v>
      </c>
      <c r="B76" s="194">
        <v>0.1249</v>
      </c>
      <c r="C76" s="194">
        <v>0.21659999999999999</v>
      </c>
      <c r="D76" s="195">
        <f t="shared" si="3"/>
        <v>0.57663896583564178</v>
      </c>
      <c r="E76" s="196" t="s">
        <v>143</v>
      </c>
      <c r="F76" s="196" t="s">
        <v>143</v>
      </c>
      <c r="G76" s="80" t="str">
        <f t="shared" si="4"/>
        <v>NA</v>
      </c>
      <c r="H76" s="195" t="str">
        <f t="shared" si="5"/>
        <v>NA</v>
      </c>
    </row>
    <row r="77" spans="1:8" ht="15.6">
      <c r="A77" s="193" t="s">
        <v>332</v>
      </c>
      <c r="B77" s="194">
        <v>0.24740000000000001</v>
      </c>
      <c r="C77" s="194">
        <v>0.15479999999999999</v>
      </c>
      <c r="D77" s="195">
        <f t="shared" si="3"/>
        <v>1.5981912144702843</v>
      </c>
      <c r="E77" s="196" t="s">
        <v>143</v>
      </c>
      <c r="F77" s="196" t="s">
        <v>143</v>
      </c>
      <c r="G77" s="80" t="str">
        <f t="shared" si="4"/>
        <v>NA</v>
      </c>
      <c r="H77" s="195" t="str">
        <f t="shared" si="5"/>
        <v>NA</v>
      </c>
    </row>
    <row r="78" spans="1:8" ht="15.6">
      <c r="A78" s="193" t="s">
        <v>65</v>
      </c>
      <c r="B78" s="194">
        <v>0.13489999999999999</v>
      </c>
      <c r="C78" s="194">
        <v>0.1726</v>
      </c>
      <c r="D78" s="195">
        <f t="shared" si="3"/>
        <v>0.78157589803012739</v>
      </c>
      <c r="E78" s="196">
        <v>4.3E-3</v>
      </c>
      <c r="F78" s="196">
        <v>6.4999999999999997E-3</v>
      </c>
      <c r="G78" s="80">
        <f t="shared" si="4"/>
        <v>0.66153846153846152</v>
      </c>
      <c r="H78" s="195">
        <f t="shared" si="5"/>
        <v>0.20391860465116279</v>
      </c>
    </row>
    <row r="79" spans="1:8" ht="15.6">
      <c r="A79" s="193" t="s">
        <v>77</v>
      </c>
      <c r="B79" s="194">
        <v>5.6899999999999999E-2</v>
      </c>
      <c r="C79" s="194" t="s">
        <v>143</v>
      </c>
      <c r="D79" s="195" t="str">
        <f t="shared" si="3"/>
        <v>NA</v>
      </c>
      <c r="E79" s="196">
        <v>5.9999999999999995E-4</v>
      </c>
      <c r="F79" s="196">
        <v>0.04</v>
      </c>
      <c r="G79" s="80">
        <f t="shared" si="4"/>
        <v>1.4999999999999998E-2</v>
      </c>
      <c r="H79" s="195">
        <f t="shared" si="5"/>
        <v>3.7933333333333339</v>
      </c>
    </row>
    <row r="80" spans="1:8" ht="15.6">
      <c r="A80" s="193" t="s">
        <v>66</v>
      </c>
      <c r="B80" s="194">
        <v>0.2215</v>
      </c>
      <c r="C80" s="194">
        <v>0.15670000000000001</v>
      </c>
      <c r="D80" s="195">
        <f t="shared" si="3"/>
        <v>1.4135290363752393</v>
      </c>
      <c r="E80" s="196">
        <v>4.1000000000000003E-3</v>
      </c>
      <c r="F80" s="196">
        <v>3.9899999999999998E-2</v>
      </c>
      <c r="G80" s="80">
        <f t="shared" si="4"/>
        <v>0.10275689223057645</v>
      </c>
      <c r="H80" s="195">
        <f t="shared" si="5"/>
        <v>2.155573170731707</v>
      </c>
    </row>
    <row r="81" spans="1:8" ht="15.6">
      <c r="A81" s="193" t="s">
        <v>345</v>
      </c>
      <c r="B81" s="194">
        <v>0.1537</v>
      </c>
      <c r="C81" s="194" t="s">
        <v>143</v>
      </c>
      <c r="D81" s="195" t="str">
        <f t="shared" si="3"/>
        <v>NA</v>
      </c>
      <c r="E81" s="19"/>
      <c r="F81" s="196" t="s">
        <v>143</v>
      </c>
      <c r="G81" s="80" t="str">
        <f t="shared" si="4"/>
        <v>NA</v>
      </c>
      <c r="H81" s="195" t="str">
        <f t="shared" si="5"/>
        <v>NA</v>
      </c>
    </row>
    <row r="82" spans="1:8" ht="15.6">
      <c r="A82" s="193" t="s">
        <v>68</v>
      </c>
      <c r="B82" s="194">
        <v>0.10879999999999999</v>
      </c>
      <c r="C82" s="194">
        <v>0.188</v>
      </c>
      <c r="D82" s="195">
        <f t="shared" si="3"/>
        <v>0.5787234042553191</v>
      </c>
      <c r="E82" s="196">
        <v>4.0000000000000001E-3</v>
      </c>
      <c r="F82" s="196">
        <v>4.5199999999999997E-2</v>
      </c>
      <c r="G82" s="80">
        <f t="shared" si="4"/>
        <v>8.8495575221238951E-2</v>
      </c>
      <c r="H82" s="195">
        <f t="shared" si="5"/>
        <v>1.2294399999999999</v>
      </c>
    </row>
    <row r="83" spans="1:8" ht="15.6">
      <c r="A83" s="193" t="s">
        <v>69</v>
      </c>
      <c r="B83" s="194" t="s">
        <v>143</v>
      </c>
      <c r="C83" s="194" t="s">
        <v>143</v>
      </c>
      <c r="D83" s="195" t="str">
        <f t="shared" si="3"/>
        <v>NA</v>
      </c>
      <c r="E83" s="196">
        <v>3.8999999999999998E-3</v>
      </c>
      <c r="F83" s="196">
        <v>1.7299999999999999E-2</v>
      </c>
      <c r="G83" s="80">
        <f t="shared" si="4"/>
        <v>0.22543352601156069</v>
      </c>
      <c r="H83" s="195" t="str">
        <f t="shared" si="5"/>
        <v>NA</v>
      </c>
    </row>
    <row r="84" spans="1:8" ht="15.6">
      <c r="A84" s="197" t="s">
        <v>193</v>
      </c>
      <c r="B84" s="194">
        <v>0.14319999999999999</v>
      </c>
      <c r="C84" s="194" t="s">
        <v>143</v>
      </c>
      <c r="D84" s="195" t="str">
        <f t="shared" si="3"/>
        <v>NA</v>
      </c>
      <c r="E84" s="196" t="s">
        <v>143</v>
      </c>
      <c r="F84" s="196" t="s">
        <v>143</v>
      </c>
      <c r="G84" s="80" t="str">
        <f t="shared" si="4"/>
        <v>NA</v>
      </c>
      <c r="H84" s="195" t="str">
        <f t="shared" si="5"/>
        <v>NA</v>
      </c>
    </row>
    <row r="85" spans="1:8" ht="15.6">
      <c r="A85" s="193" t="s">
        <v>70</v>
      </c>
      <c r="B85" s="194">
        <v>0.75939999999999996</v>
      </c>
      <c r="C85" s="194">
        <v>0.56659999999999999</v>
      </c>
      <c r="D85" s="195">
        <f t="shared" si="3"/>
        <v>1.3402753265090011</v>
      </c>
      <c r="E85" s="196" t="s">
        <v>143</v>
      </c>
      <c r="F85" s="196" t="s">
        <v>143</v>
      </c>
      <c r="G85" s="80" t="str">
        <f t="shared" si="4"/>
        <v>NA</v>
      </c>
      <c r="H85" s="195" t="str">
        <f t="shared" si="5"/>
        <v>NA</v>
      </c>
    </row>
    <row r="86" spans="1:8" ht="15.6">
      <c r="A86" s="198" t="s">
        <v>71</v>
      </c>
      <c r="B86" s="194">
        <v>0.1217</v>
      </c>
      <c r="C86" s="199" t="s">
        <v>143</v>
      </c>
      <c r="D86" s="200" t="str">
        <f t="shared" si="3"/>
        <v>NA</v>
      </c>
      <c r="E86" s="201">
        <v>3.0000000000000001E-3</v>
      </c>
      <c r="F86" s="196">
        <v>1.78E-2</v>
      </c>
      <c r="G86" s="80">
        <f t="shared" si="4"/>
        <v>0.16853932584269662</v>
      </c>
      <c r="H86" s="200">
        <f t="shared" si="5"/>
        <v>0.72208666666666665</v>
      </c>
    </row>
    <row r="87" spans="1:8" ht="16.2" thickBot="1">
      <c r="A87" s="202" t="s">
        <v>192</v>
      </c>
      <c r="B87" s="203" t="s">
        <v>143</v>
      </c>
      <c r="C87" s="204" t="s">
        <v>143</v>
      </c>
      <c r="D87" s="205" t="str">
        <f t="shared" si="3"/>
        <v>NA</v>
      </c>
      <c r="E87" s="206">
        <v>5.4000000000000003E-3</v>
      </c>
      <c r="F87" s="207">
        <v>0.1323</v>
      </c>
      <c r="G87" s="80">
        <f t="shared" si="4"/>
        <v>4.0816326530612249E-2</v>
      </c>
      <c r="H87" s="208" t="str">
        <f t="shared" si="5"/>
        <v>NA</v>
      </c>
    </row>
    <row r="88" spans="1:8" ht="18">
      <c r="A88" s="209" t="s">
        <v>148</v>
      </c>
      <c r="B88" s="210"/>
      <c r="C88" s="210"/>
      <c r="D88" s="211">
        <f>AVERAGE(D4:D87)</f>
        <v>1.2541208551854914</v>
      </c>
      <c r="E88" s="212"/>
      <c r="F88" s="212"/>
      <c r="G88" s="213"/>
      <c r="H88" s="214">
        <f>AVERAGE(H4:H87)</f>
        <v>1.3337145816425482</v>
      </c>
    </row>
    <row r="89" spans="1:8" ht="18.600000000000001" thickBot="1">
      <c r="A89" s="215" t="s">
        <v>149</v>
      </c>
      <c r="B89" s="216"/>
      <c r="C89" s="216"/>
      <c r="D89" s="217">
        <f>MEDIAN(D4:D86)</f>
        <v>1.3175325576469386</v>
      </c>
      <c r="E89" s="218"/>
      <c r="F89" s="218"/>
      <c r="G89" s="219"/>
      <c r="H89" s="220">
        <f>MEDIAN(H4:H86)</f>
        <v>0.5229162162162162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5"/>
  <sheetViews>
    <sheetView workbookViewId="0">
      <selection activeCell="D5" sqref="D5"/>
    </sheetView>
  </sheetViews>
  <sheetFormatPr defaultColWidth="11" defaultRowHeight="15"/>
  <cols>
    <col min="1" max="1" width="26.5" style="23" bestFit="1" customWidth="1"/>
    <col min="2" max="2" width="26.5" style="23" customWidth="1"/>
    <col min="3" max="3" width="7.5" customWidth="1"/>
    <col min="4" max="4" width="11" bestFit="1" customWidth="1"/>
  </cols>
  <sheetData>
    <row r="1" spans="1:8" s="1" customFormat="1" ht="31.2">
      <c r="A1" s="55" t="s">
        <v>75</v>
      </c>
      <c r="B1" s="55" t="s">
        <v>547</v>
      </c>
      <c r="E1" s="252" t="s">
        <v>75</v>
      </c>
      <c r="F1" s="253">
        <v>2019</v>
      </c>
      <c r="G1"/>
      <c r="H1"/>
    </row>
    <row r="2" spans="1:8" ht="27.6">
      <c r="A2" s="56" t="s">
        <v>272</v>
      </c>
      <c r="B2" s="183">
        <v>915</v>
      </c>
      <c r="E2" s="254" t="s">
        <v>406</v>
      </c>
      <c r="F2" s="255">
        <v>19.100000000000001</v>
      </c>
    </row>
    <row r="3" spans="1:8" ht="15.6">
      <c r="A3" s="56" t="s">
        <v>4</v>
      </c>
      <c r="B3" s="183">
        <f t="shared" ref="B3:B36" si="0">VLOOKUP(A3,$E$2:$F$215,2,FALSE)</f>
        <v>15.3</v>
      </c>
      <c r="C3" s="36" t="s">
        <v>254</v>
      </c>
      <c r="D3" s="113" t="s">
        <v>255</v>
      </c>
      <c r="E3" s="254" t="s">
        <v>4</v>
      </c>
      <c r="F3" s="255">
        <v>15.3</v>
      </c>
    </row>
    <row r="4" spans="1:8" ht="15.6">
      <c r="A4" s="56" t="s">
        <v>286</v>
      </c>
      <c r="B4" s="183">
        <f t="shared" si="0"/>
        <v>3.2</v>
      </c>
      <c r="C4" s="36" t="s">
        <v>294</v>
      </c>
      <c r="D4" s="36">
        <v>2019</v>
      </c>
      <c r="E4" s="254" t="s">
        <v>337</v>
      </c>
      <c r="F4" s="255">
        <v>170</v>
      </c>
    </row>
    <row r="5" spans="1:8" ht="27.6">
      <c r="A5" s="56" t="s">
        <v>131</v>
      </c>
      <c r="B5" s="183">
        <f t="shared" si="0"/>
        <v>94.6</v>
      </c>
      <c r="E5" s="254" t="s">
        <v>467</v>
      </c>
      <c r="F5" s="256">
        <v>0.6</v>
      </c>
    </row>
    <row r="6" spans="1:8" ht="15.6">
      <c r="A6" s="56" t="s">
        <v>84</v>
      </c>
      <c r="B6" s="183">
        <f t="shared" si="0"/>
        <v>449.7</v>
      </c>
      <c r="E6" s="56" t="s">
        <v>286</v>
      </c>
      <c r="F6" s="255">
        <v>3.2</v>
      </c>
    </row>
    <row r="7" spans="1:8" ht="15.6">
      <c r="A7" s="56" t="s">
        <v>19</v>
      </c>
      <c r="B7" s="183">
        <f t="shared" si="0"/>
        <v>13.7</v>
      </c>
      <c r="E7" s="254" t="s">
        <v>131</v>
      </c>
      <c r="F7" s="255">
        <v>94.6</v>
      </c>
    </row>
    <row r="8" spans="1:8" ht="41.4">
      <c r="A8" s="56" t="s">
        <v>201</v>
      </c>
      <c r="B8" s="183">
        <f t="shared" si="0"/>
        <v>3.1</v>
      </c>
      <c r="E8" s="254" t="s">
        <v>427</v>
      </c>
      <c r="F8" s="255">
        <v>1.7</v>
      </c>
    </row>
    <row r="9" spans="1:8" ht="15.6">
      <c r="A9" s="56" t="s">
        <v>85</v>
      </c>
      <c r="B9" s="183">
        <f t="shared" si="0"/>
        <v>1392.7</v>
      </c>
      <c r="E9" s="254" t="s">
        <v>84</v>
      </c>
      <c r="F9" s="255">
        <v>449.7</v>
      </c>
    </row>
    <row r="10" spans="1:8" ht="15.6">
      <c r="A10" s="56" t="s">
        <v>176</v>
      </c>
      <c r="B10" s="183">
        <f t="shared" si="0"/>
        <v>446.3</v>
      </c>
      <c r="E10" s="254" t="s">
        <v>19</v>
      </c>
      <c r="F10" s="255">
        <v>13.7</v>
      </c>
    </row>
    <row r="11" spans="1:8" ht="15.6">
      <c r="A11" s="56" t="s">
        <v>20</v>
      </c>
      <c r="B11" s="183">
        <f t="shared" si="0"/>
        <v>48</v>
      </c>
      <c r="E11" s="254" t="s">
        <v>201</v>
      </c>
      <c r="F11" s="256">
        <v>3.1</v>
      </c>
    </row>
    <row r="12" spans="1:8" ht="15.6">
      <c r="A12" s="56" t="s">
        <v>86</v>
      </c>
      <c r="B12" s="183">
        <f t="shared" si="0"/>
        <v>12.8</v>
      </c>
      <c r="E12" s="254" t="s">
        <v>85</v>
      </c>
      <c r="F12" s="255">
        <v>1392.7</v>
      </c>
    </row>
    <row r="13" spans="1:8" ht="15.6">
      <c r="A13" s="56" t="s">
        <v>87</v>
      </c>
      <c r="B13" s="183">
        <f t="shared" si="0"/>
        <v>38.6</v>
      </c>
      <c r="E13" s="254" t="s">
        <v>176</v>
      </c>
      <c r="F13" s="255">
        <v>446.3</v>
      </c>
    </row>
    <row r="14" spans="1:8" ht="15.6">
      <c r="A14" s="56" t="s">
        <v>132</v>
      </c>
      <c r="B14" s="183">
        <f t="shared" si="0"/>
        <v>302.60000000000002</v>
      </c>
      <c r="E14" s="254" t="s">
        <v>20</v>
      </c>
      <c r="F14" s="255">
        <v>48</v>
      </c>
    </row>
    <row r="15" spans="1:8" ht="15.6">
      <c r="A15" s="56" t="s">
        <v>88</v>
      </c>
      <c r="B15" s="183">
        <f t="shared" si="0"/>
        <v>5.2</v>
      </c>
      <c r="E15" s="56" t="s">
        <v>86</v>
      </c>
      <c r="F15" s="255">
        <v>12.8</v>
      </c>
    </row>
    <row r="16" spans="1:8" ht="15.6">
      <c r="A16" s="56" t="s">
        <v>5</v>
      </c>
      <c r="B16" s="183">
        <f t="shared" si="0"/>
        <v>63.1</v>
      </c>
      <c r="E16" s="254" t="s">
        <v>87</v>
      </c>
      <c r="F16" s="255">
        <v>38.6</v>
      </c>
    </row>
    <row r="17" spans="1:6" ht="15.6">
      <c r="A17" s="56" t="s">
        <v>177</v>
      </c>
      <c r="B17" s="183">
        <f t="shared" si="0"/>
        <v>529.6</v>
      </c>
      <c r="E17" s="254" t="s">
        <v>132</v>
      </c>
      <c r="F17" s="255">
        <v>302.60000000000002</v>
      </c>
    </row>
    <row r="18" spans="1:6" ht="15.6">
      <c r="A18" s="56" t="s">
        <v>89</v>
      </c>
      <c r="B18" s="183">
        <f t="shared" si="0"/>
        <v>1.9</v>
      </c>
      <c r="E18" s="254" t="s">
        <v>88</v>
      </c>
      <c r="F18" s="255">
        <v>5.2</v>
      </c>
    </row>
    <row r="19" spans="1:6" ht="15.6">
      <c r="A19" s="56" t="s">
        <v>208</v>
      </c>
      <c r="B19" s="183">
        <f t="shared" si="0"/>
        <v>14.4</v>
      </c>
      <c r="E19" s="254" t="s">
        <v>5</v>
      </c>
      <c r="F19" s="255">
        <v>63.1</v>
      </c>
    </row>
    <row r="20" spans="1:6" ht="15.6">
      <c r="A20" s="56" t="s">
        <v>90</v>
      </c>
      <c r="B20" s="183">
        <f t="shared" si="0"/>
        <v>5.7</v>
      </c>
      <c r="E20" s="254" t="s">
        <v>177</v>
      </c>
      <c r="F20" s="255">
        <v>529.6</v>
      </c>
    </row>
    <row r="21" spans="1:6" ht="15.6">
      <c r="A21" s="56" t="s">
        <v>91</v>
      </c>
      <c r="B21" s="183">
        <f t="shared" si="0"/>
        <v>40.9</v>
      </c>
      <c r="E21" s="254" t="s">
        <v>89</v>
      </c>
      <c r="F21" s="255">
        <v>1.9</v>
      </c>
    </row>
    <row r="22" spans="1:6" ht="15.6">
      <c r="A22" s="56" t="s">
        <v>7</v>
      </c>
      <c r="B22" s="183">
        <f t="shared" si="0"/>
        <v>20</v>
      </c>
      <c r="E22" s="254" t="s">
        <v>208</v>
      </c>
      <c r="F22" s="255">
        <v>14.4</v>
      </c>
    </row>
    <row r="23" spans="1:6" ht="15.6">
      <c r="A23" s="56" t="s">
        <v>123</v>
      </c>
      <c r="B23" s="183">
        <f t="shared" si="0"/>
        <v>18.3</v>
      </c>
      <c r="E23" s="254" t="s">
        <v>90</v>
      </c>
      <c r="F23" s="255">
        <v>5.7</v>
      </c>
    </row>
    <row r="24" spans="1:6" ht="15.6">
      <c r="A24" s="56" t="s">
        <v>92</v>
      </c>
      <c r="B24" s="183">
        <f t="shared" si="0"/>
        <v>1839.8</v>
      </c>
      <c r="E24" s="254" t="s">
        <v>421</v>
      </c>
      <c r="F24" s="256">
        <v>2.4</v>
      </c>
    </row>
    <row r="25" spans="1:6" ht="15.6">
      <c r="A25" s="56" t="s">
        <v>94</v>
      </c>
      <c r="B25" s="183">
        <f t="shared" si="0"/>
        <v>67.900000000000006</v>
      </c>
      <c r="E25" s="254" t="s">
        <v>91</v>
      </c>
      <c r="F25" s="255">
        <v>40.9</v>
      </c>
    </row>
    <row r="26" spans="1:6" ht="41.4">
      <c r="A26" s="56" t="s">
        <v>211</v>
      </c>
      <c r="B26" s="183">
        <f t="shared" si="0"/>
        <v>15.7</v>
      </c>
      <c r="E26" s="254" t="s">
        <v>7</v>
      </c>
      <c r="F26" s="255">
        <v>20</v>
      </c>
    </row>
    <row r="27" spans="1:6" ht="15.6">
      <c r="A27" s="56" t="s">
        <v>6</v>
      </c>
      <c r="B27" s="183">
        <f t="shared" si="0"/>
        <v>27.1</v>
      </c>
      <c r="E27" s="254" t="s">
        <v>123</v>
      </c>
      <c r="F27" s="255">
        <v>18.3</v>
      </c>
    </row>
    <row r="28" spans="1:6" ht="15.6">
      <c r="A28" s="56" t="s">
        <v>212</v>
      </c>
      <c r="B28" s="183">
        <f t="shared" si="0"/>
        <v>38.799999999999997</v>
      </c>
      <c r="E28" s="254" t="s">
        <v>92</v>
      </c>
      <c r="F28" s="255">
        <v>1839.8</v>
      </c>
    </row>
    <row r="29" spans="1:6" ht="41.4">
      <c r="A29" s="56" t="s">
        <v>95</v>
      </c>
      <c r="B29" s="183">
        <f t="shared" si="0"/>
        <v>1736.4</v>
      </c>
      <c r="E29" s="254" t="s">
        <v>407</v>
      </c>
      <c r="F29" s="255">
        <v>13.5</v>
      </c>
    </row>
    <row r="30" spans="1:6" ht="15.6">
      <c r="A30" s="56" t="s">
        <v>213</v>
      </c>
      <c r="B30" s="183">
        <f t="shared" si="0"/>
        <v>2</v>
      </c>
      <c r="E30" s="254" t="s">
        <v>94</v>
      </c>
      <c r="F30" s="255">
        <v>67.900000000000006</v>
      </c>
    </row>
    <row r="31" spans="1:6" ht="27.6">
      <c r="A31" s="56" t="s">
        <v>55</v>
      </c>
      <c r="B31" s="183">
        <f t="shared" si="0"/>
        <v>5.5</v>
      </c>
      <c r="E31" s="254" t="s">
        <v>211</v>
      </c>
      <c r="F31" s="255">
        <v>15.7</v>
      </c>
    </row>
    <row r="32" spans="1:6" ht="15.6">
      <c r="A32" s="56" t="s">
        <v>96</v>
      </c>
      <c r="B32" s="183">
        <f t="shared" si="0"/>
        <v>282.3</v>
      </c>
      <c r="E32" s="254" t="s">
        <v>417</v>
      </c>
      <c r="F32" s="255">
        <v>3</v>
      </c>
    </row>
    <row r="33" spans="1:6" ht="15.6">
      <c r="A33" s="56" t="s">
        <v>97</v>
      </c>
      <c r="B33" s="183">
        <f t="shared" si="0"/>
        <v>14342.9</v>
      </c>
      <c r="E33" s="56" t="s">
        <v>213</v>
      </c>
      <c r="F33" s="255">
        <v>2</v>
      </c>
    </row>
    <row r="34" spans="1:6" ht="15.6">
      <c r="A34" s="56" t="s">
        <v>50</v>
      </c>
      <c r="B34" s="183">
        <f t="shared" si="0"/>
        <v>323.8</v>
      </c>
      <c r="E34" s="254" t="s">
        <v>6</v>
      </c>
      <c r="F34" s="255">
        <v>27.1</v>
      </c>
    </row>
    <row r="35" spans="1:6" ht="15.6">
      <c r="A35" s="56" t="s">
        <v>287</v>
      </c>
      <c r="B35" s="183">
        <f t="shared" si="0"/>
        <v>47.3</v>
      </c>
      <c r="E35" s="254" t="s">
        <v>212</v>
      </c>
      <c r="F35" s="255">
        <v>38.799999999999997</v>
      </c>
    </row>
    <row r="36" spans="1:6" ht="15.6">
      <c r="A36" s="56" t="s">
        <v>288</v>
      </c>
      <c r="B36" s="183">
        <f t="shared" si="0"/>
        <v>10.8</v>
      </c>
      <c r="E36" s="254" t="s">
        <v>95</v>
      </c>
      <c r="F36" s="255">
        <v>1736.4</v>
      </c>
    </row>
    <row r="37" spans="1:6" ht="27.6">
      <c r="A37" s="56" t="s">
        <v>214</v>
      </c>
      <c r="B37" s="183">
        <v>1.2</v>
      </c>
      <c r="E37" s="254" t="s">
        <v>55</v>
      </c>
      <c r="F37" s="256">
        <v>5.5</v>
      </c>
    </row>
    <row r="38" spans="1:6" ht="41.4">
      <c r="A38" s="56" t="s">
        <v>56</v>
      </c>
      <c r="B38" s="183">
        <f t="shared" ref="B38:B60" si="1">VLOOKUP(A38,$E$2:$F$215,2,FALSE)</f>
        <v>61.8</v>
      </c>
      <c r="E38" s="254" t="s">
        <v>423</v>
      </c>
      <c r="F38" s="255">
        <v>2.2000000000000002</v>
      </c>
    </row>
    <row r="39" spans="1:6" ht="15.6">
      <c r="A39" s="56" t="s">
        <v>283</v>
      </c>
      <c r="B39" s="183">
        <f t="shared" si="1"/>
        <v>58.8</v>
      </c>
      <c r="E39" s="254" t="s">
        <v>410</v>
      </c>
      <c r="F39" s="255">
        <v>11.3</v>
      </c>
    </row>
    <row r="40" spans="1:6" ht="27.6">
      <c r="A40" s="56" t="s">
        <v>98</v>
      </c>
      <c r="B40" s="183">
        <f t="shared" si="1"/>
        <v>60.4</v>
      </c>
      <c r="E40" s="254" t="s">
        <v>468</v>
      </c>
      <c r="F40" s="255" t="s">
        <v>546</v>
      </c>
    </row>
    <row r="41" spans="1:6" ht="15.6">
      <c r="A41" s="56" t="s">
        <v>99</v>
      </c>
      <c r="B41" s="183">
        <f t="shared" si="1"/>
        <v>100</v>
      </c>
      <c r="E41" s="254" t="s">
        <v>96</v>
      </c>
      <c r="F41" s="255">
        <v>282.3</v>
      </c>
    </row>
    <row r="42" spans="1:6" ht="15.6">
      <c r="A42" s="56" t="s">
        <v>217</v>
      </c>
      <c r="B42" s="183">
        <f t="shared" si="1"/>
        <v>3.1</v>
      </c>
      <c r="E42" s="254" t="s">
        <v>97</v>
      </c>
      <c r="F42" s="255">
        <v>14342.9</v>
      </c>
    </row>
    <row r="43" spans="1:6" ht="15.6">
      <c r="A43" s="56" t="s">
        <v>178</v>
      </c>
      <c r="B43" s="183">
        <f t="shared" si="1"/>
        <v>24.6</v>
      </c>
      <c r="E43" s="254" t="s">
        <v>50</v>
      </c>
      <c r="F43" s="255">
        <v>323.8</v>
      </c>
    </row>
    <row r="44" spans="1:6" ht="15.6">
      <c r="A44" s="56" t="s">
        <v>101</v>
      </c>
      <c r="B44" s="183">
        <f t="shared" si="1"/>
        <v>246.5</v>
      </c>
      <c r="E44" s="254" t="s">
        <v>435</v>
      </c>
      <c r="F44" s="255">
        <v>1.2</v>
      </c>
    </row>
    <row r="45" spans="1:6" ht="15.6">
      <c r="A45" s="56" t="s">
        <v>102</v>
      </c>
      <c r="B45" s="183">
        <f t="shared" si="1"/>
        <v>348.1</v>
      </c>
      <c r="E45" s="56" t="s">
        <v>287</v>
      </c>
      <c r="F45" s="255">
        <v>47.3</v>
      </c>
    </row>
    <row r="46" spans="1:6" ht="15.6">
      <c r="A46" s="56" t="s">
        <v>103</v>
      </c>
      <c r="B46" s="183">
        <f t="shared" si="1"/>
        <v>88.9</v>
      </c>
      <c r="E46" s="56" t="s">
        <v>288</v>
      </c>
      <c r="F46" s="255">
        <v>10.8</v>
      </c>
    </row>
    <row r="47" spans="1:6" ht="15.6">
      <c r="A47" s="56" t="s">
        <v>104</v>
      </c>
      <c r="B47" s="183">
        <f t="shared" si="1"/>
        <v>107.4</v>
      </c>
      <c r="E47" s="254" t="s">
        <v>56</v>
      </c>
      <c r="F47" s="255">
        <v>61.8</v>
      </c>
    </row>
    <row r="48" spans="1:6" ht="15.6">
      <c r="A48" s="56" t="s">
        <v>105</v>
      </c>
      <c r="B48" s="183">
        <f t="shared" si="1"/>
        <v>303.2</v>
      </c>
      <c r="E48" s="56" t="s">
        <v>283</v>
      </c>
      <c r="F48" s="255">
        <v>58.8</v>
      </c>
    </row>
    <row r="49" spans="1:6" ht="15.6">
      <c r="A49" s="56" t="s">
        <v>31</v>
      </c>
      <c r="B49" s="183">
        <f t="shared" si="1"/>
        <v>27</v>
      </c>
      <c r="E49" s="254" t="s">
        <v>98</v>
      </c>
      <c r="F49" s="255">
        <v>60.4</v>
      </c>
    </row>
    <row r="50" spans="1:6" ht="15.6">
      <c r="A50" s="56" t="s">
        <v>106</v>
      </c>
      <c r="B50" s="183">
        <f t="shared" si="1"/>
        <v>31.4</v>
      </c>
      <c r="E50" s="254" t="s">
        <v>99</v>
      </c>
      <c r="F50" s="256">
        <v>100</v>
      </c>
    </row>
    <row r="51" spans="1:6" ht="15.6">
      <c r="A51" s="56" t="s">
        <v>284</v>
      </c>
      <c r="B51" s="183">
        <f t="shared" si="1"/>
        <v>96.1</v>
      </c>
      <c r="E51" s="254" t="s">
        <v>217</v>
      </c>
      <c r="F51" s="256">
        <v>3.1</v>
      </c>
    </row>
    <row r="52" spans="1:6" ht="15.6">
      <c r="A52" s="56" t="s">
        <v>219</v>
      </c>
      <c r="B52" s="183">
        <f t="shared" si="1"/>
        <v>5.5</v>
      </c>
      <c r="E52" s="254" t="s">
        <v>178</v>
      </c>
      <c r="F52" s="255">
        <v>24.6</v>
      </c>
    </row>
    <row r="53" spans="1:6" ht="27.6">
      <c r="A53" s="56" t="s">
        <v>179</v>
      </c>
      <c r="B53" s="183">
        <f t="shared" si="1"/>
        <v>268.8</v>
      </c>
      <c r="E53" s="254" t="s">
        <v>101</v>
      </c>
      <c r="F53" s="255">
        <v>246.5</v>
      </c>
    </row>
    <row r="54" spans="1:6" ht="15.6">
      <c r="A54" s="56" t="s">
        <v>180</v>
      </c>
      <c r="B54" s="183">
        <f t="shared" si="1"/>
        <v>2715.5</v>
      </c>
      <c r="E54" s="254" t="s">
        <v>102</v>
      </c>
      <c r="F54" s="255">
        <v>348.1</v>
      </c>
    </row>
    <row r="55" spans="1:6" ht="15.6">
      <c r="A55" s="56" t="s">
        <v>220</v>
      </c>
      <c r="B55" s="183">
        <f t="shared" si="1"/>
        <v>16.7</v>
      </c>
      <c r="E55" s="254" t="s">
        <v>422</v>
      </c>
      <c r="F55" s="255">
        <v>3.3</v>
      </c>
    </row>
    <row r="56" spans="1:6" ht="15.6">
      <c r="A56" s="56" t="s">
        <v>133</v>
      </c>
      <c r="B56" s="183">
        <f t="shared" si="1"/>
        <v>17.7</v>
      </c>
      <c r="E56" s="254" t="s">
        <v>436</v>
      </c>
      <c r="F56" s="255">
        <v>0.6</v>
      </c>
    </row>
    <row r="57" spans="1:6" ht="27.6">
      <c r="A57" s="56" t="s">
        <v>181</v>
      </c>
      <c r="B57" s="183">
        <f t="shared" si="1"/>
        <v>3845.6</v>
      </c>
      <c r="E57" s="254" t="s">
        <v>103</v>
      </c>
      <c r="F57" s="255">
        <v>88.9</v>
      </c>
    </row>
    <row r="58" spans="1:6" ht="15.6">
      <c r="A58" s="56" t="s">
        <v>221</v>
      </c>
      <c r="B58" s="183">
        <f t="shared" si="1"/>
        <v>67</v>
      </c>
      <c r="E58" s="254" t="s">
        <v>104</v>
      </c>
      <c r="F58" s="255">
        <v>107.4</v>
      </c>
    </row>
    <row r="59" spans="1:6" ht="15.6">
      <c r="A59" s="56" t="s">
        <v>182</v>
      </c>
      <c r="B59" s="183">
        <f t="shared" si="1"/>
        <v>209.9</v>
      </c>
      <c r="E59" s="56" t="s">
        <v>105</v>
      </c>
      <c r="F59" s="255">
        <v>303.2</v>
      </c>
    </row>
    <row r="60" spans="1:6" ht="15.6">
      <c r="A60" s="56" t="s">
        <v>107</v>
      </c>
      <c r="B60" s="183">
        <f t="shared" si="1"/>
        <v>76.7</v>
      </c>
      <c r="E60" s="254" t="s">
        <v>31</v>
      </c>
      <c r="F60" s="255">
        <v>27</v>
      </c>
    </row>
    <row r="61" spans="1:6" ht="27.6">
      <c r="A61" s="56" t="s">
        <v>289</v>
      </c>
      <c r="B61" s="183">
        <v>2.5</v>
      </c>
      <c r="E61" s="254" t="s">
        <v>409</v>
      </c>
      <c r="F61" s="255">
        <v>11</v>
      </c>
    </row>
    <row r="62" spans="1:6" ht="15.6">
      <c r="A62" s="56" t="s">
        <v>108</v>
      </c>
      <c r="B62" s="183">
        <f t="shared" ref="B62:B74" si="2">VLOOKUP(A62,$E$2:$F$215,2,FALSE)</f>
        <v>25.1</v>
      </c>
      <c r="E62" s="254" t="s">
        <v>469</v>
      </c>
      <c r="F62" s="255" t="s">
        <v>546</v>
      </c>
    </row>
    <row r="63" spans="1:6" ht="15.6">
      <c r="A63" s="56" t="s">
        <v>59</v>
      </c>
      <c r="B63" s="183">
        <f t="shared" si="2"/>
        <v>366</v>
      </c>
      <c r="E63" s="254" t="s">
        <v>106</v>
      </c>
      <c r="F63" s="255">
        <v>31.4</v>
      </c>
    </row>
    <row r="64" spans="1:6" ht="15.6">
      <c r="A64" s="56" t="s">
        <v>109</v>
      </c>
      <c r="B64" s="183">
        <f t="shared" si="2"/>
        <v>161</v>
      </c>
      <c r="E64" s="254" t="s">
        <v>498</v>
      </c>
      <c r="F64" s="255">
        <v>4.4000000000000004</v>
      </c>
    </row>
    <row r="65" spans="1:6" ht="15.6">
      <c r="A65" s="56" t="s">
        <v>110</v>
      </c>
      <c r="B65" s="183">
        <f t="shared" si="2"/>
        <v>24.2</v>
      </c>
      <c r="E65" s="254" t="s">
        <v>284</v>
      </c>
      <c r="F65" s="255">
        <v>96.1</v>
      </c>
    </row>
    <row r="66" spans="1:6" ht="27.6">
      <c r="A66" s="56" t="s">
        <v>111</v>
      </c>
      <c r="B66" s="183">
        <f t="shared" si="2"/>
        <v>2875.1</v>
      </c>
      <c r="E66" s="254" t="s">
        <v>418</v>
      </c>
      <c r="F66" s="256">
        <v>2.8</v>
      </c>
    </row>
    <row r="67" spans="1:6" ht="15.6">
      <c r="A67" s="56" t="s">
        <v>112</v>
      </c>
      <c r="B67" s="183">
        <f t="shared" si="2"/>
        <v>1119.2</v>
      </c>
      <c r="E67" s="254" t="s">
        <v>219</v>
      </c>
      <c r="F67" s="255">
        <v>5.5</v>
      </c>
    </row>
    <row r="68" spans="1:6" ht="15.6">
      <c r="A68" s="56" t="s">
        <v>331</v>
      </c>
      <c r="B68" s="183">
        <f t="shared" si="2"/>
        <v>234.1</v>
      </c>
      <c r="E68" s="254" t="s">
        <v>179</v>
      </c>
      <c r="F68" s="255">
        <v>268.8</v>
      </c>
    </row>
    <row r="69" spans="1:6" ht="15.6">
      <c r="A69" s="56" t="s">
        <v>183</v>
      </c>
      <c r="B69" s="183">
        <f t="shared" si="2"/>
        <v>388.7</v>
      </c>
      <c r="E69" s="254" t="s">
        <v>180</v>
      </c>
      <c r="F69" s="255">
        <v>2715.5</v>
      </c>
    </row>
    <row r="70" spans="1:6" ht="27.6">
      <c r="A70" s="56" t="s">
        <v>113</v>
      </c>
      <c r="B70" s="183">
        <f t="shared" si="2"/>
        <v>6.8</v>
      </c>
      <c r="E70" s="254" t="s">
        <v>476</v>
      </c>
      <c r="F70" s="255" t="s">
        <v>546</v>
      </c>
    </row>
    <row r="71" spans="1:6" ht="15.6">
      <c r="A71" s="56" t="s">
        <v>114</v>
      </c>
      <c r="B71" s="183">
        <f t="shared" si="2"/>
        <v>395.1</v>
      </c>
      <c r="E71" s="254" t="s">
        <v>220</v>
      </c>
      <c r="F71" s="255">
        <v>16.7</v>
      </c>
    </row>
    <row r="72" spans="1:6" ht="27.6">
      <c r="A72" s="56" t="s">
        <v>145</v>
      </c>
      <c r="B72" s="183">
        <f t="shared" si="2"/>
        <v>2001.2</v>
      </c>
      <c r="E72" s="254" t="s">
        <v>430</v>
      </c>
      <c r="F72" s="255">
        <v>1.8</v>
      </c>
    </row>
    <row r="73" spans="1:6" ht="15.6">
      <c r="A73" s="56" t="s">
        <v>115</v>
      </c>
      <c r="B73" s="183">
        <f t="shared" si="2"/>
        <v>16.5</v>
      </c>
      <c r="E73" s="254" t="s">
        <v>133</v>
      </c>
      <c r="F73" s="255">
        <v>17.7</v>
      </c>
    </row>
    <row r="74" spans="1:6" ht="15.6">
      <c r="A74" s="56" t="s">
        <v>116</v>
      </c>
      <c r="B74" s="183">
        <f t="shared" si="2"/>
        <v>5081.8</v>
      </c>
      <c r="E74" s="254" t="s">
        <v>181</v>
      </c>
      <c r="F74" s="255">
        <v>3845.6</v>
      </c>
    </row>
    <row r="75" spans="1:6" ht="15.6">
      <c r="A75" s="56" t="s">
        <v>290</v>
      </c>
      <c r="B75" s="183">
        <v>1</v>
      </c>
      <c r="E75" s="254" t="s">
        <v>221</v>
      </c>
      <c r="F75" s="255">
        <v>67</v>
      </c>
    </row>
    <row r="76" spans="1:6" ht="15.6">
      <c r="A76" s="56" t="s">
        <v>117</v>
      </c>
      <c r="B76" s="183">
        <f t="shared" ref="B76:B88" si="3">VLOOKUP(A76,$E$2:$F$215,2,FALSE)</f>
        <v>43.7</v>
      </c>
      <c r="E76" s="254" t="s">
        <v>182</v>
      </c>
      <c r="F76" s="255">
        <v>209.9</v>
      </c>
    </row>
    <row r="77" spans="1:6" ht="15.6">
      <c r="A77" s="56" t="s">
        <v>118</v>
      </c>
      <c r="B77" s="183">
        <f t="shared" si="3"/>
        <v>180.2</v>
      </c>
      <c r="E77" s="254" t="s">
        <v>419</v>
      </c>
      <c r="F77" s="256">
        <v>3.1</v>
      </c>
    </row>
    <row r="78" spans="1:6" ht="15.6">
      <c r="A78" s="56" t="s">
        <v>184</v>
      </c>
      <c r="B78" s="183">
        <f t="shared" si="3"/>
        <v>95.5</v>
      </c>
      <c r="E78" s="254" t="s">
        <v>429</v>
      </c>
      <c r="F78" s="255">
        <v>1.2</v>
      </c>
    </row>
    <row r="79" spans="1:6" ht="15.6">
      <c r="A79" s="56" t="s">
        <v>119</v>
      </c>
      <c r="B79" s="183">
        <f t="shared" si="3"/>
        <v>1642.4</v>
      </c>
      <c r="E79" s="254" t="s">
        <v>470</v>
      </c>
      <c r="F79" s="256">
        <v>5.9</v>
      </c>
    </row>
    <row r="80" spans="1:6" ht="15.6">
      <c r="A80" s="56" t="s">
        <v>120</v>
      </c>
      <c r="B80" s="183">
        <f t="shared" si="3"/>
        <v>134.80000000000001</v>
      </c>
      <c r="E80" s="254" t="s">
        <v>107</v>
      </c>
      <c r="F80" s="255">
        <v>76.7</v>
      </c>
    </row>
    <row r="81" spans="1:6" ht="15.6">
      <c r="A81" t="s">
        <v>353</v>
      </c>
      <c r="B81" s="183">
        <f t="shared" si="3"/>
        <v>8.5</v>
      </c>
      <c r="E81" s="254" t="s">
        <v>317</v>
      </c>
      <c r="F81" s="255">
        <v>13.6</v>
      </c>
    </row>
    <row r="82" spans="1:6" ht="27.6">
      <c r="A82" s="226" t="s">
        <v>343</v>
      </c>
      <c r="B82" s="183">
        <f t="shared" si="3"/>
        <v>18.2</v>
      </c>
      <c r="E82" s="254" t="s">
        <v>333</v>
      </c>
      <c r="F82" s="255">
        <v>1.3</v>
      </c>
    </row>
    <row r="83" spans="1:6" ht="15.6">
      <c r="A83" s="56" t="s">
        <v>121</v>
      </c>
      <c r="B83" s="183">
        <f t="shared" si="3"/>
        <v>34.1</v>
      </c>
      <c r="E83" s="254" t="s">
        <v>330</v>
      </c>
      <c r="F83" s="255">
        <v>4.3</v>
      </c>
    </row>
    <row r="84" spans="1:6" ht="15.6">
      <c r="A84" s="56" t="s">
        <v>122</v>
      </c>
      <c r="B84" s="183">
        <f t="shared" si="3"/>
        <v>53.4</v>
      </c>
      <c r="E84" s="254" t="s">
        <v>326</v>
      </c>
      <c r="F84" s="255">
        <v>8.5</v>
      </c>
    </row>
    <row r="85" spans="1:6" ht="15.6">
      <c r="A85" s="56" t="s">
        <v>223</v>
      </c>
      <c r="B85" s="183">
        <f t="shared" si="3"/>
        <v>6.6</v>
      </c>
      <c r="E85" s="254" t="s">
        <v>108</v>
      </c>
      <c r="F85" s="255">
        <v>25.1</v>
      </c>
    </row>
    <row r="86" spans="1:6" ht="15.6">
      <c r="A86" s="56" t="s">
        <v>13</v>
      </c>
      <c r="B86" s="183">
        <f t="shared" si="3"/>
        <v>54.2</v>
      </c>
      <c r="E86" s="254" t="s">
        <v>59</v>
      </c>
      <c r="F86" s="255">
        <v>366</v>
      </c>
    </row>
    <row r="87" spans="1:6" ht="15.6">
      <c r="A87" s="56" t="s">
        <v>185</v>
      </c>
      <c r="B87" s="183">
        <f t="shared" si="3"/>
        <v>71.099999999999994</v>
      </c>
      <c r="E87" s="254" t="s">
        <v>109</v>
      </c>
      <c r="F87" s="255">
        <v>161</v>
      </c>
    </row>
    <row r="88" spans="1:6" ht="15.6">
      <c r="A88" s="56" t="s">
        <v>32</v>
      </c>
      <c r="B88" s="183">
        <f t="shared" si="3"/>
        <v>53.9</v>
      </c>
      <c r="E88" s="254" t="s">
        <v>110</v>
      </c>
      <c r="F88" s="255">
        <v>24.2</v>
      </c>
    </row>
    <row r="89" spans="1:6" ht="15.6">
      <c r="A89" s="56" t="s">
        <v>146</v>
      </c>
      <c r="B89" s="183">
        <v>12.7</v>
      </c>
      <c r="E89" s="254" t="s">
        <v>111</v>
      </c>
      <c r="F89" s="255">
        <v>2875.1</v>
      </c>
    </row>
    <row r="90" spans="1:6" ht="15.6">
      <c r="A90" s="56" t="s">
        <v>14</v>
      </c>
      <c r="B90" s="183">
        <f t="shared" ref="B90:B98" si="4">VLOOKUP(A90,$E$2:$F$215,2,FALSE)</f>
        <v>364.7</v>
      </c>
      <c r="E90" s="254" t="s">
        <v>112</v>
      </c>
      <c r="F90" s="255">
        <v>1119.2</v>
      </c>
    </row>
    <row r="91" spans="1:6" ht="41.4">
      <c r="A91" s="143" t="s">
        <v>416</v>
      </c>
      <c r="B91" s="183">
        <f t="shared" si="4"/>
        <v>5.7</v>
      </c>
      <c r="E91" s="254" t="s">
        <v>401</v>
      </c>
      <c r="F91" s="256">
        <v>445.3</v>
      </c>
    </row>
    <row r="92" spans="1:6" ht="15.6">
      <c r="A92" s="56" t="s">
        <v>325</v>
      </c>
      <c r="B92" s="183">
        <f t="shared" si="4"/>
        <v>17.5</v>
      </c>
      <c r="E92" s="254" t="s">
        <v>331</v>
      </c>
      <c r="F92" s="255">
        <v>234.1</v>
      </c>
    </row>
    <row r="93" spans="1:6" ht="15.6">
      <c r="A93" s="56" t="s">
        <v>186</v>
      </c>
      <c r="B93" s="183">
        <f t="shared" si="4"/>
        <v>14.8</v>
      </c>
      <c r="E93" s="254" t="s">
        <v>183</v>
      </c>
      <c r="F93" s="255">
        <v>388.7</v>
      </c>
    </row>
    <row r="94" spans="1:6" ht="15.6">
      <c r="A94" s="56" t="s">
        <v>15</v>
      </c>
      <c r="B94" s="183">
        <f t="shared" si="4"/>
        <v>14.2</v>
      </c>
      <c r="E94" s="254" t="s">
        <v>113</v>
      </c>
      <c r="F94" s="256">
        <v>6.8</v>
      </c>
    </row>
    <row r="95" spans="1:6" ht="15.6">
      <c r="A95" s="56" t="s">
        <v>16</v>
      </c>
      <c r="B95" s="183">
        <f t="shared" si="4"/>
        <v>1258.3</v>
      </c>
      <c r="E95" s="254" t="s">
        <v>114</v>
      </c>
      <c r="F95" s="255">
        <v>395.1</v>
      </c>
    </row>
    <row r="96" spans="1:6" ht="15.6">
      <c r="A96" s="56" t="s">
        <v>17</v>
      </c>
      <c r="B96" s="183">
        <f t="shared" si="4"/>
        <v>12</v>
      </c>
      <c r="E96" s="254" t="s">
        <v>145</v>
      </c>
      <c r="F96" s="255">
        <v>2001.2</v>
      </c>
    </row>
    <row r="97" spans="1:6" ht="15.6">
      <c r="A97" s="56" t="s">
        <v>63</v>
      </c>
      <c r="B97" s="183">
        <f t="shared" si="4"/>
        <v>13.9</v>
      </c>
      <c r="E97" s="254" t="s">
        <v>115</v>
      </c>
      <c r="F97" s="255">
        <v>16.5</v>
      </c>
    </row>
    <row r="98" spans="1:6" ht="15.6">
      <c r="A98" s="56" t="s">
        <v>8</v>
      </c>
      <c r="B98" s="183">
        <f t="shared" si="4"/>
        <v>5.5</v>
      </c>
      <c r="E98" s="254" t="s">
        <v>116</v>
      </c>
      <c r="F98" s="255">
        <v>5081.8</v>
      </c>
    </row>
    <row r="99" spans="1:6" ht="15.6">
      <c r="A99" s="56" t="s">
        <v>225</v>
      </c>
      <c r="B99" s="183">
        <v>1.5</v>
      </c>
      <c r="E99" s="254" t="s">
        <v>117</v>
      </c>
      <c r="F99" s="255">
        <v>43.7</v>
      </c>
    </row>
    <row r="100" spans="1:6" ht="15.6">
      <c r="A100" s="56" t="s">
        <v>18</v>
      </c>
      <c r="B100" s="183">
        <f t="shared" ref="B100:B118" si="5">VLOOKUP(A100,$E$2:$F$215,2,FALSE)</f>
        <v>118.7</v>
      </c>
      <c r="E100" s="254" t="s">
        <v>118</v>
      </c>
      <c r="F100" s="255">
        <v>180.2</v>
      </c>
    </row>
    <row r="101" spans="1:6" ht="15.6">
      <c r="A101" s="56" t="s">
        <v>226</v>
      </c>
      <c r="B101" s="183">
        <f t="shared" si="5"/>
        <v>14.9</v>
      </c>
      <c r="E101" s="254" t="s">
        <v>184</v>
      </c>
      <c r="F101" s="255">
        <v>95.5</v>
      </c>
    </row>
    <row r="102" spans="1:6" ht="15.6">
      <c r="A102" s="56" t="s">
        <v>136</v>
      </c>
      <c r="B102" s="183">
        <f t="shared" si="5"/>
        <v>12.4</v>
      </c>
      <c r="E102" s="254" t="s">
        <v>441</v>
      </c>
      <c r="F102" s="255">
        <v>0.2</v>
      </c>
    </row>
    <row r="103" spans="1:6" ht="55.2">
      <c r="A103" s="56" t="s">
        <v>187</v>
      </c>
      <c r="B103" s="183">
        <f t="shared" si="5"/>
        <v>909.1</v>
      </c>
      <c r="E103" s="254" t="s">
        <v>475</v>
      </c>
      <c r="F103" s="255" t="s">
        <v>546</v>
      </c>
    </row>
    <row r="104" spans="1:6" ht="15.6">
      <c r="A104" s="56" t="s">
        <v>21</v>
      </c>
      <c r="B104" s="183">
        <f t="shared" si="5"/>
        <v>206.9</v>
      </c>
      <c r="E104" s="56" t="s">
        <v>119</v>
      </c>
      <c r="F104" s="255">
        <v>1642.4</v>
      </c>
    </row>
    <row r="105" spans="1:6" ht="15.6">
      <c r="A105" s="56" t="s">
        <v>22</v>
      </c>
      <c r="B105" s="183">
        <f t="shared" si="5"/>
        <v>12.5</v>
      </c>
      <c r="E105" s="254" t="s">
        <v>413</v>
      </c>
      <c r="F105" s="255">
        <v>7.9</v>
      </c>
    </row>
    <row r="106" spans="1:6" ht="15.6">
      <c r="A106" s="56" t="s">
        <v>321</v>
      </c>
      <c r="B106" s="183">
        <f t="shared" si="5"/>
        <v>12.9</v>
      </c>
      <c r="E106" s="254" t="s">
        <v>120</v>
      </c>
      <c r="F106" s="255">
        <v>134.80000000000001</v>
      </c>
    </row>
    <row r="107" spans="1:6" ht="15.6">
      <c r="A107" s="56" t="s">
        <v>188</v>
      </c>
      <c r="B107" s="183">
        <f t="shared" si="5"/>
        <v>448.1</v>
      </c>
      <c r="E107" t="s">
        <v>353</v>
      </c>
      <c r="F107" s="255">
        <v>8.5</v>
      </c>
    </row>
    <row r="108" spans="1:6" ht="15.6">
      <c r="A108" s="56" t="s">
        <v>23</v>
      </c>
      <c r="B108" s="183">
        <f t="shared" si="5"/>
        <v>403.3</v>
      </c>
      <c r="E108" s="226" t="s">
        <v>343</v>
      </c>
      <c r="F108" s="255">
        <v>18.2</v>
      </c>
    </row>
    <row r="109" spans="1:6" ht="15.6">
      <c r="A109" s="56" t="s">
        <v>24</v>
      </c>
      <c r="B109" s="183">
        <f t="shared" si="5"/>
        <v>77</v>
      </c>
      <c r="E109" s="254" t="s">
        <v>121</v>
      </c>
      <c r="F109" s="255">
        <v>34.1</v>
      </c>
    </row>
    <row r="110" spans="1:6" ht="15.6">
      <c r="A110" s="56" t="s">
        <v>25</v>
      </c>
      <c r="B110" s="183">
        <f t="shared" si="5"/>
        <v>278.2</v>
      </c>
      <c r="E110" s="254" t="s">
        <v>122</v>
      </c>
      <c r="F110" s="255">
        <v>53.4</v>
      </c>
    </row>
    <row r="111" spans="1:6" ht="15.6">
      <c r="A111" s="56" t="s">
        <v>26</v>
      </c>
      <c r="B111" s="183">
        <f t="shared" si="5"/>
        <v>66.8</v>
      </c>
      <c r="E111" s="254" t="s">
        <v>420</v>
      </c>
      <c r="F111" s="255">
        <v>2.5</v>
      </c>
    </row>
    <row r="112" spans="1:6" ht="15.6">
      <c r="A112" s="56" t="s">
        <v>9</v>
      </c>
      <c r="B112" s="183">
        <f t="shared" si="5"/>
        <v>25</v>
      </c>
      <c r="E112" s="254" t="s">
        <v>318</v>
      </c>
      <c r="F112" s="255">
        <v>3.1</v>
      </c>
    </row>
    <row r="113" spans="1:6" ht="15.6">
      <c r="A113" s="56" t="s">
        <v>27</v>
      </c>
      <c r="B113" s="183">
        <f t="shared" si="5"/>
        <v>38.1</v>
      </c>
      <c r="E113" s="254" t="s">
        <v>322</v>
      </c>
      <c r="F113" s="255">
        <v>52.1</v>
      </c>
    </row>
    <row r="114" spans="1:6" ht="27.6">
      <c r="A114" s="56" t="s">
        <v>28</v>
      </c>
      <c r="B114" s="183">
        <f t="shared" si="5"/>
        <v>226.8</v>
      </c>
      <c r="E114" s="254" t="s">
        <v>223</v>
      </c>
      <c r="F114" s="256">
        <v>6.6</v>
      </c>
    </row>
    <row r="115" spans="1:6" ht="15.6">
      <c r="A115" s="56" t="s">
        <v>29</v>
      </c>
      <c r="B115" s="183">
        <f t="shared" si="5"/>
        <v>376.8</v>
      </c>
      <c r="E115" s="254" t="s">
        <v>13</v>
      </c>
      <c r="F115" s="255">
        <v>54.2</v>
      </c>
    </row>
    <row r="116" spans="1:6" ht="27.6">
      <c r="A116" s="56" t="s">
        <v>30</v>
      </c>
      <c r="B116" s="183">
        <f t="shared" si="5"/>
        <v>592.20000000000005</v>
      </c>
      <c r="E116" s="254" t="s">
        <v>185</v>
      </c>
      <c r="F116" s="255">
        <v>71.099999999999994</v>
      </c>
    </row>
    <row r="117" spans="1:6" ht="15.6">
      <c r="A117" s="56" t="s">
        <v>189</v>
      </c>
      <c r="B117" s="183">
        <f t="shared" si="5"/>
        <v>237.7</v>
      </c>
      <c r="E117" s="254" t="s">
        <v>32</v>
      </c>
      <c r="F117" s="255">
        <v>53.9</v>
      </c>
    </row>
    <row r="118" spans="1:6" ht="27.6">
      <c r="A118" s="56" t="s">
        <v>74</v>
      </c>
      <c r="B118" s="183">
        <f t="shared" si="5"/>
        <v>183.5</v>
      </c>
      <c r="E118" s="254" t="s">
        <v>336</v>
      </c>
      <c r="F118" s="255">
        <v>14.1</v>
      </c>
    </row>
    <row r="119" spans="1:6" ht="15.6">
      <c r="A119" s="56" t="s">
        <v>291</v>
      </c>
      <c r="B119" s="183">
        <v>5.2</v>
      </c>
      <c r="E119" s="254" t="s">
        <v>327</v>
      </c>
      <c r="F119" s="255">
        <v>7.7</v>
      </c>
    </row>
    <row r="120" spans="1:6" ht="15.6">
      <c r="A120" s="56" t="s">
        <v>0</v>
      </c>
      <c r="B120" s="183">
        <f t="shared" ref="B120:B125" si="6">VLOOKUP(A120,$E$2:$F$215,2,FALSE)</f>
        <v>250.1</v>
      </c>
      <c r="E120" s="254" t="s">
        <v>14</v>
      </c>
      <c r="F120" s="255">
        <v>364.7</v>
      </c>
    </row>
    <row r="121" spans="1:6" ht="15.6">
      <c r="A121" s="56" t="s">
        <v>1</v>
      </c>
      <c r="B121" s="183">
        <f t="shared" si="6"/>
        <v>1699.9</v>
      </c>
      <c r="E121" s="254" t="s">
        <v>416</v>
      </c>
      <c r="F121" s="255">
        <v>5.7</v>
      </c>
    </row>
    <row r="122" spans="1:6" ht="15.6">
      <c r="A122" s="56" t="s">
        <v>227</v>
      </c>
      <c r="B122" s="183">
        <f t="shared" si="6"/>
        <v>10.1</v>
      </c>
      <c r="E122" s="254" t="s">
        <v>325</v>
      </c>
      <c r="F122" s="255">
        <v>17.5</v>
      </c>
    </row>
    <row r="123" spans="1:6" ht="15.6">
      <c r="A123" s="56" t="s">
        <v>2</v>
      </c>
      <c r="B123" s="183">
        <f t="shared" si="6"/>
        <v>793</v>
      </c>
      <c r="E123" s="254" t="s">
        <v>186</v>
      </c>
      <c r="F123" s="255">
        <v>14.8</v>
      </c>
    </row>
    <row r="124" spans="1:6" ht="27.6">
      <c r="A124" s="56" t="s">
        <v>135</v>
      </c>
      <c r="B124" s="183">
        <f t="shared" si="6"/>
        <v>23.6</v>
      </c>
      <c r="E124" s="254" t="s">
        <v>440</v>
      </c>
      <c r="F124" s="256">
        <v>0.2</v>
      </c>
    </row>
    <row r="125" spans="1:6" ht="15.6">
      <c r="A125" s="56" t="s">
        <v>147</v>
      </c>
      <c r="B125" s="183">
        <f t="shared" si="6"/>
        <v>51.4</v>
      </c>
      <c r="E125" s="254" t="s">
        <v>414</v>
      </c>
      <c r="F125" s="255">
        <v>7.6</v>
      </c>
    </row>
    <row r="126" spans="1:6" ht="15.6">
      <c r="A126" s="56" t="s">
        <v>285</v>
      </c>
      <c r="B126" s="183">
        <v>5</v>
      </c>
      <c r="E126" s="254" t="s">
        <v>15</v>
      </c>
      <c r="F126" s="255">
        <v>14.2</v>
      </c>
    </row>
    <row r="127" spans="1:6" ht="15.6">
      <c r="A127" s="56" t="s">
        <v>3</v>
      </c>
      <c r="B127" s="183">
        <f t="shared" ref="B127:B133" si="7">VLOOKUP(A127,$E$2:$F$215,2,FALSE)</f>
        <v>372.1</v>
      </c>
      <c r="E127" s="254" t="s">
        <v>16</v>
      </c>
      <c r="F127" s="255">
        <v>1258.3</v>
      </c>
    </row>
    <row r="128" spans="1:6" ht="27.6">
      <c r="A128" s="56" t="s">
        <v>61</v>
      </c>
      <c r="B128" s="183">
        <f t="shared" si="7"/>
        <v>105.4</v>
      </c>
      <c r="E128" s="254" t="s">
        <v>438</v>
      </c>
      <c r="F128" s="256">
        <v>0.4</v>
      </c>
    </row>
    <row r="129" spans="1:6" ht="15.6">
      <c r="A129" s="185" t="s">
        <v>190</v>
      </c>
      <c r="B129" s="183">
        <f t="shared" si="7"/>
        <v>53.7</v>
      </c>
      <c r="E129" s="254" t="s">
        <v>17</v>
      </c>
      <c r="F129" s="255">
        <v>12</v>
      </c>
    </row>
    <row r="130" spans="1:6" ht="15.6">
      <c r="A130" s="143" t="s">
        <v>428</v>
      </c>
      <c r="B130" s="183">
        <f t="shared" si="7"/>
        <v>1.4</v>
      </c>
      <c r="E130" s="254" t="s">
        <v>472</v>
      </c>
      <c r="F130" s="256">
        <v>7.2</v>
      </c>
    </row>
    <row r="131" spans="1:6" ht="15.6">
      <c r="A131" s="56" t="s">
        <v>76</v>
      </c>
      <c r="B131" s="183">
        <f t="shared" si="7"/>
        <v>351.4</v>
      </c>
      <c r="E131" s="254" t="s">
        <v>63</v>
      </c>
      <c r="F131" s="255">
        <v>13.9</v>
      </c>
    </row>
    <row r="132" spans="1:6" ht="27.6">
      <c r="A132" s="56" t="s">
        <v>138</v>
      </c>
      <c r="B132" s="183">
        <f t="shared" si="7"/>
        <v>1394.1</v>
      </c>
      <c r="E132" s="254" t="s">
        <v>8</v>
      </c>
      <c r="F132" s="255">
        <v>5.5</v>
      </c>
    </row>
    <row r="133" spans="1:6" ht="15.6">
      <c r="A133" s="56" t="s">
        <v>134</v>
      </c>
      <c r="B133" s="183">
        <f t="shared" si="7"/>
        <v>84</v>
      </c>
      <c r="E133" s="254" t="s">
        <v>18</v>
      </c>
      <c r="F133" s="255">
        <v>118.7</v>
      </c>
    </row>
    <row r="134" spans="1:6" ht="27.6">
      <c r="A134" s="56" t="s">
        <v>191</v>
      </c>
      <c r="B134" s="183">
        <v>1.5</v>
      </c>
      <c r="E134" s="254" t="s">
        <v>226</v>
      </c>
      <c r="F134" s="255">
        <v>14.9</v>
      </c>
    </row>
    <row r="135" spans="1:6" ht="15.6">
      <c r="A135" s="56" t="s">
        <v>10</v>
      </c>
      <c r="B135" s="183">
        <v>0.8</v>
      </c>
      <c r="E135" s="254" t="s">
        <v>335</v>
      </c>
      <c r="F135" s="255">
        <v>76.099999999999994</v>
      </c>
    </row>
    <row r="136" spans="1:6" ht="15.6">
      <c r="A136" s="56" t="s">
        <v>33</v>
      </c>
      <c r="B136" s="183">
        <f>VLOOKUP(A136,$E$2:$F$215,2,FALSE)</f>
        <v>4</v>
      </c>
      <c r="E136" s="254" t="s">
        <v>136</v>
      </c>
      <c r="F136" s="255">
        <v>12.4</v>
      </c>
    </row>
    <row r="137" spans="1:6" ht="15.6">
      <c r="A137" s="56" t="s">
        <v>415</v>
      </c>
      <c r="B137" s="183">
        <v>4.4000000000000004</v>
      </c>
      <c r="E137" s="254" t="s">
        <v>405</v>
      </c>
      <c r="F137" s="255">
        <v>30.6</v>
      </c>
    </row>
    <row r="138" spans="1:6" ht="27.6">
      <c r="A138" s="56" t="s">
        <v>34</v>
      </c>
      <c r="B138" s="183">
        <f>VLOOKUP(A138,$E$2:$F$215,2,FALSE)</f>
        <v>530.79999999999995</v>
      </c>
      <c r="E138" s="254" t="s">
        <v>187</v>
      </c>
      <c r="F138" s="255">
        <v>909.1</v>
      </c>
    </row>
    <row r="139" spans="1:6" ht="27.6">
      <c r="A139" s="56" t="s">
        <v>35</v>
      </c>
      <c r="B139" s="183">
        <f>VLOOKUP(A139,$E$2:$F$215,2,FALSE)</f>
        <v>703.1</v>
      </c>
      <c r="E139" s="254" t="s">
        <v>474</v>
      </c>
      <c r="F139" s="255" t="s">
        <v>546</v>
      </c>
    </row>
    <row r="140" spans="1:6" ht="27.6">
      <c r="A140" s="56" t="s">
        <v>64</v>
      </c>
      <c r="B140" s="183">
        <v>985</v>
      </c>
      <c r="E140" s="254" t="s">
        <v>21</v>
      </c>
      <c r="F140" s="255">
        <v>206.9</v>
      </c>
    </row>
    <row r="141" spans="1:6" ht="15.6">
      <c r="A141" s="56" t="s">
        <v>412</v>
      </c>
      <c r="B141" s="183">
        <f t="shared" ref="B141:B155" si="8">VLOOKUP(A141,$E$2:$F$215,2,FALSE)</f>
        <v>8.1</v>
      </c>
      <c r="E141" s="254" t="s">
        <v>22</v>
      </c>
      <c r="F141" s="255">
        <v>12.5</v>
      </c>
    </row>
    <row r="142" spans="1:6" ht="15.6">
      <c r="A142" s="143" t="s">
        <v>332</v>
      </c>
      <c r="B142" s="183">
        <f t="shared" si="8"/>
        <v>63.2</v>
      </c>
      <c r="E142" s="254" t="s">
        <v>321</v>
      </c>
      <c r="F142" s="255">
        <v>12.9</v>
      </c>
    </row>
    <row r="143" spans="1:6" ht="15.6">
      <c r="A143" s="56" t="s">
        <v>65</v>
      </c>
      <c r="B143" s="183">
        <f t="shared" si="8"/>
        <v>543.6</v>
      </c>
      <c r="E143" s="254" t="s">
        <v>188</v>
      </c>
      <c r="F143" s="255">
        <v>448.1</v>
      </c>
    </row>
    <row r="144" spans="1:6" ht="27.6">
      <c r="A144" s="56" t="s">
        <v>324</v>
      </c>
      <c r="B144" s="183">
        <f t="shared" si="8"/>
        <v>5.5</v>
      </c>
      <c r="E144" s="254" t="s">
        <v>510</v>
      </c>
      <c r="F144" s="255">
        <v>12.7</v>
      </c>
    </row>
    <row r="145" spans="1:6" ht="41.4">
      <c r="A145" s="56" t="s">
        <v>11</v>
      </c>
      <c r="B145" s="183">
        <f t="shared" si="8"/>
        <v>24.1</v>
      </c>
      <c r="E145" s="254" t="s">
        <v>473</v>
      </c>
      <c r="F145" s="256">
        <v>1.3</v>
      </c>
    </row>
    <row r="146" spans="1:6" ht="15.6">
      <c r="A146" s="56" t="s">
        <v>77</v>
      </c>
      <c r="B146" s="183">
        <f t="shared" si="8"/>
        <v>38.799999999999997</v>
      </c>
      <c r="E146" s="254" t="s">
        <v>23</v>
      </c>
      <c r="F146" s="255">
        <v>403.3</v>
      </c>
    </row>
    <row r="147" spans="1:6" ht="15.6">
      <c r="A147" s="56" t="s">
        <v>66</v>
      </c>
      <c r="B147" s="183">
        <f t="shared" si="8"/>
        <v>754.4</v>
      </c>
      <c r="E147" s="254" t="s">
        <v>24</v>
      </c>
      <c r="F147" s="255">
        <v>77</v>
      </c>
    </row>
    <row r="148" spans="1:6" ht="15.6">
      <c r="A148" s="56" t="s">
        <v>292</v>
      </c>
      <c r="B148" s="183">
        <f t="shared" si="8"/>
        <v>1</v>
      </c>
      <c r="E148" s="254" t="s">
        <v>25</v>
      </c>
      <c r="F148" s="255">
        <v>278.2</v>
      </c>
    </row>
    <row r="149" spans="1:6" ht="15.6">
      <c r="A149" s="56" t="s">
        <v>228</v>
      </c>
      <c r="B149" s="183">
        <f t="shared" si="8"/>
        <v>34.4</v>
      </c>
      <c r="E149" s="254" t="s">
        <v>439</v>
      </c>
      <c r="F149" s="256">
        <v>0.3</v>
      </c>
    </row>
    <row r="150" spans="1:6" ht="15.6">
      <c r="A150" s="56" t="s">
        <v>68</v>
      </c>
      <c r="B150" s="183">
        <f t="shared" si="8"/>
        <v>153.80000000000001</v>
      </c>
      <c r="E150" s="254" t="s">
        <v>26</v>
      </c>
      <c r="F150" s="255">
        <v>66.8</v>
      </c>
    </row>
    <row r="151" spans="1:6" ht="27.6">
      <c r="A151" s="56" t="s">
        <v>60</v>
      </c>
      <c r="B151" s="183">
        <f t="shared" si="8"/>
        <v>421.1</v>
      </c>
      <c r="E151" s="254" t="s">
        <v>9</v>
      </c>
      <c r="F151" s="255">
        <v>25</v>
      </c>
    </row>
    <row r="152" spans="1:6" ht="15.6">
      <c r="A152" s="56" t="s">
        <v>57</v>
      </c>
      <c r="B152" s="183">
        <f t="shared" si="8"/>
        <v>2827.1</v>
      </c>
      <c r="E152" s="254" t="s">
        <v>27</v>
      </c>
      <c r="F152" s="255">
        <v>38.1</v>
      </c>
    </row>
    <row r="153" spans="1:6" ht="15.6">
      <c r="A153" s="56" t="s">
        <v>12</v>
      </c>
      <c r="B153" s="183">
        <f t="shared" si="8"/>
        <v>21374.400000000001</v>
      </c>
      <c r="E153" s="254" t="s">
        <v>28</v>
      </c>
      <c r="F153" s="255">
        <v>226.8</v>
      </c>
    </row>
    <row r="154" spans="1:6" ht="15.6">
      <c r="A154" s="56" t="s">
        <v>69</v>
      </c>
      <c r="B154" s="183">
        <f t="shared" si="8"/>
        <v>56</v>
      </c>
      <c r="E154" s="254" t="s">
        <v>29</v>
      </c>
      <c r="F154" s="255">
        <v>376.8</v>
      </c>
    </row>
    <row r="155" spans="1:6" ht="15.6">
      <c r="A155" s="163" t="s">
        <v>403</v>
      </c>
      <c r="B155" s="183">
        <f t="shared" si="8"/>
        <v>57.9</v>
      </c>
      <c r="E155" s="254" t="s">
        <v>30</v>
      </c>
      <c r="F155" s="255">
        <v>592.20000000000005</v>
      </c>
    </row>
    <row r="156" spans="1:6" ht="15.6">
      <c r="A156" s="56" t="s">
        <v>70</v>
      </c>
      <c r="B156" s="183">
        <v>220</v>
      </c>
      <c r="E156" s="254" t="s">
        <v>189</v>
      </c>
      <c r="F156" s="255">
        <v>237.7</v>
      </c>
    </row>
    <row r="157" spans="1:6" ht="27.6">
      <c r="A157" s="56" t="s">
        <v>71</v>
      </c>
      <c r="B157" s="183">
        <f>VLOOKUP(A157,$E$2:$F$215,2,FALSE)</f>
        <v>261.89999999999998</v>
      </c>
      <c r="E157" s="254" t="s">
        <v>402</v>
      </c>
      <c r="F157" s="255">
        <v>105</v>
      </c>
    </row>
    <row r="158" spans="1:6" ht="15.6">
      <c r="A158" s="56" t="s">
        <v>192</v>
      </c>
      <c r="B158" s="183">
        <f>VLOOKUP(A158,$E$2:$F$215,2,FALSE)</f>
        <v>23.1</v>
      </c>
      <c r="E158" s="254" t="s">
        <v>74</v>
      </c>
      <c r="F158" s="255">
        <v>183.5</v>
      </c>
    </row>
    <row r="159" spans="1:6" ht="15.6">
      <c r="E159" s="254" t="s">
        <v>0</v>
      </c>
      <c r="F159" s="255">
        <v>250.1</v>
      </c>
    </row>
    <row r="160" spans="1:6" ht="15.6">
      <c r="E160" s="254" t="s">
        <v>1</v>
      </c>
      <c r="F160" s="255">
        <v>1699.9</v>
      </c>
    </row>
    <row r="161" spans="5:6" ht="15.6">
      <c r="E161" s="254" t="s">
        <v>227</v>
      </c>
      <c r="F161" s="255">
        <v>10.1</v>
      </c>
    </row>
    <row r="162" spans="5:6" ht="15.6">
      <c r="E162" s="254" t="s">
        <v>432</v>
      </c>
      <c r="F162" s="255">
        <v>0.9</v>
      </c>
    </row>
    <row r="163" spans="5:6" ht="27.6">
      <c r="E163" s="254" t="s">
        <v>477</v>
      </c>
      <c r="F163" s="256">
        <v>1.6</v>
      </c>
    </row>
    <row r="164" spans="5:6" ht="41.4">
      <c r="E164" s="254" t="s">
        <v>478</v>
      </c>
      <c r="F164" s="255">
        <v>0.4</v>
      </c>
    </row>
    <row r="165" spans="5:6" ht="27.6">
      <c r="E165" s="254" t="s">
        <v>2</v>
      </c>
      <c r="F165" s="255">
        <v>793</v>
      </c>
    </row>
    <row r="166" spans="5:6" ht="15.6">
      <c r="E166" s="254" t="s">
        <v>135</v>
      </c>
      <c r="F166" s="255">
        <v>23.6</v>
      </c>
    </row>
    <row r="167" spans="5:6" ht="15.6">
      <c r="E167" s="254" t="s">
        <v>147</v>
      </c>
      <c r="F167" s="255">
        <v>51.4</v>
      </c>
    </row>
    <row r="168" spans="5:6" ht="15.6">
      <c r="E168" s="254" t="s">
        <v>425</v>
      </c>
      <c r="F168" s="255">
        <v>1.7</v>
      </c>
    </row>
    <row r="169" spans="5:6" ht="27.6">
      <c r="E169" s="254" t="s">
        <v>329</v>
      </c>
      <c r="F169" s="255">
        <v>3.9</v>
      </c>
    </row>
    <row r="170" spans="5:6" ht="15.6">
      <c r="E170" s="254" t="s">
        <v>3</v>
      </c>
      <c r="F170" s="255">
        <v>372.1</v>
      </c>
    </row>
    <row r="171" spans="5:6" ht="55.2">
      <c r="E171" s="254" t="s">
        <v>449</v>
      </c>
      <c r="F171" s="255" t="s">
        <v>546</v>
      </c>
    </row>
    <row r="172" spans="5:6" ht="15.6">
      <c r="E172" s="254" t="s">
        <v>61</v>
      </c>
      <c r="F172" s="255">
        <v>105.4</v>
      </c>
    </row>
    <row r="173" spans="5:6" ht="15.6">
      <c r="E173" s="254" t="s">
        <v>190</v>
      </c>
      <c r="F173" s="255">
        <v>53.7</v>
      </c>
    </row>
    <row r="174" spans="5:6" ht="27.6">
      <c r="E174" s="254" t="s">
        <v>428</v>
      </c>
      <c r="F174" s="255">
        <v>1.4</v>
      </c>
    </row>
    <row r="175" spans="5:6" ht="15.6">
      <c r="E175" s="254" t="s">
        <v>315</v>
      </c>
      <c r="F175" s="255" t="s">
        <v>546</v>
      </c>
    </row>
    <row r="176" spans="5:6" ht="27.6">
      <c r="E176" s="254" t="s">
        <v>76</v>
      </c>
      <c r="F176" s="255">
        <v>351.4</v>
      </c>
    </row>
    <row r="177" spans="5:6" ht="27.6">
      <c r="E177" s="254" t="s">
        <v>411</v>
      </c>
      <c r="F177" s="255" t="s">
        <v>546</v>
      </c>
    </row>
    <row r="178" spans="5:6" ht="15.6">
      <c r="E178" s="254" t="s">
        <v>138</v>
      </c>
      <c r="F178" s="255">
        <v>1394.1</v>
      </c>
    </row>
    <row r="179" spans="5:6" ht="15.6">
      <c r="E179" s="254" t="s">
        <v>134</v>
      </c>
      <c r="F179" s="255">
        <v>84</v>
      </c>
    </row>
    <row r="180" spans="5:6" ht="27.6">
      <c r="E180" s="254" t="s">
        <v>431</v>
      </c>
      <c r="F180" s="255">
        <v>1.1000000000000001</v>
      </c>
    </row>
    <row r="181" spans="5:6" ht="15.6">
      <c r="E181" s="254" t="s">
        <v>426</v>
      </c>
      <c r="F181" s="255">
        <v>2.1</v>
      </c>
    </row>
    <row r="182" spans="5:6" ht="41.4">
      <c r="E182" s="254" t="s">
        <v>471</v>
      </c>
      <c r="F182" s="255" t="s">
        <v>546</v>
      </c>
    </row>
    <row r="183" spans="5:6" ht="41.4">
      <c r="E183" s="254" t="s">
        <v>434</v>
      </c>
      <c r="F183" s="255">
        <v>0.8</v>
      </c>
    </row>
    <row r="184" spans="5:6" ht="15.6">
      <c r="E184" s="254" t="s">
        <v>319</v>
      </c>
      <c r="F184" s="255">
        <v>18.899999999999999</v>
      </c>
    </row>
    <row r="185" spans="5:6" ht="15.6">
      <c r="E185" s="254" t="s">
        <v>33</v>
      </c>
      <c r="F185" s="255">
        <v>4</v>
      </c>
    </row>
    <row r="186" spans="5:6" ht="15.6">
      <c r="E186" s="254" t="s">
        <v>34</v>
      </c>
      <c r="F186" s="255">
        <v>530.79999999999995</v>
      </c>
    </row>
    <row r="187" spans="5:6" ht="27.6">
      <c r="E187" s="254" t="s">
        <v>35</v>
      </c>
      <c r="F187" s="255">
        <v>703.1</v>
      </c>
    </row>
    <row r="188" spans="5:6" ht="41.4">
      <c r="E188" s="254" t="s">
        <v>479</v>
      </c>
      <c r="F188" s="255" t="s">
        <v>546</v>
      </c>
    </row>
    <row r="189" spans="5:6" ht="15.6">
      <c r="E189" s="254" t="s">
        <v>412</v>
      </c>
      <c r="F189" s="255">
        <v>8.1</v>
      </c>
    </row>
    <row r="190" spans="5:6" ht="15.6">
      <c r="E190" s="254" t="s">
        <v>332</v>
      </c>
      <c r="F190" s="255">
        <v>63.2</v>
      </c>
    </row>
    <row r="191" spans="5:6" ht="15.6">
      <c r="E191" s="254" t="s">
        <v>65</v>
      </c>
      <c r="F191" s="255">
        <v>543.6</v>
      </c>
    </row>
    <row r="192" spans="5:6" ht="27.6">
      <c r="E192" s="254" t="s">
        <v>424</v>
      </c>
      <c r="F192" s="255">
        <v>1.7</v>
      </c>
    </row>
    <row r="193" spans="5:6" ht="15.6">
      <c r="E193" s="254" t="s">
        <v>324</v>
      </c>
      <c r="F193" s="255">
        <v>5.5</v>
      </c>
    </row>
    <row r="194" spans="5:6" ht="15.6">
      <c r="E194" s="254" t="s">
        <v>437</v>
      </c>
      <c r="F194" s="256">
        <v>0.5</v>
      </c>
    </row>
    <row r="195" spans="5:6" ht="41.4">
      <c r="E195" s="254" t="s">
        <v>11</v>
      </c>
      <c r="F195" s="255">
        <v>24.1</v>
      </c>
    </row>
    <row r="196" spans="5:6" ht="15.6">
      <c r="E196" s="254" t="s">
        <v>77</v>
      </c>
      <c r="F196" s="255">
        <v>38.799999999999997</v>
      </c>
    </row>
    <row r="197" spans="5:6" ht="15.6">
      <c r="E197" s="254" t="s">
        <v>66</v>
      </c>
      <c r="F197" s="255">
        <v>754.4</v>
      </c>
    </row>
    <row r="198" spans="5:6" ht="27.6">
      <c r="E198" s="254" t="s">
        <v>67</v>
      </c>
      <c r="F198" s="256">
        <v>40.799999999999997</v>
      </c>
    </row>
    <row r="199" spans="5:6" ht="41.4">
      <c r="E199" s="254" t="s">
        <v>292</v>
      </c>
      <c r="F199" s="256">
        <v>1</v>
      </c>
    </row>
    <row r="200" spans="5:6" ht="15.6">
      <c r="E200" s="254" t="s">
        <v>442</v>
      </c>
      <c r="F200" s="255">
        <v>0</v>
      </c>
    </row>
    <row r="201" spans="5:6" ht="15.6">
      <c r="E201" s="254" t="s">
        <v>228</v>
      </c>
      <c r="F201" s="255">
        <v>34.4</v>
      </c>
    </row>
    <row r="202" spans="5:6" ht="15.6">
      <c r="E202" s="254" t="s">
        <v>68</v>
      </c>
      <c r="F202" s="255">
        <v>153.80000000000001</v>
      </c>
    </row>
    <row r="203" spans="5:6" ht="41.4">
      <c r="E203" s="254" t="s">
        <v>60</v>
      </c>
      <c r="F203" s="255">
        <v>421.1</v>
      </c>
    </row>
    <row r="204" spans="5:6" ht="27.6">
      <c r="E204" s="254" t="s">
        <v>57</v>
      </c>
      <c r="F204" s="255">
        <v>2827.1</v>
      </c>
    </row>
    <row r="205" spans="5:6" ht="15.6">
      <c r="E205" s="56" t="s">
        <v>12</v>
      </c>
      <c r="F205" s="255">
        <v>21374.400000000001</v>
      </c>
    </row>
    <row r="206" spans="5:6" ht="15.6">
      <c r="E206" s="254" t="s">
        <v>69</v>
      </c>
      <c r="F206" s="255">
        <v>56</v>
      </c>
    </row>
    <row r="207" spans="5:6" ht="15.6">
      <c r="E207" s="254" t="s">
        <v>403</v>
      </c>
      <c r="F207" s="255">
        <v>57.9</v>
      </c>
    </row>
    <row r="208" spans="5:6" ht="15.6">
      <c r="E208" s="254" t="s">
        <v>433</v>
      </c>
      <c r="F208" s="255">
        <v>0.9</v>
      </c>
    </row>
    <row r="209" spans="5:6" ht="27.6">
      <c r="E209" s="254" t="s">
        <v>480</v>
      </c>
      <c r="F209" s="255" t="s">
        <v>546</v>
      </c>
    </row>
    <row r="210" spans="5:6" ht="15.6">
      <c r="E210" s="254" t="s">
        <v>71</v>
      </c>
      <c r="F210" s="255">
        <v>261.89999999999998</v>
      </c>
    </row>
    <row r="211" spans="5:6" ht="41.4">
      <c r="E211" s="254" t="s">
        <v>481</v>
      </c>
      <c r="F211" s="256">
        <v>3.9</v>
      </c>
    </row>
    <row r="212" spans="5:6" ht="27.6">
      <c r="E212" s="254" t="s">
        <v>408</v>
      </c>
      <c r="F212" s="256">
        <v>14.6</v>
      </c>
    </row>
    <row r="213" spans="5:6" ht="27.6">
      <c r="E213" s="254" t="s">
        <v>404</v>
      </c>
      <c r="F213" s="256">
        <v>27.6</v>
      </c>
    </row>
    <row r="214" spans="5:6" ht="15.6">
      <c r="E214" s="254" t="s">
        <v>192</v>
      </c>
      <c r="F214" s="255">
        <v>23.1</v>
      </c>
    </row>
    <row r="215" spans="5:6" ht="15.6">
      <c r="E215" s="254" t="s">
        <v>320</v>
      </c>
      <c r="F215" s="255">
        <v>21.4</v>
      </c>
    </row>
  </sheetData>
  <sortState xmlns:xlrd2="http://schemas.microsoft.com/office/spreadsheetml/2017/richdata2" ref="E2:F266">
    <sortCondition ref="E2:E266"/>
  </sortState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58"/>
  <sheetViews>
    <sheetView tabSelected="1" topLeftCell="A128" workbookViewId="0">
      <selection activeCell="N155" sqref="N155"/>
    </sheetView>
  </sheetViews>
  <sheetFormatPr defaultColWidth="11" defaultRowHeight="11.4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6" max="7" width="10.875" style="31"/>
    <col min="9" max="9" width="20.875" bestFit="1" customWidth="1"/>
    <col min="10" max="10" width="19.125" bestFit="1" customWidth="1"/>
  </cols>
  <sheetData>
    <row r="1" spans="1:11" ht="48" customHeight="1">
      <c r="A1" s="74" t="s">
        <v>75</v>
      </c>
      <c r="B1" s="75" t="s">
        <v>270</v>
      </c>
      <c r="C1" s="76" t="s">
        <v>293</v>
      </c>
      <c r="E1" s="17" t="s">
        <v>75</v>
      </c>
      <c r="F1" s="157" t="s">
        <v>234</v>
      </c>
      <c r="G1" s="157" t="s">
        <v>233</v>
      </c>
      <c r="I1" t="s">
        <v>75</v>
      </c>
      <c r="J1" t="s">
        <v>293</v>
      </c>
      <c r="K1" s="31" t="s">
        <v>270</v>
      </c>
    </row>
    <row r="2" spans="1:11" ht="15.6">
      <c r="A2" s="52" t="s">
        <v>272</v>
      </c>
      <c r="B2" s="77" t="str">
        <f>G2</f>
        <v>NA</v>
      </c>
      <c r="C2" s="76" t="str">
        <f>F2</f>
        <v>Aa2</v>
      </c>
      <c r="E2" s="167" t="s">
        <v>272</v>
      </c>
      <c r="F2" s="228" t="str">
        <f>J2</f>
        <v>Aa2</v>
      </c>
      <c r="G2" s="228" t="str">
        <f>K2</f>
        <v>NA</v>
      </c>
      <c r="I2" s="241" t="s">
        <v>272</v>
      </c>
      <c r="J2" s="242" t="s">
        <v>45</v>
      </c>
      <c r="K2" s="31" t="s">
        <v>143</v>
      </c>
    </row>
    <row r="3" spans="1:11" ht="15.6">
      <c r="A3" s="52" t="s">
        <v>4</v>
      </c>
      <c r="B3" s="250" t="str">
        <f t="shared" ref="B3:B66" si="0">G3</f>
        <v>B+</v>
      </c>
      <c r="C3" s="251" t="str">
        <f t="shared" ref="C3:C66" si="1">F3</f>
        <v>B1</v>
      </c>
      <c r="E3" s="167" t="s">
        <v>4</v>
      </c>
      <c r="F3" s="228" t="str">
        <f t="shared" ref="F3:F66" si="2">J3</f>
        <v>B1</v>
      </c>
      <c r="G3" s="228" t="str">
        <f t="shared" ref="G3:G66" si="3">K3</f>
        <v>B+</v>
      </c>
      <c r="I3" s="243" t="s">
        <v>4</v>
      </c>
      <c r="J3" s="244" t="s">
        <v>48</v>
      </c>
      <c r="K3" s="31" t="s">
        <v>196</v>
      </c>
    </row>
    <row r="4" spans="1:11" ht="15.6">
      <c r="A4" s="52" t="s">
        <v>286</v>
      </c>
      <c r="B4" s="250" t="str">
        <f t="shared" si="0"/>
        <v>CCC+</v>
      </c>
      <c r="C4" s="251" t="str">
        <f t="shared" si="1"/>
        <v>NA</v>
      </c>
      <c r="E4" s="247" t="s">
        <v>197</v>
      </c>
      <c r="F4" s="248" t="s">
        <v>143</v>
      </c>
      <c r="G4" s="248" t="s">
        <v>218</v>
      </c>
      <c r="I4" s="243"/>
      <c r="J4" s="244"/>
      <c r="K4" s="31"/>
    </row>
    <row r="5" spans="1:11" ht="15.6">
      <c r="A5" s="52" t="s">
        <v>131</v>
      </c>
      <c r="B5" s="250" t="str">
        <f t="shared" si="0"/>
        <v>CCC+</v>
      </c>
      <c r="C5" s="251" t="str">
        <f t="shared" si="1"/>
        <v>Caa1</v>
      </c>
      <c r="E5" s="167" t="s">
        <v>131</v>
      </c>
      <c r="F5" s="228" t="str">
        <f t="shared" si="2"/>
        <v>Caa1</v>
      </c>
      <c r="G5" s="228" t="str">
        <f t="shared" si="3"/>
        <v>CCC+</v>
      </c>
      <c r="I5" s="243" t="s">
        <v>131</v>
      </c>
      <c r="J5" s="244" t="s">
        <v>100</v>
      </c>
      <c r="K5" s="31" t="s">
        <v>218</v>
      </c>
    </row>
    <row r="6" spans="1:11" ht="15.6">
      <c r="A6" s="52" t="s">
        <v>84</v>
      </c>
      <c r="B6" s="250" t="str">
        <f t="shared" si="0"/>
        <v>CCC+</v>
      </c>
      <c r="C6" s="251" t="str">
        <f t="shared" si="1"/>
        <v>Ca</v>
      </c>
      <c r="E6" s="229" t="s">
        <v>84</v>
      </c>
      <c r="F6" s="228" t="str">
        <f t="shared" si="2"/>
        <v>Ca</v>
      </c>
      <c r="G6" s="228" t="str">
        <f t="shared" si="3"/>
        <v>CCC+</v>
      </c>
      <c r="I6" s="243" t="s">
        <v>84</v>
      </c>
      <c r="J6" s="244" t="s">
        <v>346</v>
      </c>
      <c r="K6" s="31" t="s">
        <v>218</v>
      </c>
    </row>
    <row r="7" spans="1:11" ht="15.6">
      <c r="A7" s="52" t="s">
        <v>19</v>
      </c>
      <c r="B7" s="250" t="str">
        <f t="shared" si="0"/>
        <v>NA</v>
      </c>
      <c r="C7" s="251" t="str">
        <f t="shared" si="1"/>
        <v>Ba3</v>
      </c>
      <c r="E7" s="167" t="s">
        <v>19</v>
      </c>
      <c r="F7" s="228" t="str">
        <f t="shared" si="2"/>
        <v>Ba3</v>
      </c>
      <c r="G7" s="228" t="str">
        <f t="shared" si="3"/>
        <v>NA</v>
      </c>
      <c r="I7" s="243" t="s">
        <v>19</v>
      </c>
      <c r="J7" s="244" t="s">
        <v>81</v>
      </c>
      <c r="K7" s="31" t="s">
        <v>143</v>
      </c>
    </row>
    <row r="8" spans="1:11" ht="15.6">
      <c r="A8" s="52" t="s">
        <v>201</v>
      </c>
      <c r="B8" s="250" t="str">
        <f t="shared" si="0"/>
        <v>BBB+</v>
      </c>
      <c r="C8" s="251" t="str">
        <f t="shared" si="1"/>
        <v>NA</v>
      </c>
      <c r="E8" s="247" t="s">
        <v>201</v>
      </c>
      <c r="F8" s="248" t="s">
        <v>143</v>
      </c>
      <c r="G8" s="248" t="s">
        <v>202</v>
      </c>
      <c r="I8" s="243"/>
      <c r="J8" s="244"/>
      <c r="K8" s="31"/>
    </row>
    <row r="9" spans="1:11" ht="15.6">
      <c r="A9" s="52" t="s">
        <v>85</v>
      </c>
      <c r="B9" s="250" t="str">
        <f t="shared" si="0"/>
        <v>AAA</v>
      </c>
      <c r="C9" s="251" t="str">
        <f t="shared" si="1"/>
        <v>Aaa</v>
      </c>
      <c r="E9" s="167" t="s">
        <v>85</v>
      </c>
      <c r="F9" s="228" t="str">
        <f t="shared" si="2"/>
        <v>Aaa</v>
      </c>
      <c r="G9" s="228" t="str">
        <f t="shared" si="3"/>
        <v>AAA</v>
      </c>
      <c r="I9" s="243" t="s">
        <v>85</v>
      </c>
      <c r="J9" s="244" t="s">
        <v>47</v>
      </c>
      <c r="K9" s="31" t="s">
        <v>203</v>
      </c>
    </row>
    <row r="10" spans="1:11" ht="15.6">
      <c r="A10" s="52" t="s">
        <v>176</v>
      </c>
      <c r="B10" s="250" t="str">
        <f t="shared" si="0"/>
        <v>AA+</v>
      </c>
      <c r="C10" s="251" t="str">
        <f t="shared" si="1"/>
        <v>Aa1</v>
      </c>
      <c r="E10" s="230" t="s">
        <v>176</v>
      </c>
      <c r="F10" s="228" t="str">
        <f t="shared" si="2"/>
        <v>Aa1</v>
      </c>
      <c r="G10" s="228" t="str">
        <f t="shared" si="3"/>
        <v>AA+</v>
      </c>
      <c r="I10" s="245" t="s">
        <v>176</v>
      </c>
      <c r="J10" s="244" t="s">
        <v>44</v>
      </c>
      <c r="K10" s="31" t="s">
        <v>204</v>
      </c>
    </row>
    <row r="11" spans="1:11" ht="15.6">
      <c r="A11" s="52" t="s">
        <v>20</v>
      </c>
      <c r="B11" s="250" t="str">
        <f t="shared" si="0"/>
        <v>BB+</v>
      </c>
      <c r="C11" s="251" t="str">
        <f t="shared" si="1"/>
        <v>Ba2</v>
      </c>
      <c r="E11" s="167" t="s">
        <v>20</v>
      </c>
      <c r="F11" s="228" t="str">
        <f t="shared" si="2"/>
        <v>Ba2</v>
      </c>
      <c r="G11" s="228" t="str">
        <f t="shared" si="3"/>
        <v>BB+</v>
      </c>
      <c r="I11" s="243" t="s">
        <v>20</v>
      </c>
      <c r="J11" s="244" t="s">
        <v>80</v>
      </c>
      <c r="K11" s="31" t="s">
        <v>216</v>
      </c>
    </row>
    <row r="12" spans="1:11" ht="15.6">
      <c r="A12" s="52" t="s">
        <v>86</v>
      </c>
      <c r="B12" s="250" t="str">
        <f t="shared" si="0"/>
        <v>BB-</v>
      </c>
      <c r="C12" s="251" t="str">
        <f t="shared" si="1"/>
        <v>Ba2</v>
      </c>
      <c r="E12" s="230" t="s">
        <v>86</v>
      </c>
      <c r="F12" s="228" t="str">
        <f t="shared" si="2"/>
        <v>Ba2</v>
      </c>
      <c r="G12" s="228" t="str">
        <f t="shared" si="3"/>
        <v>BB-</v>
      </c>
      <c r="I12" s="245" t="s">
        <v>86</v>
      </c>
      <c r="J12" s="244" t="s">
        <v>80</v>
      </c>
      <c r="K12" s="31" t="s">
        <v>199</v>
      </c>
    </row>
    <row r="13" spans="1:11" ht="15.6">
      <c r="A13" s="52" t="s">
        <v>87</v>
      </c>
      <c r="B13" s="250" t="str">
        <f t="shared" si="0"/>
        <v>B+</v>
      </c>
      <c r="C13" s="251" t="str">
        <f t="shared" si="1"/>
        <v>B2</v>
      </c>
      <c r="E13" s="167" t="s">
        <v>87</v>
      </c>
      <c r="F13" s="228" t="str">
        <f t="shared" si="2"/>
        <v>B2</v>
      </c>
      <c r="G13" s="228" t="str">
        <f t="shared" si="3"/>
        <v>B+</v>
      </c>
      <c r="I13" s="243" t="s">
        <v>87</v>
      </c>
      <c r="J13" s="244" t="s">
        <v>49</v>
      </c>
      <c r="K13" s="31" t="s">
        <v>196</v>
      </c>
    </row>
    <row r="14" spans="1:11" ht="15.6">
      <c r="A14" s="52" t="s">
        <v>132</v>
      </c>
      <c r="B14" s="250" t="str">
        <f t="shared" si="0"/>
        <v>BB-</v>
      </c>
      <c r="C14" s="251" t="str">
        <f t="shared" si="1"/>
        <v>Ba3</v>
      </c>
      <c r="E14" s="167" t="s">
        <v>132</v>
      </c>
      <c r="F14" s="228" t="str">
        <f t="shared" si="2"/>
        <v>Ba3</v>
      </c>
      <c r="G14" s="228" t="str">
        <f t="shared" si="3"/>
        <v>BB-</v>
      </c>
      <c r="I14" s="243" t="s">
        <v>132</v>
      </c>
      <c r="J14" s="244" t="s">
        <v>81</v>
      </c>
      <c r="K14" s="31" t="s">
        <v>199</v>
      </c>
    </row>
    <row r="15" spans="1:11" ht="15.6">
      <c r="A15" s="52" t="s">
        <v>88</v>
      </c>
      <c r="B15" s="250" t="str">
        <f t="shared" si="0"/>
        <v>B-</v>
      </c>
      <c r="C15" s="251" t="str">
        <f t="shared" si="1"/>
        <v>Caa1</v>
      </c>
      <c r="E15" s="167" t="s">
        <v>88</v>
      </c>
      <c r="F15" s="228" t="str">
        <f t="shared" si="2"/>
        <v>Caa1</v>
      </c>
      <c r="G15" s="228" t="str">
        <f t="shared" si="3"/>
        <v>B-</v>
      </c>
      <c r="I15" s="243" t="s">
        <v>88</v>
      </c>
      <c r="J15" s="244" t="s">
        <v>100</v>
      </c>
      <c r="K15" s="31" t="s">
        <v>200</v>
      </c>
    </row>
    <row r="16" spans="1:11" ht="15.6">
      <c r="A16" s="52" t="s">
        <v>5</v>
      </c>
      <c r="B16" s="250" t="str">
        <f t="shared" si="0"/>
        <v>B</v>
      </c>
      <c r="C16" s="251" t="str">
        <f t="shared" si="1"/>
        <v>B3</v>
      </c>
      <c r="E16" s="167" t="s">
        <v>5</v>
      </c>
      <c r="F16" s="228" t="str">
        <f t="shared" si="2"/>
        <v>B3</v>
      </c>
      <c r="G16" s="228" t="str">
        <f t="shared" si="3"/>
        <v>B</v>
      </c>
      <c r="I16" s="243" t="s">
        <v>5</v>
      </c>
      <c r="J16" s="244" t="s">
        <v>78</v>
      </c>
      <c r="K16" s="31" t="s">
        <v>209</v>
      </c>
    </row>
    <row r="17" spans="1:15" ht="15.6">
      <c r="A17" s="52" t="s">
        <v>177</v>
      </c>
      <c r="B17" s="250" t="str">
        <f t="shared" si="0"/>
        <v>AA</v>
      </c>
      <c r="C17" s="251" t="str">
        <f t="shared" si="1"/>
        <v>Aa3</v>
      </c>
      <c r="E17" s="167" t="s">
        <v>177</v>
      </c>
      <c r="F17" s="228" t="str">
        <f t="shared" si="2"/>
        <v>Aa3</v>
      </c>
      <c r="G17" s="228" t="str">
        <f t="shared" si="3"/>
        <v>AA</v>
      </c>
      <c r="I17" s="243" t="s">
        <v>177</v>
      </c>
      <c r="J17" s="244" t="s">
        <v>46</v>
      </c>
      <c r="K17" s="31" t="s">
        <v>207</v>
      </c>
    </row>
    <row r="18" spans="1:15" ht="15.6">
      <c r="A18" s="52" t="s">
        <v>89</v>
      </c>
      <c r="B18" s="250" t="str">
        <f t="shared" si="0"/>
        <v>CCC+</v>
      </c>
      <c r="C18" s="251" t="str">
        <f t="shared" si="1"/>
        <v>Caa3</v>
      </c>
      <c r="E18" s="167" t="s">
        <v>89</v>
      </c>
      <c r="F18" s="228" t="str">
        <f t="shared" si="2"/>
        <v>Caa3</v>
      </c>
      <c r="G18" s="228" t="str">
        <f t="shared" si="3"/>
        <v>CCC+</v>
      </c>
      <c r="I18" s="243" t="s">
        <v>89</v>
      </c>
      <c r="J18" s="244" t="s">
        <v>62</v>
      </c>
      <c r="K18" s="31" t="s">
        <v>218</v>
      </c>
    </row>
    <row r="19" spans="1:15" ht="15.6">
      <c r="A19" s="52" t="s">
        <v>208</v>
      </c>
      <c r="B19" s="250" t="str">
        <f t="shared" si="0"/>
        <v>B+</v>
      </c>
      <c r="C19" s="251" t="str">
        <f t="shared" si="1"/>
        <v>B2</v>
      </c>
      <c r="E19" s="167" t="s">
        <v>208</v>
      </c>
      <c r="F19" s="228" t="str">
        <f t="shared" si="2"/>
        <v>B2</v>
      </c>
      <c r="G19" s="228" t="str">
        <f t="shared" si="3"/>
        <v>B+</v>
      </c>
      <c r="I19" s="243" t="s">
        <v>208</v>
      </c>
      <c r="J19" s="244" t="s">
        <v>49</v>
      </c>
      <c r="K19" s="31" t="s">
        <v>196</v>
      </c>
    </row>
    <row r="20" spans="1:15" ht="15.6">
      <c r="A20" s="52" t="s">
        <v>90</v>
      </c>
      <c r="B20" s="250" t="str">
        <f t="shared" si="0"/>
        <v>A+</v>
      </c>
      <c r="C20" s="251" t="str">
        <f t="shared" si="1"/>
        <v>A2</v>
      </c>
      <c r="E20" s="167" t="s">
        <v>90</v>
      </c>
      <c r="F20" s="228" t="str">
        <f t="shared" si="2"/>
        <v>A2</v>
      </c>
      <c r="G20" s="228" t="str">
        <f t="shared" si="3"/>
        <v>A+</v>
      </c>
      <c r="I20" s="243" t="s">
        <v>90</v>
      </c>
      <c r="J20" s="244" t="s">
        <v>42</v>
      </c>
      <c r="K20" s="31" t="s">
        <v>222</v>
      </c>
    </row>
    <row r="21" spans="1:15" ht="15.6">
      <c r="A21" s="52" t="s">
        <v>91</v>
      </c>
      <c r="B21" s="250" t="str">
        <f t="shared" si="0"/>
        <v>B+</v>
      </c>
      <c r="C21" s="251" t="str">
        <f t="shared" si="1"/>
        <v>B2</v>
      </c>
      <c r="E21" s="167" t="s">
        <v>91</v>
      </c>
      <c r="F21" s="228" t="str">
        <f t="shared" si="2"/>
        <v>B2</v>
      </c>
      <c r="G21" s="228" t="str">
        <f t="shared" si="3"/>
        <v>B+</v>
      </c>
      <c r="I21" s="243" t="s">
        <v>91</v>
      </c>
      <c r="J21" s="244" t="s">
        <v>49</v>
      </c>
      <c r="K21" s="31" t="s">
        <v>196</v>
      </c>
    </row>
    <row r="22" spans="1:15" ht="15.6">
      <c r="A22" s="52" t="s">
        <v>7</v>
      </c>
      <c r="B22" s="250" t="str">
        <f t="shared" si="0"/>
        <v>B</v>
      </c>
      <c r="C22" s="251" t="str">
        <f t="shared" si="1"/>
        <v>B3</v>
      </c>
      <c r="E22" s="167" t="s">
        <v>7</v>
      </c>
      <c r="F22" s="228" t="str">
        <f t="shared" si="2"/>
        <v>B3</v>
      </c>
      <c r="G22" s="228" t="str">
        <f t="shared" si="3"/>
        <v>B</v>
      </c>
      <c r="I22" s="243" t="s">
        <v>7</v>
      </c>
      <c r="J22" s="244" t="s">
        <v>78</v>
      </c>
      <c r="K22" s="31" t="s">
        <v>209</v>
      </c>
      <c r="M22" s="243" t="s">
        <v>385</v>
      </c>
      <c r="N22" s="244" t="s">
        <v>81</v>
      </c>
      <c r="O22" s="31" t="e">
        <v>#N/A</v>
      </c>
    </row>
    <row r="23" spans="1:15" ht="15.6">
      <c r="A23" s="52" t="s">
        <v>123</v>
      </c>
      <c r="B23" s="250" t="str">
        <f t="shared" si="0"/>
        <v>BBB+</v>
      </c>
      <c r="C23" s="251" t="str">
        <f t="shared" si="1"/>
        <v>A2</v>
      </c>
      <c r="E23" s="229" t="s">
        <v>123</v>
      </c>
      <c r="F23" s="228" t="str">
        <f t="shared" si="2"/>
        <v>A2</v>
      </c>
      <c r="G23" s="228" t="str">
        <f t="shared" si="3"/>
        <v>BBB+</v>
      </c>
      <c r="I23" s="243" t="s">
        <v>123</v>
      </c>
      <c r="J23" s="244" t="s">
        <v>42</v>
      </c>
      <c r="K23" s="31" t="s">
        <v>202</v>
      </c>
    </row>
    <row r="24" spans="1:15" ht="15.6">
      <c r="A24" s="52" t="s">
        <v>92</v>
      </c>
      <c r="B24" s="250" t="str">
        <f t="shared" si="0"/>
        <v>BB-</v>
      </c>
      <c r="C24" s="251" t="str">
        <f t="shared" si="1"/>
        <v>Ba2</v>
      </c>
      <c r="E24" s="167" t="s">
        <v>92</v>
      </c>
      <c r="F24" s="228" t="str">
        <f t="shared" si="2"/>
        <v>Ba2</v>
      </c>
      <c r="G24" s="228" t="str">
        <f t="shared" si="3"/>
        <v>BB-</v>
      </c>
      <c r="I24" s="243" t="s">
        <v>92</v>
      </c>
      <c r="J24" s="244" t="s">
        <v>80</v>
      </c>
      <c r="K24" s="31" t="s">
        <v>199</v>
      </c>
    </row>
    <row r="25" spans="1:15" ht="15.6">
      <c r="A25" s="52" t="s">
        <v>94</v>
      </c>
      <c r="B25" s="250" t="str">
        <f t="shared" si="0"/>
        <v>BBB</v>
      </c>
      <c r="C25" s="251" t="str">
        <f t="shared" si="1"/>
        <v>Baa1</v>
      </c>
      <c r="E25" s="167" t="s">
        <v>94</v>
      </c>
      <c r="F25" s="228" t="str">
        <f t="shared" si="2"/>
        <v>Baa1</v>
      </c>
      <c r="G25" s="228" t="str">
        <f t="shared" si="3"/>
        <v>BBB</v>
      </c>
      <c r="I25" s="243" t="s">
        <v>94</v>
      </c>
      <c r="J25" s="244" t="s">
        <v>82</v>
      </c>
      <c r="K25" s="31" t="s">
        <v>206</v>
      </c>
    </row>
    <row r="26" spans="1:15" ht="15.6">
      <c r="A26" s="52" t="s">
        <v>211</v>
      </c>
      <c r="B26" s="250" t="str">
        <f t="shared" si="0"/>
        <v>B</v>
      </c>
      <c r="C26" s="251" t="str">
        <f t="shared" si="1"/>
        <v>NA</v>
      </c>
      <c r="E26" s="247" t="s">
        <v>211</v>
      </c>
      <c r="F26" s="248" t="s">
        <v>143</v>
      </c>
      <c r="G26" s="248" t="s">
        <v>209</v>
      </c>
      <c r="I26" s="243"/>
      <c r="J26" s="244"/>
      <c r="K26" s="31"/>
    </row>
    <row r="27" spans="1:15" ht="15.6">
      <c r="A27" s="52" t="s">
        <v>6</v>
      </c>
      <c r="B27" s="250" t="str">
        <f t="shared" si="0"/>
        <v>NA</v>
      </c>
      <c r="C27" s="251" t="str">
        <f t="shared" si="1"/>
        <v>B2</v>
      </c>
      <c r="E27" s="167" t="s">
        <v>6</v>
      </c>
      <c r="F27" s="228" t="str">
        <f t="shared" si="2"/>
        <v>B2</v>
      </c>
      <c r="G27" s="228" t="str">
        <f t="shared" si="3"/>
        <v>NA</v>
      </c>
      <c r="I27" s="243" t="s">
        <v>6</v>
      </c>
      <c r="J27" s="244" t="s">
        <v>49</v>
      </c>
      <c r="K27" s="31" t="s">
        <v>143</v>
      </c>
    </row>
    <row r="28" spans="1:15" ht="15.6">
      <c r="A28" s="52" t="s">
        <v>212</v>
      </c>
      <c r="B28" s="250" t="str">
        <f t="shared" si="0"/>
        <v>B-</v>
      </c>
      <c r="C28" s="251" t="str">
        <f t="shared" si="1"/>
        <v>B2</v>
      </c>
      <c r="E28" s="229" t="s">
        <v>212</v>
      </c>
      <c r="F28" s="228" t="str">
        <f t="shared" si="2"/>
        <v>B2</v>
      </c>
      <c r="G28" s="228" t="str">
        <f t="shared" si="3"/>
        <v>B-</v>
      </c>
      <c r="I28" s="243" t="s">
        <v>212</v>
      </c>
      <c r="J28" s="244" t="s">
        <v>49</v>
      </c>
      <c r="K28" s="31" t="s">
        <v>200</v>
      </c>
    </row>
    <row r="29" spans="1:15" ht="15.6">
      <c r="A29" s="52" t="s">
        <v>95</v>
      </c>
      <c r="B29" s="250" t="str">
        <f t="shared" si="0"/>
        <v>AAA</v>
      </c>
      <c r="C29" s="251" t="str">
        <f t="shared" si="1"/>
        <v>Aaa</v>
      </c>
      <c r="E29" s="167" t="s">
        <v>95</v>
      </c>
      <c r="F29" s="228" t="str">
        <f t="shared" si="2"/>
        <v>Aaa</v>
      </c>
      <c r="G29" s="228" t="str">
        <f t="shared" si="3"/>
        <v>AAA</v>
      </c>
      <c r="I29" s="243" t="s">
        <v>95</v>
      </c>
      <c r="J29" s="244" t="s">
        <v>47</v>
      </c>
      <c r="K29" s="31" t="s">
        <v>203</v>
      </c>
    </row>
    <row r="30" spans="1:15" ht="15.6">
      <c r="A30" s="52" t="s">
        <v>213</v>
      </c>
      <c r="B30" s="250" t="str">
        <f t="shared" si="0"/>
        <v>B</v>
      </c>
      <c r="C30" s="251" t="str">
        <f t="shared" si="1"/>
        <v>NA</v>
      </c>
      <c r="E30" s="247" t="s">
        <v>213</v>
      </c>
      <c r="F30" s="248" t="s">
        <v>143</v>
      </c>
      <c r="G30" s="248" t="s">
        <v>209</v>
      </c>
      <c r="I30" s="243"/>
      <c r="J30" s="244"/>
      <c r="K30" s="31"/>
    </row>
    <row r="31" spans="1:15" ht="15.6">
      <c r="A31" s="52" t="s">
        <v>55</v>
      </c>
      <c r="B31" s="250" t="str">
        <f t="shared" si="0"/>
        <v>NA</v>
      </c>
      <c r="C31" s="251" t="str">
        <f t="shared" si="1"/>
        <v>Aa3</v>
      </c>
      <c r="E31" s="167" t="s">
        <v>55</v>
      </c>
      <c r="F31" s="228" t="str">
        <f t="shared" si="2"/>
        <v>Aa3</v>
      </c>
      <c r="G31" s="228" t="str">
        <f t="shared" si="3"/>
        <v>NA</v>
      </c>
      <c r="I31" s="243" t="s">
        <v>55</v>
      </c>
      <c r="J31" s="244" t="s">
        <v>46</v>
      </c>
      <c r="K31" s="31" t="s">
        <v>143</v>
      </c>
    </row>
    <row r="32" spans="1:15" ht="15.6">
      <c r="A32" s="52" t="s">
        <v>96</v>
      </c>
      <c r="B32" s="250" t="str">
        <f t="shared" si="0"/>
        <v>A+</v>
      </c>
      <c r="C32" s="251" t="str">
        <f t="shared" si="1"/>
        <v>A1</v>
      </c>
      <c r="E32" s="167" t="s">
        <v>96</v>
      </c>
      <c r="F32" s="228" t="str">
        <f t="shared" si="2"/>
        <v>A1</v>
      </c>
      <c r="G32" s="228" t="str">
        <f t="shared" si="3"/>
        <v>A+</v>
      </c>
      <c r="I32" s="243" t="s">
        <v>96</v>
      </c>
      <c r="J32" s="244" t="s">
        <v>41</v>
      </c>
      <c r="K32" s="31" t="s">
        <v>222</v>
      </c>
    </row>
    <row r="33" spans="1:16" ht="15.6">
      <c r="A33" s="52" t="s">
        <v>97</v>
      </c>
      <c r="B33" s="250" t="str">
        <f t="shared" si="0"/>
        <v>A+</v>
      </c>
      <c r="C33" s="251" t="str">
        <f t="shared" si="1"/>
        <v>A1</v>
      </c>
      <c r="E33" s="167" t="s">
        <v>97</v>
      </c>
      <c r="F33" s="228" t="str">
        <f t="shared" si="2"/>
        <v>A1</v>
      </c>
      <c r="G33" s="228" t="str">
        <f t="shared" si="3"/>
        <v>A+</v>
      </c>
      <c r="I33" s="243" t="s">
        <v>97</v>
      </c>
      <c r="J33" s="244" t="s">
        <v>41</v>
      </c>
      <c r="K33" s="31" t="s">
        <v>222</v>
      </c>
    </row>
    <row r="34" spans="1:16" ht="15.6">
      <c r="A34" s="52" t="s">
        <v>50</v>
      </c>
      <c r="B34" s="250" t="str">
        <f t="shared" si="0"/>
        <v>BBB-</v>
      </c>
      <c r="C34" s="251" t="str">
        <f t="shared" si="1"/>
        <v>Baa2</v>
      </c>
      <c r="E34" s="167" t="s">
        <v>50</v>
      </c>
      <c r="F34" s="228" t="str">
        <f t="shared" si="2"/>
        <v>Baa2</v>
      </c>
      <c r="G34" s="228" t="str">
        <f t="shared" si="3"/>
        <v>BBB-</v>
      </c>
      <c r="I34" s="243" t="s">
        <v>50</v>
      </c>
      <c r="J34" s="244" t="s">
        <v>83</v>
      </c>
      <c r="K34" s="31" t="s">
        <v>205</v>
      </c>
    </row>
    <row r="35" spans="1:16" ht="15.6">
      <c r="A35" s="52" t="s">
        <v>287</v>
      </c>
      <c r="B35" s="250" t="str">
        <f t="shared" si="0"/>
        <v>NA</v>
      </c>
      <c r="C35" s="251" t="str">
        <f t="shared" si="1"/>
        <v>Caa1</v>
      </c>
      <c r="E35" s="52" t="s">
        <v>287</v>
      </c>
      <c r="F35" s="228" t="str">
        <f t="shared" si="2"/>
        <v>Caa1</v>
      </c>
      <c r="G35" s="228" t="str">
        <f t="shared" si="3"/>
        <v>NA</v>
      </c>
      <c r="I35" s="52" t="s">
        <v>287</v>
      </c>
      <c r="J35" s="244" t="s">
        <v>100</v>
      </c>
      <c r="K35" s="31" t="s">
        <v>143</v>
      </c>
    </row>
    <row r="36" spans="1:16" ht="15.6">
      <c r="A36" s="52" t="s">
        <v>288</v>
      </c>
      <c r="B36" s="250" t="str">
        <f t="shared" si="0"/>
        <v>NA</v>
      </c>
      <c r="C36" s="251" t="str">
        <f t="shared" si="1"/>
        <v>Caa2</v>
      </c>
      <c r="E36" s="52" t="s">
        <v>288</v>
      </c>
      <c r="F36" s="228" t="str">
        <f t="shared" si="2"/>
        <v>Caa2</v>
      </c>
      <c r="G36" s="228" t="str">
        <f t="shared" si="3"/>
        <v>NA</v>
      </c>
      <c r="I36" s="52" t="s">
        <v>288</v>
      </c>
      <c r="J36" s="244" t="s">
        <v>58</v>
      </c>
      <c r="K36" s="31" t="s">
        <v>143</v>
      </c>
    </row>
    <row r="37" spans="1:16" ht="15.6">
      <c r="A37" s="52" t="s">
        <v>214</v>
      </c>
      <c r="B37" s="250" t="str">
        <f t="shared" si="0"/>
        <v>B+</v>
      </c>
      <c r="C37" s="251" t="str">
        <f t="shared" si="1"/>
        <v>NA</v>
      </c>
      <c r="E37" s="249" t="s">
        <v>214</v>
      </c>
      <c r="F37" s="248" t="s">
        <v>143</v>
      </c>
      <c r="G37" s="248" t="s">
        <v>196</v>
      </c>
      <c r="I37" s="246"/>
      <c r="J37" s="244"/>
      <c r="K37" s="31"/>
    </row>
    <row r="38" spans="1:16" ht="15.6">
      <c r="A38" s="52" t="s">
        <v>56</v>
      </c>
      <c r="B38" s="250" t="str">
        <f t="shared" si="0"/>
        <v>B</v>
      </c>
      <c r="C38" s="251" t="str">
        <f t="shared" si="1"/>
        <v>B2</v>
      </c>
      <c r="E38" s="167" t="s">
        <v>56</v>
      </c>
      <c r="F38" s="228" t="str">
        <f t="shared" si="2"/>
        <v>B2</v>
      </c>
      <c r="G38" s="228" t="str">
        <f t="shared" si="3"/>
        <v>B</v>
      </c>
      <c r="I38" s="243" t="s">
        <v>56</v>
      </c>
      <c r="J38" s="244" t="s">
        <v>49</v>
      </c>
      <c r="K38" s="31" t="s">
        <v>209</v>
      </c>
    </row>
    <row r="39" spans="1:16" ht="15.6">
      <c r="A39" s="52" t="s">
        <v>283</v>
      </c>
      <c r="B39" s="250" t="str">
        <f t="shared" si="0"/>
        <v>NA</v>
      </c>
      <c r="C39" s="251" t="str">
        <f t="shared" si="1"/>
        <v>Ba3</v>
      </c>
      <c r="E39" s="167" t="s">
        <v>385</v>
      </c>
      <c r="F39" s="228" t="str">
        <f t="shared" si="2"/>
        <v>Ba3</v>
      </c>
      <c r="G39" s="228" t="str">
        <f t="shared" si="3"/>
        <v>NA</v>
      </c>
      <c r="I39" s="243" t="s">
        <v>385</v>
      </c>
      <c r="J39" s="244" t="s">
        <v>81</v>
      </c>
      <c r="K39" s="31" t="s">
        <v>143</v>
      </c>
    </row>
    <row r="40" spans="1:16" ht="15.6">
      <c r="A40" s="52" t="s">
        <v>98</v>
      </c>
      <c r="B40" s="250" t="str">
        <f t="shared" si="0"/>
        <v>BBB-</v>
      </c>
      <c r="C40" s="251" t="str">
        <f t="shared" si="1"/>
        <v>Ba1</v>
      </c>
      <c r="E40" s="167" t="s">
        <v>98</v>
      </c>
      <c r="F40" s="228" t="str">
        <f t="shared" si="2"/>
        <v>Ba1</v>
      </c>
      <c r="G40" s="228" t="str">
        <f t="shared" si="3"/>
        <v>BBB-</v>
      </c>
      <c r="I40" s="243" t="s">
        <v>98</v>
      </c>
      <c r="J40" s="244" t="s">
        <v>79</v>
      </c>
      <c r="K40" s="31" t="s">
        <v>205</v>
      </c>
    </row>
    <row r="41" spans="1:16" ht="15.6">
      <c r="A41" s="52" t="s">
        <v>99</v>
      </c>
      <c r="B41" s="250" t="str">
        <f t="shared" si="0"/>
        <v>NA</v>
      </c>
      <c r="C41" s="251" t="str">
        <f t="shared" si="1"/>
        <v>Caa2</v>
      </c>
      <c r="E41" s="167" t="s">
        <v>99</v>
      </c>
      <c r="F41" s="228" t="str">
        <f t="shared" si="2"/>
        <v>Caa2</v>
      </c>
      <c r="G41" s="228" t="str">
        <f t="shared" si="3"/>
        <v>NA</v>
      </c>
      <c r="I41" s="243" t="s">
        <v>99</v>
      </c>
      <c r="J41" s="244" t="s">
        <v>58</v>
      </c>
      <c r="K41" s="31" t="s">
        <v>143</v>
      </c>
    </row>
    <row r="42" spans="1:16" ht="15.6">
      <c r="A42" s="52" t="s">
        <v>217</v>
      </c>
      <c r="B42" s="250" t="str">
        <f t="shared" si="0"/>
        <v>A-</v>
      </c>
      <c r="C42" s="251" t="str">
        <f t="shared" si="1"/>
        <v>NA</v>
      </c>
      <c r="E42" s="249" t="s">
        <v>217</v>
      </c>
      <c r="F42" s="248" t="s">
        <v>143</v>
      </c>
      <c r="G42" s="248" t="s">
        <v>198</v>
      </c>
      <c r="I42" s="243"/>
      <c r="J42" s="244"/>
      <c r="K42" s="31"/>
    </row>
    <row r="43" spans="1:16" ht="15.6">
      <c r="A43" s="52" t="s">
        <v>178</v>
      </c>
      <c r="B43" s="250" t="str">
        <f t="shared" si="0"/>
        <v>BBB-</v>
      </c>
      <c r="C43" s="251" t="str">
        <f t="shared" si="1"/>
        <v>Ba2</v>
      </c>
      <c r="E43" s="167" t="s">
        <v>178</v>
      </c>
      <c r="F43" s="228" t="str">
        <f t="shared" si="2"/>
        <v>Ba2</v>
      </c>
      <c r="G43" s="228" t="str">
        <f t="shared" si="3"/>
        <v>BBB-</v>
      </c>
      <c r="I43" s="243" t="s">
        <v>178</v>
      </c>
      <c r="J43" s="244" t="s">
        <v>80</v>
      </c>
      <c r="K43" s="31" t="s">
        <v>205</v>
      </c>
    </row>
    <row r="44" spans="1:16" ht="15.6">
      <c r="A44" s="52" t="s">
        <v>101</v>
      </c>
      <c r="B44" s="250" t="str">
        <f t="shared" si="0"/>
        <v>AA-</v>
      </c>
      <c r="C44" s="251" t="str">
        <f t="shared" si="1"/>
        <v>Aa3</v>
      </c>
      <c r="E44" s="167" t="s">
        <v>101</v>
      </c>
      <c r="F44" s="228" t="str">
        <f t="shared" si="2"/>
        <v>Aa3</v>
      </c>
      <c r="G44" s="228" t="str">
        <f t="shared" si="3"/>
        <v>AA-</v>
      </c>
      <c r="I44" s="243" t="s">
        <v>101</v>
      </c>
      <c r="J44" s="244" t="s">
        <v>46</v>
      </c>
      <c r="K44" s="31" t="s">
        <v>210</v>
      </c>
    </row>
    <row r="45" spans="1:16" ht="15.6">
      <c r="A45" s="52" t="s">
        <v>102</v>
      </c>
      <c r="B45" s="250" t="str">
        <f t="shared" si="0"/>
        <v>AAA</v>
      </c>
      <c r="C45" s="251" t="str">
        <f t="shared" si="1"/>
        <v>Aaa</v>
      </c>
      <c r="E45" s="167" t="s">
        <v>102</v>
      </c>
      <c r="F45" s="228" t="str">
        <f t="shared" si="2"/>
        <v>Aaa</v>
      </c>
      <c r="G45" s="228" t="str">
        <f t="shared" si="3"/>
        <v>AAA</v>
      </c>
      <c r="I45" s="243" t="s">
        <v>102</v>
      </c>
      <c r="J45" s="244" t="s">
        <v>47</v>
      </c>
      <c r="K45" s="31" t="s">
        <v>203</v>
      </c>
    </row>
    <row r="46" spans="1:16" ht="15.6">
      <c r="A46" s="52" t="s">
        <v>103</v>
      </c>
      <c r="B46" s="250" t="str">
        <f t="shared" si="0"/>
        <v>BB-</v>
      </c>
      <c r="C46" s="251" t="str">
        <f t="shared" si="1"/>
        <v>Ba3</v>
      </c>
      <c r="E46" s="230" t="s">
        <v>103</v>
      </c>
      <c r="F46" s="228" t="str">
        <f t="shared" si="2"/>
        <v>Ba3</v>
      </c>
      <c r="G46" s="228" t="str">
        <f t="shared" si="3"/>
        <v>BB-</v>
      </c>
      <c r="I46" s="245" t="s">
        <v>103</v>
      </c>
      <c r="J46" s="244" t="s">
        <v>81</v>
      </c>
      <c r="K46" s="31" t="s">
        <v>199</v>
      </c>
      <c r="N46" s="243" t="s">
        <v>538</v>
      </c>
      <c r="O46" s="244" t="s">
        <v>78</v>
      </c>
      <c r="P46" s="31" t="e">
        <v>#N/A</v>
      </c>
    </row>
    <row r="47" spans="1:16" ht="15.6">
      <c r="A47" s="52" t="s">
        <v>104</v>
      </c>
      <c r="B47" s="250" t="str">
        <f t="shared" si="0"/>
        <v>B-</v>
      </c>
      <c r="C47" s="251" t="str">
        <f t="shared" si="1"/>
        <v>Caa3</v>
      </c>
      <c r="E47" s="167" t="s">
        <v>104</v>
      </c>
      <c r="F47" s="228" t="str">
        <f t="shared" si="2"/>
        <v>Caa3</v>
      </c>
      <c r="G47" s="228" t="str">
        <f t="shared" si="3"/>
        <v>B-</v>
      </c>
      <c r="I47" s="243" t="s">
        <v>104</v>
      </c>
      <c r="J47" s="244" t="s">
        <v>62</v>
      </c>
      <c r="K47" s="31" t="s">
        <v>200</v>
      </c>
    </row>
    <row r="48" spans="1:16" ht="15.6">
      <c r="A48" s="52" t="s">
        <v>105</v>
      </c>
      <c r="B48" s="250" t="str">
        <f t="shared" si="0"/>
        <v>B</v>
      </c>
      <c r="C48" s="251" t="str">
        <f t="shared" si="1"/>
        <v>B2</v>
      </c>
      <c r="E48" s="167" t="s">
        <v>105</v>
      </c>
      <c r="F48" s="228" t="str">
        <f t="shared" si="2"/>
        <v>B2</v>
      </c>
      <c r="G48" s="228" t="str">
        <f t="shared" si="3"/>
        <v>B</v>
      </c>
      <c r="I48" s="243" t="s">
        <v>105</v>
      </c>
      <c r="J48" s="244" t="s">
        <v>49</v>
      </c>
      <c r="K48" s="31" t="s">
        <v>209</v>
      </c>
    </row>
    <row r="49" spans="1:11" ht="15.6">
      <c r="A49" s="52" t="s">
        <v>31</v>
      </c>
      <c r="B49" s="250" t="str">
        <f t="shared" si="0"/>
        <v>B-</v>
      </c>
      <c r="C49" s="251" t="str">
        <f t="shared" si="1"/>
        <v>B3</v>
      </c>
      <c r="E49" s="167" t="s">
        <v>31</v>
      </c>
      <c r="F49" s="228" t="str">
        <f t="shared" si="2"/>
        <v>B3</v>
      </c>
      <c r="G49" s="228" t="str">
        <f t="shared" si="3"/>
        <v>B-</v>
      </c>
      <c r="I49" s="243" t="s">
        <v>31</v>
      </c>
      <c r="J49" s="244" t="s">
        <v>78</v>
      </c>
      <c r="K49" s="31" t="s">
        <v>200</v>
      </c>
    </row>
    <row r="50" spans="1:11" ht="15.6">
      <c r="A50" s="52" t="s">
        <v>106</v>
      </c>
      <c r="B50" s="250" t="str">
        <f t="shared" si="0"/>
        <v>AA-</v>
      </c>
      <c r="C50" s="251" t="str">
        <f t="shared" si="1"/>
        <v>A1</v>
      </c>
      <c r="E50" s="167" t="s">
        <v>106</v>
      </c>
      <c r="F50" s="228" t="str">
        <f t="shared" si="2"/>
        <v>A1</v>
      </c>
      <c r="G50" s="228" t="str">
        <f t="shared" si="3"/>
        <v>AA-</v>
      </c>
      <c r="I50" s="243" t="s">
        <v>106</v>
      </c>
      <c r="J50" s="244" t="s">
        <v>41</v>
      </c>
      <c r="K50" s="31" t="s">
        <v>210</v>
      </c>
    </row>
    <row r="51" spans="1:11" ht="15.6">
      <c r="A51" s="52" t="s">
        <v>284</v>
      </c>
      <c r="B51" s="250" t="str">
        <f t="shared" si="0"/>
        <v>B</v>
      </c>
      <c r="C51" s="251" t="str">
        <f t="shared" si="1"/>
        <v>B2</v>
      </c>
      <c r="E51" s="167" t="s">
        <v>284</v>
      </c>
      <c r="F51" s="228" t="str">
        <f t="shared" si="2"/>
        <v>B2</v>
      </c>
      <c r="G51" s="228" t="str">
        <f t="shared" si="3"/>
        <v>B</v>
      </c>
      <c r="I51" s="243" t="s">
        <v>284</v>
      </c>
      <c r="J51" s="244" t="s">
        <v>49</v>
      </c>
      <c r="K51" s="31" t="s">
        <v>209</v>
      </c>
    </row>
    <row r="52" spans="1:11" ht="15.6">
      <c r="A52" s="52" t="s">
        <v>219</v>
      </c>
      <c r="B52" s="250" t="str">
        <f t="shared" si="0"/>
        <v>BB-</v>
      </c>
      <c r="C52" s="251" t="str">
        <f t="shared" si="1"/>
        <v>Ba3</v>
      </c>
      <c r="E52" s="167" t="s">
        <v>219</v>
      </c>
      <c r="F52" s="228" t="str">
        <f t="shared" si="2"/>
        <v>Ba3</v>
      </c>
      <c r="G52" s="228" t="str">
        <f t="shared" si="3"/>
        <v>BB-</v>
      </c>
      <c r="I52" s="243" t="s">
        <v>219</v>
      </c>
      <c r="J52" s="244" t="s">
        <v>81</v>
      </c>
      <c r="K52" s="31" t="s">
        <v>199</v>
      </c>
    </row>
    <row r="53" spans="1:11" ht="15.6">
      <c r="A53" s="52" t="s">
        <v>179</v>
      </c>
      <c r="B53" s="250" t="str">
        <f t="shared" si="0"/>
        <v>AA+</v>
      </c>
      <c r="C53" s="251" t="str">
        <f t="shared" si="1"/>
        <v>Aa1</v>
      </c>
      <c r="E53" s="167" t="s">
        <v>179</v>
      </c>
      <c r="F53" s="228" t="str">
        <f t="shared" si="2"/>
        <v>Aa1</v>
      </c>
      <c r="G53" s="228" t="str">
        <f t="shared" si="3"/>
        <v>AA+</v>
      </c>
      <c r="I53" s="243" t="s">
        <v>179</v>
      </c>
      <c r="J53" s="244" t="s">
        <v>44</v>
      </c>
      <c r="K53" s="31" t="s">
        <v>204</v>
      </c>
    </row>
    <row r="54" spans="1:11" ht="15.6">
      <c r="A54" s="52" t="s">
        <v>180</v>
      </c>
      <c r="B54" s="250" t="str">
        <f t="shared" si="0"/>
        <v>AA</v>
      </c>
      <c r="C54" s="251" t="str">
        <f t="shared" si="1"/>
        <v>Aa2</v>
      </c>
      <c r="E54" s="167" t="s">
        <v>180</v>
      </c>
      <c r="F54" s="228" t="str">
        <f t="shared" si="2"/>
        <v>Aa2</v>
      </c>
      <c r="G54" s="228" t="str">
        <f t="shared" si="3"/>
        <v>AA</v>
      </c>
      <c r="I54" s="243" t="s">
        <v>180</v>
      </c>
      <c r="J54" s="244" t="s">
        <v>45</v>
      </c>
      <c r="K54" s="31" t="s">
        <v>207</v>
      </c>
    </row>
    <row r="55" spans="1:11" ht="15.6">
      <c r="A55" s="52" t="s">
        <v>220</v>
      </c>
      <c r="B55" s="250" t="str">
        <f t="shared" si="0"/>
        <v>NR</v>
      </c>
      <c r="C55" s="251" t="str">
        <f t="shared" si="1"/>
        <v>Caa1</v>
      </c>
      <c r="E55" s="167" t="s">
        <v>220</v>
      </c>
      <c r="F55" s="228" t="str">
        <f t="shared" si="2"/>
        <v>Caa1</v>
      </c>
      <c r="G55" s="228" t="str">
        <f t="shared" si="3"/>
        <v>NR</v>
      </c>
      <c r="I55" s="243" t="s">
        <v>220</v>
      </c>
      <c r="J55" s="244" t="s">
        <v>100</v>
      </c>
      <c r="K55" s="31" t="s">
        <v>277</v>
      </c>
    </row>
    <row r="56" spans="1:11" ht="15.6">
      <c r="A56" s="52" t="s">
        <v>133</v>
      </c>
      <c r="B56" s="250" t="str">
        <f t="shared" si="0"/>
        <v>BB</v>
      </c>
      <c r="C56" s="251" t="str">
        <f t="shared" si="1"/>
        <v>Ba2</v>
      </c>
      <c r="E56" s="167" t="s">
        <v>133</v>
      </c>
      <c r="F56" s="228" t="str">
        <f t="shared" si="2"/>
        <v>Ba2</v>
      </c>
      <c r="G56" s="228" t="str">
        <f t="shared" si="3"/>
        <v>BB</v>
      </c>
      <c r="I56" s="243" t="s">
        <v>133</v>
      </c>
      <c r="J56" s="244" t="s">
        <v>80</v>
      </c>
      <c r="K56" s="31" t="s">
        <v>215</v>
      </c>
    </row>
    <row r="57" spans="1:11" ht="15.6">
      <c r="A57" s="52" t="s">
        <v>181</v>
      </c>
      <c r="B57" s="250" t="str">
        <f t="shared" si="0"/>
        <v>AAA</v>
      </c>
      <c r="C57" s="251" t="str">
        <f t="shared" si="1"/>
        <v>Aaa</v>
      </c>
      <c r="E57" s="167" t="s">
        <v>181</v>
      </c>
      <c r="F57" s="228" t="str">
        <f t="shared" si="2"/>
        <v>Aaa</v>
      </c>
      <c r="G57" s="228" t="str">
        <f t="shared" si="3"/>
        <v>AAA</v>
      </c>
      <c r="I57" s="243" t="s">
        <v>181</v>
      </c>
      <c r="J57" s="244" t="s">
        <v>47</v>
      </c>
      <c r="K57" s="31" t="s">
        <v>203</v>
      </c>
    </row>
    <row r="58" spans="1:11" ht="15.6">
      <c r="A58" s="52" t="s">
        <v>221</v>
      </c>
      <c r="B58" s="250" t="str">
        <f t="shared" si="0"/>
        <v>B-</v>
      </c>
      <c r="C58" s="251" t="str">
        <f t="shared" si="1"/>
        <v>B3</v>
      </c>
      <c r="E58" s="167" t="s">
        <v>221</v>
      </c>
      <c r="F58" s="228" t="str">
        <f t="shared" si="2"/>
        <v>B3</v>
      </c>
      <c r="G58" s="228" t="str">
        <f t="shared" si="3"/>
        <v>B-</v>
      </c>
      <c r="I58" s="243" t="s">
        <v>221</v>
      </c>
      <c r="J58" s="244" t="s">
        <v>78</v>
      </c>
      <c r="K58" s="31" t="s">
        <v>200</v>
      </c>
    </row>
    <row r="59" spans="1:11" ht="15.6">
      <c r="A59" s="52" t="s">
        <v>182</v>
      </c>
      <c r="B59" s="250" t="str">
        <f t="shared" si="0"/>
        <v>BB-</v>
      </c>
      <c r="C59" s="251" t="str">
        <f t="shared" si="1"/>
        <v>Ba3</v>
      </c>
      <c r="E59" s="167" t="s">
        <v>182</v>
      </c>
      <c r="F59" s="228" t="str">
        <f t="shared" si="2"/>
        <v>Ba3</v>
      </c>
      <c r="G59" s="228" t="str">
        <f t="shared" si="3"/>
        <v>BB-</v>
      </c>
      <c r="I59" s="243" t="s">
        <v>182</v>
      </c>
      <c r="J59" s="244" t="s">
        <v>81</v>
      </c>
      <c r="K59" s="31" t="s">
        <v>199</v>
      </c>
    </row>
    <row r="60" spans="1:11" ht="15.6">
      <c r="A60" s="52" t="s">
        <v>107</v>
      </c>
      <c r="B60" s="250" t="str">
        <f t="shared" si="0"/>
        <v>BB-</v>
      </c>
      <c r="C60" s="251" t="str">
        <f t="shared" si="1"/>
        <v>Ba1</v>
      </c>
      <c r="E60" s="167" t="s">
        <v>107</v>
      </c>
      <c r="F60" s="228" t="str">
        <f t="shared" si="2"/>
        <v>Ba1</v>
      </c>
      <c r="G60" s="228" t="str">
        <f t="shared" si="3"/>
        <v>BB-</v>
      </c>
      <c r="I60" s="243" t="s">
        <v>107</v>
      </c>
      <c r="J60" s="244" t="s">
        <v>79</v>
      </c>
      <c r="K60" s="31" t="s">
        <v>199</v>
      </c>
    </row>
    <row r="61" spans="1:11" ht="15.6">
      <c r="A61" s="52" t="s">
        <v>289</v>
      </c>
      <c r="B61" s="250" t="str">
        <f t="shared" si="0"/>
        <v>NA</v>
      </c>
      <c r="C61" s="251" t="str">
        <f t="shared" si="1"/>
        <v>Aaa</v>
      </c>
      <c r="E61" s="167" t="s">
        <v>503</v>
      </c>
      <c r="F61" s="228" t="s">
        <v>47</v>
      </c>
      <c r="G61" s="228" t="str">
        <f t="shared" si="3"/>
        <v>NA</v>
      </c>
      <c r="I61" s="243" t="s">
        <v>503</v>
      </c>
      <c r="J61" s="244" t="s">
        <v>537</v>
      </c>
      <c r="K61" s="31" t="s">
        <v>143</v>
      </c>
    </row>
    <row r="62" spans="1:11" ht="15.6">
      <c r="A62" s="52" t="s">
        <v>108</v>
      </c>
      <c r="B62" s="250" t="str">
        <f t="shared" si="0"/>
        <v>BB-</v>
      </c>
      <c r="C62" s="251" t="str">
        <f t="shared" si="1"/>
        <v>B1</v>
      </c>
      <c r="E62" s="167" t="s">
        <v>108</v>
      </c>
      <c r="F62" s="228" t="str">
        <f t="shared" si="2"/>
        <v>B1</v>
      </c>
      <c r="G62" s="228" t="str">
        <f t="shared" si="3"/>
        <v>BB-</v>
      </c>
      <c r="I62" s="243" t="s">
        <v>108</v>
      </c>
      <c r="J62" s="244" t="s">
        <v>48</v>
      </c>
      <c r="K62" s="31" t="s">
        <v>199</v>
      </c>
    </row>
    <row r="63" spans="1:11" ht="15.6">
      <c r="A63" s="52" t="s">
        <v>59</v>
      </c>
      <c r="B63" s="250" t="str">
        <f t="shared" si="0"/>
        <v>AA+</v>
      </c>
      <c r="C63" s="251" t="str">
        <f t="shared" si="1"/>
        <v>Aa3</v>
      </c>
      <c r="E63" s="167" t="s">
        <v>59</v>
      </c>
      <c r="F63" s="228" t="str">
        <f t="shared" si="2"/>
        <v>Aa3</v>
      </c>
      <c r="G63" s="228" t="str">
        <f t="shared" si="3"/>
        <v>AA+</v>
      </c>
      <c r="I63" s="243" t="s">
        <v>59</v>
      </c>
      <c r="J63" s="244" t="s">
        <v>46</v>
      </c>
      <c r="K63" s="31" t="s">
        <v>204</v>
      </c>
    </row>
    <row r="64" spans="1:11" ht="15.6">
      <c r="A64" s="52" t="s">
        <v>109</v>
      </c>
      <c r="B64" s="250" t="str">
        <f t="shared" si="0"/>
        <v>BBB</v>
      </c>
      <c r="C64" s="251" t="str">
        <f t="shared" si="1"/>
        <v>Baa3</v>
      </c>
      <c r="E64" s="167" t="s">
        <v>109</v>
      </c>
      <c r="F64" s="228" t="str">
        <f t="shared" si="2"/>
        <v>Baa3</v>
      </c>
      <c r="G64" s="228" t="str">
        <f t="shared" si="3"/>
        <v>BBB</v>
      </c>
      <c r="I64" s="243" t="s">
        <v>109</v>
      </c>
      <c r="J64" s="244" t="s">
        <v>124</v>
      </c>
      <c r="K64" s="31" t="s">
        <v>206</v>
      </c>
    </row>
    <row r="65" spans="1:11" ht="15.6">
      <c r="A65" s="52" t="s">
        <v>110</v>
      </c>
      <c r="B65" s="250" t="str">
        <f t="shared" si="0"/>
        <v>A</v>
      </c>
      <c r="C65" s="251" t="str">
        <f t="shared" si="1"/>
        <v>A2</v>
      </c>
      <c r="E65" s="167" t="s">
        <v>110</v>
      </c>
      <c r="F65" s="228" t="str">
        <f t="shared" si="2"/>
        <v>A2</v>
      </c>
      <c r="G65" s="228" t="str">
        <f t="shared" si="3"/>
        <v>A</v>
      </c>
      <c r="I65" s="243" t="s">
        <v>110</v>
      </c>
      <c r="J65" s="244" t="s">
        <v>42</v>
      </c>
      <c r="K65" s="31" t="s">
        <v>224</v>
      </c>
    </row>
    <row r="66" spans="1:11" ht="15.6">
      <c r="A66" s="52" t="s">
        <v>111</v>
      </c>
      <c r="B66" s="250" t="str">
        <f t="shared" si="0"/>
        <v>BBB-</v>
      </c>
      <c r="C66" s="251" t="str">
        <f t="shared" si="1"/>
        <v>Baa3</v>
      </c>
      <c r="E66" s="167" t="s">
        <v>111</v>
      </c>
      <c r="F66" s="228" t="str">
        <f t="shared" si="2"/>
        <v>Baa3</v>
      </c>
      <c r="G66" s="228" t="str">
        <f t="shared" si="3"/>
        <v>BBB-</v>
      </c>
      <c r="I66" s="243" t="s">
        <v>111</v>
      </c>
      <c r="J66" s="244" t="s">
        <v>124</v>
      </c>
      <c r="K66" s="31" t="s">
        <v>205</v>
      </c>
    </row>
    <row r="67" spans="1:11" ht="15.6">
      <c r="A67" s="52" t="s">
        <v>112</v>
      </c>
      <c r="B67" s="250" t="str">
        <f t="shared" ref="B67:B130" si="4">G67</f>
        <v>BBB</v>
      </c>
      <c r="C67" s="251" t="str">
        <f t="shared" ref="C67:C130" si="5">F67</f>
        <v>Baa2</v>
      </c>
      <c r="E67" s="167" t="s">
        <v>112</v>
      </c>
      <c r="F67" s="228" t="str">
        <f t="shared" ref="F67:F130" si="6">J67</f>
        <v>Baa2</v>
      </c>
      <c r="G67" s="228" t="str">
        <f t="shared" ref="G67:G130" si="7">K67</f>
        <v>BBB</v>
      </c>
      <c r="I67" s="243" t="s">
        <v>112</v>
      </c>
      <c r="J67" s="244" t="s">
        <v>83</v>
      </c>
      <c r="K67" s="31" t="s">
        <v>206</v>
      </c>
    </row>
    <row r="68" spans="1:11" ht="15.6">
      <c r="A68" s="52" t="s">
        <v>331</v>
      </c>
      <c r="B68" s="250" t="str">
        <f t="shared" si="4"/>
        <v>B-</v>
      </c>
      <c r="C68" s="251" t="str">
        <f t="shared" si="5"/>
        <v>Caa1</v>
      </c>
      <c r="E68" s="167" t="s">
        <v>331</v>
      </c>
      <c r="F68" s="228" t="str">
        <f t="shared" si="6"/>
        <v>Caa1</v>
      </c>
      <c r="G68" s="228" t="str">
        <f t="shared" si="7"/>
        <v>B-</v>
      </c>
      <c r="I68" s="243" t="s">
        <v>331</v>
      </c>
      <c r="J68" s="244" t="s">
        <v>100</v>
      </c>
      <c r="K68" s="31" t="s">
        <v>200</v>
      </c>
    </row>
    <row r="69" spans="1:11" ht="15.6">
      <c r="A69" s="52" t="s">
        <v>183</v>
      </c>
      <c r="B69" s="250" t="str">
        <f t="shared" si="4"/>
        <v>AA-</v>
      </c>
      <c r="C69" s="251" t="str">
        <f t="shared" si="5"/>
        <v>A2</v>
      </c>
      <c r="E69" s="167" t="s">
        <v>183</v>
      </c>
      <c r="F69" s="228" t="str">
        <f t="shared" si="6"/>
        <v>A2</v>
      </c>
      <c r="G69" s="228" t="str">
        <f t="shared" si="7"/>
        <v>AA-</v>
      </c>
      <c r="I69" s="243" t="s">
        <v>183</v>
      </c>
      <c r="J69" s="244" t="s">
        <v>42</v>
      </c>
      <c r="K69" s="31" t="s">
        <v>210</v>
      </c>
    </row>
    <row r="70" spans="1:11" ht="15.6">
      <c r="A70" s="52" t="s">
        <v>113</v>
      </c>
      <c r="B70" s="250" t="str">
        <f t="shared" si="4"/>
        <v>NR</v>
      </c>
      <c r="C70" s="251" t="str">
        <f t="shared" si="5"/>
        <v>Aa3</v>
      </c>
      <c r="E70" s="167" t="s">
        <v>113</v>
      </c>
      <c r="F70" s="228" t="str">
        <f t="shared" si="6"/>
        <v>Aa3</v>
      </c>
      <c r="G70" s="228" t="str">
        <f t="shared" si="7"/>
        <v>NR</v>
      </c>
      <c r="I70" s="243" t="s">
        <v>113</v>
      </c>
      <c r="J70" s="244" t="s">
        <v>46</v>
      </c>
      <c r="K70" s="31" t="s">
        <v>277</v>
      </c>
    </row>
    <row r="71" spans="1:11" ht="15.6">
      <c r="A71" s="52" t="s">
        <v>114</v>
      </c>
      <c r="B71" s="250" t="str">
        <f t="shared" si="4"/>
        <v>AA-</v>
      </c>
      <c r="C71" s="251" t="str">
        <f t="shared" si="5"/>
        <v>A1</v>
      </c>
      <c r="E71" s="167" t="s">
        <v>114</v>
      </c>
      <c r="F71" s="228" t="str">
        <f t="shared" si="6"/>
        <v>A1</v>
      </c>
      <c r="G71" s="228" t="str">
        <f t="shared" si="7"/>
        <v>AA-</v>
      </c>
      <c r="I71" s="243" t="s">
        <v>114</v>
      </c>
      <c r="J71" s="244" t="s">
        <v>41</v>
      </c>
      <c r="K71" s="31" t="s">
        <v>210</v>
      </c>
    </row>
    <row r="72" spans="1:11" ht="15.6">
      <c r="A72" s="52" t="s">
        <v>145</v>
      </c>
      <c r="B72" s="250" t="str">
        <f t="shared" si="4"/>
        <v>BBB</v>
      </c>
      <c r="C72" s="251" t="str">
        <f t="shared" si="5"/>
        <v>Baa3</v>
      </c>
      <c r="E72" s="167" t="s">
        <v>145</v>
      </c>
      <c r="F72" s="228" t="str">
        <f t="shared" si="6"/>
        <v>Baa3</v>
      </c>
      <c r="G72" s="228" t="str">
        <f t="shared" si="7"/>
        <v>BBB</v>
      </c>
      <c r="I72" s="243" t="s">
        <v>145</v>
      </c>
      <c r="J72" s="244" t="s">
        <v>124</v>
      </c>
      <c r="K72" s="31" t="s">
        <v>206</v>
      </c>
    </row>
    <row r="73" spans="1:11" ht="15.6">
      <c r="A73" s="52" t="s">
        <v>115</v>
      </c>
      <c r="B73" s="250" t="str">
        <f t="shared" si="4"/>
        <v>B+</v>
      </c>
      <c r="C73" s="251" t="str">
        <f t="shared" si="5"/>
        <v>B2</v>
      </c>
      <c r="E73" s="167" t="s">
        <v>115</v>
      </c>
      <c r="F73" s="228" t="str">
        <f t="shared" si="6"/>
        <v>B2</v>
      </c>
      <c r="G73" s="228" t="str">
        <f t="shared" si="7"/>
        <v>B+</v>
      </c>
      <c r="I73" s="243" t="s">
        <v>115</v>
      </c>
      <c r="J73" s="244" t="s">
        <v>49</v>
      </c>
      <c r="K73" s="31" t="s">
        <v>196</v>
      </c>
    </row>
    <row r="74" spans="1:11" ht="15.6">
      <c r="A74" s="52" t="s">
        <v>116</v>
      </c>
      <c r="B74" s="250" t="str">
        <f t="shared" si="4"/>
        <v>A+</v>
      </c>
      <c r="C74" s="251" t="str">
        <f t="shared" si="5"/>
        <v>A1</v>
      </c>
      <c r="E74" s="167" t="s">
        <v>116</v>
      </c>
      <c r="F74" s="228" t="str">
        <f t="shared" si="6"/>
        <v>A1</v>
      </c>
      <c r="G74" s="228" t="str">
        <f t="shared" si="7"/>
        <v>A+</v>
      </c>
      <c r="I74" s="243" t="s">
        <v>116</v>
      </c>
      <c r="J74" s="244" t="s">
        <v>41</v>
      </c>
      <c r="K74" s="31" t="s">
        <v>222</v>
      </c>
    </row>
    <row r="75" spans="1:11" ht="15.6">
      <c r="A75" s="52" t="s">
        <v>290</v>
      </c>
      <c r="B75" s="250" t="str">
        <f t="shared" si="4"/>
        <v>NA</v>
      </c>
      <c r="C75" s="251" t="str">
        <f t="shared" si="5"/>
        <v>Aaa</v>
      </c>
      <c r="E75" s="167" t="s">
        <v>482</v>
      </c>
      <c r="F75" s="228" t="s">
        <v>47</v>
      </c>
      <c r="G75" s="228" t="str">
        <f t="shared" si="7"/>
        <v>NA</v>
      </c>
      <c r="I75" s="243" t="s">
        <v>482</v>
      </c>
      <c r="J75" s="244" t="s">
        <v>537</v>
      </c>
      <c r="K75" s="31" t="s">
        <v>143</v>
      </c>
    </row>
    <row r="76" spans="1:11" ht="15.6">
      <c r="A76" s="52" t="s">
        <v>117</v>
      </c>
      <c r="B76" s="250" t="str">
        <f t="shared" si="4"/>
        <v>B+</v>
      </c>
      <c r="C76" s="251" t="str">
        <f t="shared" si="5"/>
        <v>B1</v>
      </c>
      <c r="E76" s="167" t="s">
        <v>117</v>
      </c>
      <c r="F76" s="228" t="str">
        <f t="shared" si="6"/>
        <v>B1</v>
      </c>
      <c r="G76" s="228" t="str">
        <f t="shared" si="7"/>
        <v>B+</v>
      </c>
      <c r="I76" s="243" t="s">
        <v>117</v>
      </c>
      <c r="J76" s="244" t="s">
        <v>48</v>
      </c>
      <c r="K76" s="31" t="s">
        <v>196</v>
      </c>
    </row>
    <row r="77" spans="1:11" ht="15.6">
      <c r="A77" s="52" t="s">
        <v>118</v>
      </c>
      <c r="B77" s="250" t="str">
        <f t="shared" si="4"/>
        <v>BBB-</v>
      </c>
      <c r="C77" s="251" t="str">
        <f t="shared" si="5"/>
        <v>Baa3</v>
      </c>
      <c r="E77" s="229" t="s">
        <v>118</v>
      </c>
      <c r="F77" s="228" t="str">
        <f t="shared" si="6"/>
        <v>Baa3</v>
      </c>
      <c r="G77" s="228" t="str">
        <f t="shared" si="7"/>
        <v>BBB-</v>
      </c>
      <c r="I77" s="243" t="s">
        <v>118</v>
      </c>
      <c r="J77" s="244" t="s">
        <v>124</v>
      </c>
      <c r="K77" s="31" t="s">
        <v>205</v>
      </c>
    </row>
    <row r="78" spans="1:11" ht="15.6">
      <c r="A78" s="52" t="s">
        <v>184</v>
      </c>
      <c r="B78" s="250" t="str">
        <f t="shared" si="4"/>
        <v>B+</v>
      </c>
      <c r="C78" s="251" t="str">
        <f t="shared" si="5"/>
        <v>B2</v>
      </c>
      <c r="E78" s="167" t="s">
        <v>184</v>
      </c>
      <c r="F78" s="228" t="str">
        <f t="shared" si="6"/>
        <v>B2</v>
      </c>
      <c r="G78" s="228" t="str">
        <f t="shared" si="7"/>
        <v>B+</v>
      </c>
      <c r="I78" s="243" t="s">
        <v>184</v>
      </c>
      <c r="J78" s="244" t="s">
        <v>49</v>
      </c>
      <c r="K78" s="31" t="s">
        <v>196</v>
      </c>
    </row>
    <row r="79" spans="1:11" ht="15.6">
      <c r="A79" s="52" t="s">
        <v>119</v>
      </c>
      <c r="B79" s="250" t="str">
        <f t="shared" si="4"/>
        <v>NA</v>
      </c>
      <c r="C79" s="251" t="str">
        <f t="shared" si="5"/>
        <v>Aa2</v>
      </c>
      <c r="E79" s="167" t="s">
        <v>119</v>
      </c>
      <c r="F79" s="228" t="str">
        <f t="shared" si="6"/>
        <v>Aa2</v>
      </c>
      <c r="G79" s="228" t="str">
        <f t="shared" si="7"/>
        <v>NA</v>
      </c>
      <c r="I79" s="243" t="s">
        <v>119</v>
      </c>
      <c r="J79" s="244" t="s">
        <v>45</v>
      </c>
      <c r="K79" s="31" t="s">
        <v>143</v>
      </c>
    </row>
    <row r="80" spans="1:11" ht="15.6">
      <c r="A80" s="52" t="s">
        <v>120</v>
      </c>
      <c r="B80" s="250" t="str">
        <f t="shared" si="4"/>
        <v>AA-</v>
      </c>
      <c r="C80" s="251" t="str">
        <f t="shared" si="5"/>
        <v>A1</v>
      </c>
      <c r="E80" s="167" t="s">
        <v>120</v>
      </c>
      <c r="F80" s="228" t="str">
        <f t="shared" si="6"/>
        <v>A1</v>
      </c>
      <c r="G80" s="228" t="str">
        <f t="shared" si="7"/>
        <v>AA-</v>
      </c>
      <c r="I80" s="243" t="s">
        <v>120</v>
      </c>
      <c r="J80" s="244" t="s">
        <v>41</v>
      </c>
      <c r="K80" s="31" t="s">
        <v>210</v>
      </c>
    </row>
    <row r="81" spans="1:11" ht="13.8">
      <c r="A81" t="s">
        <v>353</v>
      </c>
      <c r="B81" s="250" t="str">
        <f t="shared" si="4"/>
        <v>NA</v>
      </c>
      <c r="C81" s="251" t="str">
        <f t="shared" si="5"/>
        <v>B2</v>
      </c>
      <c r="E81" s="167" t="s">
        <v>354</v>
      </c>
      <c r="F81" s="228" t="str">
        <f t="shared" si="6"/>
        <v>B2</v>
      </c>
      <c r="G81" s="228" t="str">
        <f t="shared" si="7"/>
        <v>NA</v>
      </c>
      <c r="I81" s="243" t="s">
        <v>354</v>
      </c>
      <c r="J81" s="244" t="s">
        <v>49</v>
      </c>
      <c r="K81" s="31" t="s">
        <v>143</v>
      </c>
    </row>
    <row r="82" spans="1:11" ht="13.8">
      <c r="A82" t="str">
        <f>E82</f>
        <v>Laos</v>
      </c>
      <c r="B82" s="250" t="str">
        <f t="shared" si="4"/>
        <v>NA</v>
      </c>
      <c r="C82" s="251" t="str">
        <f t="shared" si="5"/>
        <v>Caa2</v>
      </c>
      <c r="E82" s="167" t="s">
        <v>343</v>
      </c>
      <c r="F82" s="228" t="str">
        <f t="shared" si="6"/>
        <v>Caa2</v>
      </c>
      <c r="G82" s="228" t="str">
        <f t="shared" si="7"/>
        <v>NA</v>
      </c>
      <c r="I82" s="243" t="s">
        <v>343</v>
      </c>
      <c r="J82" s="244" t="s">
        <v>58</v>
      </c>
      <c r="K82" s="31" t="s">
        <v>143</v>
      </c>
    </row>
    <row r="83" spans="1:11" ht="15.6">
      <c r="A83" s="52" t="s">
        <v>121</v>
      </c>
      <c r="B83" s="250" t="str">
        <f t="shared" si="4"/>
        <v>A+</v>
      </c>
      <c r="C83" s="251" t="str">
        <f t="shared" si="5"/>
        <v>A3</v>
      </c>
      <c r="E83" s="167" t="s">
        <v>121</v>
      </c>
      <c r="F83" s="228" t="str">
        <f t="shared" si="6"/>
        <v>A3</v>
      </c>
      <c r="G83" s="228" t="str">
        <f t="shared" si="7"/>
        <v>A+</v>
      </c>
      <c r="I83" s="243" t="s">
        <v>121</v>
      </c>
      <c r="J83" s="244" t="s">
        <v>43</v>
      </c>
      <c r="K83" s="31" t="s">
        <v>222</v>
      </c>
    </row>
    <row r="84" spans="1:11" ht="15.6">
      <c r="A84" s="52" t="s">
        <v>122</v>
      </c>
      <c r="B84" s="250" t="str">
        <f t="shared" si="4"/>
        <v>SD</v>
      </c>
      <c r="C84" s="251" t="str">
        <f t="shared" si="5"/>
        <v>C</v>
      </c>
      <c r="E84" s="167" t="s">
        <v>122</v>
      </c>
      <c r="F84" s="228" t="str">
        <f t="shared" si="6"/>
        <v>C</v>
      </c>
      <c r="G84" s="228" t="str">
        <f t="shared" si="7"/>
        <v>SD</v>
      </c>
      <c r="I84" s="243" t="s">
        <v>122</v>
      </c>
      <c r="J84" s="244" t="s">
        <v>137</v>
      </c>
      <c r="K84" s="31" t="s">
        <v>509</v>
      </c>
    </row>
    <row r="85" spans="1:11" ht="15.6">
      <c r="A85" s="52" t="s">
        <v>223</v>
      </c>
      <c r="B85" s="250" t="str">
        <f t="shared" si="4"/>
        <v>AAA</v>
      </c>
      <c r="C85" s="251" t="str">
        <f t="shared" si="5"/>
        <v>Aaa</v>
      </c>
      <c r="E85" s="167" t="s">
        <v>223</v>
      </c>
      <c r="F85" s="228" t="str">
        <f t="shared" si="6"/>
        <v>Aaa</v>
      </c>
      <c r="G85" s="228" t="str">
        <f t="shared" si="7"/>
        <v>AAA</v>
      </c>
      <c r="I85" s="243" t="s">
        <v>223</v>
      </c>
      <c r="J85" s="244" t="s">
        <v>47</v>
      </c>
      <c r="K85" s="31" t="s">
        <v>203</v>
      </c>
    </row>
    <row r="86" spans="1:11" ht="15.6">
      <c r="A86" s="52" t="s">
        <v>13</v>
      </c>
      <c r="B86" s="250" t="str">
        <f t="shared" si="4"/>
        <v>A+</v>
      </c>
      <c r="C86" s="251" t="str">
        <f t="shared" si="5"/>
        <v>A3</v>
      </c>
      <c r="E86" s="167" t="s">
        <v>13</v>
      </c>
      <c r="F86" s="228" t="str">
        <f t="shared" si="6"/>
        <v>A3</v>
      </c>
      <c r="G86" s="228" t="str">
        <f t="shared" si="7"/>
        <v>A+</v>
      </c>
      <c r="I86" s="243" t="s">
        <v>13</v>
      </c>
      <c r="J86" s="244" t="s">
        <v>43</v>
      </c>
      <c r="K86" s="31" t="s">
        <v>222</v>
      </c>
    </row>
    <row r="87" spans="1:11" ht="15.6">
      <c r="A87" s="52" t="s">
        <v>185</v>
      </c>
      <c r="B87" s="250" t="str">
        <f t="shared" si="4"/>
        <v>AAA</v>
      </c>
      <c r="C87" s="251" t="str">
        <f t="shared" si="5"/>
        <v>Aaa</v>
      </c>
      <c r="E87" s="167" t="s">
        <v>185</v>
      </c>
      <c r="F87" s="228" t="str">
        <f t="shared" si="6"/>
        <v>Aaa</v>
      </c>
      <c r="G87" s="228" t="str">
        <f t="shared" si="7"/>
        <v>AAA</v>
      </c>
      <c r="I87" s="243" t="s">
        <v>185</v>
      </c>
      <c r="J87" s="244" t="s">
        <v>47</v>
      </c>
      <c r="K87" s="31" t="s">
        <v>203</v>
      </c>
    </row>
    <row r="88" spans="1:11" ht="15.6">
      <c r="A88" s="52" t="s">
        <v>32</v>
      </c>
      <c r="B88" s="250" t="str">
        <f t="shared" si="4"/>
        <v>NA</v>
      </c>
      <c r="C88" s="251" t="str">
        <f t="shared" si="5"/>
        <v>Aa3</v>
      </c>
      <c r="E88" s="167" t="s">
        <v>32</v>
      </c>
      <c r="F88" s="228" t="str">
        <f t="shared" si="6"/>
        <v>Aa3</v>
      </c>
      <c r="G88" s="228" t="str">
        <f t="shared" si="7"/>
        <v>NA</v>
      </c>
      <c r="I88" s="243" t="s">
        <v>32</v>
      </c>
      <c r="J88" s="244" t="s">
        <v>46</v>
      </c>
      <c r="K88" s="31" t="s">
        <v>143</v>
      </c>
    </row>
    <row r="89" spans="1:11" ht="15.6">
      <c r="A89" s="52" t="s">
        <v>146</v>
      </c>
      <c r="B89" s="250" t="str">
        <f t="shared" si="4"/>
        <v>BB-</v>
      </c>
      <c r="C89" s="251" t="str">
        <f t="shared" si="5"/>
        <v>NA</v>
      </c>
      <c r="E89" s="247" t="s">
        <v>146</v>
      </c>
      <c r="F89" s="248" t="s">
        <v>143</v>
      </c>
      <c r="G89" s="248" t="s">
        <v>199</v>
      </c>
      <c r="I89" s="243"/>
      <c r="J89" s="244"/>
      <c r="K89" s="31"/>
    </row>
    <row r="90" spans="1:11" ht="15.6">
      <c r="A90" s="52" t="s">
        <v>14</v>
      </c>
      <c r="B90" s="250" t="str">
        <f t="shared" si="4"/>
        <v>A-</v>
      </c>
      <c r="C90" s="251" t="str">
        <f t="shared" si="5"/>
        <v>A3</v>
      </c>
      <c r="E90" s="167" t="s">
        <v>14</v>
      </c>
      <c r="F90" s="228" t="str">
        <f t="shared" si="6"/>
        <v>A3</v>
      </c>
      <c r="G90" s="228" t="str">
        <f t="shared" si="7"/>
        <v>A-</v>
      </c>
      <c r="I90" s="243" t="s">
        <v>14</v>
      </c>
      <c r="J90" s="244" t="s">
        <v>43</v>
      </c>
      <c r="K90" s="31" t="s">
        <v>198</v>
      </c>
    </row>
    <row r="91" spans="1:11" ht="15.6">
      <c r="A91" s="52" t="s">
        <v>416</v>
      </c>
      <c r="B91" s="250" t="str">
        <f t="shared" si="4"/>
        <v>NA</v>
      </c>
      <c r="C91" s="251" t="str">
        <f t="shared" si="5"/>
        <v>B3</v>
      </c>
      <c r="E91" s="167" t="s">
        <v>416</v>
      </c>
      <c r="F91" s="228" t="str">
        <f t="shared" si="6"/>
        <v>B3</v>
      </c>
      <c r="G91" s="228" t="str">
        <f t="shared" si="7"/>
        <v>NA</v>
      </c>
      <c r="I91" s="243" t="s">
        <v>416</v>
      </c>
      <c r="J91" s="244" t="s">
        <v>78</v>
      </c>
      <c r="K91" s="31" t="s">
        <v>143</v>
      </c>
    </row>
    <row r="92" spans="1:11" ht="15.6">
      <c r="A92" s="158" t="s">
        <v>325</v>
      </c>
      <c r="B92" s="250" t="str">
        <f t="shared" si="4"/>
        <v>NR</v>
      </c>
      <c r="C92" s="251" t="str">
        <f t="shared" si="5"/>
        <v>Caa1</v>
      </c>
      <c r="E92" s="167" t="s">
        <v>325</v>
      </c>
      <c r="F92" s="228" t="str">
        <f t="shared" si="6"/>
        <v>Caa1</v>
      </c>
      <c r="G92" s="228" t="str">
        <f t="shared" si="7"/>
        <v>NR</v>
      </c>
      <c r="I92" s="243" t="s">
        <v>325</v>
      </c>
      <c r="J92" s="244" t="s">
        <v>100</v>
      </c>
      <c r="K92" s="31" t="s">
        <v>277</v>
      </c>
    </row>
    <row r="93" spans="1:11" ht="15.6">
      <c r="A93" s="52" t="s">
        <v>186</v>
      </c>
      <c r="B93" s="250" t="str">
        <f t="shared" si="4"/>
        <v>A-</v>
      </c>
      <c r="C93" s="251" t="str">
        <f t="shared" si="5"/>
        <v>A2</v>
      </c>
      <c r="E93" s="167" t="s">
        <v>186</v>
      </c>
      <c r="F93" s="228" t="str">
        <f t="shared" si="6"/>
        <v>A2</v>
      </c>
      <c r="G93" s="228" t="str">
        <f t="shared" si="7"/>
        <v>A-</v>
      </c>
      <c r="I93" s="243" t="s">
        <v>186</v>
      </c>
      <c r="J93" s="244" t="s">
        <v>42</v>
      </c>
      <c r="K93" s="31" t="s">
        <v>198</v>
      </c>
    </row>
    <row r="94" spans="1:11" ht="15.6">
      <c r="A94" s="52" t="s">
        <v>15</v>
      </c>
      <c r="B94" s="250" t="str">
        <f t="shared" si="4"/>
        <v>NA</v>
      </c>
      <c r="C94" s="251" t="str">
        <f t="shared" si="5"/>
        <v>Baa1</v>
      </c>
      <c r="E94" s="167" t="s">
        <v>15</v>
      </c>
      <c r="F94" s="228" t="str">
        <f t="shared" si="6"/>
        <v>Baa1</v>
      </c>
      <c r="G94" s="228" t="str">
        <f t="shared" si="7"/>
        <v>NA</v>
      </c>
      <c r="I94" s="243" t="s">
        <v>15</v>
      </c>
      <c r="J94" s="244" t="s">
        <v>82</v>
      </c>
      <c r="K94" s="31" t="s">
        <v>143</v>
      </c>
    </row>
    <row r="95" spans="1:11" ht="15.6">
      <c r="A95" s="52" t="s">
        <v>16</v>
      </c>
      <c r="B95" s="250" t="str">
        <f t="shared" si="4"/>
        <v>BBB</v>
      </c>
      <c r="C95" s="251" t="str">
        <f t="shared" si="5"/>
        <v>Baa1</v>
      </c>
      <c r="E95" s="167" t="s">
        <v>16</v>
      </c>
      <c r="F95" s="228" t="str">
        <f t="shared" si="6"/>
        <v>Baa1</v>
      </c>
      <c r="G95" s="228" t="str">
        <f t="shared" si="7"/>
        <v>BBB</v>
      </c>
      <c r="I95" s="243" t="s">
        <v>16</v>
      </c>
      <c r="J95" s="244" t="s">
        <v>82</v>
      </c>
      <c r="K95" s="31" t="s">
        <v>206</v>
      </c>
    </row>
    <row r="96" spans="1:11" ht="15.6">
      <c r="A96" s="52" t="s">
        <v>17</v>
      </c>
      <c r="B96" s="250" t="str">
        <f t="shared" si="4"/>
        <v>NA</v>
      </c>
      <c r="C96" s="251" t="str">
        <f t="shared" si="5"/>
        <v>B3</v>
      </c>
      <c r="E96" s="167" t="s">
        <v>17</v>
      </c>
      <c r="F96" s="228" t="str">
        <f t="shared" si="6"/>
        <v>B3</v>
      </c>
      <c r="G96" s="228" t="str">
        <f t="shared" si="7"/>
        <v>NA</v>
      </c>
      <c r="I96" s="243" t="s">
        <v>17</v>
      </c>
      <c r="J96" s="244" t="s">
        <v>78</v>
      </c>
      <c r="K96" s="31" t="s">
        <v>143</v>
      </c>
    </row>
    <row r="97" spans="1:11" ht="15.6">
      <c r="A97" s="52" t="s">
        <v>63</v>
      </c>
      <c r="B97" s="250" t="str">
        <f t="shared" si="4"/>
        <v>B</v>
      </c>
      <c r="C97" s="251" t="str">
        <f t="shared" si="5"/>
        <v>B3</v>
      </c>
      <c r="E97" s="167" t="s">
        <v>63</v>
      </c>
      <c r="F97" s="228" t="str">
        <f t="shared" si="6"/>
        <v>B3</v>
      </c>
      <c r="G97" s="228" t="str">
        <f t="shared" si="7"/>
        <v>B</v>
      </c>
      <c r="I97" s="243" t="s">
        <v>63</v>
      </c>
      <c r="J97" s="244" t="s">
        <v>78</v>
      </c>
      <c r="K97" s="31" t="s">
        <v>209</v>
      </c>
    </row>
    <row r="98" spans="1:11" ht="15.6">
      <c r="A98" s="52" t="s">
        <v>8</v>
      </c>
      <c r="B98" s="250" t="str">
        <f t="shared" si="4"/>
        <v>B+</v>
      </c>
      <c r="C98" s="251" t="str">
        <f t="shared" si="5"/>
        <v>B1</v>
      </c>
      <c r="E98" s="167" t="s">
        <v>8</v>
      </c>
      <c r="F98" s="228" t="str">
        <f t="shared" si="6"/>
        <v>B1</v>
      </c>
      <c r="G98" s="228" t="str">
        <f t="shared" si="7"/>
        <v>B+</v>
      </c>
      <c r="I98" s="243" t="s">
        <v>8</v>
      </c>
      <c r="J98" s="244" t="s">
        <v>48</v>
      </c>
      <c r="K98" s="31" t="s">
        <v>196</v>
      </c>
    </row>
    <row r="99" spans="1:11" ht="15.6">
      <c r="A99" s="52" t="s">
        <v>225</v>
      </c>
      <c r="B99" s="250" t="str">
        <f t="shared" si="4"/>
        <v>BBB-</v>
      </c>
      <c r="C99" s="251" t="str">
        <f t="shared" si="5"/>
        <v>NA</v>
      </c>
      <c r="E99" s="247" t="s">
        <v>225</v>
      </c>
      <c r="F99" s="248" t="s">
        <v>143</v>
      </c>
      <c r="G99" s="248" t="s">
        <v>205</v>
      </c>
      <c r="I99" s="243"/>
      <c r="J99" s="244"/>
      <c r="K99" s="31"/>
    </row>
    <row r="100" spans="1:11" ht="15.6">
      <c r="A100" s="52" t="s">
        <v>18</v>
      </c>
      <c r="B100" s="250" t="str">
        <f t="shared" si="4"/>
        <v>BBB-</v>
      </c>
      <c r="C100" s="251" t="str">
        <f t="shared" si="5"/>
        <v>Ba1</v>
      </c>
      <c r="E100" s="167" t="s">
        <v>18</v>
      </c>
      <c r="F100" s="228" t="str">
        <f t="shared" si="6"/>
        <v>Ba1</v>
      </c>
      <c r="G100" s="228" t="str">
        <f t="shared" si="7"/>
        <v>BBB-</v>
      </c>
      <c r="I100" s="243" t="s">
        <v>18</v>
      </c>
      <c r="J100" s="244" t="s">
        <v>79</v>
      </c>
      <c r="K100" s="31" t="s">
        <v>205</v>
      </c>
    </row>
    <row r="101" spans="1:11" ht="15.6">
      <c r="A101" s="52" t="s">
        <v>226</v>
      </c>
      <c r="B101" s="250" t="str">
        <f t="shared" si="4"/>
        <v>CCC+</v>
      </c>
      <c r="C101" s="251" t="str">
        <f t="shared" si="5"/>
        <v>Caa2</v>
      </c>
      <c r="E101" s="230" t="s">
        <v>226</v>
      </c>
      <c r="F101" s="228" t="str">
        <f t="shared" si="6"/>
        <v>Caa2</v>
      </c>
      <c r="G101" s="228" t="str">
        <f t="shared" si="7"/>
        <v>CCC+</v>
      </c>
      <c r="I101" s="245" t="s">
        <v>226</v>
      </c>
      <c r="J101" s="244" t="s">
        <v>58</v>
      </c>
      <c r="K101" s="31" t="s">
        <v>218</v>
      </c>
    </row>
    <row r="102" spans="1:11" ht="15.6">
      <c r="A102" s="52" t="s">
        <v>136</v>
      </c>
      <c r="B102" s="250" t="str">
        <f t="shared" si="4"/>
        <v>NA</v>
      </c>
      <c r="C102" s="251" t="str">
        <f t="shared" si="5"/>
        <v>Ba3</v>
      </c>
      <c r="E102" s="167" t="s">
        <v>136</v>
      </c>
      <c r="F102" s="228" t="str">
        <f t="shared" si="6"/>
        <v>Ba3</v>
      </c>
      <c r="G102" s="228" t="str">
        <f t="shared" si="7"/>
        <v>NA</v>
      </c>
      <c r="I102" s="243" t="s">
        <v>136</v>
      </c>
      <c r="J102" s="244" t="s">
        <v>81</v>
      </c>
      <c r="K102" s="31" t="s">
        <v>143</v>
      </c>
    </row>
    <row r="103" spans="1:11" ht="15.6">
      <c r="A103" s="52" t="s">
        <v>187</v>
      </c>
      <c r="B103" s="250" t="str">
        <f t="shared" si="4"/>
        <v>AAA</v>
      </c>
      <c r="C103" s="251" t="str">
        <f t="shared" si="5"/>
        <v>Aaa</v>
      </c>
      <c r="E103" s="167" t="s">
        <v>187</v>
      </c>
      <c r="F103" s="228" t="str">
        <f t="shared" si="6"/>
        <v>Aaa</v>
      </c>
      <c r="G103" s="228" t="str">
        <f t="shared" si="7"/>
        <v>AAA</v>
      </c>
      <c r="I103" s="243" t="s">
        <v>187</v>
      </c>
      <c r="J103" s="244" t="s">
        <v>47</v>
      </c>
      <c r="K103" s="31" t="s">
        <v>203</v>
      </c>
    </row>
    <row r="104" spans="1:11" ht="15.6">
      <c r="A104" s="52" t="s">
        <v>21</v>
      </c>
      <c r="B104" s="250" t="str">
        <f t="shared" si="4"/>
        <v>AA</v>
      </c>
      <c r="C104" s="251" t="str">
        <f t="shared" si="5"/>
        <v>Aaa</v>
      </c>
      <c r="E104" s="167" t="s">
        <v>21</v>
      </c>
      <c r="F104" s="228" t="str">
        <f t="shared" si="6"/>
        <v>Aaa</v>
      </c>
      <c r="G104" s="228" t="str">
        <f t="shared" si="7"/>
        <v>AA</v>
      </c>
      <c r="I104" s="243" t="s">
        <v>21</v>
      </c>
      <c r="J104" s="244" t="s">
        <v>47</v>
      </c>
      <c r="K104" s="31" t="s">
        <v>207</v>
      </c>
    </row>
    <row r="105" spans="1:11" ht="15.6">
      <c r="A105" s="52" t="s">
        <v>22</v>
      </c>
      <c r="B105" s="250" t="str">
        <f t="shared" si="4"/>
        <v>NA</v>
      </c>
      <c r="C105" s="251" t="str">
        <f t="shared" si="5"/>
        <v>B3</v>
      </c>
      <c r="E105" s="167" t="s">
        <v>22</v>
      </c>
      <c r="F105" s="228" t="str">
        <f t="shared" si="6"/>
        <v>B3</v>
      </c>
      <c r="G105" s="228" t="str">
        <f t="shared" si="7"/>
        <v>NA</v>
      </c>
      <c r="I105" s="243" t="s">
        <v>22</v>
      </c>
      <c r="J105" s="244" t="s">
        <v>78</v>
      </c>
      <c r="K105" s="31" t="s">
        <v>143</v>
      </c>
    </row>
    <row r="106" spans="1:11" ht="13.8">
      <c r="A106" s="114" t="s">
        <v>321</v>
      </c>
      <c r="B106" s="250" t="str">
        <f t="shared" si="4"/>
        <v>NA</v>
      </c>
      <c r="C106" s="251" t="str">
        <f t="shared" si="5"/>
        <v>B3</v>
      </c>
      <c r="E106" s="167" t="s">
        <v>321</v>
      </c>
      <c r="F106" s="228" t="str">
        <f t="shared" si="6"/>
        <v>B3</v>
      </c>
      <c r="G106" s="228" t="str">
        <f t="shared" si="7"/>
        <v>NA</v>
      </c>
      <c r="I106" s="243" t="s">
        <v>321</v>
      </c>
      <c r="J106" s="244" t="s">
        <v>78</v>
      </c>
      <c r="K106" s="31" t="s">
        <v>143</v>
      </c>
    </row>
    <row r="107" spans="1:11" ht="15.6">
      <c r="A107" s="52" t="s">
        <v>188</v>
      </c>
      <c r="B107" s="250" t="str">
        <f t="shared" si="4"/>
        <v>B-</v>
      </c>
      <c r="C107" s="251" t="str">
        <f t="shared" si="5"/>
        <v>B2</v>
      </c>
      <c r="E107" s="167" t="s">
        <v>188</v>
      </c>
      <c r="F107" s="228" t="str">
        <f t="shared" si="6"/>
        <v>B2</v>
      </c>
      <c r="G107" s="228" t="str">
        <f t="shared" si="7"/>
        <v>B-</v>
      </c>
      <c r="I107" s="243" t="s">
        <v>188</v>
      </c>
      <c r="J107" s="244" t="s">
        <v>49</v>
      </c>
      <c r="K107" s="31" t="s">
        <v>200</v>
      </c>
    </row>
    <row r="108" spans="1:11" ht="15.6">
      <c r="A108" s="52" t="s">
        <v>23</v>
      </c>
      <c r="B108" s="250" t="str">
        <f t="shared" si="4"/>
        <v>AAA</v>
      </c>
      <c r="C108" s="251" t="str">
        <f t="shared" si="5"/>
        <v>Aaa</v>
      </c>
      <c r="E108" s="167" t="s">
        <v>23</v>
      </c>
      <c r="F108" s="228" t="str">
        <f t="shared" si="6"/>
        <v>Aaa</v>
      </c>
      <c r="G108" s="228" t="str">
        <f t="shared" si="7"/>
        <v>AAA</v>
      </c>
      <c r="I108" s="243" t="s">
        <v>23</v>
      </c>
      <c r="J108" s="244" t="s">
        <v>47</v>
      </c>
      <c r="K108" s="31" t="s">
        <v>203</v>
      </c>
    </row>
    <row r="109" spans="1:11" ht="15.6">
      <c r="A109" s="52" t="s">
        <v>24</v>
      </c>
      <c r="B109" s="250" t="str">
        <f t="shared" si="4"/>
        <v>B+</v>
      </c>
      <c r="C109" s="251" t="str">
        <f t="shared" si="5"/>
        <v>Ba3</v>
      </c>
      <c r="E109" s="167" t="s">
        <v>24</v>
      </c>
      <c r="F109" s="228" t="str">
        <f t="shared" si="6"/>
        <v>Ba3</v>
      </c>
      <c r="G109" s="228" t="str">
        <f t="shared" si="7"/>
        <v>B+</v>
      </c>
      <c r="I109" s="243" t="s">
        <v>24</v>
      </c>
      <c r="J109" s="244" t="s">
        <v>81</v>
      </c>
      <c r="K109" s="31" t="s">
        <v>196</v>
      </c>
    </row>
    <row r="110" spans="1:11" ht="15.6">
      <c r="A110" s="52" t="s">
        <v>25</v>
      </c>
      <c r="B110" s="250" t="str">
        <f t="shared" si="4"/>
        <v>B-</v>
      </c>
      <c r="C110" s="251" t="str">
        <f t="shared" si="5"/>
        <v>B3</v>
      </c>
      <c r="E110" s="167" t="s">
        <v>25</v>
      </c>
      <c r="F110" s="228" t="str">
        <f t="shared" si="6"/>
        <v>B3</v>
      </c>
      <c r="G110" s="228" t="str">
        <f t="shared" si="7"/>
        <v>B-</v>
      </c>
      <c r="I110" s="243" t="s">
        <v>25</v>
      </c>
      <c r="J110" s="244" t="s">
        <v>78</v>
      </c>
      <c r="K110" s="31" t="s">
        <v>200</v>
      </c>
    </row>
    <row r="111" spans="1:11" ht="15.6">
      <c r="A111" s="52" t="s">
        <v>26</v>
      </c>
      <c r="B111" s="250" t="str">
        <f t="shared" si="4"/>
        <v>BBB</v>
      </c>
      <c r="C111" s="251" t="str">
        <f t="shared" si="5"/>
        <v>Baa1</v>
      </c>
      <c r="E111" s="167" t="s">
        <v>26</v>
      </c>
      <c r="F111" s="228" t="str">
        <f t="shared" si="6"/>
        <v>Baa1</v>
      </c>
      <c r="G111" s="228" t="str">
        <f t="shared" si="7"/>
        <v>BBB</v>
      </c>
      <c r="I111" s="243" t="s">
        <v>26</v>
      </c>
      <c r="J111" s="244" t="s">
        <v>82</v>
      </c>
      <c r="K111" s="31" t="s">
        <v>206</v>
      </c>
    </row>
    <row r="112" spans="1:11" ht="15.6">
      <c r="A112" s="52" t="s">
        <v>9</v>
      </c>
      <c r="B112" s="250" t="str">
        <f t="shared" si="4"/>
        <v>B-</v>
      </c>
      <c r="C112" s="251" t="str">
        <f t="shared" si="5"/>
        <v>B2</v>
      </c>
      <c r="E112" s="229" t="s">
        <v>9</v>
      </c>
      <c r="F112" s="228" t="str">
        <f t="shared" si="6"/>
        <v>B2</v>
      </c>
      <c r="G112" s="228" t="str">
        <f t="shared" si="7"/>
        <v>B-</v>
      </c>
      <c r="I112" s="243" t="s">
        <v>9</v>
      </c>
      <c r="J112" s="244" t="s">
        <v>49</v>
      </c>
      <c r="K112" s="31" t="s">
        <v>200</v>
      </c>
    </row>
    <row r="113" spans="1:11" ht="15.6">
      <c r="A113" s="52" t="s">
        <v>27</v>
      </c>
      <c r="B113" s="250" t="str">
        <f t="shared" si="4"/>
        <v>BB</v>
      </c>
      <c r="C113" s="251" t="str">
        <f t="shared" si="5"/>
        <v>Ba1</v>
      </c>
      <c r="E113" s="167" t="s">
        <v>27</v>
      </c>
      <c r="F113" s="228" t="str">
        <f t="shared" si="6"/>
        <v>Ba1</v>
      </c>
      <c r="G113" s="228" t="str">
        <f t="shared" si="7"/>
        <v>BB</v>
      </c>
      <c r="I113" s="243" t="s">
        <v>27</v>
      </c>
      <c r="J113" s="244" t="s">
        <v>79</v>
      </c>
      <c r="K113" s="31" t="s">
        <v>215</v>
      </c>
    </row>
    <row r="114" spans="1:11" ht="15.6">
      <c r="A114" s="52" t="s">
        <v>28</v>
      </c>
      <c r="B114" s="250" t="str">
        <f t="shared" si="4"/>
        <v>BBB+</v>
      </c>
      <c r="C114" s="251" t="str">
        <f t="shared" si="5"/>
        <v>A3</v>
      </c>
      <c r="E114" s="167" t="s">
        <v>28</v>
      </c>
      <c r="F114" s="228" t="str">
        <f t="shared" si="6"/>
        <v>A3</v>
      </c>
      <c r="G114" s="228" t="str">
        <f t="shared" si="7"/>
        <v>BBB+</v>
      </c>
      <c r="I114" s="243" t="s">
        <v>28</v>
      </c>
      <c r="J114" s="244" t="s">
        <v>43</v>
      </c>
      <c r="K114" s="31" t="s">
        <v>202</v>
      </c>
    </row>
    <row r="115" spans="1:11" ht="15.6">
      <c r="A115" s="52" t="s">
        <v>29</v>
      </c>
      <c r="B115" s="250" t="str">
        <f t="shared" si="4"/>
        <v>BBB+</v>
      </c>
      <c r="C115" s="251" t="str">
        <f t="shared" si="5"/>
        <v>Baa2</v>
      </c>
      <c r="E115" s="167" t="s">
        <v>29</v>
      </c>
      <c r="F115" s="228" t="str">
        <f t="shared" si="6"/>
        <v>Baa2</v>
      </c>
      <c r="G115" s="228" t="str">
        <f t="shared" si="7"/>
        <v>BBB+</v>
      </c>
      <c r="I115" s="243" t="s">
        <v>29</v>
      </c>
      <c r="J115" s="244" t="s">
        <v>83</v>
      </c>
      <c r="K115" s="31" t="s">
        <v>202</v>
      </c>
    </row>
    <row r="116" spans="1:11" ht="15.6">
      <c r="A116" s="52" t="s">
        <v>30</v>
      </c>
      <c r="B116" s="250" t="str">
        <f t="shared" si="4"/>
        <v>A-</v>
      </c>
      <c r="C116" s="251" t="str">
        <f t="shared" si="5"/>
        <v>A2</v>
      </c>
      <c r="E116" s="167" t="s">
        <v>30</v>
      </c>
      <c r="F116" s="228" t="str">
        <f t="shared" si="6"/>
        <v>A2</v>
      </c>
      <c r="G116" s="228" t="str">
        <f t="shared" si="7"/>
        <v>A-</v>
      </c>
      <c r="I116" s="243" t="s">
        <v>30</v>
      </c>
      <c r="J116" s="244" t="s">
        <v>42</v>
      </c>
      <c r="K116" s="31" t="s">
        <v>198</v>
      </c>
    </row>
    <row r="117" spans="1:11" ht="15.6">
      <c r="A117" s="52" t="s">
        <v>189</v>
      </c>
      <c r="B117" s="250" t="str">
        <f t="shared" si="4"/>
        <v>BBB</v>
      </c>
      <c r="C117" s="251" t="str">
        <f t="shared" si="5"/>
        <v>Baa3</v>
      </c>
      <c r="E117" s="167" t="s">
        <v>189</v>
      </c>
      <c r="F117" s="228" t="str">
        <f t="shared" si="6"/>
        <v>Baa3</v>
      </c>
      <c r="G117" s="228" t="str">
        <f t="shared" si="7"/>
        <v>BBB</v>
      </c>
      <c r="I117" s="243" t="s">
        <v>189</v>
      </c>
      <c r="J117" s="244" t="s">
        <v>124</v>
      </c>
      <c r="K117" s="31" t="s">
        <v>206</v>
      </c>
    </row>
    <row r="118" spans="1:11" ht="15.6">
      <c r="A118" s="52" t="s">
        <v>74</v>
      </c>
      <c r="B118" s="250" t="str">
        <f t="shared" si="4"/>
        <v>AA-</v>
      </c>
      <c r="C118" s="251" t="str">
        <f t="shared" si="5"/>
        <v>Aa3</v>
      </c>
      <c r="E118" s="167" t="s">
        <v>74</v>
      </c>
      <c r="F118" s="228" t="str">
        <f t="shared" si="6"/>
        <v>Aa3</v>
      </c>
      <c r="G118" s="228" t="str">
        <f t="shared" si="7"/>
        <v>AA-</v>
      </c>
      <c r="I118" s="243" t="s">
        <v>74</v>
      </c>
      <c r="J118" s="244" t="s">
        <v>46</v>
      </c>
      <c r="K118" s="31" t="s">
        <v>210</v>
      </c>
    </row>
    <row r="119" spans="1:11" ht="15.6">
      <c r="A119" s="52" t="s">
        <v>291</v>
      </c>
      <c r="B119" s="250" t="str">
        <f t="shared" si="4"/>
        <v>NA</v>
      </c>
      <c r="C119" s="251" t="str">
        <f t="shared" si="5"/>
        <v>Aaa</v>
      </c>
      <c r="E119" s="249" t="s">
        <v>291</v>
      </c>
      <c r="F119" s="248" t="s">
        <v>47</v>
      </c>
      <c r="G119" s="248" t="s">
        <v>143</v>
      </c>
    </row>
    <row r="120" spans="1:11" ht="15.6">
      <c r="A120" s="52" t="s">
        <v>0</v>
      </c>
      <c r="B120" s="250" t="str">
        <f t="shared" si="4"/>
        <v>BBB-</v>
      </c>
      <c r="C120" s="251" t="str">
        <f t="shared" si="5"/>
        <v>Baa3</v>
      </c>
      <c r="E120" s="167" t="s">
        <v>0</v>
      </c>
      <c r="F120" s="228" t="str">
        <f t="shared" si="6"/>
        <v>Baa3</v>
      </c>
      <c r="G120" s="228" t="str">
        <f t="shared" si="7"/>
        <v>BBB-</v>
      </c>
      <c r="I120" s="243" t="s">
        <v>0</v>
      </c>
      <c r="J120" s="244" t="s">
        <v>124</v>
      </c>
      <c r="K120" s="31" t="s">
        <v>205</v>
      </c>
    </row>
    <row r="121" spans="1:11" ht="15.6">
      <c r="A121" s="52" t="s">
        <v>1</v>
      </c>
      <c r="B121" s="250" t="str">
        <f t="shared" si="4"/>
        <v>BBB-</v>
      </c>
      <c r="C121" s="251" t="str">
        <f t="shared" si="5"/>
        <v>Baa3</v>
      </c>
      <c r="E121" s="229" t="s">
        <v>1</v>
      </c>
      <c r="F121" s="228" t="str">
        <f t="shared" si="6"/>
        <v>Baa3</v>
      </c>
      <c r="G121" s="228" t="str">
        <f t="shared" si="7"/>
        <v>BBB-</v>
      </c>
      <c r="I121" s="243" t="s">
        <v>1</v>
      </c>
      <c r="J121" s="244" t="s">
        <v>124</v>
      </c>
      <c r="K121" s="31" t="s">
        <v>205</v>
      </c>
    </row>
    <row r="122" spans="1:11" ht="15.6">
      <c r="A122" s="52" t="s">
        <v>227</v>
      </c>
      <c r="B122" s="250" t="str">
        <f t="shared" si="4"/>
        <v>B+</v>
      </c>
      <c r="C122" s="251" t="str">
        <f t="shared" si="5"/>
        <v>B2</v>
      </c>
      <c r="E122" s="229" t="s">
        <v>227</v>
      </c>
      <c r="F122" s="228" t="str">
        <f t="shared" si="6"/>
        <v>B2</v>
      </c>
      <c r="G122" s="228" t="str">
        <f t="shared" si="7"/>
        <v>B+</v>
      </c>
      <c r="I122" s="243" t="s">
        <v>227</v>
      </c>
      <c r="J122" s="244" t="s">
        <v>49</v>
      </c>
      <c r="K122" s="31" t="s">
        <v>196</v>
      </c>
    </row>
    <row r="123" spans="1:11" ht="15.6">
      <c r="A123" s="52" t="s">
        <v>2</v>
      </c>
      <c r="B123" s="250" t="str">
        <f t="shared" si="4"/>
        <v>A-</v>
      </c>
      <c r="C123" s="251" t="str">
        <f t="shared" si="5"/>
        <v>A1</v>
      </c>
      <c r="E123" s="167" t="s">
        <v>2</v>
      </c>
      <c r="F123" s="228" t="str">
        <f t="shared" si="6"/>
        <v>A1</v>
      </c>
      <c r="G123" s="228" t="str">
        <f t="shared" si="7"/>
        <v>A-</v>
      </c>
      <c r="I123" s="243" t="s">
        <v>2</v>
      </c>
      <c r="J123" s="244" t="s">
        <v>41</v>
      </c>
      <c r="K123" s="31" t="s">
        <v>198</v>
      </c>
    </row>
    <row r="124" spans="1:11" ht="15.6">
      <c r="A124" s="52" t="s">
        <v>135</v>
      </c>
      <c r="B124" s="250" t="str">
        <f t="shared" si="4"/>
        <v>B+</v>
      </c>
      <c r="C124" s="251" t="str">
        <f t="shared" si="5"/>
        <v>Ba3</v>
      </c>
      <c r="E124" s="167" t="s">
        <v>135</v>
      </c>
      <c r="F124" s="228" t="str">
        <f t="shared" si="6"/>
        <v>Ba3</v>
      </c>
      <c r="G124" s="228" t="str">
        <f t="shared" si="7"/>
        <v>B+</v>
      </c>
      <c r="I124" s="243" t="s">
        <v>135</v>
      </c>
      <c r="J124" s="244" t="s">
        <v>81</v>
      </c>
      <c r="K124" s="31" t="s">
        <v>196</v>
      </c>
    </row>
    <row r="125" spans="1:11" ht="15.6">
      <c r="A125" s="52" t="s">
        <v>147</v>
      </c>
      <c r="B125" s="250" t="str">
        <f t="shared" si="4"/>
        <v>BB+</v>
      </c>
      <c r="C125" s="251" t="str">
        <f t="shared" si="5"/>
        <v>Ba3</v>
      </c>
      <c r="E125" s="167" t="s">
        <v>147</v>
      </c>
      <c r="F125" s="228" t="str">
        <f t="shared" si="6"/>
        <v>Ba3</v>
      </c>
      <c r="G125" s="228" t="str">
        <f t="shared" si="7"/>
        <v>BB+</v>
      </c>
      <c r="I125" s="243" t="s">
        <v>147</v>
      </c>
      <c r="J125" s="244" t="s">
        <v>81</v>
      </c>
      <c r="K125" s="31" t="s">
        <v>216</v>
      </c>
    </row>
    <row r="126" spans="1:11" ht="15.6">
      <c r="A126" s="52" t="s">
        <v>285</v>
      </c>
      <c r="B126" s="250" t="str">
        <f t="shared" si="4"/>
        <v>NA</v>
      </c>
      <c r="C126" s="251" t="str">
        <f t="shared" si="5"/>
        <v>Baa2</v>
      </c>
      <c r="E126" s="167" t="s">
        <v>285</v>
      </c>
      <c r="F126" s="228" t="str">
        <f t="shared" si="6"/>
        <v>Baa2</v>
      </c>
      <c r="G126" s="228" t="str">
        <f t="shared" si="7"/>
        <v>NA</v>
      </c>
      <c r="I126" s="243" t="s">
        <v>285</v>
      </c>
      <c r="J126" s="244" t="s">
        <v>83</v>
      </c>
      <c r="K126" s="31" t="s">
        <v>143</v>
      </c>
    </row>
    <row r="127" spans="1:11" ht="15.6">
      <c r="A127" s="52" t="s">
        <v>3</v>
      </c>
      <c r="B127" s="250" t="str">
        <f t="shared" si="4"/>
        <v>AAA</v>
      </c>
      <c r="C127" s="251" t="str">
        <f t="shared" si="5"/>
        <v>Aaa</v>
      </c>
      <c r="E127" s="167" t="s">
        <v>3</v>
      </c>
      <c r="F127" s="228" t="str">
        <f t="shared" si="6"/>
        <v>Aaa</v>
      </c>
      <c r="G127" s="228" t="str">
        <f t="shared" si="7"/>
        <v>AAA</v>
      </c>
      <c r="I127" s="243" t="s">
        <v>3</v>
      </c>
      <c r="J127" s="244" t="s">
        <v>47</v>
      </c>
      <c r="K127" s="31" t="s">
        <v>203</v>
      </c>
    </row>
    <row r="128" spans="1:11" ht="15.6">
      <c r="A128" s="52" t="s">
        <v>61</v>
      </c>
      <c r="B128" s="250" t="str">
        <f t="shared" si="4"/>
        <v>A+</v>
      </c>
      <c r="C128" s="251" t="str">
        <f t="shared" si="5"/>
        <v>A2</v>
      </c>
      <c r="E128" s="167" t="s">
        <v>61</v>
      </c>
      <c r="F128" s="228" t="str">
        <f t="shared" si="6"/>
        <v>A2</v>
      </c>
      <c r="G128" s="228" t="str">
        <f t="shared" si="7"/>
        <v>A+</v>
      </c>
      <c r="I128" s="243" t="s">
        <v>61</v>
      </c>
      <c r="J128" s="244" t="s">
        <v>42</v>
      </c>
      <c r="K128" s="31" t="s">
        <v>222</v>
      </c>
    </row>
    <row r="129" spans="1:11" ht="15.6">
      <c r="A129" s="52" t="s">
        <v>190</v>
      </c>
      <c r="B129" s="250" t="str">
        <f t="shared" si="4"/>
        <v>AA-</v>
      </c>
      <c r="C129" s="251" t="str">
        <f t="shared" si="5"/>
        <v>A3</v>
      </c>
      <c r="E129" s="167" t="s">
        <v>190</v>
      </c>
      <c r="F129" s="228" t="str">
        <f t="shared" si="6"/>
        <v>A3</v>
      </c>
      <c r="G129" s="228" t="str">
        <f t="shared" si="7"/>
        <v>AA-</v>
      </c>
      <c r="I129" s="243" t="s">
        <v>190</v>
      </c>
      <c r="J129" s="244" t="s">
        <v>43</v>
      </c>
      <c r="K129" s="31" t="s">
        <v>210</v>
      </c>
    </row>
    <row r="130" spans="1:11" ht="15.6">
      <c r="A130" s="52" t="s">
        <v>428</v>
      </c>
      <c r="B130" s="250" t="str">
        <f t="shared" si="4"/>
        <v>NA</v>
      </c>
      <c r="C130" s="251" t="str">
        <f t="shared" si="5"/>
        <v>B3</v>
      </c>
      <c r="E130" s="167" t="s">
        <v>428</v>
      </c>
      <c r="F130" s="228" t="str">
        <f t="shared" si="6"/>
        <v>B3</v>
      </c>
      <c r="G130" s="228" t="str">
        <f t="shared" si="7"/>
        <v>NA</v>
      </c>
      <c r="I130" s="243" t="s">
        <v>428</v>
      </c>
      <c r="J130" s="244" t="s">
        <v>78</v>
      </c>
      <c r="K130" s="31" t="s">
        <v>143</v>
      </c>
    </row>
    <row r="131" spans="1:11" ht="15.6">
      <c r="A131" s="52" t="s">
        <v>76</v>
      </c>
      <c r="B131" s="250" t="str">
        <f t="shared" ref="B131:B158" si="8">G131</f>
        <v>BB-</v>
      </c>
      <c r="C131" s="251" t="str">
        <f t="shared" ref="C131:C158" si="9">F131</f>
        <v>Ba2</v>
      </c>
      <c r="E131" s="167" t="s">
        <v>76</v>
      </c>
      <c r="F131" s="228" t="str">
        <f t="shared" ref="F131:F158" si="10">J131</f>
        <v>Ba2</v>
      </c>
      <c r="G131" s="228" t="str">
        <f t="shared" ref="G131:G158" si="11">K131</f>
        <v>BB-</v>
      </c>
      <c r="I131" s="243" t="s">
        <v>76</v>
      </c>
      <c r="J131" s="244" t="s">
        <v>80</v>
      </c>
      <c r="K131" s="31" t="s">
        <v>199</v>
      </c>
    </row>
    <row r="132" spans="1:11" ht="15.6">
      <c r="A132" s="52" t="s">
        <v>138</v>
      </c>
      <c r="B132" s="250" t="str">
        <f t="shared" si="8"/>
        <v>A</v>
      </c>
      <c r="C132" s="251" t="str">
        <f t="shared" si="9"/>
        <v>Baa1</v>
      </c>
      <c r="E132" s="167" t="s">
        <v>138</v>
      </c>
      <c r="F132" s="228" t="str">
        <f t="shared" si="10"/>
        <v>Baa1</v>
      </c>
      <c r="G132" s="228" t="str">
        <f t="shared" si="11"/>
        <v>A</v>
      </c>
      <c r="I132" s="243" t="s">
        <v>138</v>
      </c>
      <c r="J132" s="244" t="s">
        <v>82</v>
      </c>
      <c r="K132" s="31" t="s">
        <v>224</v>
      </c>
    </row>
    <row r="133" spans="1:11" ht="15.6">
      <c r="A133" s="52" t="s">
        <v>134</v>
      </c>
      <c r="B133" s="250" t="str">
        <f t="shared" si="8"/>
        <v>CCC+</v>
      </c>
      <c r="C133" s="251" t="str">
        <f t="shared" si="9"/>
        <v>Caa1</v>
      </c>
      <c r="E133" s="167" t="s">
        <v>134</v>
      </c>
      <c r="F133" s="228" t="str">
        <f t="shared" si="10"/>
        <v>Caa1</v>
      </c>
      <c r="G133" s="228" t="str">
        <f t="shared" si="11"/>
        <v>CCC+</v>
      </c>
      <c r="I133" s="243" t="s">
        <v>134</v>
      </c>
      <c r="J133" s="244" t="s">
        <v>100</v>
      </c>
      <c r="K133" s="31" t="s">
        <v>218</v>
      </c>
    </row>
    <row r="134" spans="1:11" ht="15.6">
      <c r="A134" s="52" t="s">
        <v>191</v>
      </c>
      <c r="B134" s="250" t="str">
        <f t="shared" si="8"/>
        <v>NA</v>
      </c>
      <c r="C134" s="251" t="str">
        <f t="shared" si="9"/>
        <v>Baa3</v>
      </c>
      <c r="E134" s="167" t="s">
        <v>483</v>
      </c>
      <c r="F134" s="228" t="str">
        <f t="shared" si="10"/>
        <v>Baa3</v>
      </c>
      <c r="G134" s="228" t="str">
        <f t="shared" si="11"/>
        <v>NA</v>
      </c>
      <c r="I134" s="243" t="s">
        <v>483</v>
      </c>
      <c r="J134" s="244" t="s">
        <v>124</v>
      </c>
      <c r="K134" s="31" t="s">
        <v>143</v>
      </c>
    </row>
    <row r="135" spans="1:11" ht="15.6">
      <c r="A135" s="52" t="s">
        <v>10</v>
      </c>
      <c r="B135" s="250" t="str">
        <f t="shared" si="8"/>
        <v>NA</v>
      </c>
      <c r="C135" s="251" t="str">
        <f t="shared" si="9"/>
        <v>B3</v>
      </c>
      <c r="E135" s="167" t="s">
        <v>10</v>
      </c>
      <c r="F135" s="228" t="str">
        <f t="shared" si="10"/>
        <v>B3</v>
      </c>
      <c r="G135" s="228" t="str">
        <f t="shared" si="11"/>
        <v>NA</v>
      </c>
      <c r="I135" s="243" t="s">
        <v>10</v>
      </c>
      <c r="J135" s="244" t="s">
        <v>78</v>
      </c>
      <c r="K135" s="31" t="s">
        <v>143</v>
      </c>
    </row>
    <row r="136" spans="1:11" ht="15.6">
      <c r="A136" s="52" t="s">
        <v>33</v>
      </c>
      <c r="B136" s="250" t="str">
        <f t="shared" si="8"/>
        <v>SD</v>
      </c>
      <c r="C136" s="251" t="str">
        <f t="shared" si="9"/>
        <v>Caa3</v>
      </c>
      <c r="E136" s="167" t="s">
        <v>33</v>
      </c>
      <c r="F136" s="228" t="str">
        <f t="shared" si="10"/>
        <v>Caa3</v>
      </c>
      <c r="G136" s="228" t="str">
        <f t="shared" si="11"/>
        <v>SD</v>
      </c>
      <c r="I136" s="243" t="s">
        <v>33</v>
      </c>
      <c r="J136" s="244" t="s">
        <v>62</v>
      </c>
      <c r="K136" s="31" t="s">
        <v>509</v>
      </c>
    </row>
    <row r="137" spans="1:11" ht="15.6">
      <c r="A137" s="52" t="s">
        <v>415</v>
      </c>
      <c r="B137" s="250" t="str">
        <f t="shared" si="8"/>
        <v>NA</v>
      </c>
      <c r="C137" s="251" t="str">
        <f t="shared" si="9"/>
        <v>B3</v>
      </c>
      <c r="E137" s="167" t="s">
        <v>538</v>
      </c>
      <c r="F137" s="228" t="str">
        <f t="shared" si="10"/>
        <v>B3</v>
      </c>
      <c r="G137" s="228" t="str">
        <f t="shared" si="11"/>
        <v>NA</v>
      </c>
      <c r="I137" s="243" t="s">
        <v>538</v>
      </c>
      <c r="J137" s="244" t="s">
        <v>78</v>
      </c>
      <c r="K137" s="31" t="s">
        <v>143</v>
      </c>
    </row>
    <row r="138" spans="1:11" ht="15.6">
      <c r="A138" s="52" t="s">
        <v>34</v>
      </c>
      <c r="B138" s="250" t="str">
        <f t="shared" si="8"/>
        <v>AAA</v>
      </c>
      <c r="C138" s="251" t="str">
        <f t="shared" si="9"/>
        <v>Aaa</v>
      </c>
      <c r="E138" s="167" t="s">
        <v>34</v>
      </c>
      <c r="F138" s="228" t="str">
        <f t="shared" si="10"/>
        <v>Aaa</v>
      </c>
      <c r="G138" s="228" t="str">
        <f t="shared" si="11"/>
        <v>AAA</v>
      </c>
      <c r="I138" s="243" t="s">
        <v>34</v>
      </c>
      <c r="J138" s="244" t="s">
        <v>47</v>
      </c>
      <c r="K138" s="31" t="s">
        <v>203</v>
      </c>
    </row>
    <row r="139" spans="1:11" ht="15.6">
      <c r="A139" s="52" t="s">
        <v>35</v>
      </c>
      <c r="B139" s="250" t="str">
        <f t="shared" si="8"/>
        <v>AAA</v>
      </c>
      <c r="C139" s="251" t="str">
        <f t="shared" si="9"/>
        <v>Aaa</v>
      </c>
      <c r="E139" s="167" t="s">
        <v>35</v>
      </c>
      <c r="F139" s="228" t="str">
        <f t="shared" si="10"/>
        <v>Aaa</v>
      </c>
      <c r="G139" s="228" t="str">
        <f t="shared" si="11"/>
        <v>AAA</v>
      </c>
      <c r="I139" s="243" t="s">
        <v>35</v>
      </c>
      <c r="J139" s="244" t="s">
        <v>47</v>
      </c>
      <c r="K139" s="31" t="s">
        <v>203</v>
      </c>
    </row>
    <row r="140" spans="1:11" ht="15.6">
      <c r="A140" s="52" t="s">
        <v>64</v>
      </c>
      <c r="B140" s="250" t="str">
        <f t="shared" si="8"/>
        <v>AA-</v>
      </c>
      <c r="C140" s="251" t="str">
        <f t="shared" si="9"/>
        <v>Aa3</v>
      </c>
      <c r="E140" s="167" t="s">
        <v>64</v>
      </c>
      <c r="F140" s="228" t="str">
        <f t="shared" si="10"/>
        <v>Aa3</v>
      </c>
      <c r="G140" s="228" t="str">
        <f t="shared" si="11"/>
        <v>AA-</v>
      </c>
      <c r="I140" s="243" t="s">
        <v>64</v>
      </c>
      <c r="J140" s="244" t="s">
        <v>46</v>
      </c>
      <c r="K140" s="31" t="s">
        <v>210</v>
      </c>
    </row>
    <row r="141" spans="1:11" ht="13.8">
      <c r="A141" s="114" t="s">
        <v>412</v>
      </c>
      <c r="B141" s="250" t="str">
        <f t="shared" si="8"/>
        <v>NA</v>
      </c>
      <c r="C141" s="251" t="str">
        <f t="shared" si="9"/>
        <v>B3</v>
      </c>
      <c r="E141" s="167" t="s">
        <v>412</v>
      </c>
      <c r="F141" s="228" t="str">
        <f t="shared" si="10"/>
        <v>B3</v>
      </c>
      <c r="G141" s="228" t="str">
        <f t="shared" si="11"/>
        <v>NA</v>
      </c>
      <c r="I141" s="243" t="s">
        <v>412</v>
      </c>
      <c r="J141" s="244" t="s">
        <v>78</v>
      </c>
      <c r="K141" s="31" t="s">
        <v>143</v>
      </c>
    </row>
    <row r="142" spans="1:11" ht="13.8">
      <c r="A142" s="114" t="s">
        <v>332</v>
      </c>
      <c r="B142" s="250" t="str">
        <f t="shared" si="8"/>
        <v>NA</v>
      </c>
      <c r="C142" s="251" t="str">
        <f t="shared" si="9"/>
        <v>B2</v>
      </c>
      <c r="E142" s="167" t="s">
        <v>332</v>
      </c>
      <c r="F142" s="228" t="str">
        <f t="shared" si="10"/>
        <v>B2</v>
      </c>
      <c r="G142" s="228" t="str">
        <f t="shared" si="11"/>
        <v>NA</v>
      </c>
      <c r="I142" s="243" t="s">
        <v>332</v>
      </c>
      <c r="J142" s="244" t="s">
        <v>49</v>
      </c>
      <c r="K142" s="31" t="s">
        <v>143</v>
      </c>
    </row>
    <row r="143" spans="1:11" ht="15.6">
      <c r="A143" s="52" t="s">
        <v>65</v>
      </c>
      <c r="B143" s="250" t="str">
        <f t="shared" si="8"/>
        <v>BBB+</v>
      </c>
      <c r="C143" s="251" t="str">
        <f t="shared" si="9"/>
        <v>Baa1</v>
      </c>
      <c r="E143" s="167" t="s">
        <v>65</v>
      </c>
      <c r="F143" s="228" t="str">
        <f t="shared" si="10"/>
        <v>Baa1</v>
      </c>
      <c r="G143" s="228" t="str">
        <f t="shared" si="11"/>
        <v>BBB+</v>
      </c>
      <c r="I143" s="243" t="s">
        <v>65</v>
      </c>
      <c r="J143" s="244" t="s">
        <v>82</v>
      </c>
      <c r="K143" s="31" t="s">
        <v>202</v>
      </c>
    </row>
    <row r="144" spans="1:11" ht="15.6">
      <c r="A144" s="158" t="s">
        <v>324</v>
      </c>
      <c r="B144" s="250" t="str">
        <f t="shared" si="8"/>
        <v>NA</v>
      </c>
      <c r="C144" s="251" t="str">
        <f t="shared" si="9"/>
        <v>B3</v>
      </c>
      <c r="E144" s="167" t="s">
        <v>324</v>
      </c>
      <c r="F144" s="228" t="str">
        <f t="shared" si="10"/>
        <v>B3</v>
      </c>
      <c r="G144" s="228" t="str">
        <f t="shared" si="11"/>
        <v>NA</v>
      </c>
      <c r="I144" s="243" t="s">
        <v>324</v>
      </c>
      <c r="J144" s="244" t="s">
        <v>78</v>
      </c>
      <c r="K144" s="31" t="s">
        <v>143</v>
      </c>
    </row>
    <row r="145" spans="1:14" ht="15.6">
      <c r="A145" s="52" t="s">
        <v>11</v>
      </c>
      <c r="B145" s="250" t="str">
        <f t="shared" si="8"/>
        <v>NA</v>
      </c>
      <c r="C145" s="251" t="str">
        <f t="shared" si="9"/>
        <v>Ba1</v>
      </c>
      <c r="E145" s="229" t="s">
        <v>11</v>
      </c>
      <c r="F145" s="228" t="str">
        <f t="shared" si="10"/>
        <v>Ba1</v>
      </c>
      <c r="G145" s="228" t="str">
        <f t="shared" si="11"/>
        <v>NA</v>
      </c>
      <c r="I145" s="243" t="s">
        <v>11</v>
      </c>
      <c r="J145" s="244" t="s">
        <v>79</v>
      </c>
      <c r="K145" s="31" t="s">
        <v>143</v>
      </c>
    </row>
    <row r="146" spans="1:14" ht="15.6">
      <c r="A146" s="52" t="s">
        <v>77</v>
      </c>
      <c r="B146" s="250" t="str">
        <f t="shared" si="8"/>
        <v>NA</v>
      </c>
      <c r="C146" s="251" t="str">
        <f t="shared" si="9"/>
        <v>B2</v>
      </c>
      <c r="E146" s="167" t="s">
        <v>77</v>
      </c>
      <c r="F146" s="228" t="str">
        <f t="shared" si="10"/>
        <v>B2</v>
      </c>
      <c r="G146" s="228" t="str">
        <f t="shared" si="11"/>
        <v>NA</v>
      </c>
      <c r="I146" s="243" t="s">
        <v>77</v>
      </c>
      <c r="J146" s="244" t="s">
        <v>49</v>
      </c>
      <c r="K146" s="31" t="s">
        <v>143</v>
      </c>
    </row>
    <row r="147" spans="1:14" ht="15.6">
      <c r="A147" s="52" t="s">
        <v>66</v>
      </c>
      <c r="B147" s="250" t="str">
        <f t="shared" si="8"/>
        <v>B+</v>
      </c>
      <c r="C147" s="251" t="str">
        <f t="shared" si="9"/>
        <v>B2</v>
      </c>
      <c r="E147" s="167" t="s">
        <v>66</v>
      </c>
      <c r="F147" s="228" t="str">
        <f t="shared" si="10"/>
        <v>B2</v>
      </c>
      <c r="G147" s="228" t="str">
        <f t="shared" si="11"/>
        <v>B+</v>
      </c>
      <c r="I147" s="243" t="s">
        <v>66</v>
      </c>
      <c r="J147" s="244" t="s">
        <v>49</v>
      </c>
      <c r="K147" s="31" t="s">
        <v>196</v>
      </c>
    </row>
    <row r="148" spans="1:14" ht="15.6">
      <c r="A148" s="52" t="s">
        <v>292</v>
      </c>
      <c r="B148" s="250" t="str">
        <f t="shared" si="8"/>
        <v>BBB+</v>
      </c>
      <c r="C148" s="251" t="str">
        <f t="shared" si="9"/>
        <v>NA</v>
      </c>
      <c r="E148" s="249" t="s">
        <v>292</v>
      </c>
      <c r="F148" s="248" t="s">
        <v>143</v>
      </c>
      <c r="G148" s="248" t="s">
        <v>202</v>
      </c>
      <c r="I148" s="243"/>
      <c r="J148" s="244"/>
      <c r="K148" s="31"/>
    </row>
    <row r="149" spans="1:14" ht="15.6">
      <c r="A149" s="52" t="s">
        <v>228</v>
      </c>
      <c r="B149" s="250" t="str">
        <f t="shared" si="8"/>
        <v>B</v>
      </c>
      <c r="C149" s="251" t="str">
        <f t="shared" si="9"/>
        <v>B2</v>
      </c>
      <c r="E149" s="167" t="s">
        <v>228</v>
      </c>
      <c r="F149" s="228" t="str">
        <f t="shared" si="10"/>
        <v>B2</v>
      </c>
      <c r="G149" s="228" t="str">
        <f t="shared" si="11"/>
        <v>B</v>
      </c>
      <c r="I149" s="243" t="s">
        <v>228</v>
      </c>
      <c r="J149" s="244" t="s">
        <v>49</v>
      </c>
      <c r="K149" s="31" t="s">
        <v>209</v>
      </c>
    </row>
    <row r="150" spans="1:14" ht="15.6">
      <c r="A150" s="52" t="s">
        <v>68</v>
      </c>
      <c r="B150" s="250" t="str">
        <f t="shared" si="8"/>
        <v>B</v>
      </c>
      <c r="C150" s="251" t="str">
        <f t="shared" si="9"/>
        <v>B3</v>
      </c>
      <c r="E150" s="167" t="s">
        <v>68</v>
      </c>
      <c r="F150" s="228" t="str">
        <f t="shared" si="10"/>
        <v>B3</v>
      </c>
      <c r="G150" s="228" t="str">
        <f t="shared" si="11"/>
        <v>B</v>
      </c>
      <c r="I150" s="243" t="s">
        <v>68</v>
      </c>
      <c r="J150" s="244" t="s">
        <v>78</v>
      </c>
      <c r="K150" s="31" t="s">
        <v>209</v>
      </c>
    </row>
    <row r="151" spans="1:14" ht="15.6">
      <c r="A151" s="52" t="s">
        <v>60</v>
      </c>
      <c r="B151" s="250" t="str">
        <f t="shared" si="8"/>
        <v>NA</v>
      </c>
      <c r="C151" s="251" t="str">
        <f t="shared" si="9"/>
        <v>Aa2</v>
      </c>
      <c r="E151" s="167" t="s">
        <v>60</v>
      </c>
      <c r="F151" s="228" t="str">
        <f t="shared" si="10"/>
        <v>Aa2</v>
      </c>
      <c r="G151" s="228" t="str">
        <f t="shared" si="11"/>
        <v>NA</v>
      </c>
      <c r="I151" s="243" t="s">
        <v>60</v>
      </c>
      <c r="J151" s="244" t="s">
        <v>45</v>
      </c>
      <c r="K151" s="31" t="s">
        <v>143</v>
      </c>
    </row>
    <row r="152" spans="1:14" ht="15.6">
      <c r="A152" s="52" t="s">
        <v>57</v>
      </c>
      <c r="B152" s="250" t="str">
        <f t="shared" si="8"/>
        <v>AA</v>
      </c>
      <c r="C152" s="251" t="str">
        <f t="shared" si="9"/>
        <v>Aa3</v>
      </c>
      <c r="E152" s="167" t="s">
        <v>57</v>
      </c>
      <c r="F152" s="228" t="str">
        <f t="shared" si="10"/>
        <v>Aa3</v>
      </c>
      <c r="G152" s="228" t="str">
        <f t="shared" si="11"/>
        <v>AA</v>
      </c>
      <c r="I152" s="243" t="s">
        <v>57</v>
      </c>
      <c r="J152" s="244" t="s">
        <v>46</v>
      </c>
      <c r="K152" s="31" t="s">
        <v>207</v>
      </c>
    </row>
    <row r="153" spans="1:14" ht="15.6">
      <c r="A153" s="52" t="s">
        <v>356</v>
      </c>
      <c r="B153" s="250" t="str">
        <f t="shared" si="8"/>
        <v>AA+</v>
      </c>
      <c r="C153" s="251" t="str">
        <f t="shared" si="9"/>
        <v>Aaa</v>
      </c>
      <c r="E153" s="167" t="s">
        <v>12</v>
      </c>
      <c r="F153" s="228" t="str">
        <f t="shared" si="10"/>
        <v>Aaa</v>
      </c>
      <c r="G153" s="228" t="s">
        <v>204</v>
      </c>
      <c r="I153" s="243" t="s">
        <v>12</v>
      </c>
      <c r="J153" s="244" t="s">
        <v>47</v>
      </c>
      <c r="K153" s="31" t="s">
        <v>143</v>
      </c>
    </row>
    <row r="154" spans="1:14" ht="15.6">
      <c r="A154" s="52" t="s">
        <v>69</v>
      </c>
      <c r="B154" s="250" t="str">
        <f t="shared" si="8"/>
        <v>BBB</v>
      </c>
      <c r="C154" s="251" t="str">
        <f t="shared" si="9"/>
        <v>Baa2</v>
      </c>
      <c r="E154" s="167" t="s">
        <v>69</v>
      </c>
      <c r="F154" s="228" t="str">
        <f t="shared" si="10"/>
        <v>Baa2</v>
      </c>
      <c r="G154" s="228" t="str">
        <f t="shared" si="11"/>
        <v>BBB</v>
      </c>
      <c r="I154" s="243" t="s">
        <v>403</v>
      </c>
      <c r="J154" s="244" t="s">
        <v>83</v>
      </c>
      <c r="K154" s="31" t="s">
        <v>206</v>
      </c>
      <c r="M154" s="244"/>
      <c r="N154" s="31"/>
    </row>
    <row r="155" spans="1:14" ht="15.6">
      <c r="A155" s="158" t="s">
        <v>403</v>
      </c>
      <c r="B155" s="250" t="str">
        <f t="shared" si="8"/>
        <v>NA</v>
      </c>
      <c r="C155" s="251" t="str">
        <f t="shared" si="9"/>
        <v>B1</v>
      </c>
      <c r="E155" s="167" t="s">
        <v>403</v>
      </c>
      <c r="F155" s="228" t="str">
        <f t="shared" si="10"/>
        <v>B1</v>
      </c>
      <c r="G155" s="228" t="str">
        <f t="shared" si="11"/>
        <v>NA</v>
      </c>
      <c r="I155" s="243" t="s">
        <v>69</v>
      </c>
      <c r="J155" s="244" t="s">
        <v>48</v>
      </c>
      <c r="K155" s="31" t="s">
        <v>143</v>
      </c>
    </row>
    <row r="156" spans="1:14" ht="15.6">
      <c r="A156" s="52" t="s">
        <v>70</v>
      </c>
      <c r="B156" s="250" t="str">
        <f t="shared" si="8"/>
        <v>SD</v>
      </c>
      <c r="C156" s="251" t="str">
        <f t="shared" si="9"/>
        <v>C</v>
      </c>
      <c r="E156" s="167" t="s">
        <v>70</v>
      </c>
      <c r="F156" s="228" t="str">
        <f t="shared" si="10"/>
        <v>C</v>
      </c>
      <c r="G156" s="228" t="str">
        <f t="shared" si="11"/>
        <v>SD</v>
      </c>
      <c r="I156" s="243" t="s">
        <v>70</v>
      </c>
      <c r="J156" s="244" t="s">
        <v>137</v>
      </c>
      <c r="K156" s="31" t="s">
        <v>509</v>
      </c>
    </row>
    <row r="157" spans="1:14" ht="15.6">
      <c r="A157" s="52" t="s">
        <v>71</v>
      </c>
      <c r="B157" s="250" t="str">
        <f t="shared" si="8"/>
        <v>BB</v>
      </c>
      <c r="C157" s="251" t="str">
        <f t="shared" si="9"/>
        <v>Ba3</v>
      </c>
      <c r="E157" s="167" t="s">
        <v>71</v>
      </c>
      <c r="F157" s="228" t="str">
        <f t="shared" si="10"/>
        <v>Ba3</v>
      </c>
      <c r="G157" s="228" t="str">
        <f t="shared" si="11"/>
        <v>BB</v>
      </c>
      <c r="I157" s="243" t="s">
        <v>71</v>
      </c>
      <c r="J157" s="244" t="s">
        <v>81</v>
      </c>
      <c r="K157" s="31" t="s">
        <v>215</v>
      </c>
    </row>
    <row r="158" spans="1:14" ht="15.6">
      <c r="A158" s="52" t="s">
        <v>192</v>
      </c>
      <c r="B158" s="250" t="str">
        <f t="shared" si="8"/>
        <v>SD</v>
      </c>
      <c r="C158" s="251" t="str">
        <f t="shared" si="9"/>
        <v>Ca</v>
      </c>
      <c r="E158" s="167" t="s">
        <v>192</v>
      </c>
      <c r="F158" s="228" t="str">
        <f t="shared" si="10"/>
        <v>Ca</v>
      </c>
      <c r="G158" s="228" t="str">
        <f t="shared" si="11"/>
        <v>SD</v>
      </c>
      <c r="I158" s="243" t="s">
        <v>192</v>
      </c>
      <c r="J158" s="244" t="s">
        <v>346</v>
      </c>
      <c r="K158" s="31" t="s">
        <v>509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3"/>
  <sheetViews>
    <sheetView workbookViewId="0">
      <selection activeCell="C135" sqref="C134:D135"/>
    </sheetView>
  </sheetViews>
  <sheetFormatPr defaultColWidth="11" defaultRowHeight="11.4"/>
  <cols>
    <col min="1" max="1" width="27" bestFit="1" customWidth="1"/>
    <col min="2" max="2" width="32.625" customWidth="1"/>
    <col min="6" max="6" width="27.625" customWidth="1"/>
    <col min="7" max="7" width="10" style="88" customWidth="1"/>
    <col min="9" max="9" width="26.125" customWidth="1"/>
  </cols>
  <sheetData>
    <row r="1" spans="1:10" ht="15.6">
      <c r="A1" s="74" t="s">
        <v>75</v>
      </c>
      <c r="B1" s="74" t="s">
        <v>75</v>
      </c>
      <c r="C1" s="106" t="s">
        <v>357</v>
      </c>
      <c r="D1" t="s">
        <v>543</v>
      </c>
      <c r="F1" s="159" t="s">
        <v>541</v>
      </c>
      <c r="G1" s="162">
        <v>2020</v>
      </c>
      <c r="I1" s="160" t="s">
        <v>452</v>
      </c>
      <c r="J1" s="181">
        <v>0.28249999999999997</v>
      </c>
    </row>
    <row r="2" spans="1:10" ht="15.6">
      <c r="A2" s="52" t="s">
        <v>272</v>
      </c>
      <c r="B2" s="52" t="str">
        <f>'Ratings worksheet'!A2</f>
        <v>Abu Dhabi</v>
      </c>
      <c r="C2" s="106">
        <f>D2/100</f>
        <v>0.55000000000000004</v>
      </c>
      <c r="D2">
        <v>55</v>
      </c>
      <c r="F2" s="160" t="s">
        <v>406</v>
      </c>
      <c r="G2" s="161">
        <v>20</v>
      </c>
      <c r="I2" s="160" t="s">
        <v>453</v>
      </c>
      <c r="J2" s="181">
        <v>0.27329999999999999</v>
      </c>
    </row>
    <row r="3" spans="1:10" ht="15.6">
      <c r="A3" s="52" t="s">
        <v>4</v>
      </c>
      <c r="B3" s="52" t="str">
        <f>'Ratings worksheet'!A3</f>
        <v>Albania</v>
      </c>
      <c r="C3" s="106">
        <f t="shared" ref="C3:C66" si="0">D3/100</f>
        <v>0.15</v>
      </c>
      <c r="D3">
        <f t="shared" ref="D3:D66" si="1">VLOOKUP(B3,$F$2:$G$173,2,FALSE)</f>
        <v>15</v>
      </c>
      <c r="F3" s="160" t="s">
        <v>4</v>
      </c>
      <c r="G3" s="161">
        <v>15</v>
      </c>
      <c r="I3" s="160" t="s">
        <v>454</v>
      </c>
      <c r="J3" s="181">
        <v>0.21129999999999999</v>
      </c>
    </row>
    <row r="4" spans="1:10" ht="15.6">
      <c r="A4" s="52" t="s">
        <v>286</v>
      </c>
      <c r="B4" s="52" t="str">
        <f>'Ratings worksheet'!A4</f>
        <v>Andorra (Principality of)</v>
      </c>
      <c r="C4" s="106">
        <f t="shared" si="0"/>
        <v>0.1</v>
      </c>
      <c r="D4">
        <v>10</v>
      </c>
      <c r="F4" s="160" t="s">
        <v>337</v>
      </c>
      <c r="G4" s="161">
        <v>26</v>
      </c>
      <c r="I4" s="160" t="s">
        <v>459</v>
      </c>
      <c r="J4" s="181">
        <v>0.2087</v>
      </c>
    </row>
    <row r="5" spans="1:10" ht="15.6">
      <c r="A5" s="52" t="s">
        <v>131</v>
      </c>
      <c r="B5" s="52" t="str">
        <f>'Ratings worksheet'!A5</f>
        <v>Angola</v>
      </c>
      <c r="C5" s="106">
        <f t="shared" si="0"/>
        <v>0.3</v>
      </c>
      <c r="D5">
        <f t="shared" si="1"/>
        <v>30</v>
      </c>
      <c r="F5" s="160" t="s">
        <v>197</v>
      </c>
      <c r="G5" s="161">
        <v>10</v>
      </c>
      <c r="I5" s="160" t="s">
        <v>455</v>
      </c>
      <c r="J5" s="181">
        <v>0.19120000000000001</v>
      </c>
    </row>
    <row r="6" spans="1:10" ht="15.6">
      <c r="A6" s="52" t="s">
        <v>84</v>
      </c>
      <c r="B6" s="52" t="str">
        <f>'Ratings worksheet'!A6</f>
        <v>Argentina</v>
      </c>
      <c r="C6" s="106">
        <f t="shared" si="0"/>
        <v>0.3</v>
      </c>
      <c r="D6">
        <f t="shared" si="1"/>
        <v>30</v>
      </c>
      <c r="F6" s="160" t="s">
        <v>131</v>
      </c>
      <c r="G6" s="161">
        <v>30</v>
      </c>
      <c r="I6" s="160" t="s">
        <v>461</v>
      </c>
      <c r="J6" s="181">
        <v>0.2379</v>
      </c>
    </row>
    <row r="7" spans="1:10" ht="15.6">
      <c r="A7" s="52" t="s">
        <v>19</v>
      </c>
      <c r="B7" s="52" t="str">
        <f>'Ratings worksheet'!A7</f>
        <v>Armenia</v>
      </c>
      <c r="C7" s="106">
        <f t="shared" si="0"/>
        <v>0.18</v>
      </c>
      <c r="D7">
        <f t="shared" si="1"/>
        <v>18</v>
      </c>
      <c r="F7" s="160" t="s">
        <v>487</v>
      </c>
      <c r="G7" s="161">
        <v>0</v>
      </c>
      <c r="I7" s="160" t="s">
        <v>458</v>
      </c>
      <c r="J7" s="181">
        <v>0.27360000000000001</v>
      </c>
    </row>
    <row r="8" spans="1:10" ht="15.6">
      <c r="A8" s="52" t="s">
        <v>201</v>
      </c>
      <c r="B8" s="52" t="str">
        <f>'Ratings worksheet'!A8</f>
        <v>Aruba</v>
      </c>
      <c r="C8" s="106">
        <f t="shared" si="0"/>
        <v>0.25</v>
      </c>
      <c r="D8">
        <f t="shared" si="1"/>
        <v>25</v>
      </c>
      <c r="F8" s="160" t="s">
        <v>427</v>
      </c>
      <c r="G8" s="161">
        <v>25</v>
      </c>
      <c r="I8" s="160" t="s">
        <v>457</v>
      </c>
      <c r="J8" s="181">
        <v>0.26750000000000002</v>
      </c>
    </row>
    <row r="9" spans="1:10" ht="15.6">
      <c r="A9" s="52" t="s">
        <v>85</v>
      </c>
      <c r="B9" s="52" t="str">
        <f>'Ratings worksheet'!A9</f>
        <v>Australia</v>
      </c>
      <c r="C9" s="106">
        <f t="shared" si="0"/>
        <v>0.3</v>
      </c>
      <c r="D9">
        <f t="shared" si="1"/>
        <v>30</v>
      </c>
      <c r="F9" s="160" t="s">
        <v>84</v>
      </c>
      <c r="G9" s="161">
        <v>30</v>
      </c>
      <c r="I9" s="160" t="s">
        <v>456</v>
      </c>
      <c r="J9" s="181">
        <v>0.2843</v>
      </c>
    </row>
    <row r="10" spans="1:10" ht="15.6">
      <c r="A10" s="52" t="s">
        <v>176</v>
      </c>
      <c r="B10" s="52" t="str">
        <f>'Ratings worksheet'!A10</f>
        <v>Austria</v>
      </c>
      <c r="C10" s="106">
        <f t="shared" si="0"/>
        <v>0.25</v>
      </c>
      <c r="D10">
        <f t="shared" si="1"/>
        <v>25</v>
      </c>
      <c r="F10" s="160" t="s">
        <v>19</v>
      </c>
      <c r="G10" s="161">
        <v>18</v>
      </c>
      <c r="I10" s="160" t="s">
        <v>460</v>
      </c>
      <c r="J10" s="181">
        <v>0.23050000000000001</v>
      </c>
    </row>
    <row r="11" spans="1:10" ht="15.6">
      <c r="A11" s="52" t="s">
        <v>20</v>
      </c>
      <c r="B11" s="52" t="str">
        <f>'Ratings worksheet'!A11</f>
        <v>Azerbaijan</v>
      </c>
      <c r="C11" s="106">
        <f t="shared" si="0"/>
        <v>0.2</v>
      </c>
      <c r="D11">
        <f t="shared" si="1"/>
        <v>20</v>
      </c>
      <c r="F11" s="160" t="s">
        <v>201</v>
      </c>
      <c r="G11" s="161">
        <v>25</v>
      </c>
      <c r="I11" s="160" t="s">
        <v>494</v>
      </c>
      <c r="J11" s="181">
        <v>0.27360000000000001</v>
      </c>
    </row>
    <row r="12" spans="1:10" ht="15.6">
      <c r="A12" s="52" t="s">
        <v>86</v>
      </c>
      <c r="B12" s="52" t="str">
        <f>'Ratings worksheet'!A12</f>
        <v>Bahamas</v>
      </c>
      <c r="C12" s="106">
        <f t="shared" si="0"/>
        <v>0</v>
      </c>
      <c r="D12">
        <f t="shared" si="1"/>
        <v>0</v>
      </c>
      <c r="F12" s="160" t="s">
        <v>85</v>
      </c>
      <c r="G12" s="161">
        <v>30</v>
      </c>
    </row>
    <row r="13" spans="1:10" ht="15.6">
      <c r="A13" s="52" t="s">
        <v>87</v>
      </c>
      <c r="B13" s="52" t="str">
        <f>'Ratings worksheet'!A13</f>
        <v>Bahrain</v>
      </c>
      <c r="C13" s="106">
        <f t="shared" si="0"/>
        <v>0</v>
      </c>
      <c r="D13">
        <f t="shared" si="1"/>
        <v>0</v>
      </c>
      <c r="F13" s="160" t="s">
        <v>176</v>
      </c>
      <c r="G13" s="161">
        <v>25</v>
      </c>
    </row>
    <row r="14" spans="1:10" ht="15.6">
      <c r="A14" s="52" t="s">
        <v>132</v>
      </c>
      <c r="B14" s="52" t="str">
        <f>'Ratings worksheet'!A14</f>
        <v>Bangladesh</v>
      </c>
      <c r="C14" s="106">
        <f t="shared" si="0"/>
        <v>0.25</v>
      </c>
      <c r="D14">
        <f t="shared" si="1"/>
        <v>25</v>
      </c>
      <c r="F14" s="160" t="s">
        <v>20</v>
      </c>
      <c r="G14" s="161">
        <v>20</v>
      </c>
    </row>
    <row r="15" spans="1:10" ht="15.6">
      <c r="A15" s="52" t="s">
        <v>88</v>
      </c>
      <c r="B15" s="52" t="str">
        <f>'Ratings worksheet'!A15</f>
        <v>Barbados</v>
      </c>
      <c r="C15" s="106">
        <f t="shared" si="0"/>
        <v>5.5E-2</v>
      </c>
      <c r="D15">
        <f t="shared" si="1"/>
        <v>5.5</v>
      </c>
      <c r="F15" s="160" t="s">
        <v>86</v>
      </c>
      <c r="G15" s="161">
        <v>0</v>
      </c>
    </row>
    <row r="16" spans="1:10" ht="15.6">
      <c r="A16" s="52" t="s">
        <v>5</v>
      </c>
      <c r="B16" s="52" t="str">
        <f>'Ratings worksheet'!A16</f>
        <v>Belarus</v>
      </c>
      <c r="C16" s="106">
        <f t="shared" si="0"/>
        <v>0.18</v>
      </c>
      <c r="D16">
        <f t="shared" si="1"/>
        <v>18</v>
      </c>
      <c r="F16" s="160" t="s">
        <v>87</v>
      </c>
      <c r="G16" s="161">
        <v>0</v>
      </c>
    </row>
    <row r="17" spans="1:7" ht="15.6">
      <c r="A17" s="52" t="s">
        <v>177</v>
      </c>
      <c r="B17" s="52" t="str">
        <f>'Ratings worksheet'!A17</f>
        <v>Belgium</v>
      </c>
      <c r="C17" s="106">
        <f t="shared" si="0"/>
        <v>0.28999999999999998</v>
      </c>
      <c r="D17">
        <f t="shared" si="1"/>
        <v>29</v>
      </c>
      <c r="F17" s="160" t="s">
        <v>132</v>
      </c>
      <c r="G17" s="161">
        <v>25</v>
      </c>
    </row>
    <row r="18" spans="1:7" ht="15.6">
      <c r="A18" s="52" t="s">
        <v>89</v>
      </c>
      <c r="B18" s="52" t="str">
        <f>'Ratings worksheet'!A18</f>
        <v>Belize</v>
      </c>
      <c r="C18" s="166">
        <f t="shared" si="0"/>
        <v>0.28249999999999997</v>
      </c>
      <c r="D18" s="40">
        <v>28.25</v>
      </c>
      <c r="F18" s="160" t="s">
        <v>88</v>
      </c>
      <c r="G18" s="161">
        <v>5.5</v>
      </c>
    </row>
    <row r="19" spans="1:7" ht="15.6">
      <c r="A19" s="52" t="s">
        <v>208</v>
      </c>
      <c r="B19" s="52" t="str">
        <f>'Ratings worksheet'!A19</f>
        <v>Benin</v>
      </c>
      <c r="C19" s="106">
        <f t="shared" si="0"/>
        <v>0.3</v>
      </c>
      <c r="D19">
        <f t="shared" si="1"/>
        <v>30</v>
      </c>
      <c r="F19" s="160" t="s">
        <v>5</v>
      </c>
      <c r="G19" s="161">
        <v>18</v>
      </c>
    </row>
    <row r="20" spans="1:7" ht="15.6">
      <c r="A20" s="52" t="s">
        <v>90</v>
      </c>
      <c r="B20" s="52" t="str">
        <f>'Ratings worksheet'!A20</f>
        <v>Bermuda</v>
      </c>
      <c r="C20" s="106">
        <f t="shared" si="0"/>
        <v>0</v>
      </c>
      <c r="D20">
        <f t="shared" si="1"/>
        <v>0</v>
      </c>
      <c r="F20" s="160" t="s">
        <v>177</v>
      </c>
      <c r="G20" s="161">
        <v>29</v>
      </c>
    </row>
    <row r="21" spans="1:7" ht="15.6">
      <c r="A21" s="52" t="s">
        <v>91</v>
      </c>
      <c r="B21" s="52" t="str">
        <f>'Ratings worksheet'!A21</f>
        <v>Bolivia</v>
      </c>
      <c r="C21" s="106">
        <f t="shared" si="0"/>
        <v>0.25</v>
      </c>
      <c r="D21">
        <f t="shared" si="1"/>
        <v>25</v>
      </c>
      <c r="F21" s="160" t="s">
        <v>208</v>
      </c>
      <c r="G21" s="161">
        <v>30</v>
      </c>
    </row>
    <row r="22" spans="1:7" ht="15.6">
      <c r="A22" s="52" t="s">
        <v>7</v>
      </c>
      <c r="B22" s="52" t="str">
        <f>'Ratings worksheet'!A22</f>
        <v>Bosnia and Herzegovina</v>
      </c>
      <c r="C22" s="106">
        <f t="shared" si="0"/>
        <v>0.1</v>
      </c>
      <c r="D22">
        <f t="shared" si="1"/>
        <v>10</v>
      </c>
      <c r="F22" s="160" t="s">
        <v>90</v>
      </c>
      <c r="G22" s="161">
        <v>0</v>
      </c>
    </row>
    <row r="23" spans="1:7" ht="15.6">
      <c r="A23" s="52" t="s">
        <v>123</v>
      </c>
      <c r="B23" s="52" t="str">
        <f>'Ratings worksheet'!A23</f>
        <v>Botswana</v>
      </c>
      <c r="C23" s="106">
        <f t="shared" si="0"/>
        <v>0.22</v>
      </c>
      <c r="D23">
        <f t="shared" si="1"/>
        <v>22</v>
      </c>
      <c r="F23" s="160" t="s">
        <v>91</v>
      </c>
      <c r="G23" s="161">
        <v>25</v>
      </c>
    </row>
    <row r="24" spans="1:7" ht="15.6">
      <c r="A24" s="52" t="s">
        <v>92</v>
      </c>
      <c r="B24" s="52" t="str">
        <f>'Ratings worksheet'!A24</f>
        <v>Brazil</v>
      </c>
      <c r="C24" s="106">
        <f t="shared" si="0"/>
        <v>0.34</v>
      </c>
      <c r="D24">
        <f t="shared" si="1"/>
        <v>34</v>
      </c>
      <c r="F24" s="160" t="s">
        <v>443</v>
      </c>
      <c r="G24" s="161">
        <v>25</v>
      </c>
    </row>
    <row r="25" spans="1:7" ht="15.6">
      <c r="A25" s="52" t="s">
        <v>94</v>
      </c>
      <c r="B25" s="52" t="str">
        <f>'Ratings worksheet'!A25</f>
        <v>Bulgaria</v>
      </c>
      <c r="C25" s="106">
        <f t="shared" si="0"/>
        <v>0.1</v>
      </c>
      <c r="D25">
        <f t="shared" si="1"/>
        <v>10</v>
      </c>
      <c r="F25" s="160" t="s">
        <v>7</v>
      </c>
      <c r="G25" s="161">
        <v>10</v>
      </c>
    </row>
    <row r="26" spans="1:7" ht="15.6">
      <c r="A26" s="52" t="s">
        <v>211</v>
      </c>
      <c r="B26" s="52" t="str">
        <f>'Ratings worksheet'!A26</f>
        <v>Burkina Faso</v>
      </c>
      <c r="C26" s="106">
        <f t="shared" si="0"/>
        <v>0.28000000000000003</v>
      </c>
      <c r="D26">
        <f t="shared" si="1"/>
        <v>28</v>
      </c>
      <c r="F26" s="160" t="s">
        <v>123</v>
      </c>
      <c r="G26" s="161">
        <v>22</v>
      </c>
    </row>
    <row r="27" spans="1:7" ht="15.6">
      <c r="A27" s="52" t="s">
        <v>6</v>
      </c>
      <c r="B27" s="52" t="str">
        <f>'Ratings worksheet'!A27</f>
        <v>Cambodia</v>
      </c>
      <c r="C27" s="106">
        <f t="shared" si="0"/>
        <v>0.2</v>
      </c>
      <c r="D27">
        <f t="shared" si="1"/>
        <v>20</v>
      </c>
      <c r="F27" s="160" t="s">
        <v>92</v>
      </c>
      <c r="G27" s="161">
        <v>34</v>
      </c>
    </row>
    <row r="28" spans="1:7" ht="15.6">
      <c r="A28" s="52" t="s">
        <v>212</v>
      </c>
      <c r="B28" s="52" t="str">
        <f>'Ratings worksheet'!A28</f>
        <v>Cameroon</v>
      </c>
      <c r="C28" s="106">
        <f t="shared" si="0"/>
        <v>0.33</v>
      </c>
      <c r="D28">
        <f t="shared" si="1"/>
        <v>33</v>
      </c>
      <c r="F28" s="160" t="s">
        <v>407</v>
      </c>
      <c r="G28" s="161">
        <v>18.5</v>
      </c>
    </row>
    <row r="29" spans="1:7" ht="15.6">
      <c r="A29" s="52" t="s">
        <v>95</v>
      </c>
      <c r="B29" s="52" t="str">
        <f>'Ratings worksheet'!A29</f>
        <v>Canada</v>
      </c>
      <c r="C29" s="106">
        <f t="shared" si="0"/>
        <v>0.26500000000000001</v>
      </c>
      <c r="D29">
        <f t="shared" si="1"/>
        <v>26.5</v>
      </c>
      <c r="F29" s="160" t="s">
        <v>94</v>
      </c>
      <c r="G29" s="161">
        <v>10</v>
      </c>
    </row>
    <row r="30" spans="1:7" ht="15.6">
      <c r="A30" s="52" t="s">
        <v>213</v>
      </c>
      <c r="B30" s="52" t="str">
        <f>'Ratings worksheet'!A30</f>
        <v>Cape Verde</v>
      </c>
      <c r="C30" s="106">
        <f t="shared" si="0"/>
        <v>0</v>
      </c>
      <c r="D30">
        <v>0</v>
      </c>
      <c r="F30" s="160" t="s">
        <v>211</v>
      </c>
      <c r="G30" s="161">
        <v>28</v>
      </c>
    </row>
    <row r="31" spans="1:7" ht="15.6">
      <c r="A31" s="52" t="s">
        <v>55</v>
      </c>
      <c r="B31" s="52" t="str">
        <f>'Ratings worksheet'!A31</f>
        <v>Cayman Islands</v>
      </c>
      <c r="C31" s="106">
        <f t="shared" si="0"/>
        <v>0</v>
      </c>
      <c r="D31">
        <f t="shared" si="1"/>
        <v>0</v>
      </c>
      <c r="F31" s="160" t="s">
        <v>417</v>
      </c>
      <c r="G31" s="161">
        <v>30</v>
      </c>
    </row>
    <row r="32" spans="1:7" ht="15.6">
      <c r="A32" s="52" t="s">
        <v>96</v>
      </c>
      <c r="B32" s="52" t="str">
        <f>'Ratings worksheet'!A32</f>
        <v>Chile</v>
      </c>
      <c r="C32" s="106">
        <f t="shared" si="0"/>
        <v>0.27</v>
      </c>
      <c r="D32">
        <f t="shared" si="1"/>
        <v>27</v>
      </c>
      <c r="F32" s="160" t="s">
        <v>6</v>
      </c>
      <c r="G32" s="161">
        <v>20</v>
      </c>
    </row>
    <row r="33" spans="1:7" ht="15.6">
      <c r="A33" s="52" t="s">
        <v>97</v>
      </c>
      <c r="B33" s="52" t="str">
        <f>'Ratings worksheet'!A33</f>
        <v>China</v>
      </c>
      <c r="C33" s="106">
        <f t="shared" si="0"/>
        <v>0.25</v>
      </c>
      <c r="D33">
        <f t="shared" si="1"/>
        <v>25</v>
      </c>
      <c r="F33" s="160" t="s">
        <v>212</v>
      </c>
      <c r="G33" s="161">
        <v>33</v>
      </c>
    </row>
    <row r="34" spans="1:7" ht="15.6">
      <c r="A34" s="52" t="s">
        <v>50</v>
      </c>
      <c r="B34" s="52" t="str">
        <f>'Ratings worksheet'!A34</f>
        <v>Colombia</v>
      </c>
      <c r="C34" s="106">
        <f t="shared" si="0"/>
        <v>0.32</v>
      </c>
      <c r="D34">
        <f t="shared" si="1"/>
        <v>32</v>
      </c>
      <c r="F34" s="160" t="s">
        <v>95</v>
      </c>
      <c r="G34" s="161">
        <v>26.5</v>
      </c>
    </row>
    <row r="35" spans="1:7" ht="15.6">
      <c r="A35" s="52" t="s">
        <v>287</v>
      </c>
      <c r="B35" s="52" t="str">
        <f>'Ratings worksheet'!A35</f>
        <v>Congo (Democratic Republic of)</v>
      </c>
      <c r="C35" s="106">
        <f t="shared" si="0"/>
        <v>0.35</v>
      </c>
      <c r="D35">
        <v>35</v>
      </c>
      <c r="F35" s="160" t="s">
        <v>55</v>
      </c>
      <c r="G35" s="161">
        <v>0</v>
      </c>
    </row>
    <row r="36" spans="1:7" ht="15.6">
      <c r="A36" s="52" t="s">
        <v>288</v>
      </c>
      <c r="B36" s="52" t="str">
        <f>'Ratings worksheet'!A36</f>
        <v>Congo (Republic of)</v>
      </c>
      <c r="C36" s="106">
        <f t="shared" si="0"/>
        <v>0.3</v>
      </c>
      <c r="D36">
        <v>30</v>
      </c>
      <c r="F36" s="160" t="s">
        <v>96</v>
      </c>
      <c r="G36" s="161">
        <v>27</v>
      </c>
    </row>
    <row r="37" spans="1:7" ht="15.6">
      <c r="A37" s="52" t="s">
        <v>214</v>
      </c>
      <c r="B37" s="52" t="str">
        <f>'Ratings worksheet'!A37</f>
        <v>Cook Islands</v>
      </c>
      <c r="C37" s="166">
        <f t="shared" si="0"/>
        <v>0.2843</v>
      </c>
      <c r="D37" s="40">
        <v>28.43</v>
      </c>
      <c r="F37" s="160" t="s">
        <v>97</v>
      </c>
      <c r="G37" s="161">
        <v>25</v>
      </c>
    </row>
    <row r="38" spans="1:7" ht="15.6">
      <c r="A38" s="52" t="s">
        <v>56</v>
      </c>
      <c r="B38" s="52" t="str">
        <f>'Ratings worksheet'!A38</f>
        <v>Costa Rica</v>
      </c>
      <c r="C38" s="106">
        <f t="shared" si="0"/>
        <v>0.3</v>
      </c>
      <c r="D38">
        <f t="shared" si="1"/>
        <v>30</v>
      </c>
      <c r="F38" s="160" t="s">
        <v>50</v>
      </c>
      <c r="G38" s="161">
        <v>32</v>
      </c>
    </row>
    <row r="39" spans="1:7" ht="15.6">
      <c r="A39" s="52" t="s">
        <v>283</v>
      </c>
      <c r="B39" s="52" t="str">
        <f>'Ratings worksheet'!A39</f>
        <v>Côte d'Ivoire</v>
      </c>
      <c r="C39" s="106">
        <f t="shared" si="0"/>
        <v>0.25</v>
      </c>
      <c r="D39">
        <v>25</v>
      </c>
      <c r="F39" s="160" t="s">
        <v>542</v>
      </c>
      <c r="G39" s="161">
        <v>30</v>
      </c>
    </row>
    <row r="40" spans="1:7" ht="15.6">
      <c r="A40" s="52" t="s">
        <v>98</v>
      </c>
      <c r="B40" s="52" t="str">
        <f>'Ratings worksheet'!A40</f>
        <v>Croatia</v>
      </c>
      <c r="C40" s="106">
        <f t="shared" si="0"/>
        <v>0.18</v>
      </c>
      <c r="D40">
        <f t="shared" si="1"/>
        <v>18</v>
      </c>
      <c r="F40" s="160" t="s">
        <v>488</v>
      </c>
      <c r="G40" s="161">
        <v>35</v>
      </c>
    </row>
    <row r="41" spans="1:7" ht="15.6">
      <c r="A41" s="52" t="s">
        <v>99</v>
      </c>
      <c r="B41" s="52" t="str">
        <f>'Ratings worksheet'!A41</f>
        <v>Cuba</v>
      </c>
      <c r="C41" s="166">
        <f t="shared" si="0"/>
        <v>0.27360000000000001</v>
      </c>
      <c r="D41" s="40">
        <v>27.36</v>
      </c>
      <c r="F41" s="160" t="s">
        <v>56</v>
      </c>
      <c r="G41" s="161">
        <v>30</v>
      </c>
    </row>
    <row r="42" spans="1:7" ht="15.6">
      <c r="A42" s="52" t="s">
        <v>217</v>
      </c>
      <c r="B42" s="52" t="str">
        <f>'Ratings worksheet'!A42</f>
        <v>Curacao</v>
      </c>
      <c r="C42" s="106">
        <f t="shared" si="0"/>
        <v>0.22</v>
      </c>
      <c r="D42">
        <f t="shared" si="1"/>
        <v>22</v>
      </c>
      <c r="F42" s="160" t="s">
        <v>98</v>
      </c>
      <c r="G42" s="161">
        <v>18</v>
      </c>
    </row>
    <row r="43" spans="1:7" ht="15.6">
      <c r="A43" s="52" t="s">
        <v>178</v>
      </c>
      <c r="B43" s="52" t="str">
        <f>'Ratings worksheet'!A43</f>
        <v>Cyprus</v>
      </c>
      <c r="C43" s="106">
        <f t="shared" si="0"/>
        <v>0.125</v>
      </c>
      <c r="D43">
        <f t="shared" si="1"/>
        <v>12.5</v>
      </c>
      <c r="F43" s="160" t="s">
        <v>217</v>
      </c>
      <c r="G43" s="161">
        <v>22</v>
      </c>
    </row>
    <row r="44" spans="1:7" ht="15.6">
      <c r="A44" s="52" t="s">
        <v>101</v>
      </c>
      <c r="B44" s="52" t="str">
        <f>'Ratings worksheet'!A44</f>
        <v>Czech Republic</v>
      </c>
      <c r="C44" s="106">
        <f t="shared" si="0"/>
        <v>0.19</v>
      </c>
      <c r="D44">
        <f t="shared" si="1"/>
        <v>19</v>
      </c>
      <c r="F44" s="160" t="s">
        <v>178</v>
      </c>
      <c r="G44" s="161">
        <v>12.5</v>
      </c>
    </row>
    <row r="45" spans="1:7" ht="15.6">
      <c r="A45" s="52" t="s">
        <v>102</v>
      </c>
      <c r="B45" s="52" t="str">
        <f>'Ratings worksheet'!A45</f>
        <v>Denmark</v>
      </c>
      <c r="C45" s="106">
        <f t="shared" si="0"/>
        <v>0.22</v>
      </c>
      <c r="D45">
        <f t="shared" si="1"/>
        <v>22</v>
      </c>
      <c r="F45" s="160" t="s">
        <v>101</v>
      </c>
      <c r="G45" s="161">
        <v>19</v>
      </c>
    </row>
    <row r="46" spans="1:7" ht="15.6">
      <c r="A46" s="52" t="s">
        <v>103</v>
      </c>
      <c r="B46" s="52" t="str">
        <f>'Ratings worksheet'!A46</f>
        <v>Dominican Republic</v>
      </c>
      <c r="C46" s="106">
        <f t="shared" si="0"/>
        <v>0.27</v>
      </c>
      <c r="D46">
        <f t="shared" si="1"/>
        <v>27</v>
      </c>
      <c r="F46" s="160" t="s">
        <v>102</v>
      </c>
      <c r="G46" s="161">
        <v>22</v>
      </c>
    </row>
    <row r="47" spans="1:7" ht="15.6">
      <c r="A47" s="52" t="s">
        <v>104</v>
      </c>
      <c r="B47" s="52" t="str">
        <f>'Ratings worksheet'!A47</f>
        <v>Ecuador</v>
      </c>
      <c r="C47" s="106">
        <f t="shared" si="0"/>
        <v>0.25</v>
      </c>
      <c r="D47">
        <f t="shared" si="1"/>
        <v>25</v>
      </c>
      <c r="F47" s="160" t="s">
        <v>422</v>
      </c>
      <c r="G47" s="161">
        <v>25</v>
      </c>
    </row>
    <row r="48" spans="1:7" ht="15.6">
      <c r="A48" s="52" t="s">
        <v>105</v>
      </c>
      <c r="B48" s="52" t="str">
        <f>'Ratings worksheet'!A48</f>
        <v>Egypt</v>
      </c>
      <c r="C48" s="106">
        <f t="shared" si="0"/>
        <v>0.22500000000000001</v>
      </c>
      <c r="D48">
        <f t="shared" si="1"/>
        <v>22.5</v>
      </c>
      <c r="F48" s="160" t="s">
        <v>436</v>
      </c>
      <c r="G48" s="161">
        <v>25</v>
      </c>
    </row>
    <row r="49" spans="1:7" ht="15.6">
      <c r="A49" s="52" t="s">
        <v>31</v>
      </c>
      <c r="B49" s="52" t="str">
        <f>'Ratings worksheet'!A49</f>
        <v>El Salvador</v>
      </c>
      <c r="C49" s="106">
        <f t="shared" si="0"/>
        <v>0.3</v>
      </c>
      <c r="D49">
        <f t="shared" si="1"/>
        <v>30</v>
      </c>
      <c r="F49" s="160" t="s">
        <v>103</v>
      </c>
      <c r="G49" s="161">
        <v>27</v>
      </c>
    </row>
    <row r="50" spans="1:7" ht="15.6">
      <c r="A50" s="52" t="s">
        <v>106</v>
      </c>
      <c r="B50" s="52" t="str">
        <f>'Ratings worksheet'!A50</f>
        <v>Estonia</v>
      </c>
      <c r="C50" s="106">
        <f t="shared" si="0"/>
        <v>0.2</v>
      </c>
      <c r="D50">
        <f t="shared" si="1"/>
        <v>20</v>
      </c>
      <c r="F50" s="160" t="s">
        <v>104</v>
      </c>
      <c r="G50" s="161">
        <v>25</v>
      </c>
    </row>
    <row r="51" spans="1:7" ht="15.6">
      <c r="A51" s="52" t="s">
        <v>284</v>
      </c>
      <c r="B51" s="52" t="str">
        <f>'Ratings worksheet'!A51</f>
        <v>Ethiopia</v>
      </c>
      <c r="C51" s="106">
        <f t="shared" si="0"/>
        <v>0.3</v>
      </c>
      <c r="D51">
        <f t="shared" si="1"/>
        <v>30</v>
      </c>
      <c r="F51" s="160" t="s">
        <v>105</v>
      </c>
      <c r="G51" s="161">
        <v>22.5</v>
      </c>
    </row>
    <row r="52" spans="1:7" ht="15.6">
      <c r="A52" s="52" t="s">
        <v>219</v>
      </c>
      <c r="B52" s="52" t="str">
        <f>'Ratings worksheet'!A52</f>
        <v>Fiji</v>
      </c>
      <c r="C52" s="106">
        <f t="shared" si="0"/>
        <v>0.2</v>
      </c>
      <c r="D52">
        <f t="shared" si="1"/>
        <v>20</v>
      </c>
      <c r="F52" s="160" t="s">
        <v>31</v>
      </c>
      <c r="G52" s="161">
        <v>30</v>
      </c>
    </row>
    <row r="53" spans="1:7" ht="15.6">
      <c r="A53" s="52" t="s">
        <v>179</v>
      </c>
      <c r="B53" s="52" t="str">
        <f>'Ratings worksheet'!A53</f>
        <v>Finland</v>
      </c>
      <c r="C53" s="106">
        <f t="shared" si="0"/>
        <v>0.2</v>
      </c>
      <c r="D53">
        <f t="shared" si="1"/>
        <v>20</v>
      </c>
      <c r="F53" s="160" t="s">
        <v>106</v>
      </c>
      <c r="G53" s="161">
        <v>20</v>
      </c>
    </row>
    <row r="54" spans="1:7" ht="15.6">
      <c r="A54" s="52" t="s">
        <v>180</v>
      </c>
      <c r="B54" s="52" t="str">
        <f>'Ratings worksheet'!A54</f>
        <v>France</v>
      </c>
      <c r="C54" s="106">
        <f t="shared" si="0"/>
        <v>0.28000000000000003</v>
      </c>
      <c r="D54">
        <f t="shared" si="1"/>
        <v>28</v>
      </c>
      <c r="F54" s="160" t="s">
        <v>284</v>
      </c>
      <c r="G54" s="161">
        <v>30</v>
      </c>
    </row>
    <row r="55" spans="1:7" ht="15.6">
      <c r="A55" s="52" t="s">
        <v>220</v>
      </c>
      <c r="B55" s="52" t="str">
        <f>'Ratings worksheet'!A55</f>
        <v>Gabon</v>
      </c>
      <c r="C55" s="106">
        <f t="shared" si="0"/>
        <v>0.3</v>
      </c>
      <c r="D55">
        <f t="shared" si="1"/>
        <v>30</v>
      </c>
      <c r="F55" s="160" t="s">
        <v>219</v>
      </c>
      <c r="G55" s="161">
        <v>20</v>
      </c>
    </row>
    <row r="56" spans="1:7" ht="15.6">
      <c r="A56" s="52" t="s">
        <v>133</v>
      </c>
      <c r="B56" s="52" t="str">
        <f>'Ratings worksheet'!A56</f>
        <v>Georgia</v>
      </c>
      <c r="C56" s="106">
        <f t="shared" si="0"/>
        <v>0.15</v>
      </c>
      <c r="D56">
        <f t="shared" si="1"/>
        <v>15</v>
      </c>
      <c r="F56" s="160" t="s">
        <v>179</v>
      </c>
      <c r="G56" s="161">
        <v>20</v>
      </c>
    </row>
    <row r="57" spans="1:7" ht="15.6">
      <c r="A57" s="52" t="s">
        <v>181</v>
      </c>
      <c r="B57" s="52" t="str">
        <f>'Ratings worksheet'!A57</f>
        <v>Germany</v>
      </c>
      <c r="C57" s="106">
        <f t="shared" si="0"/>
        <v>0.3</v>
      </c>
      <c r="D57">
        <f t="shared" si="1"/>
        <v>30</v>
      </c>
      <c r="F57" s="160" t="s">
        <v>180</v>
      </c>
      <c r="G57" s="161">
        <v>28</v>
      </c>
    </row>
    <row r="58" spans="1:7" ht="15.6">
      <c r="A58" s="52" t="s">
        <v>221</v>
      </c>
      <c r="B58" s="52" t="str">
        <f>'Ratings worksheet'!A58</f>
        <v>Ghana</v>
      </c>
      <c r="C58" s="106">
        <f t="shared" si="0"/>
        <v>0.25</v>
      </c>
      <c r="D58">
        <f t="shared" si="1"/>
        <v>25</v>
      </c>
      <c r="F58" s="160" t="s">
        <v>220</v>
      </c>
      <c r="G58" s="161">
        <v>30</v>
      </c>
    </row>
    <row r="59" spans="1:7" ht="15.6">
      <c r="A59" s="52" t="s">
        <v>182</v>
      </c>
      <c r="B59" s="52" t="str">
        <f>'Ratings worksheet'!A59</f>
        <v>Greece</v>
      </c>
      <c r="C59" s="106">
        <f t="shared" si="0"/>
        <v>0.24</v>
      </c>
      <c r="D59">
        <f t="shared" si="1"/>
        <v>24</v>
      </c>
      <c r="F59" s="160" t="s">
        <v>334</v>
      </c>
      <c r="G59" s="161">
        <v>31</v>
      </c>
    </row>
    <row r="60" spans="1:7" ht="15.6">
      <c r="A60" s="52" t="s">
        <v>107</v>
      </c>
      <c r="B60" s="52" t="str">
        <f>'Ratings worksheet'!A60</f>
        <v>Guatemala</v>
      </c>
      <c r="C60" s="106">
        <f t="shared" si="0"/>
        <v>0.25</v>
      </c>
      <c r="D60">
        <f t="shared" si="1"/>
        <v>25</v>
      </c>
      <c r="F60" s="160" t="s">
        <v>133</v>
      </c>
      <c r="G60" s="161">
        <v>15</v>
      </c>
    </row>
    <row r="61" spans="1:7" ht="15.6">
      <c r="A61" s="52" t="s">
        <v>289</v>
      </c>
      <c r="B61" s="52" t="str">
        <f>'Ratings worksheet'!A61</f>
        <v>Guernsey (States of)</v>
      </c>
      <c r="C61" s="106">
        <f t="shared" si="0"/>
        <v>0</v>
      </c>
      <c r="D61">
        <v>0</v>
      </c>
      <c r="F61" s="160" t="s">
        <v>181</v>
      </c>
      <c r="G61" s="161">
        <v>30</v>
      </c>
    </row>
    <row r="62" spans="1:7" ht="15.6">
      <c r="A62" s="52" t="s">
        <v>108</v>
      </c>
      <c r="B62" s="52" t="str">
        <f>'Ratings worksheet'!A62</f>
        <v>Honduras</v>
      </c>
      <c r="C62" s="106">
        <f t="shared" si="0"/>
        <v>0.25</v>
      </c>
      <c r="D62">
        <f t="shared" si="1"/>
        <v>25</v>
      </c>
      <c r="F62" s="160" t="s">
        <v>221</v>
      </c>
      <c r="G62" s="161">
        <v>25</v>
      </c>
    </row>
    <row r="63" spans="1:7" ht="15.6">
      <c r="A63" s="52" t="s">
        <v>59</v>
      </c>
      <c r="B63" s="52" t="str">
        <f>'Ratings worksheet'!A63</f>
        <v>Hong Kong</v>
      </c>
      <c r="C63" s="106">
        <f t="shared" si="0"/>
        <v>0.16500000000000001</v>
      </c>
      <c r="D63">
        <v>16.5</v>
      </c>
      <c r="F63" s="160" t="s">
        <v>444</v>
      </c>
      <c r="G63" s="161">
        <v>10</v>
      </c>
    </row>
    <row r="64" spans="1:7" ht="15.6">
      <c r="A64" s="52" t="s">
        <v>109</v>
      </c>
      <c r="B64" s="52" t="str">
        <f>'Ratings worksheet'!A64</f>
        <v>Hungary</v>
      </c>
      <c r="C64" s="106">
        <f t="shared" si="0"/>
        <v>0.09</v>
      </c>
      <c r="D64">
        <f t="shared" si="1"/>
        <v>9</v>
      </c>
      <c r="F64" s="160" t="s">
        <v>182</v>
      </c>
      <c r="G64" s="161">
        <v>24</v>
      </c>
    </row>
    <row r="65" spans="1:7" ht="15.6">
      <c r="A65" s="52" t="s">
        <v>110</v>
      </c>
      <c r="B65" s="52" t="str">
        <f>'Ratings worksheet'!A65</f>
        <v>Iceland</v>
      </c>
      <c r="C65" s="106">
        <f t="shared" si="0"/>
        <v>0.2</v>
      </c>
      <c r="D65">
        <f t="shared" si="1"/>
        <v>20</v>
      </c>
      <c r="F65" s="160" t="s">
        <v>429</v>
      </c>
      <c r="G65" s="161">
        <v>28</v>
      </c>
    </row>
    <row r="66" spans="1:7" ht="15.6">
      <c r="A66" s="52" t="s">
        <v>111</v>
      </c>
      <c r="B66" s="52" t="str">
        <f>'Ratings worksheet'!A66</f>
        <v>India</v>
      </c>
      <c r="C66" s="106">
        <f t="shared" si="0"/>
        <v>0.3</v>
      </c>
      <c r="D66">
        <f t="shared" si="1"/>
        <v>30</v>
      </c>
      <c r="F66" s="160" t="s">
        <v>107</v>
      </c>
      <c r="G66" s="161">
        <v>25</v>
      </c>
    </row>
    <row r="67" spans="1:7" ht="15.6">
      <c r="A67" s="52" t="s">
        <v>112</v>
      </c>
      <c r="B67" s="52" t="s">
        <v>331</v>
      </c>
      <c r="C67" s="106">
        <f t="shared" ref="C67:C130" si="2">D67/100</f>
        <v>0.15</v>
      </c>
      <c r="D67">
        <f t="shared" ref="D67:D130" si="3">VLOOKUP(B67,$F$2:$G$173,2,FALSE)</f>
        <v>15</v>
      </c>
      <c r="F67" s="160" t="s">
        <v>445</v>
      </c>
      <c r="G67" s="161">
        <v>0</v>
      </c>
    </row>
    <row r="68" spans="1:7" ht="15.6">
      <c r="A68" s="52" t="s">
        <v>331</v>
      </c>
      <c r="B68" s="52" t="str">
        <f>'Ratings worksheet'!A68</f>
        <v>Iraq</v>
      </c>
      <c r="C68" s="106">
        <f t="shared" si="2"/>
        <v>0.15</v>
      </c>
      <c r="D68">
        <f t="shared" si="3"/>
        <v>15</v>
      </c>
      <c r="F68" s="160" t="s">
        <v>108</v>
      </c>
      <c r="G68" s="161">
        <v>25</v>
      </c>
    </row>
    <row r="69" spans="1:7" ht="15.6">
      <c r="A69" s="52" t="s">
        <v>183</v>
      </c>
      <c r="B69" s="52" t="str">
        <f>'Ratings worksheet'!A69</f>
        <v>Ireland</v>
      </c>
      <c r="C69" s="106">
        <f t="shared" si="2"/>
        <v>0.125</v>
      </c>
      <c r="D69">
        <f t="shared" si="3"/>
        <v>12.5</v>
      </c>
      <c r="F69" s="160" t="s">
        <v>446</v>
      </c>
      <c r="G69" s="161">
        <v>16.5</v>
      </c>
    </row>
    <row r="70" spans="1:7" ht="15.6">
      <c r="A70" s="52" t="s">
        <v>113</v>
      </c>
      <c r="B70" s="52" t="str">
        <f>'Ratings worksheet'!A70</f>
        <v>Isle of Man</v>
      </c>
      <c r="C70" s="106">
        <f t="shared" si="2"/>
        <v>0</v>
      </c>
      <c r="D70">
        <f t="shared" si="3"/>
        <v>0</v>
      </c>
      <c r="F70" s="160" t="s">
        <v>109</v>
      </c>
      <c r="G70" s="161">
        <v>9</v>
      </c>
    </row>
    <row r="71" spans="1:7" ht="15.6">
      <c r="A71" s="52" t="s">
        <v>114</v>
      </c>
      <c r="B71" s="52" t="str">
        <f>'Ratings worksheet'!A71</f>
        <v>Israel</v>
      </c>
      <c r="C71" s="106">
        <f t="shared" si="2"/>
        <v>0.23</v>
      </c>
      <c r="D71">
        <f t="shared" si="3"/>
        <v>23</v>
      </c>
      <c r="F71" s="160" t="s">
        <v>110</v>
      </c>
      <c r="G71" s="161">
        <v>20</v>
      </c>
    </row>
    <row r="72" spans="1:7" ht="15.6">
      <c r="A72" s="52" t="s">
        <v>145</v>
      </c>
      <c r="B72" s="52" t="str">
        <f>'Ratings worksheet'!A72</f>
        <v>Italy</v>
      </c>
      <c r="C72" s="106">
        <f t="shared" si="2"/>
        <v>0.24</v>
      </c>
      <c r="D72">
        <f t="shared" si="3"/>
        <v>24</v>
      </c>
      <c r="F72" s="160" t="s">
        <v>111</v>
      </c>
      <c r="G72" s="161">
        <v>30</v>
      </c>
    </row>
    <row r="73" spans="1:7" ht="15.6">
      <c r="A73" s="52" t="s">
        <v>115</v>
      </c>
      <c r="B73" s="52" t="str">
        <f>'Ratings worksheet'!A73</f>
        <v>Jamaica</v>
      </c>
      <c r="C73" s="106">
        <f t="shared" si="2"/>
        <v>0.25</v>
      </c>
      <c r="D73">
        <f t="shared" si="3"/>
        <v>25</v>
      </c>
      <c r="F73" s="160" t="s">
        <v>112</v>
      </c>
      <c r="G73" s="161">
        <v>25</v>
      </c>
    </row>
    <row r="74" spans="1:7" ht="15.6">
      <c r="A74" s="52" t="s">
        <v>116</v>
      </c>
      <c r="B74" s="52" t="str">
        <f>'Ratings worksheet'!A74</f>
        <v>Japan</v>
      </c>
      <c r="C74" s="165">
        <f t="shared" si="2"/>
        <v>0.30620000000000003</v>
      </c>
      <c r="D74" s="240">
        <f t="shared" si="3"/>
        <v>30.62</v>
      </c>
      <c r="F74" s="160" t="s">
        <v>331</v>
      </c>
      <c r="G74" s="161">
        <v>15</v>
      </c>
    </row>
    <row r="75" spans="1:7" ht="15.6">
      <c r="A75" s="52" t="s">
        <v>290</v>
      </c>
      <c r="B75" s="52" t="str">
        <f>'Ratings worksheet'!A75</f>
        <v>Jersey (States of)</v>
      </c>
      <c r="C75" s="106">
        <f t="shared" si="2"/>
        <v>0</v>
      </c>
      <c r="D75">
        <v>0</v>
      </c>
      <c r="F75" s="160" t="s">
        <v>183</v>
      </c>
      <c r="G75" s="161">
        <v>12.5</v>
      </c>
    </row>
    <row r="76" spans="1:7" ht="15.6">
      <c r="A76" s="52" t="s">
        <v>117</v>
      </c>
      <c r="B76" s="52" t="str">
        <f>'Ratings worksheet'!A76</f>
        <v>Jordan</v>
      </c>
      <c r="C76" s="106">
        <f t="shared" si="2"/>
        <v>0.2</v>
      </c>
      <c r="D76">
        <f t="shared" si="3"/>
        <v>20</v>
      </c>
      <c r="F76" s="160" t="s">
        <v>113</v>
      </c>
      <c r="G76" s="161">
        <v>0</v>
      </c>
    </row>
    <row r="77" spans="1:7" ht="15.6">
      <c r="A77" s="52" t="s">
        <v>118</v>
      </c>
      <c r="B77" s="52" t="str">
        <f>'Ratings worksheet'!A77</f>
        <v>Kazakhstan</v>
      </c>
      <c r="C77" s="106">
        <f t="shared" si="2"/>
        <v>0.2</v>
      </c>
      <c r="D77">
        <f t="shared" si="3"/>
        <v>20</v>
      </c>
      <c r="F77" s="160" t="s">
        <v>114</v>
      </c>
      <c r="G77" s="161">
        <v>23</v>
      </c>
    </row>
    <row r="78" spans="1:7" ht="15.6">
      <c r="A78" s="52" t="s">
        <v>184</v>
      </c>
      <c r="B78" s="52" t="str">
        <f>'Ratings worksheet'!A78</f>
        <v>Kenya</v>
      </c>
      <c r="C78" s="106">
        <f t="shared" si="2"/>
        <v>0.3</v>
      </c>
      <c r="D78">
        <f t="shared" si="3"/>
        <v>30</v>
      </c>
      <c r="F78" s="160" t="s">
        <v>145</v>
      </c>
      <c r="G78" s="161">
        <v>24</v>
      </c>
    </row>
    <row r="79" spans="1:7" ht="15.6">
      <c r="A79" s="52" t="s">
        <v>119</v>
      </c>
      <c r="B79" s="52" t="str">
        <f>'Ratings worksheet'!A79</f>
        <v>Korea</v>
      </c>
      <c r="C79" s="106">
        <f t="shared" si="2"/>
        <v>0.25</v>
      </c>
      <c r="D79">
        <v>25</v>
      </c>
      <c r="F79" s="160" t="s">
        <v>489</v>
      </c>
      <c r="G79" s="161">
        <v>25</v>
      </c>
    </row>
    <row r="80" spans="1:7" ht="15.6">
      <c r="A80" s="52" t="s">
        <v>120</v>
      </c>
      <c r="B80" s="52" t="str">
        <f>'Ratings worksheet'!A80</f>
        <v>Kuwait</v>
      </c>
      <c r="C80" s="106">
        <f t="shared" si="2"/>
        <v>0.15</v>
      </c>
      <c r="D80">
        <f t="shared" si="3"/>
        <v>15</v>
      </c>
      <c r="F80" s="160" t="s">
        <v>115</v>
      </c>
      <c r="G80" s="161">
        <v>25</v>
      </c>
    </row>
    <row r="81" spans="1:7" ht="15.6">
      <c r="A81" s="17" t="s">
        <v>353</v>
      </c>
      <c r="B81" s="52" t="str">
        <f>'Ratings worksheet'!A81</f>
        <v>Kyrgyzstan</v>
      </c>
      <c r="C81" s="106">
        <f t="shared" si="2"/>
        <v>0.1</v>
      </c>
      <c r="D81">
        <f t="shared" si="3"/>
        <v>10</v>
      </c>
      <c r="F81" s="160" t="s">
        <v>116</v>
      </c>
      <c r="G81" s="161">
        <v>30.62</v>
      </c>
    </row>
    <row r="82" spans="1:7" ht="15.6">
      <c r="A82" s="17" t="s">
        <v>343</v>
      </c>
      <c r="B82" s="52" t="s">
        <v>343</v>
      </c>
      <c r="C82" s="166">
        <f t="shared" si="2"/>
        <v>0.21129999999999999</v>
      </c>
      <c r="D82" s="40">
        <v>21.13</v>
      </c>
      <c r="F82" s="160" t="s">
        <v>447</v>
      </c>
      <c r="G82" s="161">
        <v>0</v>
      </c>
    </row>
    <row r="83" spans="1:7" ht="15.6">
      <c r="A83" s="52" t="s">
        <v>121</v>
      </c>
      <c r="B83" s="52" t="str">
        <f>'Ratings worksheet'!A83</f>
        <v>Latvia</v>
      </c>
      <c r="C83" s="106">
        <f t="shared" si="2"/>
        <v>0.2</v>
      </c>
      <c r="D83">
        <f t="shared" si="3"/>
        <v>20</v>
      </c>
      <c r="F83" s="160" t="s">
        <v>117</v>
      </c>
      <c r="G83" s="161">
        <v>20</v>
      </c>
    </row>
    <row r="84" spans="1:7" ht="15.6">
      <c r="A84" s="52" t="s">
        <v>122</v>
      </c>
      <c r="B84" s="52" t="str">
        <f>'Ratings worksheet'!A84</f>
        <v>Lebanon</v>
      </c>
      <c r="C84" s="106">
        <f t="shared" si="2"/>
        <v>0.17</v>
      </c>
      <c r="D84">
        <f t="shared" si="3"/>
        <v>17</v>
      </c>
      <c r="F84" s="160" t="s">
        <v>118</v>
      </c>
      <c r="G84" s="161">
        <v>20</v>
      </c>
    </row>
    <row r="85" spans="1:7" ht="15.6">
      <c r="A85" s="52" t="s">
        <v>223</v>
      </c>
      <c r="B85" s="52" t="str">
        <f>'Ratings worksheet'!A85</f>
        <v>Liechtenstein</v>
      </c>
      <c r="C85" s="106">
        <f t="shared" si="2"/>
        <v>0.125</v>
      </c>
      <c r="D85">
        <f t="shared" si="3"/>
        <v>12.5</v>
      </c>
      <c r="F85" s="160" t="s">
        <v>184</v>
      </c>
      <c r="G85" s="161">
        <v>30</v>
      </c>
    </row>
    <row r="86" spans="1:7" ht="15.6">
      <c r="A86" s="52" t="s">
        <v>13</v>
      </c>
      <c r="B86" s="52" t="str">
        <f>'Ratings worksheet'!A86</f>
        <v>Lithuania</v>
      </c>
      <c r="C86" s="106">
        <f t="shared" si="2"/>
        <v>0.15</v>
      </c>
      <c r="D86">
        <f t="shared" si="3"/>
        <v>15</v>
      </c>
      <c r="F86" s="160" t="s">
        <v>448</v>
      </c>
      <c r="G86" s="161">
        <v>25</v>
      </c>
    </row>
    <row r="87" spans="1:7" ht="15.6">
      <c r="A87" s="52" t="s">
        <v>185</v>
      </c>
      <c r="B87" s="52" t="str">
        <f>'Ratings worksheet'!A87</f>
        <v>Luxembourg</v>
      </c>
      <c r="C87" s="106">
        <f t="shared" si="2"/>
        <v>0.24940000000000001</v>
      </c>
      <c r="D87">
        <f t="shared" si="3"/>
        <v>24.94</v>
      </c>
      <c r="F87" s="160" t="s">
        <v>120</v>
      </c>
      <c r="G87" s="161">
        <v>15</v>
      </c>
    </row>
    <row r="88" spans="1:7" ht="15.6">
      <c r="A88" s="52" t="s">
        <v>32</v>
      </c>
      <c r="B88" s="52" t="str">
        <f>'Ratings worksheet'!A88</f>
        <v>Macao</v>
      </c>
      <c r="C88" s="106">
        <f t="shared" si="2"/>
        <v>0.12</v>
      </c>
      <c r="D88">
        <v>12</v>
      </c>
      <c r="F88" s="160" t="s">
        <v>353</v>
      </c>
      <c r="G88" s="161">
        <v>10</v>
      </c>
    </row>
    <row r="89" spans="1:7" ht="15.6">
      <c r="A89" s="52" t="s">
        <v>146</v>
      </c>
      <c r="B89" s="52" t="str">
        <f>'Ratings worksheet'!A89</f>
        <v>Macedonia</v>
      </c>
      <c r="C89" s="106">
        <f t="shared" si="2"/>
        <v>0.1</v>
      </c>
      <c r="D89">
        <f t="shared" si="3"/>
        <v>10</v>
      </c>
      <c r="F89" s="160" t="s">
        <v>121</v>
      </c>
      <c r="G89" s="161">
        <v>20</v>
      </c>
    </row>
    <row r="90" spans="1:7" ht="15.6">
      <c r="A90" s="52" t="s">
        <v>14</v>
      </c>
      <c r="B90" s="52" t="s">
        <v>14</v>
      </c>
      <c r="C90" s="106">
        <f t="shared" si="2"/>
        <v>0.24</v>
      </c>
      <c r="D90">
        <f t="shared" si="3"/>
        <v>24</v>
      </c>
      <c r="F90" s="160" t="s">
        <v>122</v>
      </c>
      <c r="G90" s="161">
        <v>17</v>
      </c>
    </row>
    <row r="91" spans="1:7" ht="15.6">
      <c r="A91" s="52" t="s">
        <v>416</v>
      </c>
      <c r="B91" s="52" t="str">
        <f>'Ratings worksheet'!A91</f>
        <v>Maldives</v>
      </c>
      <c r="C91" s="106">
        <f t="shared" si="2"/>
        <v>0.21129999999999999</v>
      </c>
      <c r="D91">
        <v>21.13</v>
      </c>
      <c r="F91" s="160" t="s">
        <v>322</v>
      </c>
      <c r="G91" s="161">
        <v>20</v>
      </c>
    </row>
    <row r="92" spans="1:7" ht="15.6">
      <c r="A92" s="158" t="s">
        <v>325</v>
      </c>
      <c r="B92" s="52" t="s">
        <v>325</v>
      </c>
      <c r="C92" s="166">
        <f t="shared" si="2"/>
        <v>0.28249999999999997</v>
      </c>
      <c r="D92" s="40">
        <v>28.25</v>
      </c>
      <c r="F92" s="160" t="s">
        <v>223</v>
      </c>
      <c r="G92" s="161">
        <v>12.5</v>
      </c>
    </row>
    <row r="93" spans="1:7" ht="15.6">
      <c r="A93" s="52" t="s">
        <v>186</v>
      </c>
      <c r="B93" s="52" t="s">
        <v>186</v>
      </c>
      <c r="C93" s="106">
        <f t="shared" si="2"/>
        <v>0.35</v>
      </c>
      <c r="D93">
        <f t="shared" si="3"/>
        <v>35</v>
      </c>
      <c r="F93" s="160" t="s">
        <v>13</v>
      </c>
      <c r="G93" s="161">
        <v>15</v>
      </c>
    </row>
    <row r="94" spans="1:7" ht="15.6">
      <c r="A94" s="52" t="s">
        <v>15</v>
      </c>
      <c r="B94" s="52" t="str">
        <f>'Ratings worksheet'!A94</f>
        <v>Mauritius</v>
      </c>
      <c r="C94" s="106">
        <f t="shared" si="2"/>
        <v>0.15</v>
      </c>
      <c r="D94">
        <f t="shared" si="3"/>
        <v>15</v>
      </c>
      <c r="F94" s="160" t="s">
        <v>185</v>
      </c>
      <c r="G94" s="161">
        <v>24.94</v>
      </c>
    </row>
    <row r="95" spans="1:7" ht="15.6">
      <c r="A95" s="52" t="s">
        <v>16</v>
      </c>
      <c r="B95" s="52" t="str">
        <f>'Ratings worksheet'!A95</f>
        <v>Mexico</v>
      </c>
      <c r="C95" s="106">
        <f t="shared" si="2"/>
        <v>0.3</v>
      </c>
      <c r="D95">
        <f t="shared" si="3"/>
        <v>30</v>
      </c>
      <c r="F95" s="160" t="s">
        <v>355</v>
      </c>
      <c r="G95" s="161">
        <v>12</v>
      </c>
    </row>
    <row r="96" spans="1:7" ht="15.6">
      <c r="A96" s="52" t="s">
        <v>17</v>
      </c>
      <c r="B96" s="52" t="str">
        <f>'Ratings worksheet'!A96</f>
        <v>Moldova</v>
      </c>
      <c r="C96" s="106">
        <f t="shared" si="2"/>
        <v>0.12</v>
      </c>
      <c r="D96">
        <f t="shared" si="3"/>
        <v>12</v>
      </c>
      <c r="F96" s="160" t="s">
        <v>146</v>
      </c>
      <c r="G96" s="161">
        <v>10</v>
      </c>
    </row>
    <row r="97" spans="1:7" ht="15.6">
      <c r="A97" s="52" t="s">
        <v>63</v>
      </c>
      <c r="B97" s="52" t="str">
        <f>'Ratings worksheet'!A97</f>
        <v>Mongolia</v>
      </c>
      <c r="C97" s="106">
        <f t="shared" si="2"/>
        <v>0.25</v>
      </c>
      <c r="D97">
        <f t="shared" si="3"/>
        <v>25</v>
      </c>
      <c r="F97" s="160" t="s">
        <v>336</v>
      </c>
      <c r="G97" s="161">
        <v>20</v>
      </c>
    </row>
    <row r="98" spans="1:7" ht="15.6">
      <c r="A98" s="52" t="s">
        <v>8</v>
      </c>
      <c r="B98" s="52" t="str">
        <f>'Ratings worksheet'!A98</f>
        <v>Montenegro</v>
      </c>
      <c r="C98" s="106">
        <f t="shared" si="2"/>
        <v>0.09</v>
      </c>
      <c r="D98">
        <f t="shared" si="3"/>
        <v>9</v>
      </c>
      <c r="F98" s="160" t="s">
        <v>327</v>
      </c>
      <c r="G98" s="161">
        <v>30</v>
      </c>
    </row>
    <row r="99" spans="1:7" ht="15.6">
      <c r="A99" s="52" t="s">
        <v>225</v>
      </c>
      <c r="B99" s="52" t="str">
        <f>'Ratings worksheet'!A99</f>
        <v>Montserrat</v>
      </c>
      <c r="C99" s="166">
        <f t="shared" si="2"/>
        <v>0.21129999999999999</v>
      </c>
      <c r="D99" s="40">
        <v>21.13</v>
      </c>
      <c r="F99" s="160" t="s">
        <v>14</v>
      </c>
      <c r="G99" s="161">
        <v>24</v>
      </c>
    </row>
    <row r="100" spans="1:7" ht="15.6">
      <c r="A100" s="52" t="s">
        <v>18</v>
      </c>
      <c r="B100" s="52" t="str">
        <f>'Ratings worksheet'!A100</f>
        <v>Morocco</v>
      </c>
      <c r="C100" s="106">
        <f t="shared" si="2"/>
        <v>0.31</v>
      </c>
      <c r="D100">
        <f t="shared" si="3"/>
        <v>31</v>
      </c>
      <c r="F100" s="160" t="s">
        <v>186</v>
      </c>
      <c r="G100" s="161">
        <v>35</v>
      </c>
    </row>
    <row r="101" spans="1:7" ht="15.6">
      <c r="A101" s="52" t="s">
        <v>226</v>
      </c>
      <c r="B101" s="52" t="str">
        <f>'Ratings worksheet'!A101</f>
        <v>Mozambique</v>
      </c>
      <c r="C101" s="106">
        <f t="shared" si="2"/>
        <v>0.32</v>
      </c>
      <c r="D101">
        <f t="shared" si="3"/>
        <v>32</v>
      </c>
      <c r="F101" s="160" t="s">
        <v>15</v>
      </c>
      <c r="G101" s="161">
        <v>15</v>
      </c>
    </row>
    <row r="102" spans="1:7" ht="15.6">
      <c r="A102" s="52" t="s">
        <v>136</v>
      </c>
      <c r="B102" s="52" t="str">
        <f>'Ratings worksheet'!A102</f>
        <v>Namibia</v>
      </c>
      <c r="C102" s="106">
        <f t="shared" si="2"/>
        <v>0.32</v>
      </c>
      <c r="D102">
        <f t="shared" si="3"/>
        <v>32</v>
      </c>
      <c r="F102" s="160" t="s">
        <v>16</v>
      </c>
      <c r="G102" s="161">
        <v>30</v>
      </c>
    </row>
    <row r="103" spans="1:7" ht="15.6">
      <c r="A103" s="52" t="s">
        <v>187</v>
      </c>
      <c r="B103" s="52" t="str">
        <f>'Ratings worksheet'!A103</f>
        <v>Netherlands</v>
      </c>
      <c r="C103" s="106">
        <f t="shared" si="2"/>
        <v>0.25</v>
      </c>
      <c r="D103">
        <f t="shared" si="3"/>
        <v>25</v>
      </c>
      <c r="F103" s="160" t="s">
        <v>17</v>
      </c>
      <c r="G103" s="161">
        <v>12</v>
      </c>
    </row>
    <row r="104" spans="1:7" ht="15.6">
      <c r="A104" s="52" t="s">
        <v>21</v>
      </c>
      <c r="B104" s="52" t="str">
        <f>'Ratings worksheet'!A104</f>
        <v>New Zealand</v>
      </c>
      <c r="C104" s="106">
        <f t="shared" si="2"/>
        <v>0.28000000000000003</v>
      </c>
      <c r="D104">
        <f t="shared" si="3"/>
        <v>28</v>
      </c>
      <c r="F104" s="160" t="s">
        <v>472</v>
      </c>
      <c r="G104" s="161">
        <v>33</v>
      </c>
    </row>
    <row r="105" spans="1:7" ht="15.6">
      <c r="A105" s="52" t="s">
        <v>22</v>
      </c>
      <c r="B105" s="52" t="str">
        <f>'Ratings worksheet'!A105</f>
        <v>Nicaragua</v>
      </c>
      <c r="C105" s="106">
        <f t="shared" si="2"/>
        <v>0.3</v>
      </c>
      <c r="D105">
        <f t="shared" si="3"/>
        <v>30</v>
      </c>
      <c r="F105" s="160" t="s">
        <v>63</v>
      </c>
      <c r="G105" s="161">
        <v>25</v>
      </c>
    </row>
    <row r="106" spans="1:7" ht="15.6">
      <c r="A106" s="52" t="s">
        <v>321</v>
      </c>
      <c r="B106" s="52" t="s">
        <v>321</v>
      </c>
      <c r="C106" s="166">
        <f t="shared" si="2"/>
        <v>0.28249999999999997</v>
      </c>
      <c r="D106" s="40">
        <v>28.25</v>
      </c>
      <c r="F106" s="160" t="s">
        <v>8</v>
      </c>
      <c r="G106" s="161">
        <v>9</v>
      </c>
    </row>
    <row r="107" spans="1:7" ht="15.6">
      <c r="A107" s="52" t="s">
        <v>188</v>
      </c>
      <c r="B107" s="52" t="str">
        <f>'Ratings worksheet'!A107</f>
        <v>Nigeria</v>
      </c>
      <c r="C107" s="106">
        <f t="shared" si="2"/>
        <v>0.3</v>
      </c>
      <c r="D107">
        <f t="shared" si="3"/>
        <v>30</v>
      </c>
      <c r="F107" s="160" t="s">
        <v>18</v>
      </c>
      <c r="G107" s="161">
        <v>31</v>
      </c>
    </row>
    <row r="108" spans="1:7" ht="15.6">
      <c r="A108" s="52" t="s">
        <v>23</v>
      </c>
      <c r="B108" s="52" t="str">
        <f>'Ratings worksheet'!A108</f>
        <v>Norway</v>
      </c>
      <c r="C108" s="106">
        <f t="shared" si="2"/>
        <v>0.22</v>
      </c>
      <c r="D108">
        <f t="shared" si="3"/>
        <v>22</v>
      </c>
      <c r="F108" s="160" t="s">
        <v>226</v>
      </c>
      <c r="G108" s="161">
        <v>32</v>
      </c>
    </row>
    <row r="109" spans="1:7" ht="15.6">
      <c r="A109" s="52" t="s">
        <v>24</v>
      </c>
      <c r="B109" s="52" t="str">
        <f>'Ratings worksheet'!A109</f>
        <v>Oman</v>
      </c>
      <c r="C109" s="106">
        <f t="shared" si="2"/>
        <v>0.15</v>
      </c>
      <c r="D109">
        <f t="shared" si="3"/>
        <v>15</v>
      </c>
      <c r="F109" s="160" t="s">
        <v>335</v>
      </c>
      <c r="G109" s="161">
        <v>25</v>
      </c>
    </row>
    <row r="110" spans="1:7" ht="15.6">
      <c r="A110" s="52" t="s">
        <v>25</v>
      </c>
      <c r="B110" s="52" t="str">
        <f>'Ratings worksheet'!A110</f>
        <v>Pakistan</v>
      </c>
      <c r="C110" s="106">
        <f t="shared" si="2"/>
        <v>0.35</v>
      </c>
      <c r="D110">
        <f t="shared" si="3"/>
        <v>35</v>
      </c>
      <c r="F110" s="160" t="s">
        <v>136</v>
      </c>
      <c r="G110" s="161">
        <v>32</v>
      </c>
    </row>
    <row r="111" spans="1:7" ht="15.6">
      <c r="A111" s="52" t="s">
        <v>26</v>
      </c>
      <c r="B111" s="52" t="str">
        <f>'Ratings worksheet'!A111</f>
        <v>Panama</v>
      </c>
      <c r="C111" s="106">
        <f t="shared" si="2"/>
        <v>0.25</v>
      </c>
      <c r="D111">
        <f t="shared" si="3"/>
        <v>25</v>
      </c>
      <c r="F111" s="160" t="s">
        <v>187</v>
      </c>
      <c r="G111" s="161">
        <v>25</v>
      </c>
    </row>
    <row r="112" spans="1:7" ht="15.6">
      <c r="A112" s="52" t="s">
        <v>9</v>
      </c>
      <c r="B112" s="52" t="str">
        <f>'Ratings worksheet'!A112</f>
        <v>Papua New Guinea</v>
      </c>
      <c r="C112" s="106">
        <f t="shared" si="2"/>
        <v>0.3</v>
      </c>
      <c r="D112">
        <f t="shared" si="3"/>
        <v>30</v>
      </c>
      <c r="F112" s="160" t="s">
        <v>21</v>
      </c>
      <c r="G112" s="161">
        <v>28</v>
      </c>
    </row>
    <row r="113" spans="1:7" ht="15.6">
      <c r="A113" s="52" t="s">
        <v>27</v>
      </c>
      <c r="B113" s="52" t="str">
        <f>'Ratings worksheet'!A113</f>
        <v>Paraguay</v>
      </c>
      <c r="C113" s="106">
        <f t="shared" si="2"/>
        <v>0.1</v>
      </c>
      <c r="D113">
        <f t="shared" si="3"/>
        <v>10</v>
      </c>
      <c r="F113" s="160" t="s">
        <v>22</v>
      </c>
      <c r="G113" s="161">
        <v>30</v>
      </c>
    </row>
    <row r="114" spans="1:7" ht="15.6">
      <c r="A114" s="52" t="s">
        <v>28</v>
      </c>
      <c r="B114" s="52" t="str">
        <f>'Ratings worksheet'!A114</f>
        <v>Peru</v>
      </c>
      <c r="C114" s="106">
        <f t="shared" si="2"/>
        <v>0.29499999999999998</v>
      </c>
      <c r="D114">
        <f t="shared" si="3"/>
        <v>29.5</v>
      </c>
      <c r="F114" s="160" t="s">
        <v>188</v>
      </c>
      <c r="G114" s="161">
        <v>30</v>
      </c>
    </row>
    <row r="115" spans="1:7" ht="15.6">
      <c r="A115" s="52" t="s">
        <v>29</v>
      </c>
      <c r="B115" s="52" t="str">
        <f>'Ratings worksheet'!A115</f>
        <v>Philippines</v>
      </c>
      <c r="C115" s="106">
        <f t="shared" si="2"/>
        <v>0.3</v>
      </c>
      <c r="D115">
        <f t="shared" si="3"/>
        <v>30</v>
      </c>
      <c r="F115" s="160" t="s">
        <v>23</v>
      </c>
      <c r="G115" s="161">
        <v>22</v>
      </c>
    </row>
    <row r="116" spans="1:7" ht="15.6">
      <c r="A116" s="52" t="s">
        <v>30</v>
      </c>
      <c r="B116" s="52" t="str">
        <f>'Ratings worksheet'!A116</f>
        <v>Poland</v>
      </c>
      <c r="C116" s="106">
        <f t="shared" si="2"/>
        <v>0.19</v>
      </c>
      <c r="D116">
        <f t="shared" si="3"/>
        <v>19</v>
      </c>
      <c r="F116" s="160" t="s">
        <v>24</v>
      </c>
      <c r="G116" s="161">
        <v>15</v>
      </c>
    </row>
    <row r="117" spans="1:7" ht="15.6">
      <c r="A117" s="52" t="s">
        <v>189</v>
      </c>
      <c r="B117" s="52" t="str">
        <f>'Ratings worksheet'!A117</f>
        <v>Portugal</v>
      </c>
      <c r="C117" s="106">
        <f t="shared" si="2"/>
        <v>0.21</v>
      </c>
      <c r="D117">
        <f t="shared" si="3"/>
        <v>21</v>
      </c>
      <c r="F117" s="160" t="s">
        <v>25</v>
      </c>
      <c r="G117" s="161">
        <v>35</v>
      </c>
    </row>
    <row r="118" spans="1:7" ht="15.6">
      <c r="A118" s="52" t="s">
        <v>74</v>
      </c>
      <c r="B118" s="52" t="str">
        <f>'Ratings worksheet'!A118</f>
        <v>Qatar</v>
      </c>
      <c r="C118" s="106">
        <f t="shared" si="2"/>
        <v>0.1</v>
      </c>
      <c r="D118">
        <f t="shared" si="3"/>
        <v>10</v>
      </c>
      <c r="F118" s="160" t="s">
        <v>490</v>
      </c>
      <c r="G118" s="161">
        <v>15</v>
      </c>
    </row>
    <row r="119" spans="1:7" ht="15.6">
      <c r="A119" s="52" t="s">
        <v>291</v>
      </c>
      <c r="B119" s="52" t="str">
        <f>'Ratings worksheet'!A119</f>
        <v>Ras Al Khaimah (Emirate of)</v>
      </c>
      <c r="C119" s="106">
        <f t="shared" si="2"/>
        <v>0</v>
      </c>
      <c r="D119">
        <v>0</v>
      </c>
      <c r="F119" s="160" t="s">
        <v>26</v>
      </c>
      <c r="G119" s="161">
        <v>25</v>
      </c>
    </row>
    <row r="120" spans="1:7" ht="15.6">
      <c r="A120" s="52" t="s">
        <v>0</v>
      </c>
      <c r="B120" s="52" t="str">
        <f>'Ratings worksheet'!A120</f>
        <v>Romania</v>
      </c>
      <c r="C120" s="106">
        <f t="shared" si="2"/>
        <v>0.16</v>
      </c>
      <c r="D120">
        <f t="shared" si="3"/>
        <v>16</v>
      </c>
      <c r="F120" s="160" t="s">
        <v>9</v>
      </c>
      <c r="G120" s="161">
        <v>30</v>
      </c>
    </row>
    <row r="121" spans="1:7" ht="15.6">
      <c r="A121" s="52" t="s">
        <v>1</v>
      </c>
      <c r="B121" s="52" t="str">
        <f>'Ratings worksheet'!A121</f>
        <v>Russia</v>
      </c>
      <c r="C121" s="106">
        <f t="shared" si="2"/>
        <v>0.2</v>
      </c>
      <c r="D121">
        <f t="shared" si="3"/>
        <v>20</v>
      </c>
      <c r="F121" s="160" t="s">
        <v>27</v>
      </c>
      <c r="G121" s="161">
        <v>10</v>
      </c>
    </row>
    <row r="122" spans="1:7" ht="15.6">
      <c r="A122" s="52" t="s">
        <v>227</v>
      </c>
      <c r="B122" s="52" t="str">
        <f>'Ratings worksheet'!A122</f>
        <v>Rwanda</v>
      </c>
      <c r="C122" s="106">
        <f t="shared" si="2"/>
        <v>0.3</v>
      </c>
      <c r="D122">
        <f t="shared" si="3"/>
        <v>30</v>
      </c>
      <c r="F122" s="160" t="s">
        <v>28</v>
      </c>
      <c r="G122" s="161">
        <v>29.5</v>
      </c>
    </row>
    <row r="123" spans="1:7" ht="15.6">
      <c r="A123" s="52" t="s">
        <v>2</v>
      </c>
      <c r="B123" s="52" t="str">
        <f>'Ratings worksheet'!A123</f>
        <v>Saudi Arabia</v>
      </c>
      <c r="C123" s="106">
        <f t="shared" si="2"/>
        <v>0.2</v>
      </c>
      <c r="D123">
        <f t="shared" si="3"/>
        <v>20</v>
      </c>
      <c r="F123" s="160" t="s">
        <v>29</v>
      </c>
      <c r="G123" s="161">
        <v>30</v>
      </c>
    </row>
    <row r="124" spans="1:7" ht="15.6">
      <c r="A124" s="52" t="s">
        <v>135</v>
      </c>
      <c r="B124" s="52" t="str">
        <f>'Ratings worksheet'!A124</f>
        <v>Senegal</v>
      </c>
      <c r="C124" s="106">
        <f t="shared" si="2"/>
        <v>0.3</v>
      </c>
      <c r="D124">
        <f t="shared" si="3"/>
        <v>30</v>
      </c>
      <c r="F124" s="160" t="s">
        <v>30</v>
      </c>
      <c r="G124" s="161">
        <v>19</v>
      </c>
    </row>
    <row r="125" spans="1:7" ht="15.6">
      <c r="A125" s="52" t="s">
        <v>147</v>
      </c>
      <c r="B125" s="52" t="str">
        <f>'Ratings worksheet'!A125</f>
        <v>Serbia</v>
      </c>
      <c r="C125" s="106">
        <f t="shared" si="2"/>
        <v>0.15</v>
      </c>
      <c r="D125">
        <f t="shared" si="3"/>
        <v>15</v>
      </c>
      <c r="F125" s="160" t="s">
        <v>189</v>
      </c>
      <c r="G125" s="161">
        <v>21</v>
      </c>
    </row>
    <row r="126" spans="1:7" ht="15.6">
      <c r="A126" s="52" t="s">
        <v>285</v>
      </c>
      <c r="B126" s="52" t="str">
        <f>'Ratings worksheet'!A126</f>
        <v>Sharjah</v>
      </c>
      <c r="C126" s="106">
        <f t="shared" si="2"/>
        <v>0</v>
      </c>
      <c r="D126">
        <v>0</v>
      </c>
      <c r="F126" s="160" t="s">
        <v>74</v>
      </c>
      <c r="G126" s="161">
        <v>10</v>
      </c>
    </row>
    <row r="127" spans="1:7" ht="15.6">
      <c r="A127" s="52" t="s">
        <v>3</v>
      </c>
      <c r="B127" s="52" t="str">
        <f>'Ratings worksheet'!A127</f>
        <v>Singapore</v>
      </c>
      <c r="C127" s="106">
        <f t="shared" si="2"/>
        <v>0.17</v>
      </c>
      <c r="D127">
        <f t="shared" si="3"/>
        <v>17</v>
      </c>
      <c r="F127" s="160" t="s">
        <v>0</v>
      </c>
      <c r="G127" s="161">
        <v>16</v>
      </c>
    </row>
    <row r="128" spans="1:7" ht="15.6">
      <c r="A128" s="52" t="s">
        <v>61</v>
      </c>
      <c r="B128" s="52" t="str">
        <f>'Ratings worksheet'!A128</f>
        <v>Slovakia</v>
      </c>
      <c r="C128" s="106">
        <f t="shared" si="2"/>
        <v>0.21</v>
      </c>
      <c r="D128">
        <f t="shared" si="3"/>
        <v>21</v>
      </c>
      <c r="F128" s="160" t="s">
        <v>1</v>
      </c>
      <c r="G128" s="161">
        <v>20</v>
      </c>
    </row>
    <row r="129" spans="1:7" ht="15.6">
      <c r="A129" s="52" t="s">
        <v>190</v>
      </c>
      <c r="B129" s="52" t="s">
        <v>190</v>
      </c>
      <c r="C129" s="106">
        <f t="shared" si="2"/>
        <v>0.19</v>
      </c>
      <c r="D129">
        <f t="shared" si="3"/>
        <v>19</v>
      </c>
      <c r="F129" s="160" t="s">
        <v>227</v>
      </c>
      <c r="G129" s="161">
        <v>30</v>
      </c>
    </row>
    <row r="130" spans="1:7" ht="15.6">
      <c r="A130" s="52" t="s">
        <v>428</v>
      </c>
      <c r="B130" s="52" t="str">
        <f>'Ratings worksheet'!A130</f>
        <v>Solomon Islands</v>
      </c>
      <c r="C130" s="106">
        <f t="shared" si="2"/>
        <v>0.3</v>
      </c>
      <c r="D130">
        <f t="shared" si="3"/>
        <v>30</v>
      </c>
      <c r="F130" s="160" t="s">
        <v>491</v>
      </c>
      <c r="G130" s="161">
        <v>33</v>
      </c>
    </row>
    <row r="131" spans="1:7" ht="15.6">
      <c r="A131" s="52" t="s">
        <v>76</v>
      </c>
      <c r="B131" s="52" t="str">
        <f>'Ratings worksheet'!A131</f>
        <v>South Africa</v>
      </c>
      <c r="C131" s="106">
        <f t="shared" ref="C131:C158" si="4">D131/100</f>
        <v>0.28000000000000003</v>
      </c>
      <c r="D131">
        <f t="shared" ref="D131:D158" si="5">VLOOKUP(B131,$F$2:$G$173,2,FALSE)</f>
        <v>28</v>
      </c>
      <c r="F131" s="160" t="s">
        <v>492</v>
      </c>
      <c r="G131" s="161">
        <v>30</v>
      </c>
    </row>
    <row r="132" spans="1:7" ht="15.6">
      <c r="A132" s="52" t="s">
        <v>138</v>
      </c>
      <c r="B132" s="52" t="str">
        <f>'Ratings worksheet'!A132</f>
        <v>Spain</v>
      </c>
      <c r="C132" s="106">
        <f t="shared" si="4"/>
        <v>0.25</v>
      </c>
      <c r="D132">
        <f t="shared" si="5"/>
        <v>25</v>
      </c>
      <c r="F132" s="160" t="s">
        <v>493</v>
      </c>
      <c r="G132" s="161">
        <v>30</v>
      </c>
    </row>
    <row r="133" spans="1:7" ht="15.6">
      <c r="A133" s="52" t="s">
        <v>134</v>
      </c>
      <c r="B133" s="52" t="str">
        <f>'Ratings worksheet'!A133</f>
        <v>Sri Lanka</v>
      </c>
      <c r="C133" s="106">
        <f t="shared" si="4"/>
        <v>0.28000000000000003</v>
      </c>
      <c r="D133">
        <f t="shared" si="5"/>
        <v>28</v>
      </c>
      <c r="F133" s="160" t="s">
        <v>432</v>
      </c>
      <c r="G133" s="161">
        <v>27</v>
      </c>
    </row>
    <row r="134" spans="1:7" ht="15.6">
      <c r="A134" s="52" t="s">
        <v>191</v>
      </c>
      <c r="B134" s="52" t="str">
        <f>'Ratings worksheet'!A134</f>
        <v>St. Maarten</v>
      </c>
      <c r="C134" s="166">
        <f t="shared" si="4"/>
        <v>0.27360000000000001</v>
      </c>
      <c r="D134" s="40">
        <v>27.36</v>
      </c>
      <c r="F134" s="160" t="s">
        <v>2</v>
      </c>
      <c r="G134" s="161">
        <v>20</v>
      </c>
    </row>
    <row r="135" spans="1:7" ht="15.6">
      <c r="A135" s="52" t="s">
        <v>10</v>
      </c>
      <c r="B135" s="52" t="str">
        <f>'Ratings worksheet'!A135</f>
        <v>St. Vincent &amp; the Grenadines</v>
      </c>
      <c r="C135" s="166">
        <f t="shared" si="4"/>
        <v>0.27360000000000001</v>
      </c>
      <c r="D135" s="40">
        <v>27.36</v>
      </c>
      <c r="F135" s="160" t="s">
        <v>135</v>
      </c>
      <c r="G135" s="161">
        <v>30</v>
      </c>
    </row>
    <row r="136" spans="1:7" ht="15.6">
      <c r="A136" s="52" t="s">
        <v>33</v>
      </c>
      <c r="B136" s="52" t="s">
        <v>33</v>
      </c>
      <c r="C136" s="106">
        <f t="shared" si="4"/>
        <v>0.36</v>
      </c>
      <c r="D136">
        <f t="shared" si="5"/>
        <v>36</v>
      </c>
      <c r="F136" s="160" t="s">
        <v>147</v>
      </c>
      <c r="G136" s="161">
        <v>15</v>
      </c>
    </row>
    <row r="137" spans="1:7" ht="15.6">
      <c r="A137" s="52" t="s">
        <v>415</v>
      </c>
      <c r="B137" s="52" t="str">
        <f>'Ratings worksheet'!A137</f>
        <v>Swaziland</v>
      </c>
      <c r="C137" s="106">
        <f t="shared" si="4"/>
        <v>0.27500000000000002</v>
      </c>
      <c r="D137">
        <f t="shared" si="5"/>
        <v>27.5</v>
      </c>
      <c r="F137" s="160" t="s">
        <v>329</v>
      </c>
      <c r="G137" s="161">
        <v>30</v>
      </c>
    </row>
    <row r="138" spans="1:7" ht="15.6">
      <c r="A138" s="52" t="s">
        <v>34</v>
      </c>
      <c r="B138" s="52" t="str">
        <f>'Ratings worksheet'!A138</f>
        <v>Sweden</v>
      </c>
      <c r="C138" s="106">
        <f t="shared" si="4"/>
        <v>0.214</v>
      </c>
      <c r="D138">
        <f t="shared" si="5"/>
        <v>21.4</v>
      </c>
      <c r="F138" s="160" t="s">
        <v>3</v>
      </c>
      <c r="G138" s="161">
        <v>17</v>
      </c>
    </row>
    <row r="139" spans="1:7" ht="15.6">
      <c r="A139" s="52" t="s">
        <v>35</v>
      </c>
      <c r="B139" s="52" t="str">
        <f>'Ratings worksheet'!A139</f>
        <v>Switzerland</v>
      </c>
      <c r="C139" s="106">
        <f t="shared" si="4"/>
        <v>0.1484</v>
      </c>
      <c r="D139">
        <f t="shared" si="5"/>
        <v>14.84</v>
      </c>
      <c r="F139" s="160" t="s">
        <v>449</v>
      </c>
      <c r="G139" s="161">
        <v>35</v>
      </c>
    </row>
    <row r="140" spans="1:7" ht="15.6">
      <c r="A140" s="52" t="s">
        <v>64</v>
      </c>
      <c r="B140" s="52" t="s">
        <v>64</v>
      </c>
      <c r="C140" s="106">
        <f t="shared" si="4"/>
        <v>0.2</v>
      </c>
      <c r="D140">
        <f t="shared" si="5"/>
        <v>20</v>
      </c>
      <c r="F140" s="160" t="s">
        <v>61</v>
      </c>
      <c r="G140" s="161">
        <v>21</v>
      </c>
    </row>
    <row r="141" spans="1:7" ht="15.6">
      <c r="A141" s="167" t="s">
        <v>412</v>
      </c>
      <c r="B141" s="52" t="s">
        <v>412</v>
      </c>
      <c r="C141" s="166">
        <f t="shared" si="4"/>
        <v>0.19120000000000001</v>
      </c>
      <c r="D141" s="40">
        <v>19.12</v>
      </c>
      <c r="F141" s="160" t="s">
        <v>190</v>
      </c>
      <c r="G141" s="161">
        <v>19</v>
      </c>
    </row>
    <row r="142" spans="1:7" ht="15.6">
      <c r="A142" s="167" t="s">
        <v>332</v>
      </c>
      <c r="B142" s="52" t="str">
        <f>'Ratings worksheet'!A142</f>
        <v>Tanzania</v>
      </c>
      <c r="C142" s="106">
        <f t="shared" si="4"/>
        <v>0.3</v>
      </c>
      <c r="D142">
        <f t="shared" si="5"/>
        <v>30</v>
      </c>
      <c r="F142" s="160" t="s">
        <v>428</v>
      </c>
      <c r="G142" s="161">
        <v>30</v>
      </c>
    </row>
    <row r="143" spans="1:7" ht="15.6">
      <c r="A143" s="52" t="s">
        <v>65</v>
      </c>
      <c r="B143" s="52" t="str">
        <f>'Ratings worksheet'!A143</f>
        <v>Thailand</v>
      </c>
      <c r="C143" s="106">
        <f t="shared" si="4"/>
        <v>0.2</v>
      </c>
      <c r="D143">
        <f t="shared" si="5"/>
        <v>20</v>
      </c>
      <c r="F143" s="160" t="s">
        <v>76</v>
      </c>
      <c r="G143" s="161">
        <v>28</v>
      </c>
    </row>
    <row r="144" spans="1:7" ht="15.6">
      <c r="A144" s="158" t="s">
        <v>324</v>
      </c>
      <c r="B144" s="52" t="s">
        <v>324</v>
      </c>
      <c r="C144" s="166">
        <f t="shared" si="4"/>
        <v>0.28249999999999997</v>
      </c>
      <c r="D144" s="40">
        <v>28.25</v>
      </c>
      <c r="F144" s="160" t="s">
        <v>138</v>
      </c>
      <c r="G144" s="161">
        <v>25</v>
      </c>
    </row>
    <row r="145" spans="1:7" ht="15.6">
      <c r="A145" s="52" t="s">
        <v>11</v>
      </c>
      <c r="B145" s="52" t="str">
        <f>'Ratings worksheet'!A145</f>
        <v>Trinidad and Tobago</v>
      </c>
      <c r="C145" s="106">
        <f t="shared" si="4"/>
        <v>0.3</v>
      </c>
      <c r="D145">
        <f t="shared" si="5"/>
        <v>30</v>
      </c>
      <c r="F145" s="160" t="s">
        <v>134</v>
      </c>
      <c r="G145" s="161">
        <v>28</v>
      </c>
    </row>
    <row r="146" spans="1:7" ht="15.6">
      <c r="A146" s="52" t="s">
        <v>77</v>
      </c>
      <c r="B146" s="52" t="str">
        <f>'Ratings worksheet'!A146</f>
        <v>Tunisia</v>
      </c>
      <c r="C146" s="106">
        <f t="shared" si="4"/>
        <v>0.25</v>
      </c>
      <c r="D146">
        <f t="shared" si="5"/>
        <v>25</v>
      </c>
      <c r="F146" s="160" t="s">
        <v>450</v>
      </c>
      <c r="G146" s="161">
        <v>35</v>
      </c>
    </row>
    <row r="147" spans="1:7" ht="15.6">
      <c r="A147" s="52" t="s">
        <v>66</v>
      </c>
      <c r="B147" s="52" t="str">
        <f>'Ratings worksheet'!A147</f>
        <v>Turkey</v>
      </c>
      <c r="C147" s="106">
        <f t="shared" si="4"/>
        <v>0.22</v>
      </c>
      <c r="D147">
        <f t="shared" si="5"/>
        <v>22</v>
      </c>
      <c r="F147" s="160" t="s">
        <v>319</v>
      </c>
      <c r="G147" s="161">
        <v>35</v>
      </c>
    </row>
    <row r="148" spans="1:7" ht="15.6">
      <c r="A148" s="52" t="s">
        <v>292</v>
      </c>
      <c r="B148" s="52" t="str">
        <f>'Ratings worksheet'!A148</f>
        <v>Turks and Caicos Islands</v>
      </c>
      <c r="C148" s="106">
        <f t="shared" si="4"/>
        <v>0</v>
      </c>
      <c r="D148">
        <f t="shared" si="5"/>
        <v>0</v>
      </c>
      <c r="F148" s="160" t="s">
        <v>33</v>
      </c>
      <c r="G148" s="161">
        <v>36</v>
      </c>
    </row>
    <row r="149" spans="1:7" ht="15.6">
      <c r="A149" s="52" t="s">
        <v>228</v>
      </c>
      <c r="B149" s="52" t="str">
        <f>'Ratings worksheet'!A149</f>
        <v>Uganda</v>
      </c>
      <c r="C149" s="106">
        <f t="shared" si="4"/>
        <v>0.3</v>
      </c>
      <c r="D149">
        <f t="shared" si="5"/>
        <v>30</v>
      </c>
      <c r="F149" s="160" t="s">
        <v>415</v>
      </c>
      <c r="G149" s="161">
        <v>27.5</v>
      </c>
    </row>
    <row r="150" spans="1:7" ht="15.6">
      <c r="A150" s="52" t="s">
        <v>68</v>
      </c>
      <c r="B150" s="52" t="str">
        <f>'Ratings worksheet'!A150</f>
        <v>Ukraine</v>
      </c>
      <c r="C150" s="106">
        <f t="shared" si="4"/>
        <v>0.18</v>
      </c>
      <c r="D150">
        <f t="shared" si="5"/>
        <v>18</v>
      </c>
      <c r="F150" s="160" t="s">
        <v>34</v>
      </c>
      <c r="G150" s="161">
        <v>21.4</v>
      </c>
    </row>
    <row r="151" spans="1:7" ht="15.6">
      <c r="A151" s="52" t="s">
        <v>60</v>
      </c>
      <c r="B151" s="52" t="str">
        <f>'Ratings worksheet'!A151</f>
        <v>United Arab Emirates</v>
      </c>
      <c r="C151" s="106">
        <f t="shared" si="4"/>
        <v>0.55000000000000004</v>
      </c>
      <c r="D151">
        <f t="shared" si="5"/>
        <v>55</v>
      </c>
      <c r="F151" s="160" t="s">
        <v>35</v>
      </c>
      <c r="G151" s="161">
        <v>14.84</v>
      </c>
    </row>
    <row r="152" spans="1:7" ht="15.6">
      <c r="A152" s="52" t="s">
        <v>57</v>
      </c>
      <c r="B152" s="52" t="str">
        <f>'Ratings worksheet'!A152</f>
        <v>United Kingdom</v>
      </c>
      <c r="C152" s="106">
        <f t="shared" si="4"/>
        <v>0.19</v>
      </c>
      <c r="D152">
        <f t="shared" si="5"/>
        <v>19</v>
      </c>
      <c r="F152" s="160" t="s">
        <v>316</v>
      </c>
      <c r="G152" s="161">
        <v>28</v>
      </c>
    </row>
    <row r="153" spans="1:7" ht="15.6">
      <c r="A153" s="52" t="s">
        <v>356</v>
      </c>
      <c r="B153" s="52" t="str">
        <f>'Ratings worksheet'!A153</f>
        <v>United States</v>
      </c>
      <c r="C153" s="106">
        <f t="shared" si="4"/>
        <v>0.27</v>
      </c>
      <c r="D153">
        <f t="shared" si="5"/>
        <v>27</v>
      </c>
      <c r="F153" s="160" t="s">
        <v>64</v>
      </c>
      <c r="G153" s="161">
        <v>20</v>
      </c>
    </row>
    <row r="154" spans="1:7" ht="15.6">
      <c r="A154" s="52" t="s">
        <v>69</v>
      </c>
      <c r="B154" s="52" t="str">
        <f>'Ratings worksheet'!A154</f>
        <v>Uruguay</v>
      </c>
      <c r="C154" s="106">
        <f t="shared" si="4"/>
        <v>0.25</v>
      </c>
      <c r="D154">
        <f t="shared" si="5"/>
        <v>25</v>
      </c>
      <c r="F154" s="160" t="s">
        <v>332</v>
      </c>
      <c r="G154" s="161">
        <v>30</v>
      </c>
    </row>
    <row r="155" spans="1:7" ht="15.6">
      <c r="A155" s="182" t="s">
        <v>403</v>
      </c>
      <c r="B155" s="182" t="s">
        <v>403</v>
      </c>
      <c r="C155" s="106">
        <f t="shared" si="4"/>
        <v>7.4999999999999997E-2</v>
      </c>
      <c r="D155">
        <f t="shared" si="5"/>
        <v>7.5</v>
      </c>
      <c r="F155" s="160" t="s">
        <v>65</v>
      </c>
      <c r="G155" s="161">
        <v>20</v>
      </c>
    </row>
    <row r="156" spans="1:7" ht="15.6">
      <c r="A156" s="52" t="s">
        <v>70</v>
      </c>
      <c r="B156" s="52" t="str">
        <f>'Ratings worksheet'!A156</f>
        <v>Venezuela</v>
      </c>
      <c r="C156" s="106">
        <f t="shared" si="4"/>
        <v>0.34</v>
      </c>
      <c r="D156">
        <f t="shared" si="5"/>
        <v>34</v>
      </c>
      <c r="F156" s="160" t="s">
        <v>11</v>
      </c>
      <c r="G156" s="161">
        <v>30</v>
      </c>
    </row>
    <row r="157" spans="1:7" ht="15.6">
      <c r="A157" s="52" t="s">
        <v>71</v>
      </c>
      <c r="B157" s="52" t="s">
        <v>71</v>
      </c>
      <c r="C157" s="106">
        <f t="shared" si="4"/>
        <v>0.2</v>
      </c>
      <c r="D157">
        <f t="shared" si="5"/>
        <v>20</v>
      </c>
      <c r="F157" s="160" t="s">
        <v>77</v>
      </c>
      <c r="G157" s="161">
        <v>25</v>
      </c>
    </row>
    <row r="158" spans="1:7" ht="15.6">
      <c r="A158" s="52" t="s">
        <v>192</v>
      </c>
      <c r="B158" s="17" t="s">
        <v>192</v>
      </c>
      <c r="C158" s="106">
        <f t="shared" si="4"/>
        <v>0.35</v>
      </c>
      <c r="D158">
        <f t="shared" si="5"/>
        <v>35</v>
      </c>
      <c r="F158" s="160" t="s">
        <v>66</v>
      </c>
      <c r="G158" s="161">
        <v>22</v>
      </c>
    </row>
    <row r="159" spans="1:7" ht="15.6">
      <c r="F159" s="160" t="s">
        <v>67</v>
      </c>
      <c r="G159" s="161">
        <v>20</v>
      </c>
    </row>
    <row r="160" spans="1:7" ht="15.6">
      <c r="F160" s="160" t="s">
        <v>292</v>
      </c>
      <c r="G160" s="161">
        <v>0</v>
      </c>
    </row>
    <row r="161" spans="6:10" ht="15.6">
      <c r="F161" s="160" t="s">
        <v>228</v>
      </c>
      <c r="G161" s="161">
        <v>30</v>
      </c>
    </row>
    <row r="162" spans="6:10" ht="15.6">
      <c r="F162" s="160" t="s">
        <v>68</v>
      </c>
      <c r="G162" s="161">
        <v>18</v>
      </c>
    </row>
    <row r="163" spans="6:10" ht="15.6">
      <c r="F163" s="160" t="s">
        <v>60</v>
      </c>
      <c r="G163" s="161">
        <v>55</v>
      </c>
    </row>
    <row r="164" spans="6:10" ht="15.6">
      <c r="F164" s="160" t="s">
        <v>57</v>
      </c>
      <c r="G164" s="161">
        <v>19</v>
      </c>
    </row>
    <row r="165" spans="6:10" ht="15.6">
      <c r="F165" s="160" t="s">
        <v>356</v>
      </c>
      <c r="G165" s="161">
        <v>27</v>
      </c>
    </row>
    <row r="166" spans="6:10" ht="15.6">
      <c r="F166" s="160" t="s">
        <v>69</v>
      </c>
      <c r="G166" s="161">
        <v>25</v>
      </c>
    </row>
    <row r="167" spans="6:10" ht="15.6">
      <c r="F167" s="160" t="s">
        <v>403</v>
      </c>
      <c r="G167" s="161">
        <v>7.5</v>
      </c>
    </row>
    <row r="168" spans="6:10" ht="15.6">
      <c r="F168" s="160" t="s">
        <v>433</v>
      </c>
      <c r="G168" s="161">
        <v>0</v>
      </c>
    </row>
    <row r="169" spans="6:10" ht="15.6">
      <c r="F169" s="160" t="s">
        <v>70</v>
      </c>
      <c r="G169" s="161">
        <v>34</v>
      </c>
    </row>
    <row r="170" spans="6:10" ht="15.6">
      <c r="F170" s="160" t="s">
        <v>71</v>
      </c>
      <c r="G170" s="161">
        <v>20</v>
      </c>
    </row>
    <row r="171" spans="6:10" ht="15.6">
      <c r="F171" s="160" t="s">
        <v>451</v>
      </c>
      <c r="G171" s="161">
        <v>20</v>
      </c>
    </row>
    <row r="172" spans="6:10" ht="15.6">
      <c r="F172" s="160" t="s">
        <v>192</v>
      </c>
      <c r="G172" s="161">
        <v>35</v>
      </c>
    </row>
    <row r="173" spans="6:10" ht="15.6">
      <c r="F173" s="160" t="s">
        <v>320</v>
      </c>
      <c r="G173" s="161">
        <v>24</v>
      </c>
      <c r="J173" s="58"/>
    </row>
    <row r="174" spans="6:10">
      <c r="J174" s="58"/>
    </row>
    <row r="175" spans="6:10">
      <c r="J175" s="58"/>
    </row>
    <row r="176" spans="6:10">
      <c r="J176" s="58"/>
    </row>
    <row r="177" spans="10:10">
      <c r="J177" s="58"/>
    </row>
    <row r="178" spans="10:10">
      <c r="J178" s="58"/>
    </row>
    <row r="179" spans="10:10">
      <c r="J179" s="58"/>
    </row>
    <row r="180" spans="10:10">
      <c r="J180" s="58"/>
    </row>
    <row r="181" spans="10:10">
      <c r="J181" s="58"/>
    </row>
    <row r="182" spans="10:10">
      <c r="J182" s="58"/>
    </row>
    <row r="183" spans="10:10">
      <c r="J183" s="58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workbookViewId="0">
      <selection activeCell="C2" sqref="C2"/>
    </sheetView>
  </sheetViews>
  <sheetFormatPr defaultColWidth="11" defaultRowHeight="15.6"/>
  <cols>
    <col min="1" max="1" width="26.875" style="97" bestFit="1" customWidth="1"/>
    <col min="2" max="2" width="14.375" style="152" customWidth="1"/>
    <col min="3" max="4" width="22.125" style="23" customWidth="1"/>
    <col min="5" max="6" width="20.875" style="31" customWidth="1"/>
    <col min="7" max="7" width="20.875" style="54" customWidth="1"/>
    <col min="10" max="10" width="18.5" customWidth="1"/>
    <col min="22" max="22" width="22.625" customWidth="1"/>
  </cols>
  <sheetData>
    <row r="1" spans="1:15" s="2" customFormat="1" ht="16.05" customHeight="1">
      <c r="A1" s="109" t="s">
        <v>75</v>
      </c>
      <c r="B1" s="149" t="s">
        <v>349</v>
      </c>
      <c r="C1" s="109" t="s">
        <v>140</v>
      </c>
      <c r="D1" s="109" t="s">
        <v>139</v>
      </c>
      <c r="E1" s="168" t="s">
        <v>350</v>
      </c>
      <c r="F1" s="168" t="s">
        <v>357</v>
      </c>
      <c r="G1" s="168" t="s">
        <v>393</v>
      </c>
      <c r="H1" s="169"/>
      <c r="I1" s="269" t="s">
        <v>349</v>
      </c>
      <c r="J1" s="269"/>
      <c r="K1" s="170"/>
      <c r="N1" s="270" t="s">
        <v>75</v>
      </c>
      <c r="O1" s="273" t="s">
        <v>544</v>
      </c>
    </row>
    <row r="2" spans="1:15">
      <c r="A2" s="52" t="str">
        <f>'ERPs by country'!A8</f>
        <v>Abu Dhabi</v>
      </c>
      <c r="B2" s="150" t="e">
        <f>VLOOKUP(A2,$N$4:$O$143,2,FALSE)</f>
        <v>#N/A</v>
      </c>
      <c r="C2" s="110">
        <f>'ERPs by country'!E8</f>
        <v>5.2005502866361637E-2</v>
      </c>
      <c r="D2" s="27">
        <f>'ERPs by country'!D8</f>
        <v>4.3848898169671765E-3</v>
      </c>
      <c r="E2" s="27">
        <f>C2</f>
        <v>5.2005502866361637E-2</v>
      </c>
      <c r="F2" s="65">
        <f>'Country Tax Rates'!C2</f>
        <v>0.55000000000000004</v>
      </c>
      <c r="G2" s="65">
        <f>E2-'ERPs by country'!$E$3</f>
        <v>4.8055028663616384E-3</v>
      </c>
      <c r="I2" s="17" t="s">
        <v>347</v>
      </c>
      <c r="J2" s="17" t="s">
        <v>348</v>
      </c>
      <c r="K2" s="17" t="s">
        <v>312</v>
      </c>
      <c r="L2" s="115" t="s">
        <v>393</v>
      </c>
      <c r="N2" s="271"/>
      <c r="O2" s="274"/>
    </row>
    <row r="3" spans="1:15" ht="16.05" customHeight="1">
      <c r="A3" s="52" t="str">
        <f>'ERPs by country'!A9</f>
        <v>Albania</v>
      </c>
      <c r="B3" s="150">
        <f t="shared" ref="B3:B66" si="0">VLOOKUP(A3,$N$4:$O$143,2,FALSE)</f>
        <v>62.5</v>
      </c>
      <c r="C3" s="110">
        <f>'ERPs by country'!E9</f>
        <v>9.0799016914808295E-2</v>
      </c>
      <c r="D3" s="27">
        <f>'ERPs by country'!D9</f>
        <v>3.9782909430302202E-2</v>
      </c>
      <c r="E3" s="27">
        <f t="shared" ref="E3:E66" si="1">C3</f>
        <v>9.0799016914808295E-2</v>
      </c>
      <c r="F3" s="65">
        <f>'Country Tax Rates'!C3</f>
        <v>0.15</v>
      </c>
      <c r="G3" s="65">
        <f>E3-'ERPs by country'!$E$3</f>
        <v>4.3599016914808296E-2</v>
      </c>
      <c r="H3" s="83"/>
      <c r="I3" s="17">
        <v>0</v>
      </c>
      <c r="J3" s="111">
        <v>50</v>
      </c>
      <c r="K3" s="106">
        <f>$K$18+L3*'Relative Equity Volatility'!$B$4</f>
        <v>0.23898657542527282</v>
      </c>
      <c r="L3" s="53">
        <f>J41</f>
        <v>0.17499999999999999</v>
      </c>
      <c r="M3" t="s">
        <v>466</v>
      </c>
      <c r="N3" s="272"/>
      <c r="O3" s="275"/>
    </row>
    <row r="4" spans="1:15">
      <c r="A4" s="52" t="str">
        <f>'ERPs by country'!A10</f>
        <v>Andorra (Principality of)</v>
      </c>
      <c r="B4" s="150" t="e">
        <f t="shared" si="0"/>
        <v>#N/A</v>
      </c>
      <c r="C4" s="110">
        <f>'ERPs by country'!E10</f>
        <v>0.1198067796717549</v>
      </c>
      <c r="D4" s="27">
        <f>'ERPs by country'!D10</f>
        <v>6.6251698870904069E-2</v>
      </c>
      <c r="E4" s="27">
        <f t="shared" si="1"/>
        <v>0.1198067796717549</v>
      </c>
      <c r="F4" s="65">
        <f>'Country Tax Rates'!C4</f>
        <v>0.1</v>
      </c>
      <c r="G4" s="65">
        <f>E4-'ERPs by country'!$E$3</f>
        <v>7.2606779671754912E-2</v>
      </c>
      <c r="H4" s="83"/>
      <c r="I4" s="111">
        <v>50.000999999999998</v>
      </c>
      <c r="J4" s="111">
        <v>55</v>
      </c>
      <c r="K4" s="106">
        <f>$K$18+L4*'Relative Equity Volatility'!$B$4</f>
        <v>0.16340579658656318</v>
      </c>
      <c r="L4" s="53">
        <f>J40</f>
        <v>0.10603460830120626</v>
      </c>
      <c r="M4" s="26" t="s">
        <v>465</v>
      </c>
      <c r="N4" s="184" t="s">
        <v>4</v>
      </c>
      <c r="O4" s="83">
        <v>62.5</v>
      </c>
    </row>
    <row r="5" spans="1:15">
      <c r="A5" s="52" t="str">
        <f>'ERPs by country'!A11</f>
        <v>Angola</v>
      </c>
      <c r="B5" s="150">
        <f t="shared" si="0"/>
        <v>53.25</v>
      </c>
      <c r="C5" s="110">
        <f>'ERPs by country'!E11</f>
        <v>0.1198067796717549</v>
      </c>
      <c r="D5" s="27">
        <f>'ERPs by country'!D11</f>
        <v>6.6251698870904069E-2</v>
      </c>
      <c r="E5" s="27">
        <f t="shared" si="1"/>
        <v>0.1198067796717549</v>
      </c>
      <c r="F5" s="65">
        <f>'Country Tax Rates'!C5</f>
        <v>0.3</v>
      </c>
      <c r="G5" s="65">
        <f>E5-'ERPs by country'!$E$3</f>
        <v>7.2606779671754912E-2</v>
      </c>
      <c r="H5" s="83"/>
      <c r="I5" s="111">
        <v>55.000999999999998</v>
      </c>
      <c r="J5" s="111">
        <v>57</v>
      </c>
      <c r="K5" s="106">
        <f>$K$18+L5*'Relative Equity Volatility'!$B$4</f>
        <v>0.14400903956233987</v>
      </c>
      <c r="L5" s="53">
        <f>J39</f>
        <v>8.8335598494538758E-2</v>
      </c>
      <c r="M5" t="s">
        <v>62</v>
      </c>
      <c r="N5" s="184" t="s">
        <v>337</v>
      </c>
      <c r="O5" s="83">
        <v>57.25</v>
      </c>
    </row>
    <row r="6" spans="1:15">
      <c r="A6" s="52" t="str">
        <f>'ERPs by country'!A12</f>
        <v>Argentina</v>
      </c>
      <c r="B6" s="150">
        <f t="shared" si="0"/>
        <v>60.25</v>
      </c>
      <c r="C6" s="110">
        <f>'ERPs by country'!E12</f>
        <v>0.16340579658656318</v>
      </c>
      <c r="D6" s="27">
        <f>'ERPs by country'!D12</f>
        <v>0.10603460830120626</v>
      </c>
      <c r="E6" s="27">
        <f t="shared" si="1"/>
        <v>0.16340579658656318</v>
      </c>
      <c r="F6" s="65">
        <f>'Country Tax Rates'!C6</f>
        <v>0.3</v>
      </c>
      <c r="G6" s="65">
        <f>E6-'ERPs by country'!$E$3</f>
        <v>0.11620579658656319</v>
      </c>
      <c r="H6" s="83"/>
      <c r="I6" s="111">
        <v>57.000999999999998</v>
      </c>
      <c r="J6" s="111">
        <v>60</v>
      </c>
      <c r="K6" s="106">
        <f>$K$18+L6*'Relative Equity Volatility'!$B$4</f>
        <v>0.1343980338296166</v>
      </c>
      <c r="L6" s="53">
        <f>J38</f>
        <v>7.9565818860604404E-2</v>
      </c>
      <c r="M6" t="s">
        <v>58</v>
      </c>
      <c r="N6" s="184" t="s">
        <v>131</v>
      </c>
      <c r="O6" s="83">
        <v>53.25</v>
      </c>
    </row>
    <row r="7" spans="1:15">
      <c r="A7" s="52" t="str">
        <f>'ERPs by country'!A13</f>
        <v>Armenia</v>
      </c>
      <c r="B7" s="150">
        <f t="shared" si="0"/>
        <v>62.25</v>
      </c>
      <c r="C7" s="110">
        <f>'ERPs by country'!E13</f>
        <v>8.2061738975968967E-2</v>
      </c>
      <c r="D7" s="27">
        <f>'ERPs by country'!D13</f>
        <v>3.1810382490361881E-2</v>
      </c>
      <c r="E7" s="27">
        <f t="shared" si="1"/>
        <v>8.2061738975968967E-2</v>
      </c>
      <c r="F7" s="65">
        <f>'Country Tax Rates'!C7</f>
        <v>0.18</v>
      </c>
      <c r="G7" s="65">
        <f>E7-'ERPs by country'!$E$3</f>
        <v>3.4861738975968969E-2</v>
      </c>
      <c r="H7" s="83"/>
      <c r="I7" s="111">
        <v>60.000999999999998</v>
      </c>
      <c r="J7" s="111">
        <v>62</v>
      </c>
      <c r="K7" s="106">
        <f>$K$18+L7*'Relative Equity Volatility'!$B$4</f>
        <v>0.1198067796717549</v>
      </c>
      <c r="L7" s="53">
        <f>J37</f>
        <v>6.6251698870904069E-2</v>
      </c>
      <c r="M7" t="s">
        <v>100</v>
      </c>
      <c r="N7" s="184" t="s">
        <v>84</v>
      </c>
      <c r="O7" s="83">
        <v>60.25</v>
      </c>
    </row>
    <row r="8" spans="1:15">
      <c r="A8" s="52" t="str">
        <f>'ERPs by country'!A14</f>
        <v>Aruba</v>
      </c>
      <c r="B8" s="150" t="e">
        <f t="shared" si="0"/>
        <v>#N/A</v>
      </c>
      <c r="C8" s="110">
        <f>'ERPs by country'!E14</f>
        <v>6.2664981951745621E-2</v>
      </c>
      <c r="D8" s="27">
        <f>'ERPs by country'!D14</f>
        <v>1.4111372683694367E-2</v>
      </c>
      <c r="E8" s="27">
        <f t="shared" si="1"/>
        <v>6.2664981951745621E-2</v>
      </c>
      <c r="F8" s="65">
        <f>'Country Tax Rates'!C8</f>
        <v>0.25</v>
      </c>
      <c r="G8" s="65">
        <f>E8-'ERPs by country'!$E$3</f>
        <v>1.5464981951745622E-2</v>
      </c>
      <c r="H8" s="83"/>
      <c r="I8" s="111">
        <v>62.000999999999998</v>
      </c>
      <c r="J8" s="111">
        <v>64</v>
      </c>
      <c r="K8" s="106">
        <f>$K$18+L8*'Relative Equity Volatility'!$B$4</f>
        <v>0.1101957739390316</v>
      </c>
      <c r="L8" s="53">
        <f>J36</f>
        <v>5.74819192369697E-2</v>
      </c>
      <c r="M8" t="s">
        <v>78</v>
      </c>
      <c r="N8" s="184" t="s">
        <v>19</v>
      </c>
      <c r="O8" s="83">
        <v>62.25</v>
      </c>
    </row>
    <row r="9" spans="1:15">
      <c r="A9" s="52" t="str">
        <f>'ERPs by country'!A15</f>
        <v>Australia</v>
      </c>
      <c r="B9" s="150">
        <f t="shared" si="0"/>
        <v>75.25</v>
      </c>
      <c r="C9" s="110">
        <f>'ERPs by country'!E15</f>
        <v>4.7199999999999999E-2</v>
      </c>
      <c r="D9" s="27">
        <f>'ERPs by country'!D15</f>
        <v>0</v>
      </c>
      <c r="E9" s="27">
        <f t="shared" si="1"/>
        <v>4.7199999999999999E-2</v>
      </c>
      <c r="F9" s="65">
        <f>'Country Tax Rates'!C9</f>
        <v>0.3</v>
      </c>
      <c r="G9" s="65">
        <f>E9-'ERPs by country'!$E$3</f>
        <v>0</v>
      </c>
      <c r="H9" s="83"/>
      <c r="I9" s="111">
        <v>64.001000000000005</v>
      </c>
      <c r="J9" s="111">
        <v>66</v>
      </c>
      <c r="K9" s="106">
        <f>$K$18+L9*'Relative Equity Volatility'!$B$4</f>
        <v>0.10049739542691996</v>
      </c>
      <c r="L9" s="53">
        <f>J35</f>
        <v>4.8632414333635951E-2</v>
      </c>
      <c r="M9" t="s">
        <v>49</v>
      </c>
      <c r="N9" s="184" t="s">
        <v>85</v>
      </c>
      <c r="O9" s="83">
        <v>75.25</v>
      </c>
    </row>
    <row r="10" spans="1:15">
      <c r="A10" s="52" t="str">
        <f>'ERPs by country'!A16</f>
        <v>Austria</v>
      </c>
      <c r="B10" s="150">
        <f t="shared" si="0"/>
        <v>75</v>
      </c>
      <c r="C10" s="110">
        <f>'ERPs by country'!E16</f>
        <v>5.1044402293089305E-2</v>
      </c>
      <c r="D10" s="27">
        <f>'ERPs by country'!D16</f>
        <v>3.5079118535737406E-3</v>
      </c>
      <c r="E10" s="27">
        <f t="shared" si="1"/>
        <v>5.1044402293089305E-2</v>
      </c>
      <c r="F10" s="65">
        <f>'Country Tax Rates'!C10</f>
        <v>0.25</v>
      </c>
      <c r="G10" s="65">
        <f>E10-'ERPs by country'!$E$3</f>
        <v>3.8444022930893065E-3</v>
      </c>
      <c r="H10" s="83"/>
      <c r="I10" s="111">
        <v>66.001000000000005</v>
      </c>
      <c r="J10" s="111">
        <v>68</v>
      </c>
      <c r="K10" s="106">
        <f>$K$18+L10*'Relative Equity Volatility'!$B$4</f>
        <v>9.0799016914808295E-2</v>
      </c>
      <c r="L10" s="53">
        <f>J34</f>
        <v>3.9782909430302202E-2</v>
      </c>
      <c r="M10" t="s">
        <v>48</v>
      </c>
      <c r="N10" s="184" t="s">
        <v>176</v>
      </c>
      <c r="O10" s="83">
        <v>75</v>
      </c>
    </row>
    <row r="11" spans="1:15">
      <c r="A11" s="52" t="str">
        <f>'ERPs by country'!A17</f>
        <v>Azerbaijan</v>
      </c>
      <c r="B11" s="150">
        <f t="shared" si="0"/>
        <v>64.75</v>
      </c>
      <c r="C11" s="110">
        <f>'ERPs by country'!E17</f>
        <v>7.629513553633499E-2</v>
      </c>
      <c r="D11" s="27">
        <f>'ERPs by country'!D17</f>
        <v>2.6548514710001261E-2</v>
      </c>
      <c r="E11" s="27">
        <f t="shared" si="1"/>
        <v>7.629513553633499E-2</v>
      </c>
      <c r="F11" s="65">
        <f>'Country Tax Rates'!C11</f>
        <v>0.2</v>
      </c>
      <c r="G11" s="65">
        <f>E11-'ERPs by country'!$E$3</f>
        <v>2.9095135536334991E-2</v>
      </c>
      <c r="H11" s="83"/>
      <c r="I11" s="111">
        <v>68.001000000000005</v>
      </c>
      <c r="J11" s="111">
        <v>69</v>
      </c>
      <c r="K11" s="106">
        <f>$K$18+L11*'Relative Equity Volatility'!$B$4</f>
        <v>8.2061738975968967E-2</v>
      </c>
      <c r="L11" s="53">
        <f>J33</f>
        <v>3.1810382490361881E-2</v>
      </c>
      <c r="M11" t="s">
        <v>81</v>
      </c>
      <c r="N11" s="184" t="s">
        <v>20</v>
      </c>
      <c r="O11" s="83">
        <v>64.75</v>
      </c>
    </row>
    <row r="12" spans="1:15">
      <c r="A12" s="52" t="str">
        <f>'ERPs by country'!A18</f>
        <v>Bahamas</v>
      </c>
      <c r="B12" s="150">
        <f t="shared" si="0"/>
        <v>70.75</v>
      </c>
      <c r="C12" s="110">
        <f>'ERPs by country'!E18</f>
        <v>7.629513553633499E-2</v>
      </c>
      <c r="D12" s="27">
        <f>'ERPs by country'!D18</f>
        <v>2.6548514710001261E-2</v>
      </c>
      <c r="E12" s="27">
        <f t="shared" si="1"/>
        <v>7.629513553633499E-2</v>
      </c>
      <c r="F12" s="65">
        <f>'Country Tax Rates'!C12</f>
        <v>0</v>
      </c>
      <c r="G12" s="65">
        <f>E12-'ERPs by country'!$E$3</f>
        <v>2.9095135536334991E-2</v>
      </c>
      <c r="H12" s="83"/>
      <c r="I12" s="111">
        <v>69.001000000000005</v>
      </c>
      <c r="J12" s="111">
        <v>72</v>
      </c>
      <c r="K12" s="106">
        <f>$K$18+L12*'Relative Equity Volatility'!$B$4</f>
        <v>7.629513553633499E-2</v>
      </c>
      <c r="L12" s="53">
        <f>J32</f>
        <v>2.6548514710001261E-2</v>
      </c>
      <c r="M12" t="s">
        <v>80</v>
      </c>
      <c r="N12" s="184" t="s">
        <v>86</v>
      </c>
      <c r="O12" s="83">
        <v>70.75</v>
      </c>
    </row>
    <row r="13" spans="1:15">
      <c r="A13" s="52" t="str">
        <f>'ERPs by country'!A19</f>
        <v>Bahrain</v>
      </c>
      <c r="B13" s="150">
        <f t="shared" si="0"/>
        <v>62.75</v>
      </c>
      <c r="C13" s="110">
        <f>'ERPs by country'!E19</f>
        <v>0.10049739542691996</v>
      </c>
      <c r="D13" s="27">
        <f>'ERPs by country'!D19</f>
        <v>4.8632414333635951E-2</v>
      </c>
      <c r="E13" s="27">
        <f t="shared" si="1"/>
        <v>0.10049739542691996</v>
      </c>
      <c r="F13" s="65">
        <f>'Country Tax Rates'!C13</f>
        <v>0</v>
      </c>
      <c r="G13" s="65">
        <f>E13-'ERPs by country'!$E$3</f>
        <v>5.3297395426919962E-2</v>
      </c>
      <c r="H13" s="83"/>
      <c r="I13" s="111">
        <v>72.001000000000005</v>
      </c>
      <c r="J13" s="111">
        <v>74</v>
      </c>
      <c r="K13" s="106">
        <f>$K$18+L13*'Relative Equity Volatility'!$B$4</f>
        <v>6.5635656450950999E-2</v>
      </c>
      <c r="L13" s="53">
        <f>J29</f>
        <v>1.6822031843274077E-2</v>
      </c>
      <c r="M13" t="s">
        <v>83</v>
      </c>
      <c r="N13" s="184" t="s">
        <v>87</v>
      </c>
      <c r="O13" s="83">
        <v>62.75</v>
      </c>
    </row>
    <row r="14" spans="1:15">
      <c r="A14" s="52" t="str">
        <f>'ERPs by country'!A20</f>
        <v>Bangladesh</v>
      </c>
      <c r="B14" s="150">
        <f t="shared" si="0"/>
        <v>66.75</v>
      </c>
      <c r="C14" s="110">
        <f>'ERPs by country'!E20</f>
        <v>8.2061738975968967E-2</v>
      </c>
      <c r="D14" s="27">
        <f>'ERPs by country'!D20</f>
        <v>3.1810382490361881E-2</v>
      </c>
      <c r="E14" s="27">
        <f t="shared" si="1"/>
        <v>8.2061738975968967E-2</v>
      </c>
      <c r="F14" s="65">
        <f>'Country Tax Rates'!C14</f>
        <v>0.25</v>
      </c>
      <c r="G14" s="65">
        <f>E14-'ERPs by country'!$E$3</f>
        <v>3.4861738975968969E-2</v>
      </c>
      <c r="H14" s="83"/>
      <c r="I14" s="111">
        <v>74.001000000000005</v>
      </c>
      <c r="J14" s="111">
        <v>76</v>
      </c>
      <c r="K14" s="106">
        <f>$K$18+L14*'Relative Equity Volatility'!$B$4</f>
        <v>6.2664981951745621E-2</v>
      </c>
      <c r="L14" s="53">
        <f>J28</f>
        <v>1.4111372683694367E-2</v>
      </c>
      <c r="M14" t="s">
        <v>82</v>
      </c>
      <c r="N14" s="184" t="s">
        <v>132</v>
      </c>
      <c r="O14" s="83">
        <v>66.75</v>
      </c>
    </row>
    <row r="15" spans="1:15">
      <c r="A15" s="52" t="str">
        <f>'ERPs by country'!A21</f>
        <v>Barbados</v>
      </c>
      <c r="B15" s="150" t="e">
        <f t="shared" si="0"/>
        <v>#N/A</v>
      </c>
      <c r="C15" s="110">
        <f>'ERPs by country'!E21</f>
        <v>0.1198067796717549</v>
      </c>
      <c r="D15" s="27">
        <f>'ERPs by country'!D21</f>
        <v>6.6251698870904069E-2</v>
      </c>
      <c r="E15" s="27">
        <f t="shared" si="1"/>
        <v>0.1198067796717549</v>
      </c>
      <c r="F15" s="65">
        <f>'Country Tax Rates'!C15</f>
        <v>5.5E-2</v>
      </c>
      <c r="G15" s="65">
        <f>E15-'ERPs by country'!$E$3</f>
        <v>7.2606779671754912E-2</v>
      </c>
      <c r="H15" s="83"/>
      <c r="I15" s="111">
        <v>76.001000000000005</v>
      </c>
      <c r="J15" s="111">
        <v>80</v>
      </c>
      <c r="K15" s="106">
        <f>$K$18+L15*'Relative Equity Volatility'!$B$4</f>
        <v>5.5413041262508976E-2</v>
      </c>
      <c r="L15" s="53">
        <f>J26</f>
        <v>7.4941753235439005E-3</v>
      </c>
      <c r="M15" t="s">
        <v>42</v>
      </c>
      <c r="N15" s="184" t="s">
        <v>5</v>
      </c>
      <c r="O15" s="83">
        <v>59.25</v>
      </c>
    </row>
    <row r="16" spans="1:15">
      <c r="A16" s="52" t="str">
        <f>'ERPs by country'!A22</f>
        <v>Belarus</v>
      </c>
      <c r="B16" s="150">
        <f t="shared" si="0"/>
        <v>59.25</v>
      </c>
      <c r="C16" s="110">
        <f>'ERPs by country'!E22</f>
        <v>0.1101957739390316</v>
      </c>
      <c r="D16" s="27">
        <f>'ERPs by country'!D22</f>
        <v>5.74819192369697E-2</v>
      </c>
      <c r="E16" s="27">
        <f t="shared" si="1"/>
        <v>0.1101957739390316</v>
      </c>
      <c r="F16" s="65">
        <f>'Country Tax Rates'!C16</f>
        <v>0.18</v>
      </c>
      <c r="G16" s="65">
        <f>E16-'ERPs by country'!$E$3</f>
        <v>6.2995773939031607E-2</v>
      </c>
      <c r="H16" s="83"/>
      <c r="I16" s="111">
        <v>80.001000000000005</v>
      </c>
      <c r="J16" s="111">
        <v>82.5</v>
      </c>
      <c r="K16" s="106">
        <f>$K$18+L16*'Relative Equity Volatility'!$B$4</f>
        <v>5.3053976219022358E-2</v>
      </c>
      <c r="L16" s="53">
        <f>J24</f>
        <v>5.3415930497600151E-3</v>
      </c>
      <c r="M16" t="s">
        <v>46</v>
      </c>
      <c r="N16" s="184" t="s">
        <v>177</v>
      </c>
      <c r="O16" s="83">
        <v>71.5</v>
      </c>
    </row>
    <row r="17" spans="1:15">
      <c r="A17" s="52" t="str">
        <f>'ERPs by country'!A23</f>
        <v>Belgium</v>
      </c>
      <c r="B17" s="150">
        <f t="shared" si="0"/>
        <v>71.5</v>
      </c>
      <c r="C17" s="110">
        <f>'ERPs by country'!E23</f>
        <v>5.3053976219022358E-2</v>
      </c>
      <c r="D17" s="27">
        <f>'ERPs by country'!D23</f>
        <v>5.3415930497600151E-3</v>
      </c>
      <c r="E17" s="27">
        <f t="shared" si="1"/>
        <v>5.3053976219022358E-2</v>
      </c>
      <c r="F17" s="65">
        <f>'Country Tax Rates'!C17</f>
        <v>0.28999999999999998</v>
      </c>
      <c r="G17" s="65">
        <f>E17-'ERPs by country'!$E$3</f>
        <v>5.8539762190223596E-3</v>
      </c>
      <c r="H17" s="83"/>
      <c r="I17" s="111">
        <v>82.501000000000005</v>
      </c>
      <c r="J17" s="111">
        <v>85</v>
      </c>
      <c r="K17" s="106">
        <f>$K$18+L17*'Relative Equity Volatility'!$B$4</f>
        <v>5.1044402293089305E-2</v>
      </c>
      <c r="L17" s="53">
        <f>J22</f>
        <v>3.5079118535737406E-3</v>
      </c>
      <c r="M17" t="s">
        <v>44</v>
      </c>
      <c r="N17" s="184" t="s">
        <v>91</v>
      </c>
      <c r="O17" s="83">
        <v>62.5</v>
      </c>
    </row>
    <row r="18" spans="1:15">
      <c r="A18" s="52" t="str">
        <f>'ERPs by country'!A24</f>
        <v>Belize</v>
      </c>
      <c r="B18" s="150" t="e">
        <f t="shared" si="0"/>
        <v>#N/A</v>
      </c>
      <c r="C18" s="110">
        <f>'ERPs by country'!E24</f>
        <v>0.14400903956233987</v>
      </c>
      <c r="D18" s="27">
        <f>'ERPs by country'!D24</f>
        <v>8.8335598494538758E-2</v>
      </c>
      <c r="E18" s="27">
        <f t="shared" si="1"/>
        <v>0.14400903956233987</v>
      </c>
      <c r="F18" s="65">
        <f>'Country Tax Rates'!C18</f>
        <v>0.28249999999999997</v>
      </c>
      <c r="G18" s="65">
        <f>E18-'ERPs by country'!$E$3</f>
        <v>9.6809039562339883E-2</v>
      </c>
      <c r="H18" s="83"/>
      <c r="I18" s="111">
        <v>85.001000000000005</v>
      </c>
      <c r="J18" s="111">
        <v>90.000100000000003</v>
      </c>
      <c r="K18" s="106">
        <f>'ERPs by country'!E3</f>
        <v>4.7199999999999999E-2</v>
      </c>
      <c r="L18" s="53">
        <f>J21</f>
        <v>0</v>
      </c>
      <c r="M18" t="s">
        <v>47</v>
      </c>
      <c r="N18" s="184" t="s">
        <v>123</v>
      </c>
      <c r="O18" s="83">
        <v>72.25</v>
      </c>
    </row>
    <row r="19" spans="1:15">
      <c r="A19" s="52" t="str">
        <f>'ERPs by country'!A25</f>
        <v>Benin</v>
      </c>
      <c r="B19" s="150" t="e">
        <f t="shared" si="0"/>
        <v>#N/A</v>
      </c>
      <c r="C19" s="110">
        <f>'ERPs by country'!E25</f>
        <v>0.10049739542691996</v>
      </c>
      <c r="D19" s="27">
        <f>'ERPs by country'!D25</f>
        <v>4.8632414333635951E-2</v>
      </c>
      <c r="E19" s="27">
        <f t="shared" si="1"/>
        <v>0.10049739542691996</v>
      </c>
      <c r="F19" s="65">
        <f>'Country Tax Rates'!C19</f>
        <v>0.3</v>
      </c>
      <c r="G19" s="65">
        <f>E19-'ERPs by country'!$E$3</f>
        <v>5.3297395426919962E-2</v>
      </c>
      <c r="H19" s="83"/>
      <c r="N19" s="184" t="s">
        <v>92</v>
      </c>
      <c r="O19" s="83">
        <v>62.5</v>
      </c>
    </row>
    <row r="20" spans="1:15">
      <c r="A20" s="52" t="str">
        <f>'ERPs by country'!A26</f>
        <v>Bermuda</v>
      </c>
      <c r="B20" s="150" t="e">
        <f t="shared" si="0"/>
        <v>#N/A</v>
      </c>
      <c r="C20" s="110">
        <f>'ERPs by country'!E26</f>
        <v>5.5413041262508976E-2</v>
      </c>
      <c r="D20" s="27">
        <f>'ERPs by country'!D26</f>
        <v>7.4941753235439005E-3</v>
      </c>
      <c r="E20" s="27">
        <f t="shared" si="1"/>
        <v>5.5413041262508976E-2</v>
      </c>
      <c r="F20" s="65">
        <f>'Country Tax Rates'!C20</f>
        <v>0</v>
      </c>
      <c r="G20" s="65">
        <f>E20-'ERPs by country'!$E$3</f>
        <v>8.2130412625089771E-3</v>
      </c>
      <c r="H20" s="83"/>
      <c r="I20" s="20" t="s">
        <v>39</v>
      </c>
      <c r="J20" s="17" t="s">
        <v>539</v>
      </c>
      <c r="N20" s="184" t="s">
        <v>338</v>
      </c>
      <c r="O20" s="83">
        <v>80</v>
      </c>
    </row>
    <row r="21" spans="1:15">
      <c r="A21" s="52" t="str">
        <f>'ERPs by country'!A27</f>
        <v>Bolivia</v>
      </c>
      <c r="B21" s="150">
        <f t="shared" si="0"/>
        <v>62.5</v>
      </c>
      <c r="C21" s="110">
        <f>'ERPs by country'!E27</f>
        <v>0.10049739542691996</v>
      </c>
      <c r="D21" s="27">
        <f>'ERPs by country'!D27</f>
        <v>4.8632414333635951E-2</v>
      </c>
      <c r="E21" s="27">
        <f t="shared" si="1"/>
        <v>0.10049739542691996</v>
      </c>
      <c r="F21" s="65">
        <f>'Country Tax Rates'!C21</f>
        <v>0.25</v>
      </c>
      <c r="G21" s="65">
        <f>E21-'ERPs by country'!$E$3</f>
        <v>5.3297395426919962E-2</v>
      </c>
      <c r="H21" s="83"/>
      <c r="I21" s="157" t="s">
        <v>47</v>
      </c>
      <c r="J21" s="106">
        <f>'Default Spreads for Ratings'!C8/10000</f>
        <v>0</v>
      </c>
      <c r="K21" s="86"/>
      <c r="N21" s="184" t="s">
        <v>94</v>
      </c>
      <c r="O21" s="83">
        <v>71.5</v>
      </c>
    </row>
    <row r="22" spans="1:15">
      <c r="A22" s="52" t="str">
        <f>'ERPs by country'!A28</f>
        <v>Bosnia and Herzegovina</v>
      </c>
      <c r="B22" s="150" t="e">
        <f t="shared" si="0"/>
        <v>#N/A</v>
      </c>
      <c r="C22" s="110">
        <f>'ERPs by country'!E28</f>
        <v>0.1101957739390316</v>
      </c>
      <c r="D22" s="27">
        <f>'ERPs by country'!D28</f>
        <v>5.74819192369697E-2</v>
      </c>
      <c r="E22" s="27">
        <f t="shared" si="1"/>
        <v>0.1101957739390316</v>
      </c>
      <c r="F22" s="65">
        <f>'Country Tax Rates'!C22</f>
        <v>0.1</v>
      </c>
      <c r="G22" s="65">
        <f>E22-'ERPs by country'!$E$3</f>
        <v>6.2995773939031607E-2</v>
      </c>
      <c r="H22" s="83"/>
      <c r="I22" s="157" t="s">
        <v>44</v>
      </c>
      <c r="J22" s="106">
        <f>'Default Spreads for Ratings'!C5/10000</f>
        <v>3.5079118535737406E-3</v>
      </c>
      <c r="K22" s="86"/>
      <c r="N22" s="184" t="s">
        <v>211</v>
      </c>
      <c r="O22" s="83">
        <v>60.75</v>
      </c>
    </row>
    <row r="23" spans="1:15">
      <c r="A23" s="52" t="str">
        <f>'ERPs by country'!A29</f>
        <v>Botswana</v>
      </c>
      <c r="B23" s="150">
        <f t="shared" si="0"/>
        <v>72.25</v>
      </c>
      <c r="C23" s="110">
        <f>'ERPs by country'!E29</f>
        <v>5.5413041262508976E-2</v>
      </c>
      <c r="D23" s="27">
        <f>'ERPs by country'!D29</f>
        <v>7.4941753235439005E-3</v>
      </c>
      <c r="E23" s="27">
        <f t="shared" si="1"/>
        <v>5.5413041262508976E-2</v>
      </c>
      <c r="F23" s="65">
        <f>'Country Tax Rates'!C23</f>
        <v>0.22</v>
      </c>
      <c r="G23" s="65">
        <f>E23-'ERPs by country'!$E$3</f>
        <v>8.2130412625089771E-3</v>
      </c>
      <c r="H23" s="83"/>
      <c r="I23" s="157" t="s">
        <v>45</v>
      </c>
      <c r="J23" s="106">
        <f>'Default Spreads for Ratings'!C6/10000</f>
        <v>4.3848898169671765E-3</v>
      </c>
      <c r="K23" s="86"/>
      <c r="N23" s="184" t="s">
        <v>212</v>
      </c>
      <c r="O23" s="83">
        <v>56.75</v>
      </c>
    </row>
    <row r="24" spans="1:15">
      <c r="A24" s="52" t="str">
        <f>'ERPs by country'!A30</f>
        <v>Brazil</v>
      </c>
      <c r="B24" s="150">
        <f t="shared" si="0"/>
        <v>62.5</v>
      </c>
      <c r="C24" s="110">
        <f>'ERPs by country'!E30</f>
        <v>7.629513553633499E-2</v>
      </c>
      <c r="D24" s="27">
        <f>'ERPs by country'!D30</f>
        <v>2.6548514710001261E-2</v>
      </c>
      <c r="E24" s="27">
        <f t="shared" si="1"/>
        <v>7.629513553633499E-2</v>
      </c>
      <c r="F24" s="65">
        <f>'Country Tax Rates'!C24</f>
        <v>0.34</v>
      </c>
      <c r="G24" s="65">
        <f>E24-'ERPs by country'!$E$3</f>
        <v>2.9095135536334991E-2</v>
      </c>
      <c r="H24" s="83"/>
      <c r="I24" s="157" t="s">
        <v>46</v>
      </c>
      <c r="J24" s="106">
        <f>'Default Spreads for Ratings'!C7/10000</f>
        <v>5.3415930497600151E-3</v>
      </c>
      <c r="K24" s="86"/>
      <c r="N24" s="184" t="s">
        <v>95</v>
      </c>
      <c r="O24" s="83">
        <v>77.5</v>
      </c>
    </row>
    <row r="25" spans="1:15">
      <c r="A25" s="52" t="str">
        <f>'ERPs by country'!A31</f>
        <v>Bulgaria</v>
      </c>
      <c r="B25" s="150">
        <f t="shared" si="0"/>
        <v>71.5</v>
      </c>
      <c r="C25" s="110">
        <f>'ERPs by country'!E31</f>
        <v>6.2664981951745621E-2</v>
      </c>
      <c r="D25" s="27">
        <f>'ERPs by country'!D31</f>
        <v>1.4111372683694367E-2</v>
      </c>
      <c r="E25" s="27">
        <f t="shared" si="1"/>
        <v>6.2664981951745621E-2</v>
      </c>
      <c r="F25" s="65">
        <f>'Country Tax Rates'!C25</f>
        <v>0.1</v>
      </c>
      <c r="G25" s="65">
        <f>E25-'ERPs by country'!$E$3</f>
        <v>1.5464981951745622E-2</v>
      </c>
      <c r="H25" s="83"/>
      <c r="I25" s="157" t="s">
        <v>41</v>
      </c>
      <c r="J25" s="106">
        <f>'Default Spreads for Ratings'!C2/10000</f>
        <v>6.2185710131534505E-3</v>
      </c>
      <c r="K25" s="86"/>
      <c r="N25" s="184" t="s">
        <v>96</v>
      </c>
      <c r="O25" s="83">
        <v>66.25</v>
      </c>
    </row>
    <row r="26" spans="1:15">
      <c r="A26" s="52" t="str">
        <f>'ERPs by country'!A32</f>
        <v>Burkina Faso</v>
      </c>
      <c r="B26" s="150">
        <f t="shared" si="0"/>
        <v>60.75</v>
      </c>
      <c r="C26" s="110">
        <f>'ERPs by country'!E32</f>
        <v>0.10049739542691996</v>
      </c>
      <c r="D26" s="27">
        <f>'ERPs by country'!D32</f>
        <v>4.8632414333635951E-2</v>
      </c>
      <c r="E26" s="27">
        <f t="shared" si="1"/>
        <v>0.10049739542691996</v>
      </c>
      <c r="F26" s="65">
        <f>'Country Tax Rates'!C26</f>
        <v>0.28000000000000003</v>
      </c>
      <c r="G26" s="65">
        <f>E26-'ERPs by country'!$E$3</f>
        <v>5.3297395426919962E-2</v>
      </c>
      <c r="H26" s="83"/>
      <c r="I26" s="157" t="s">
        <v>42</v>
      </c>
      <c r="J26" s="106">
        <f>'Default Spreads for Ratings'!C3/10000</f>
        <v>7.4941753235439005E-3</v>
      </c>
      <c r="K26" s="86"/>
      <c r="N26" s="184" t="s">
        <v>513</v>
      </c>
      <c r="O26" s="83">
        <v>71</v>
      </c>
    </row>
    <row r="27" spans="1:15">
      <c r="A27" s="52" t="str">
        <f>'ERPs by country'!A33</f>
        <v>Cambodia</v>
      </c>
      <c r="B27" s="150" t="e">
        <f t="shared" si="0"/>
        <v>#N/A</v>
      </c>
      <c r="C27" s="110">
        <f>'ERPs by country'!E33</f>
        <v>0.10049739542691996</v>
      </c>
      <c r="D27" s="27">
        <f>'ERPs by country'!D33</f>
        <v>4.8632414333635951E-2</v>
      </c>
      <c r="E27" s="27">
        <f t="shared" si="1"/>
        <v>0.10049739542691996</v>
      </c>
      <c r="F27" s="65">
        <f>'Country Tax Rates'!C27</f>
        <v>0.2</v>
      </c>
      <c r="G27" s="65">
        <f>E27-'ERPs by country'!$E$3</f>
        <v>5.3297395426919962E-2</v>
      </c>
      <c r="H27" s="83"/>
      <c r="I27" s="157" t="s">
        <v>43</v>
      </c>
      <c r="J27" s="106">
        <f>'Default Spreads for Ratings'!C4/10000</f>
        <v>1.0603460830120627E-2</v>
      </c>
      <c r="K27" s="86"/>
      <c r="N27" s="184" t="s">
        <v>50</v>
      </c>
      <c r="O27" s="83">
        <v>61.25</v>
      </c>
    </row>
    <row r="28" spans="1:15">
      <c r="A28" s="52" t="str">
        <f>'ERPs by country'!A34</f>
        <v>Cameroon</v>
      </c>
      <c r="B28" s="150">
        <f t="shared" si="0"/>
        <v>56.75</v>
      </c>
      <c r="C28" s="110">
        <f>'ERPs by country'!E34</f>
        <v>0.10049739542691996</v>
      </c>
      <c r="D28" s="27">
        <f>'ERPs by country'!D34</f>
        <v>4.8632414333635951E-2</v>
      </c>
      <c r="E28" s="27">
        <f t="shared" si="1"/>
        <v>0.10049739542691996</v>
      </c>
      <c r="F28" s="65">
        <f>'Country Tax Rates'!C28</f>
        <v>0.33</v>
      </c>
      <c r="G28" s="65">
        <f>E28-'ERPs by country'!$E$3</f>
        <v>5.3297395426919962E-2</v>
      </c>
      <c r="H28" s="83"/>
      <c r="I28" s="157" t="s">
        <v>82</v>
      </c>
      <c r="J28" s="106">
        <f>'Default Spreads for Ratings'!C15/10000</f>
        <v>1.4111372683694367E-2</v>
      </c>
      <c r="K28" s="86"/>
      <c r="N28" s="184" t="s">
        <v>516</v>
      </c>
      <c r="O28" s="83">
        <v>52.25</v>
      </c>
    </row>
    <row r="29" spans="1:15">
      <c r="A29" s="52" t="str">
        <f>'ERPs by country'!A35</f>
        <v>Canada</v>
      </c>
      <c r="B29" s="150">
        <f t="shared" si="0"/>
        <v>77.5</v>
      </c>
      <c r="C29" s="110">
        <f>'ERPs by country'!E35</f>
        <v>4.7199999999999999E-2</v>
      </c>
      <c r="D29" s="27">
        <f>'ERPs by country'!D35</f>
        <v>0</v>
      </c>
      <c r="E29" s="27">
        <f t="shared" si="1"/>
        <v>4.7199999999999999E-2</v>
      </c>
      <c r="F29" s="65">
        <f>'Country Tax Rates'!C29</f>
        <v>0.26500000000000001</v>
      </c>
      <c r="G29" s="65">
        <f>E29-'ERPs by country'!$E$3</f>
        <v>0</v>
      </c>
      <c r="H29" s="83"/>
      <c r="I29" s="157" t="s">
        <v>83</v>
      </c>
      <c r="J29" s="106">
        <f>'Default Spreads for Ratings'!C16/10000</f>
        <v>1.6822031843274077E-2</v>
      </c>
      <c r="K29" s="86"/>
      <c r="N29" s="184" t="s">
        <v>515</v>
      </c>
      <c r="O29" s="83">
        <v>57</v>
      </c>
    </row>
    <row r="30" spans="1:15">
      <c r="A30" s="52" t="str">
        <f>'ERPs by country'!A36</f>
        <v>Cape Verde</v>
      </c>
      <c r="B30" s="150" t="e">
        <f t="shared" si="0"/>
        <v>#N/A</v>
      </c>
      <c r="C30" s="110">
        <f>'ERPs by country'!E36</f>
        <v>0.10049739542691996</v>
      </c>
      <c r="D30" s="27">
        <f>'ERPs by country'!D36</f>
        <v>4.8632414333635951E-2</v>
      </c>
      <c r="E30" s="27">
        <f t="shared" si="1"/>
        <v>0.10049739542691996</v>
      </c>
      <c r="F30" s="65">
        <f>'Country Tax Rates'!C30</f>
        <v>0</v>
      </c>
      <c r="G30" s="65">
        <f>E30-'ERPs by country'!$E$3</f>
        <v>5.3297395426919962E-2</v>
      </c>
      <c r="H30" s="83"/>
      <c r="I30" s="157" t="s">
        <v>124</v>
      </c>
      <c r="J30" s="106">
        <f>'Default Spreads for Ratings'!C17/10000</f>
        <v>1.9452965733454383E-2</v>
      </c>
      <c r="K30" s="86"/>
      <c r="N30" s="184" t="s">
        <v>56</v>
      </c>
      <c r="O30" s="83">
        <v>66.25</v>
      </c>
    </row>
    <row r="31" spans="1:15">
      <c r="A31" s="52" t="str">
        <f>'ERPs by country'!A37</f>
        <v>Cayman Islands</v>
      </c>
      <c r="B31" s="150" t="e">
        <f t="shared" si="0"/>
        <v>#N/A</v>
      </c>
      <c r="C31" s="110">
        <f>'ERPs by country'!E37</f>
        <v>5.3053976219022358E-2</v>
      </c>
      <c r="D31" s="27">
        <f>'ERPs by country'!D37</f>
        <v>5.3415930497600151E-3</v>
      </c>
      <c r="E31" s="27">
        <f t="shared" si="1"/>
        <v>5.3053976219022358E-2</v>
      </c>
      <c r="F31" s="65">
        <f>'Country Tax Rates'!C31</f>
        <v>0</v>
      </c>
      <c r="G31" s="65">
        <f>E31-'ERPs by country'!$E$3</f>
        <v>5.8539762190223596E-3</v>
      </c>
      <c r="H31" s="83"/>
      <c r="I31" s="157" t="s">
        <v>79</v>
      </c>
      <c r="J31" s="106">
        <f>'Default Spreads for Ratings'!C12/10000</f>
        <v>2.208389962363469E-2</v>
      </c>
      <c r="K31" s="86"/>
      <c r="N31" s="184" t="s">
        <v>385</v>
      </c>
      <c r="O31" s="83">
        <v>59.75</v>
      </c>
    </row>
    <row r="32" spans="1:15">
      <c r="A32" s="52" t="str">
        <f>'ERPs by country'!A38</f>
        <v>Chile</v>
      </c>
      <c r="B32" s="150">
        <f t="shared" si="0"/>
        <v>66.25</v>
      </c>
      <c r="C32" s="110">
        <f>'ERPs by country'!E38</f>
        <v>5.4015076792294683E-2</v>
      </c>
      <c r="D32" s="27">
        <f>'ERPs by country'!D38</f>
        <v>6.2185710131534505E-3</v>
      </c>
      <c r="E32" s="27">
        <f t="shared" si="1"/>
        <v>5.4015076792294683E-2</v>
      </c>
      <c r="F32" s="65">
        <f>'Country Tax Rates'!C32</f>
        <v>0.27</v>
      </c>
      <c r="G32" s="65">
        <f>E32-'ERPs by country'!$E$3</f>
        <v>6.8150767922946845E-3</v>
      </c>
      <c r="H32" s="83"/>
      <c r="I32" s="157" t="s">
        <v>80</v>
      </c>
      <c r="J32" s="106">
        <f>'Default Spreads for Ratings'!C13/10000</f>
        <v>2.6548514710001261E-2</v>
      </c>
      <c r="K32" s="86"/>
      <c r="N32" s="184" t="s">
        <v>98</v>
      </c>
      <c r="O32" s="83">
        <v>69.25</v>
      </c>
    </row>
    <row r="33" spans="1:15">
      <c r="A33" s="52" t="str">
        <f>'ERPs by country'!A39</f>
        <v>China</v>
      </c>
      <c r="B33" s="150" t="e">
        <f t="shared" si="0"/>
        <v>#N/A</v>
      </c>
      <c r="C33" s="110">
        <f>'ERPs by country'!E39</f>
        <v>5.4015076792294683E-2</v>
      </c>
      <c r="D33" s="27">
        <f>'ERPs by country'!D39</f>
        <v>6.2185710131534505E-3</v>
      </c>
      <c r="E33" s="27">
        <f t="shared" si="1"/>
        <v>5.4015076792294683E-2</v>
      </c>
      <c r="F33" s="65">
        <f>'Country Tax Rates'!C33</f>
        <v>0.25</v>
      </c>
      <c r="G33" s="65">
        <f>E33-'ERPs by country'!$E$3</f>
        <v>6.8150767922946845E-3</v>
      </c>
      <c r="H33" s="83"/>
      <c r="I33" s="157" t="s">
        <v>81</v>
      </c>
      <c r="J33" s="106">
        <f>'Default Spreads for Ratings'!C14/10000</f>
        <v>3.1810382490361881E-2</v>
      </c>
      <c r="K33" s="86"/>
      <c r="N33" s="184" t="s">
        <v>99</v>
      </c>
      <c r="O33" s="83">
        <v>66.75</v>
      </c>
    </row>
    <row r="34" spans="1:15">
      <c r="A34" s="52" t="str">
        <f>'ERPs by country'!A40</f>
        <v>Colombia</v>
      </c>
      <c r="B34" s="150">
        <f t="shared" si="0"/>
        <v>61.25</v>
      </c>
      <c r="C34" s="110">
        <f>'ERPs by country'!E40</f>
        <v>6.5635656450950999E-2</v>
      </c>
      <c r="D34" s="27">
        <f>'ERPs by country'!D40</f>
        <v>1.6822031843274077E-2</v>
      </c>
      <c r="E34" s="27">
        <f t="shared" si="1"/>
        <v>6.5635656450950999E-2</v>
      </c>
      <c r="F34" s="65">
        <f>'Country Tax Rates'!C34</f>
        <v>0.32</v>
      </c>
      <c r="G34" s="65">
        <f>E34-'ERPs by country'!$E$3</f>
        <v>1.8435656450951E-2</v>
      </c>
      <c r="H34" s="83"/>
      <c r="I34" s="157" t="s">
        <v>48</v>
      </c>
      <c r="J34" s="106">
        <f>'Default Spreads for Ratings'!C9/10000</f>
        <v>3.9782909430302202E-2</v>
      </c>
      <c r="K34" s="86"/>
      <c r="N34" s="184" t="s">
        <v>178</v>
      </c>
      <c r="O34" s="83">
        <v>69.75</v>
      </c>
    </row>
    <row r="35" spans="1:15">
      <c r="A35" s="52" t="str">
        <f>'ERPs by country'!A41</f>
        <v>Congo (Democratic Republic of)</v>
      </c>
      <c r="B35" s="150" t="e">
        <f t="shared" si="0"/>
        <v>#N/A</v>
      </c>
      <c r="C35" s="110">
        <f>'ERPs by country'!E41</f>
        <v>0.1198067796717549</v>
      </c>
      <c r="D35" s="27">
        <f>'ERPs by country'!D41</f>
        <v>6.6251698870904069E-2</v>
      </c>
      <c r="E35" s="27">
        <f t="shared" si="1"/>
        <v>0.1198067796717549</v>
      </c>
      <c r="F35" s="65">
        <f>'Country Tax Rates'!C35</f>
        <v>0.35</v>
      </c>
      <c r="G35" s="65">
        <f>E35-'ERPs by country'!$E$3</f>
        <v>7.2606779671754912E-2</v>
      </c>
      <c r="H35" s="83"/>
      <c r="I35" s="157" t="s">
        <v>49</v>
      </c>
      <c r="J35" s="106">
        <f>'Default Spreads for Ratings'!C10/10000</f>
        <v>4.8632414333635951E-2</v>
      </c>
      <c r="K35" s="86"/>
      <c r="N35" s="184" t="s">
        <v>101</v>
      </c>
      <c r="O35" s="83">
        <v>73</v>
      </c>
    </row>
    <row r="36" spans="1:15">
      <c r="A36" s="52" t="str">
        <f>'ERPs by country'!A42</f>
        <v>Congo (Republic of)</v>
      </c>
      <c r="B36" s="150" t="e">
        <f t="shared" si="0"/>
        <v>#N/A</v>
      </c>
      <c r="C36" s="110">
        <f>'ERPs by country'!E42</f>
        <v>0.1343980338296166</v>
      </c>
      <c r="D36" s="27">
        <f>'ERPs by country'!D42</f>
        <v>7.9565818860604404E-2</v>
      </c>
      <c r="E36" s="27">
        <f t="shared" si="1"/>
        <v>0.1343980338296166</v>
      </c>
      <c r="F36" s="65">
        <f>'Country Tax Rates'!C36</f>
        <v>0.3</v>
      </c>
      <c r="G36" s="65">
        <f>E36-'ERPs by country'!$E$3</f>
        <v>8.7198033829616606E-2</v>
      </c>
      <c r="H36" s="83"/>
      <c r="I36" s="157" t="s">
        <v>78</v>
      </c>
      <c r="J36" s="106">
        <f>'Default Spreads for Ratings'!C11/10000</f>
        <v>5.74819192369697E-2</v>
      </c>
      <c r="K36" s="86"/>
      <c r="N36" s="184" t="s">
        <v>102</v>
      </c>
      <c r="O36" s="83">
        <v>81</v>
      </c>
    </row>
    <row r="37" spans="1:15">
      <c r="A37" s="52" t="str">
        <f>'ERPs by country'!A43</f>
        <v>Cook Islands</v>
      </c>
      <c r="B37" s="150" t="e">
        <f t="shared" si="0"/>
        <v>#N/A</v>
      </c>
      <c r="C37" s="110">
        <f>'ERPs by country'!E43</f>
        <v>9.0799016914808295E-2</v>
      </c>
      <c r="D37" s="27">
        <f>'ERPs by country'!D43</f>
        <v>3.9782909430302202E-2</v>
      </c>
      <c r="E37" s="27">
        <f t="shared" si="1"/>
        <v>9.0799016914808295E-2</v>
      </c>
      <c r="F37" s="65">
        <f>'Country Tax Rates'!C37</f>
        <v>0.2843</v>
      </c>
      <c r="G37" s="65">
        <f>E37-'ERPs by country'!$E$3</f>
        <v>4.3599016914808296E-2</v>
      </c>
      <c r="H37" s="83"/>
      <c r="I37" s="157" t="s">
        <v>100</v>
      </c>
      <c r="J37" s="106">
        <f>'Default Spreads for Ratings'!C19/10000</f>
        <v>6.6251698870904069E-2</v>
      </c>
      <c r="K37" s="86"/>
      <c r="N37" s="184" t="s">
        <v>103</v>
      </c>
      <c r="O37" s="83">
        <v>66.5</v>
      </c>
    </row>
    <row r="38" spans="1:15">
      <c r="A38" s="52" t="str">
        <f>'ERPs by country'!A44</f>
        <v>Costa Rica</v>
      </c>
      <c r="B38" s="150">
        <f t="shared" si="0"/>
        <v>66.25</v>
      </c>
      <c r="C38" s="110">
        <f>'ERPs by country'!E44</f>
        <v>0.10049739542691996</v>
      </c>
      <c r="D38" s="27">
        <f>'ERPs by country'!D44</f>
        <v>4.8632414333635951E-2</v>
      </c>
      <c r="E38" s="27">
        <f t="shared" si="1"/>
        <v>0.10049739542691996</v>
      </c>
      <c r="F38" s="65">
        <f>'Country Tax Rates'!C38</f>
        <v>0.3</v>
      </c>
      <c r="G38" s="65">
        <f>E38-'ERPs by country'!$E$3</f>
        <v>5.3297395426919962E-2</v>
      </c>
      <c r="H38" s="83"/>
      <c r="I38" s="157" t="s">
        <v>58</v>
      </c>
      <c r="J38" s="106">
        <f>'Default Spreads for Ratings'!C20/10000</f>
        <v>7.9565818860604404E-2</v>
      </c>
      <c r="K38" s="86"/>
      <c r="N38" s="184" t="s">
        <v>104</v>
      </c>
      <c r="O38" s="83">
        <v>60.25</v>
      </c>
    </row>
    <row r="39" spans="1:15">
      <c r="A39" s="52" t="str">
        <f>'ERPs by country'!A45</f>
        <v>Côte d'Ivoire</v>
      </c>
      <c r="B39" s="150" t="e">
        <f t="shared" si="0"/>
        <v>#N/A</v>
      </c>
      <c r="C39" s="110">
        <f>'ERPs by country'!E45</f>
        <v>8.2061738975968967E-2</v>
      </c>
      <c r="D39" s="27">
        <f>'ERPs by country'!D45</f>
        <v>3.1810382490361881E-2</v>
      </c>
      <c r="E39" s="27">
        <f t="shared" si="1"/>
        <v>8.2061738975968967E-2</v>
      </c>
      <c r="F39" s="65">
        <f>'Country Tax Rates'!C39</f>
        <v>0.25</v>
      </c>
      <c r="G39" s="65">
        <f>E39-'ERPs by country'!$E$3</f>
        <v>3.4861738975968969E-2</v>
      </c>
      <c r="H39" s="83"/>
      <c r="I39" s="157" t="s">
        <v>62</v>
      </c>
      <c r="J39" s="106">
        <f>'Default Spreads for Ratings'!C21/10000</f>
        <v>8.8335598494538758E-2</v>
      </c>
      <c r="K39" s="86"/>
      <c r="N39" s="184" t="s">
        <v>105</v>
      </c>
      <c r="O39" s="83">
        <v>60.75</v>
      </c>
    </row>
    <row r="40" spans="1:15">
      <c r="A40" s="52" t="str">
        <f>'ERPs by country'!A46</f>
        <v>Croatia</v>
      </c>
      <c r="B40" s="150">
        <f t="shared" si="0"/>
        <v>69.25</v>
      </c>
      <c r="C40" s="110">
        <f>'ERPs by country'!E46</f>
        <v>7.1402259890584963E-2</v>
      </c>
      <c r="D40" s="27">
        <f>'ERPs by country'!D46</f>
        <v>2.208389962363469E-2</v>
      </c>
      <c r="E40" s="27">
        <f t="shared" si="1"/>
        <v>7.1402259890584963E-2</v>
      </c>
      <c r="F40" s="65">
        <f>'Country Tax Rates'!C40</f>
        <v>0.18</v>
      </c>
      <c r="G40" s="65">
        <f>E40-'ERPs by country'!$E$3</f>
        <v>2.4202259890584964E-2</v>
      </c>
      <c r="H40" s="83"/>
      <c r="I40" s="157" t="s">
        <v>346</v>
      </c>
      <c r="J40" s="106">
        <f>'Default Spreads for Ratings'!C18/10000</f>
        <v>0.10603460830120626</v>
      </c>
      <c r="K40" s="86"/>
      <c r="N40" s="184" t="s">
        <v>31</v>
      </c>
      <c r="O40" s="83">
        <v>63.75</v>
      </c>
    </row>
    <row r="41" spans="1:15">
      <c r="A41" s="52" t="str">
        <f>'ERPs by country'!A47</f>
        <v>Cuba</v>
      </c>
      <c r="B41" s="150">
        <f t="shared" si="0"/>
        <v>66.75</v>
      </c>
      <c r="C41" s="110">
        <f>'ERPs by country'!E47</f>
        <v>0.1343980338296166</v>
      </c>
      <c r="D41" s="27">
        <f>'ERPs by country'!D47</f>
        <v>7.9565818860604404E-2</v>
      </c>
      <c r="E41" s="27">
        <f t="shared" si="1"/>
        <v>0.1343980338296166</v>
      </c>
      <c r="F41" s="65">
        <f>'Country Tax Rates'!C41</f>
        <v>0.27360000000000001</v>
      </c>
      <c r="G41" s="65">
        <f>E41-'ERPs by country'!$E$3</f>
        <v>8.7198033829616606E-2</v>
      </c>
      <c r="H41" s="83"/>
      <c r="I41" s="157" t="s">
        <v>137</v>
      </c>
      <c r="J41" s="106">
        <f>'ERPs by country'!C205/10000</f>
        <v>0.17499999999999999</v>
      </c>
      <c r="K41" s="95"/>
      <c r="N41" s="184" t="s">
        <v>106</v>
      </c>
      <c r="O41" s="83">
        <v>68</v>
      </c>
    </row>
    <row r="42" spans="1:15">
      <c r="A42" s="52" t="str">
        <f>'ERPs by country'!A48</f>
        <v>Curacao</v>
      </c>
      <c r="B42" s="150" t="e">
        <f t="shared" si="0"/>
        <v>#N/A</v>
      </c>
      <c r="C42" s="110">
        <f>'ERPs by country'!E48</f>
        <v>5.8820579658656322E-2</v>
      </c>
      <c r="D42" s="27">
        <f>'ERPs by country'!D48</f>
        <v>1.0603460830120627E-2</v>
      </c>
      <c r="E42" s="27">
        <f t="shared" si="1"/>
        <v>5.8820579658656322E-2</v>
      </c>
      <c r="F42" s="65">
        <f>'Country Tax Rates'!C42</f>
        <v>0.22</v>
      </c>
      <c r="G42" s="65">
        <f>E42-'ERPs by country'!$E$3</f>
        <v>1.1620579658656323E-2</v>
      </c>
      <c r="H42" s="83"/>
      <c r="N42" s="184" t="s">
        <v>284</v>
      </c>
      <c r="O42" s="83">
        <v>57.5</v>
      </c>
    </row>
    <row r="43" spans="1:15">
      <c r="A43" s="52" t="str">
        <f>'ERPs by country'!A49</f>
        <v>Cyprus</v>
      </c>
      <c r="B43" s="150">
        <f t="shared" si="0"/>
        <v>69.75</v>
      </c>
      <c r="C43" s="110">
        <f>'ERPs by country'!E49</f>
        <v>7.629513553633499E-2</v>
      </c>
      <c r="D43" s="27">
        <f>'ERPs by country'!D49</f>
        <v>2.6548514710001261E-2</v>
      </c>
      <c r="E43" s="27">
        <f t="shared" si="1"/>
        <v>7.629513553633499E-2</v>
      </c>
      <c r="F43" s="65">
        <f>'Country Tax Rates'!C43</f>
        <v>0.125</v>
      </c>
      <c r="G43" s="65">
        <f>E43-'ERPs by country'!$E$3</f>
        <v>2.9095135536334991E-2</v>
      </c>
      <c r="H43" s="83"/>
      <c r="N43" s="184" t="s">
        <v>179</v>
      </c>
      <c r="O43" s="83">
        <v>77.25</v>
      </c>
    </row>
    <row r="44" spans="1:15">
      <c r="A44" s="52" t="str">
        <f>'ERPs by country'!A50</f>
        <v>Czech Republic</v>
      </c>
      <c r="B44" s="150">
        <f t="shared" si="0"/>
        <v>73</v>
      </c>
      <c r="C44" s="110">
        <f>'ERPs by country'!E50</f>
        <v>5.3053976219022358E-2</v>
      </c>
      <c r="D44" s="27">
        <f>'ERPs by country'!D50</f>
        <v>5.3415930497600151E-3</v>
      </c>
      <c r="E44" s="27">
        <f t="shared" si="1"/>
        <v>5.3053976219022358E-2</v>
      </c>
      <c r="F44" s="65">
        <f>'Country Tax Rates'!C44</f>
        <v>0.19</v>
      </c>
      <c r="G44" s="65">
        <f>E44-'ERPs by country'!$E$3</f>
        <v>5.8539762190223596E-3</v>
      </c>
      <c r="H44" s="83"/>
      <c r="N44" s="184" t="s">
        <v>180</v>
      </c>
      <c r="O44" s="83">
        <v>69</v>
      </c>
    </row>
    <row r="45" spans="1:15">
      <c r="A45" s="52" t="str">
        <f>'ERPs by country'!A51</f>
        <v>Denmark</v>
      </c>
      <c r="B45" s="150">
        <f t="shared" si="0"/>
        <v>81</v>
      </c>
      <c r="C45" s="110">
        <f>'ERPs by country'!E51</f>
        <v>4.7199999999999999E-2</v>
      </c>
      <c r="D45" s="27">
        <f>'ERPs by country'!D51</f>
        <v>0</v>
      </c>
      <c r="E45" s="27">
        <f t="shared" si="1"/>
        <v>4.7199999999999999E-2</v>
      </c>
      <c r="F45" s="65">
        <f>'Country Tax Rates'!C45</f>
        <v>0.22</v>
      </c>
      <c r="G45" s="65">
        <f>E45-'ERPs by country'!$E$3</f>
        <v>0</v>
      </c>
      <c r="H45" s="83"/>
      <c r="N45" s="184" t="s">
        <v>220</v>
      </c>
      <c r="O45" s="83">
        <v>60.5</v>
      </c>
    </row>
    <row r="46" spans="1:15">
      <c r="A46" s="52" t="str">
        <f>'ERPs by country'!A52</f>
        <v>Dominican Republic</v>
      </c>
      <c r="B46" s="150">
        <f t="shared" si="0"/>
        <v>66.5</v>
      </c>
      <c r="C46" s="110">
        <f>'ERPs by country'!E52</f>
        <v>8.2061738975968967E-2</v>
      </c>
      <c r="D46" s="27">
        <f>'ERPs by country'!D52</f>
        <v>3.1810382490361881E-2</v>
      </c>
      <c r="E46" s="27">
        <f t="shared" si="1"/>
        <v>8.2061738975968967E-2</v>
      </c>
      <c r="F46" s="65">
        <f>'Country Tax Rates'!C46</f>
        <v>0.27</v>
      </c>
      <c r="G46" s="65">
        <f>E46-'ERPs by country'!$E$3</f>
        <v>3.4861738975968969E-2</v>
      </c>
      <c r="H46" s="83"/>
      <c r="N46" s="184" t="s">
        <v>334</v>
      </c>
      <c r="O46" s="83">
        <v>63.75</v>
      </c>
    </row>
    <row r="47" spans="1:15">
      <c r="A47" s="52" t="str">
        <f>'ERPs by country'!A53</f>
        <v>Ecuador</v>
      </c>
      <c r="B47" s="150">
        <f t="shared" si="0"/>
        <v>60.25</v>
      </c>
      <c r="C47" s="110">
        <f>'ERPs by country'!E53</f>
        <v>0.14400903956233987</v>
      </c>
      <c r="D47" s="27">
        <f>'ERPs by country'!D53</f>
        <v>8.8335598494538758E-2</v>
      </c>
      <c r="E47" s="27">
        <f t="shared" si="1"/>
        <v>0.14400903956233987</v>
      </c>
      <c r="F47" s="65">
        <f>'Country Tax Rates'!C47</f>
        <v>0.25</v>
      </c>
      <c r="G47" s="65">
        <f>E47-'ERPs by country'!$E$3</f>
        <v>9.6809039562339883E-2</v>
      </c>
      <c r="H47" s="83"/>
      <c r="N47" s="184" t="s">
        <v>181</v>
      </c>
      <c r="O47" s="83">
        <v>78.5</v>
      </c>
    </row>
    <row r="48" spans="1:15">
      <c r="A48" s="52" t="str">
        <f>'ERPs by country'!A54</f>
        <v>Egypt</v>
      </c>
      <c r="B48" s="150">
        <f t="shared" si="0"/>
        <v>60.75</v>
      </c>
      <c r="C48" s="110">
        <f>'ERPs by country'!E54</f>
        <v>0.10049739542691996</v>
      </c>
      <c r="D48" s="27">
        <f>'ERPs by country'!D54</f>
        <v>4.8632414333635951E-2</v>
      </c>
      <c r="E48" s="27">
        <f t="shared" si="1"/>
        <v>0.10049739542691996</v>
      </c>
      <c r="F48" s="65">
        <f>'Country Tax Rates'!C48</f>
        <v>0.22500000000000001</v>
      </c>
      <c r="G48" s="65">
        <f>E48-'ERPs by country'!$E$3</f>
        <v>5.3297395426919962E-2</v>
      </c>
      <c r="H48" s="83"/>
      <c r="N48" s="184" t="s">
        <v>221</v>
      </c>
      <c r="O48" s="83">
        <v>66.75</v>
      </c>
    </row>
    <row r="49" spans="1:15">
      <c r="A49" s="52" t="str">
        <f>'ERPs by country'!A55</f>
        <v>El Salvador</v>
      </c>
      <c r="B49" s="150">
        <f t="shared" si="0"/>
        <v>63.75</v>
      </c>
      <c r="C49" s="110">
        <f>'ERPs by country'!E55</f>
        <v>0.1101957739390316</v>
      </c>
      <c r="D49" s="27">
        <f>'ERPs by country'!D55</f>
        <v>5.74819192369697E-2</v>
      </c>
      <c r="E49" s="27">
        <f t="shared" si="1"/>
        <v>0.1101957739390316</v>
      </c>
      <c r="F49" s="65">
        <f>'Country Tax Rates'!C49</f>
        <v>0.3</v>
      </c>
      <c r="G49" s="65">
        <f>E49-'ERPs by country'!$E$3</f>
        <v>6.2995773939031607E-2</v>
      </c>
      <c r="H49" s="83"/>
      <c r="N49" s="184" t="s">
        <v>182</v>
      </c>
      <c r="O49" s="83">
        <v>65.5</v>
      </c>
    </row>
    <row r="50" spans="1:15">
      <c r="A50" s="52" t="str">
        <f>'ERPs by country'!A56</f>
        <v>Estonia</v>
      </c>
      <c r="B50" s="150">
        <f t="shared" si="0"/>
        <v>68</v>
      </c>
      <c r="C50" s="110">
        <f>'ERPs by country'!E56</f>
        <v>5.4015076792294683E-2</v>
      </c>
      <c r="D50" s="27">
        <f>'ERPs by country'!D56</f>
        <v>6.2185710131534505E-3</v>
      </c>
      <c r="E50" s="27">
        <f t="shared" si="1"/>
        <v>5.4015076792294683E-2</v>
      </c>
      <c r="F50" s="65">
        <f>'Country Tax Rates'!C50</f>
        <v>0.2</v>
      </c>
      <c r="G50" s="65">
        <f>E50-'ERPs by country'!$E$3</f>
        <v>6.8150767922946845E-3</v>
      </c>
      <c r="H50" s="83"/>
      <c r="N50" s="184" t="s">
        <v>107</v>
      </c>
      <c r="O50" s="83">
        <v>68.5</v>
      </c>
    </row>
    <row r="51" spans="1:15">
      <c r="A51" s="52" t="str">
        <f>'ERPs by country'!A57</f>
        <v>Ethiopia</v>
      </c>
      <c r="B51" s="150">
        <f t="shared" si="0"/>
        <v>57.5</v>
      </c>
      <c r="C51" s="110">
        <f>'ERPs by country'!E57</f>
        <v>0.10049739542691996</v>
      </c>
      <c r="D51" s="27">
        <f>'ERPs by country'!D57</f>
        <v>4.8632414333635951E-2</v>
      </c>
      <c r="E51" s="27">
        <f t="shared" si="1"/>
        <v>0.10049739542691996</v>
      </c>
      <c r="F51" s="65">
        <f>'Country Tax Rates'!C51</f>
        <v>0.3</v>
      </c>
      <c r="G51" s="65">
        <f>E51-'ERPs by country'!$E$3</f>
        <v>5.3297395426919962E-2</v>
      </c>
      <c r="H51" s="83"/>
      <c r="N51" s="184" t="s">
        <v>317</v>
      </c>
      <c r="O51" s="83">
        <v>53.5</v>
      </c>
    </row>
    <row r="52" spans="1:15">
      <c r="A52" s="52" t="str">
        <f>'ERPs by country'!A58</f>
        <v>Fiji</v>
      </c>
      <c r="B52" s="150" t="e">
        <f t="shared" si="0"/>
        <v>#N/A</v>
      </c>
      <c r="C52" s="110">
        <f>'ERPs by country'!E58</f>
        <v>8.2061738975968967E-2</v>
      </c>
      <c r="D52" s="27">
        <f>'ERPs by country'!D58</f>
        <v>3.1810382490361881E-2</v>
      </c>
      <c r="E52" s="27">
        <f t="shared" si="1"/>
        <v>8.2061738975968967E-2</v>
      </c>
      <c r="F52" s="65">
        <f>'Country Tax Rates'!C52</f>
        <v>0.2</v>
      </c>
      <c r="G52" s="65">
        <f>E52-'ERPs by country'!$E$3</f>
        <v>3.4861738975968969E-2</v>
      </c>
      <c r="H52" s="83"/>
      <c r="N52" s="184" t="s">
        <v>333</v>
      </c>
      <c r="O52" s="83">
        <v>62</v>
      </c>
    </row>
    <row r="53" spans="1:15">
      <c r="A53" s="52" t="str">
        <f>'ERPs by country'!A59</f>
        <v>Finland</v>
      </c>
      <c r="B53" s="150">
        <f t="shared" si="0"/>
        <v>77.25</v>
      </c>
      <c r="C53" s="110">
        <f>'ERPs by country'!E59</f>
        <v>5.1044402293089305E-2</v>
      </c>
      <c r="D53" s="27">
        <f>'ERPs by country'!D59</f>
        <v>3.5079118535737406E-3</v>
      </c>
      <c r="E53" s="27">
        <f t="shared" si="1"/>
        <v>5.1044402293089305E-2</v>
      </c>
      <c r="F53" s="65">
        <f>'Country Tax Rates'!C53</f>
        <v>0.2</v>
      </c>
      <c r="G53" s="65">
        <f>E53-'ERPs by country'!$E$3</f>
        <v>3.8444022930893065E-3</v>
      </c>
      <c r="H53" s="83"/>
      <c r="N53" s="184" t="s">
        <v>330</v>
      </c>
      <c r="O53" s="83">
        <v>65.75</v>
      </c>
    </row>
    <row r="54" spans="1:15">
      <c r="A54" s="52" t="str">
        <f>'ERPs by country'!A60</f>
        <v>France</v>
      </c>
      <c r="B54" s="150">
        <f t="shared" si="0"/>
        <v>69</v>
      </c>
      <c r="C54" s="110">
        <f>'ERPs by country'!E60</f>
        <v>5.2005502866361637E-2</v>
      </c>
      <c r="D54" s="27">
        <f>'ERPs by country'!D60</f>
        <v>4.3848898169671765E-3</v>
      </c>
      <c r="E54" s="27">
        <f t="shared" si="1"/>
        <v>5.2005502866361637E-2</v>
      </c>
      <c r="F54" s="65">
        <f>'Country Tax Rates'!C54</f>
        <v>0.28000000000000003</v>
      </c>
      <c r="G54" s="65">
        <f>E54-'ERPs by country'!$E$3</f>
        <v>4.8055028663616384E-3</v>
      </c>
      <c r="H54" s="83"/>
      <c r="N54" s="184" t="s">
        <v>326</v>
      </c>
      <c r="O54" s="83">
        <v>52.75</v>
      </c>
    </row>
    <row r="55" spans="1:15">
      <c r="A55" s="52" t="str">
        <f>'ERPs by country'!A61</f>
        <v>Gabon</v>
      </c>
      <c r="B55" s="150">
        <f t="shared" si="0"/>
        <v>60.5</v>
      </c>
      <c r="C55" s="110">
        <f>'ERPs by country'!E61</f>
        <v>0.1198067796717549</v>
      </c>
      <c r="D55" s="27">
        <f>'ERPs by country'!D61</f>
        <v>6.6251698870904069E-2</v>
      </c>
      <c r="E55" s="27">
        <f t="shared" si="1"/>
        <v>0.1198067796717549</v>
      </c>
      <c r="F55" s="65">
        <f>'Country Tax Rates'!C55</f>
        <v>0.3</v>
      </c>
      <c r="G55" s="65">
        <f>E55-'ERPs by country'!$E$3</f>
        <v>7.2606779671754912E-2</v>
      </c>
      <c r="H55" s="83"/>
      <c r="N55" s="184" t="s">
        <v>108</v>
      </c>
      <c r="O55" s="83">
        <v>63.25</v>
      </c>
    </row>
    <row r="56" spans="1:15">
      <c r="A56" s="52" t="str">
        <f>'ERPs by country'!A62</f>
        <v>Georgia</v>
      </c>
      <c r="B56" s="150" t="e">
        <f t="shared" si="0"/>
        <v>#N/A</v>
      </c>
      <c r="C56" s="110">
        <f>'ERPs by country'!E62</f>
        <v>7.629513553633499E-2</v>
      </c>
      <c r="D56" s="27">
        <f>'ERPs by country'!D62</f>
        <v>2.6548514710001261E-2</v>
      </c>
      <c r="E56" s="27">
        <f t="shared" si="1"/>
        <v>7.629513553633499E-2</v>
      </c>
      <c r="F56" s="65">
        <f>'Country Tax Rates'!C56</f>
        <v>0.15</v>
      </c>
      <c r="G56" s="65">
        <f>E56-'ERPs by country'!$E$3</f>
        <v>2.9095135536334991E-2</v>
      </c>
      <c r="H56" s="83"/>
      <c r="N56" s="184" t="s">
        <v>59</v>
      </c>
      <c r="O56" s="83">
        <v>73.25</v>
      </c>
    </row>
    <row r="57" spans="1:15">
      <c r="A57" s="52" t="str">
        <f>'ERPs by country'!A63</f>
        <v>Germany</v>
      </c>
      <c r="B57" s="150">
        <f t="shared" si="0"/>
        <v>78.5</v>
      </c>
      <c r="C57" s="110">
        <f>'ERPs by country'!E63</f>
        <v>4.7199999999999999E-2</v>
      </c>
      <c r="D57" s="27">
        <f>'ERPs by country'!D63</f>
        <v>0</v>
      </c>
      <c r="E57" s="27">
        <f t="shared" si="1"/>
        <v>4.7199999999999999E-2</v>
      </c>
      <c r="F57" s="65">
        <f>'Country Tax Rates'!C57</f>
        <v>0.3</v>
      </c>
      <c r="G57" s="65">
        <f>E57-'ERPs by country'!$E$3</f>
        <v>0</v>
      </c>
      <c r="H57" s="83"/>
      <c r="N57" s="184" t="s">
        <v>109</v>
      </c>
      <c r="O57" s="83">
        <v>69.5</v>
      </c>
    </row>
    <row r="58" spans="1:15">
      <c r="A58" s="52" t="str">
        <f>'ERPs by country'!A64</f>
        <v>Ghana</v>
      </c>
      <c r="B58" s="150">
        <f t="shared" si="0"/>
        <v>66.75</v>
      </c>
      <c r="C58" s="110">
        <f>'ERPs by country'!E64</f>
        <v>0.1101957739390316</v>
      </c>
      <c r="D58" s="27">
        <f>'ERPs by country'!D64</f>
        <v>5.74819192369697E-2</v>
      </c>
      <c r="E58" s="27">
        <f t="shared" si="1"/>
        <v>0.1101957739390316</v>
      </c>
      <c r="F58" s="65">
        <f>'Country Tax Rates'!C58</f>
        <v>0.25</v>
      </c>
      <c r="G58" s="65">
        <f>E58-'ERPs by country'!$E$3</f>
        <v>6.2995773939031607E-2</v>
      </c>
      <c r="H58" s="83"/>
      <c r="N58" s="184" t="s">
        <v>110</v>
      </c>
      <c r="O58" s="83">
        <v>78.25</v>
      </c>
    </row>
    <row r="59" spans="1:15">
      <c r="A59" s="52" t="str">
        <f>'ERPs by country'!A65</f>
        <v>Greece</v>
      </c>
      <c r="B59" s="150">
        <f t="shared" si="0"/>
        <v>65.5</v>
      </c>
      <c r="C59" s="110">
        <f>'ERPs by country'!E65</f>
        <v>8.2061738975968967E-2</v>
      </c>
      <c r="D59" s="27">
        <f>'ERPs by country'!D65</f>
        <v>3.1810382490361881E-2</v>
      </c>
      <c r="E59" s="27">
        <f t="shared" si="1"/>
        <v>8.2061738975968967E-2</v>
      </c>
      <c r="F59" s="65">
        <f>'Country Tax Rates'!C59</f>
        <v>0.24</v>
      </c>
      <c r="G59" s="65">
        <f>E59-'ERPs by country'!$E$3</f>
        <v>3.4861738975968969E-2</v>
      </c>
      <c r="H59" s="83"/>
      <c r="N59" s="184" t="s">
        <v>111</v>
      </c>
      <c r="O59" s="83">
        <v>67.25</v>
      </c>
    </row>
    <row r="60" spans="1:15">
      <c r="A60" s="52" t="str">
        <f>'ERPs by country'!A66</f>
        <v>Guatemala</v>
      </c>
      <c r="B60" s="150">
        <f t="shared" si="0"/>
        <v>68.5</v>
      </c>
      <c r="C60" s="110">
        <f>'ERPs by country'!E66</f>
        <v>7.1402259890584963E-2</v>
      </c>
      <c r="D60" s="27">
        <f>'ERPs by country'!D66</f>
        <v>2.208389962363469E-2</v>
      </c>
      <c r="E60" s="27">
        <f t="shared" si="1"/>
        <v>7.1402259890584963E-2</v>
      </c>
      <c r="F60" s="65">
        <f>'Country Tax Rates'!C60</f>
        <v>0.25</v>
      </c>
      <c r="G60" s="65">
        <f>E60-'ERPs by country'!$E$3</f>
        <v>2.4202259890584964E-2</v>
      </c>
      <c r="H60" s="83"/>
      <c r="N60" s="184" t="s">
        <v>112</v>
      </c>
      <c r="O60" s="83">
        <v>64.5</v>
      </c>
    </row>
    <row r="61" spans="1:15">
      <c r="A61" s="52" t="str">
        <f>'ERPs by country'!A67</f>
        <v>Guernsey (States of)</v>
      </c>
      <c r="B61" s="150" t="e">
        <f t="shared" si="0"/>
        <v>#N/A</v>
      </c>
      <c r="C61" s="110">
        <f>'ERPs by country'!E67</f>
        <v>4.7199999999999999E-2</v>
      </c>
      <c r="D61" s="27">
        <f>'ERPs by country'!D67</f>
        <v>0</v>
      </c>
      <c r="E61" s="27">
        <f t="shared" si="1"/>
        <v>4.7199999999999999E-2</v>
      </c>
      <c r="F61" s="65">
        <f>'Country Tax Rates'!C61</f>
        <v>0</v>
      </c>
      <c r="G61" s="65">
        <f>E61-'ERPs by country'!$E$3</f>
        <v>0</v>
      </c>
      <c r="H61" s="83"/>
      <c r="N61" s="184" t="s">
        <v>328</v>
      </c>
      <c r="O61" s="83">
        <v>59.25</v>
      </c>
    </row>
    <row r="62" spans="1:15">
      <c r="A62" s="52" t="str">
        <f>'ERPs by country'!A68</f>
        <v>Honduras</v>
      </c>
      <c r="B62" s="150">
        <f t="shared" si="0"/>
        <v>63.25</v>
      </c>
      <c r="C62" s="110">
        <f>'ERPs by country'!E68</f>
        <v>9.0799016914808295E-2</v>
      </c>
      <c r="D62" s="27">
        <f>'ERPs by country'!D68</f>
        <v>3.9782909430302202E-2</v>
      </c>
      <c r="E62" s="27">
        <f t="shared" si="1"/>
        <v>9.0799016914808295E-2</v>
      </c>
      <c r="F62" s="65">
        <f>'Country Tax Rates'!C62</f>
        <v>0.25</v>
      </c>
      <c r="G62" s="65">
        <f>E62-'ERPs by country'!$E$3</f>
        <v>4.3599016914808296E-2</v>
      </c>
      <c r="H62" s="83"/>
      <c r="N62" s="184" t="s">
        <v>331</v>
      </c>
      <c r="O62" s="83">
        <v>54.75</v>
      </c>
    </row>
    <row r="63" spans="1:15">
      <c r="A63" s="52" t="str">
        <f>'ERPs by country'!A69</f>
        <v>Hong Kong</v>
      </c>
      <c r="B63" s="150">
        <f t="shared" si="0"/>
        <v>73.25</v>
      </c>
      <c r="C63" s="110">
        <f>'ERPs by country'!E69</f>
        <v>5.3053976219022358E-2</v>
      </c>
      <c r="D63" s="27">
        <f>'ERPs by country'!D69</f>
        <v>5.3415930497600151E-3</v>
      </c>
      <c r="E63" s="27">
        <f t="shared" si="1"/>
        <v>5.3053976219022358E-2</v>
      </c>
      <c r="F63" s="65">
        <f>'Country Tax Rates'!C63</f>
        <v>0.16500000000000001</v>
      </c>
      <c r="G63" s="65">
        <f>E63-'ERPs by country'!$E$3</f>
        <v>5.8539762190223596E-3</v>
      </c>
      <c r="H63" s="83"/>
      <c r="N63" s="184" t="s">
        <v>183</v>
      </c>
      <c r="O63" s="83">
        <v>76</v>
      </c>
    </row>
    <row r="64" spans="1:15">
      <c r="A64" s="52" t="str">
        <f>'ERPs by country'!A70</f>
        <v>Hungary</v>
      </c>
      <c r="B64" s="150">
        <f t="shared" si="0"/>
        <v>69.5</v>
      </c>
      <c r="C64" s="110">
        <f>'ERPs by country'!E70</f>
        <v>6.8518958170767988E-2</v>
      </c>
      <c r="D64" s="27">
        <f>'ERPs by country'!D70</f>
        <v>1.9452965733454383E-2</v>
      </c>
      <c r="E64" s="27">
        <f t="shared" si="1"/>
        <v>6.8518958170767988E-2</v>
      </c>
      <c r="F64" s="65">
        <f>'Country Tax Rates'!C64</f>
        <v>0.09</v>
      </c>
      <c r="G64" s="65">
        <f>E64-'ERPs by country'!$E$3</f>
        <v>2.1318958170767989E-2</v>
      </c>
      <c r="H64" s="83"/>
      <c r="N64" s="184" t="s">
        <v>114</v>
      </c>
      <c r="O64" s="83">
        <v>69.5</v>
      </c>
    </row>
    <row r="65" spans="1:15">
      <c r="A65" s="52" t="str">
        <f>'ERPs by country'!A71</f>
        <v>Iceland</v>
      </c>
      <c r="B65" s="150">
        <f t="shared" si="0"/>
        <v>78.25</v>
      </c>
      <c r="C65" s="110">
        <f>'ERPs by country'!E71</f>
        <v>5.5413041262508976E-2</v>
      </c>
      <c r="D65" s="27">
        <f>'ERPs by country'!D71</f>
        <v>7.4941753235439005E-3</v>
      </c>
      <c r="E65" s="27">
        <f t="shared" si="1"/>
        <v>5.5413041262508976E-2</v>
      </c>
      <c r="F65" s="65">
        <f>'Country Tax Rates'!C65</f>
        <v>0.2</v>
      </c>
      <c r="G65" s="65">
        <f>E65-'ERPs by country'!$E$3</f>
        <v>8.2130412625089771E-3</v>
      </c>
      <c r="H65" s="83"/>
      <c r="N65" s="184" t="s">
        <v>145</v>
      </c>
      <c r="O65" s="83">
        <v>70.5</v>
      </c>
    </row>
    <row r="66" spans="1:15">
      <c r="A66" s="52" t="str">
        <f>'ERPs by country'!A72</f>
        <v>India</v>
      </c>
      <c r="B66" s="150">
        <f t="shared" si="0"/>
        <v>67.25</v>
      </c>
      <c r="C66" s="110">
        <f>'ERPs by country'!E72</f>
        <v>6.8518958170767988E-2</v>
      </c>
      <c r="D66" s="27">
        <f>'ERPs by country'!D72</f>
        <v>1.9452965733454383E-2</v>
      </c>
      <c r="E66" s="27">
        <f t="shared" si="1"/>
        <v>6.8518958170767988E-2</v>
      </c>
      <c r="F66" s="65">
        <f>'Country Tax Rates'!C66</f>
        <v>0.3</v>
      </c>
      <c r="G66" s="65">
        <f>E66-'ERPs by country'!$E$3</f>
        <v>2.1318958170767989E-2</v>
      </c>
      <c r="H66" s="83"/>
      <c r="N66" s="184" t="s">
        <v>115</v>
      </c>
      <c r="O66" s="83">
        <v>66</v>
      </c>
    </row>
    <row r="67" spans="1:15">
      <c r="A67" s="52" t="str">
        <f>'ERPs by country'!A73</f>
        <v>Indonesia</v>
      </c>
      <c r="B67" s="150">
        <f t="shared" ref="B67:B130" si="2">VLOOKUP(A67,$N$4:$O$143,2,FALSE)</f>
        <v>64.5</v>
      </c>
      <c r="C67" s="110">
        <f>'ERPs by country'!E73</f>
        <v>6.5635656450950999E-2</v>
      </c>
      <c r="D67" s="27">
        <f>'ERPs by country'!D73</f>
        <v>1.6822031843274077E-2</v>
      </c>
      <c r="E67" s="27">
        <f t="shared" ref="E67:E131" si="3">C67</f>
        <v>6.5635656450950999E-2</v>
      </c>
      <c r="F67" s="65">
        <f>'Country Tax Rates'!C67</f>
        <v>0.15</v>
      </c>
      <c r="G67" s="65">
        <f>E67-'ERPs by country'!$E$3</f>
        <v>1.8435656450951E-2</v>
      </c>
      <c r="H67" s="83"/>
      <c r="N67" s="184" t="s">
        <v>116</v>
      </c>
      <c r="O67" s="83">
        <v>75.5</v>
      </c>
    </row>
    <row r="68" spans="1:15">
      <c r="A68" s="52" t="str">
        <f>'ERPs by country'!A74</f>
        <v>Iraq</v>
      </c>
      <c r="B68" s="150">
        <f t="shared" si="2"/>
        <v>54.75</v>
      </c>
      <c r="C68" s="110">
        <f>'ERPs by country'!E74</f>
        <v>0.1198067796717549</v>
      </c>
      <c r="D68" s="27">
        <f>'ERPs by country'!D74</f>
        <v>6.6251698870904069E-2</v>
      </c>
      <c r="E68" s="27">
        <f t="shared" si="3"/>
        <v>0.1198067796717549</v>
      </c>
      <c r="F68" s="65">
        <f>'Country Tax Rates'!C68</f>
        <v>0.15</v>
      </c>
      <c r="G68" s="65">
        <f>E68-'ERPs by country'!$E$3</f>
        <v>7.2606779671754912E-2</v>
      </c>
      <c r="H68" s="83"/>
      <c r="N68" s="184" t="s">
        <v>117</v>
      </c>
      <c r="O68" s="83">
        <v>61.75</v>
      </c>
    </row>
    <row r="69" spans="1:15">
      <c r="A69" s="52" t="str">
        <f>'ERPs by country'!A75</f>
        <v>Ireland</v>
      </c>
      <c r="B69" s="150">
        <f t="shared" si="2"/>
        <v>76</v>
      </c>
      <c r="C69" s="110">
        <f>'ERPs by country'!E75</f>
        <v>5.5413041262508976E-2</v>
      </c>
      <c r="D69" s="27">
        <f>'ERPs by country'!D75</f>
        <v>7.4941753235439005E-3</v>
      </c>
      <c r="E69" s="27">
        <f t="shared" si="3"/>
        <v>5.5413041262508976E-2</v>
      </c>
      <c r="F69" s="65">
        <f>'Country Tax Rates'!C69</f>
        <v>0.125</v>
      </c>
      <c r="G69" s="65">
        <f>E69-'ERPs by country'!$E$3</f>
        <v>8.2130412625089771E-3</v>
      </c>
      <c r="H69" s="83"/>
      <c r="N69" s="184" t="s">
        <v>118</v>
      </c>
      <c r="O69" s="83">
        <v>67</v>
      </c>
    </row>
    <row r="70" spans="1:15">
      <c r="A70" s="52" t="str">
        <f>'ERPs by country'!A76</f>
        <v>Isle of Man</v>
      </c>
      <c r="B70" s="150" t="e">
        <f t="shared" si="2"/>
        <v>#N/A</v>
      </c>
      <c r="C70" s="110">
        <f>'ERPs by country'!E76</f>
        <v>5.3053976219022358E-2</v>
      </c>
      <c r="D70" s="27">
        <f>'ERPs by country'!D76</f>
        <v>5.3415930497600151E-3</v>
      </c>
      <c r="E70" s="27">
        <f t="shared" si="3"/>
        <v>5.3053976219022358E-2</v>
      </c>
      <c r="F70" s="65">
        <f>'Country Tax Rates'!C70</f>
        <v>0</v>
      </c>
      <c r="G70" s="65">
        <f>E70-'ERPs by country'!$E$3</f>
        <v>5.8539762190223596E-3</v>
      </c>
      <c r="H70" s="83"/>
      <c r="N70" s="184" t="s">
        <v>184</v>
      </c>
      <c r="O70" s="83">
        <v>62</v>
      </c>
    </row>
    <row r="71" spans="1:15">
      <c r="A71" s="52" t="str">
        <f>'ERPs by country'!A77</f>
        <v>Israel</v>
      </c>
      <c r="B71" s="150">
        <f t="shared" si="2"/>
        <v>69.5</v>
      </c>
      <c r="C71" s="110">
        <f>'ERPs by country'!E77</f>
        <v>5.4015076792294683E-2</v>
      </c>
      <c r="D71" s="27">
        <f>'ERPs by country'!D77</f>
        <v>6.2185710131534505E-3</v>
      </c>
      <c r="E71" s="27">
        <f t="shared" si="3"/>
        <v>5.4015076792294683E-2</v>
      </c>
      <c r="F71" s="65">
        <f>'Country Tax Rates'!C71</f>
        <v>0.23</v>
      </c>
      <c r="G71" s="65">
        <f>E71-'ERPs by country'!$E$3</f>
        <v>6.8150767922946845E-3</v>
      </c>
      <c r="H71" s="83"/>
      <c r="N71" s="184" t="s">
        <v>386</v>
      </c>
      <c r="O71" s="83">
        <v>50.75</v>
      </c>
    </row>
    <row r="72" spans="1:15">
      <c r="A72" s="52" t="str">
        <f>'ERPs by country'!A78</f>
        <v>Italy</v>
      </c>
      <c r="B72" s="150">
        <f t="shared" si="2"/>
        <v>70.5</v>
      </c>
      <c r="C72" s="110">
        <f>'ERPs by country'!E78</f>
        <v>6.8518958170767988E-2</v>
      </c>
      <c r="D72" s="27">
        <f>'ERPs by country'!D78</f>
        <v>1.9452965733454383E-2</v>
      </c>
      <c r="E72" s="27">
        <f t="shared" si="3"/>
        <v>6.8518958170767988E-2</v>
      </c>
      <c r="F72" s="65">
        <f>'Country Tax Rates'!C72</f>
        <v>0.24</v>
      </c>
      <c r="G72" s="65">
        <f>E72-'ERPs by country'!$E$3</f>
        <v>2.1318958170767989E-2</v>
      </c>
      <c r="H72" s="83"/>
      <c r="N72" s="184" t="s">
        <v>511</v>
      </c>
      <c r="O72" s="83">
        <v>79</v>
      </c>
    </row>
    <row r="73" spans="1:15">
      <c r="A73" s="52" t="str">
        <f>'ERPs by country'!A79</f>
        <v>Jamaica</v>
      </c>
      <c r="B73" s="150">
        <f t="shared" si="2"/>
        <v>66</v>
      </c>
      <c r="C73" s="110">
        <f>'ERPs by country'!E79</f>
        <v>0.10049739542691996</v>
      </c>
      <c r="D73" s="27">
        <f>'ERPs by country'!D79</f>
        <v>4.8632414333635951E-2</v>
      </c>
      <c r="E73" s="27">
        <f t="shared" si="3"/>
        <v>0.10049739542691996</v>
      </c>
      <c r="F73" s="65">
        <f>'Country Tax Rates'!C73</f>
        <v>0.25</v>
      </c>
      <c r="G73" s="65">
        <f>E73-'ERPs by country'!$E$3</f>
        <v>5.3297395426919962E-2</v>
      </c>
      <c r="H73" s="83"/>
      <c r="N73" s="184" t="s">
        <v>120</v>
      </c>
      <c r="O73" s="83">
        <v>66.75</v>
      </c>
    </row>
    <row r="74" spans="1:15">
      <c r="A74" s="52" t="str">
        <f>'ERPs by country'!A80</f>
        <v>Japan</v>
      </c>
      <c r="B74" s="150">
        <f t="shared" si="2"/>
        <v>75.5</v>
      </c>
      <c r="C74" s="110">
        <f>'ERPs by country'!E80</f>
        <v>5.4015076792294683E-2</v>
      </c>
      <c r="D74" s="27">
        <f>'ERPs by country'!D80</f>
        <v>6.2185710131534505E-3</v>
      </c>
      <c r="E74" s="27">
        <f t="shared" si="3"/>
        <v>5.4015076792294683E-2</v>
      </c>
      <c r="F74" s="65">
        <f>'Country Tax Rates'!C74</f>
        <v>0.30620000000000003</v>
      </c>
      <c r="G74" s="65">
        <f>E74-'ERPs by country'!$E$3</f>
        <v>6.8150767922946845E-3</v>
      </c>
      <c r="H74" s="83"/>
      <c r="N74" s="184" t="s">
        <v>121</v>
      </c>
      <c r="O74" s="83">
        <v>68.75</v>
      </c>
    </row>
    <row r="75" spans="1:15">
      <c r="A75" s="52" t="str">
        <f>'ERPs by country'!A81</f>
        <v>Jersey (States of)</v>
      </c>
      <c r="B75" s="150" t="e">
        <f t="shared" si="2"/>
        <v>#N/A</v>
      </c>
      <c r="C75" s="110">
        <f>'ERPs by country'!E81</f>
        <v>4.7199999999999999E-2</v>
      </c>
      <c r="D75" s="27">
        <f>'ERPs by country'!D81</f>
        <v>0</v>
      </c>
      <c r="E75" s="27">
        <f t="shared" si="3"/>
        <v>4.7199999999999999E-2</v>
      </c>
      <c r="F75" s="65">
        <f>'Country Tax Rates'!C75</f>
        <v>0</v>
      </c>
      <c r="G75" s="65">
        <f>E75-'ERPs by country'!$E$3</f>
        <v>0</v>
      </c>
      <c r="H75" s="83"/>
      <c r="N75" s="184" t="s">
        <v>122</v>
      </c>
      <c r="O75" s="83">
        <v>50.5</v>
      </c>
    </row>
    <row r="76" spans="1:15">
      <c r="A76" s="52" t="str">
        <f>'ERPs by country'!A82</f>
        <v>Jordan</v>
      </c>
      <c r="B76" s="150">
        <f t="shared" si="2"/>
        <v>61.75</v>
      </c>
      <c r="C76" s="110">
        <f>'ERPs by country'!E82</f>
        <v>9.0799016914808295E-2</v>
      </c>
      <c r="D76" s="27">
        <f>'ERPs by country'!D82</f>
        <v>3.9782909430302202E-2</v>
      </c>
      <c r="E76" s="27">
        <f t="shared" si="3"/>
        <v>9.0799016914808295E-2</v>
      </c>
      <c r="F76" s="65">
        <f>'Country Tax Rates'!C76</f>
        <v>0.2</v>
      </c>
      <c r="G76" s="65">
        <f>E76-'ERPs by country'!$E$3</f>
        <v>4.3599016914808296E-2</v>
      </c>
      <c r="H76" s="83"/>
      <c r="N76" s="184" t="s">
        <v>318</v>
      </c>
      <c r="O76" s="83">
        <v>53.5</v>
      </c>
    </row>
    <row r="77" spans="1:15">
      <c r="A77" s="52" t="str">
        <f>'ERPs by country'!A83</f>
        <v>Kazakhstan</v>
      </c>
      <c r="B77" s="150">
        <f t="shared" si="2"/>
        <v>67</v>
      </c>
      <c r="C77" s="110">
        <f>'ERPs by country'!E83</f>
        <v>6.8518958170767988E-2</v>
      </c>
      <c r="D77" s="27">
        <f>'ERPs by country'!D83</f>
        <v>1.9452965733454383E-2</v>
      </c>
      <c r="E77" s="27">
        <f t="shared" si="3"/>
        <v>6.8518958170767988E-2</v>
      </c>
      <c r="F77" s="65">
        <f>'Country Tax Rates'!C77</f>
        <v>0.2</v>
      </c>
      <c r="G77" s="65">
        <f>E77-'ERPs by country'!$E$3</f>
        <v>2.1318958170767989E-2</v>
      </c>
      <c r="H77" s="83"/>
      <c r="N77" s="184" t="s">
        <v>322</v>
      </c>
      <c r="O77" s="83">
        <v>58.25</v>
      </c>
    </row>
    <row r="78" spans="1:15">
      <c r="A78" s="52" t="str">
        <f>'ERPs by country'!A84</f>
        <v>Kenya</v>
      </c>
      <c r="B78" s="150">
        <f t="shared" si="2"/>
        <v>62</v>
      </c>
      <c r="C78" s="110">
        <f>'ERPs by country'!E84</f>
        <v>0.10049739542691996</v>
      </c>
      <c r="D78" s="27">
        <f>'ERPs by country'!D84</f>
        <v>4.8632414333635951E-2</v>
      </c>
      <c r="E78" s="27">
        <f t="shared" si="3"/>
        <v>0.10049739542691996</v>
      </c>
      <c r="F78" s="65">
        <f>'Country Tax Rates'!C78</f>
        <v>0.3</v>
      </c>
      <c r="G78" s="65">
        <f>E78-'ERPs by country'!$E$3</f>
        <v>5.3297395426919962E-2</v>
      </c>
      <c r="H78" s="83"/>
      <c r="N78" s="184" t="s">
        <v>13</v>
      </c>
      <c r="O78" s="83">
        <v>69.75</v>
      </c>
    </row>
    <row r="79" spans="1:15">
      <c r="A79" s="52" t="str">
        <f>'ERPs by country'!A85</f>
        <v>Korea</v>
      </c>
      <c r="B79" s="150" t="e">
        <f t="shared" si="2"/>
        <v>#N/A</v>
      </c>
      <c r="C79" s="110">
        <f>'ERPs by country'!E85</f>
        <v>5.2005502866361637E-2</v>
      </c>
      <c r="D79" s="27">
        <f>'ERPs by country'!D85</f>
        <v>4.3848898169671765E-3</v>
      </c>
      <c r="E79" s="27">
        <f t="shared" si="3"/>
        <v>5.2005502866361637E-2</v>
      </c>
      <c r="F79" s="65">
        <f>'Country Tax Rates'!C79</f>
        <v>0.25</v>
      </c>
      <c r="G79" s="65">
        <f>E79-'ERPs by country'!$E$3</f>
        <v>4.8055028663616384E-3</v>
      </c>
      <c r="H79" s="83"/>
      <c r="N79" s="184" t="s">
        <v>185</v>
      </c>
      <c r="O79" s="83">
        <v>82.5</v>
      </c>
    </row>
    <row r="80" spans="1:15">
      <c r="A80" s="52" t="str">
        <f>'ERPs by country'!A86</f>
        <v>Kuwait</v>
      </c>
      <c r="B80" s="150">
        <f t="shared" si="2"/>
        <v>66.75</v>
      </c>
      <c r="C80" s="110">
        <f>'ERPs by country'!E86</f>
        <v>5.4015076792294683E-2</v>
      </c>
      <c r="D80" s="27">
        <f>'ERPs by country'!D86</f>
        <v>6.2185710131534505E-3</v>
      </c>
      <c r="E80" s="27">
        <f t="shared" si="3"/>
        <v>5.4015076792294683E-2</v>
      </c>
      <c r="F80" s="65">
        <f>'Country Tax Rates'!C80</f>
        <v>0.15</v>
      </c>
      <c r="G80" s="65">
        <f>E80-'ERPs by country'!$E$3</f>
        <v>6.8150767922946845E-3</v>
      </c>
      <c r="H80" s="83"/>
      <c r="N80" s="184" t="s">
        <v>336</v>
      </c>
      <c r="O80" s="83">
        <v>63.25</v>
      </c>
    </row>
    <row r="81" spans="1:15">
      <c r="A81" s="52" t="str">
        <f>'ERPs by country'!A87</f>
        <v>Kyrgyzstan</v>
      </c>
      <c r="B81" s="150" t="e">
        <f t="shared" si="2"/>
        <v>#N/A</v>
      </c>
      <c r="C81" s="110">
        <f>'ERPs by country'!E87</f>
        <v>0.10049739542691996</v>
      </c>
      <c r="D81" s="27">
        <f>'ERPs by country'!D87</f>
        <v>4.8632414333635951E-2</v>
      </c>
      <c r="E81" s="27">
        <f t="shared" si="3"/>
        <v>0.10049739542691996</v>
      </c>
      <c r="F81" s="65">
        <f>'Country Tax Rates'!C81</f>
        <v>0.1</v>
      </c>
      <c r="G81" s="65">
        <f>E81-'ERPs by country'!$E$3</f>
        <v>5.3297395426919962E-2</v>
      </c>
      <c r="H81" s="83"/>
      <c r="N81" s="184" t="s">
        <v>327</v>
      </c>
      <c r="O81" s="83">
        <v>58.75</v>
      </c>
    </row>
    <row r="82" spans="1:15">
      <c r="A82" s="52" t="str">
        <f>'ERPs by country'!A89</f>
        <v>Latvia</v>
      </c>
      <c r="B82" s="150">
        <f t="shared" si="2"/>
        <v>68.75</v>
      </c>
      <c r="C82" s="110">
        <f>'ERPs by country'!E89</f>
        <v>5.8820579658656322E-2</v>
      </c>
      <c r="D82" s="27">
        <f>'ERPs by country'!D89</f>
        <v>1.0603460830120627E-2</v>
      </c>
      <c r="E82" s="27">
        <f t="shared" si="3"/>
        <v>5.8820579658656322E-2</v>
      </c>
      <c r="F82" s="65">
        <f>'Country Tax Rates'!C83</f>
        <v>0.2</v>
      </c>
      <c r="G82" s="65">
        <f>E82-'ERPs by country'!$E$3</f>
        <v>1.1620579658656323E-2</v>
      </c>
      <c r="H82" s="83"/>
      <c r="N82" s="184" t="s">
        <v>14</v>
      </c>
      <c r="O82" s="83">
        <v>69.25</v>
      </c>
    </row>
    <row r="83" spans="1:15">
      <c r="A83" s="52" t="str">
        <f>'ERPs by country'!A90</f>
        <v>Lebanon</v>
      </c>
      <c r="B83" s="150">
        <f t="shared" si="2"/>
        <v>50.5</v>
      </c>
      <c r="C83" s="110">
        <f>'ERPs by country'!E90</f>
        <v>0.23898657542527282</v>
      </c>
      <c r="D83" s="27">
        <f>'ERPs by country'!D90</f>
        <v>0.17499999999999999</v>
      </c>
      <c r="E83" s="27">
        <f t="shared" si="3"/>
        <v>0.23898657542527282</v>
      </c>
      <c r="F83" s="65">
        <f>'Country Tax Rates'!C84</f>
        <v>0.17</v>
      </c>
      <c r="G83" s="65">
        <f>E83-'ERPs by country'!$E$3</f>
        <v>0.19178657542527283</v>
      </c>
      <c r="H83" s="83"/>
      <c r="N83" s="184" t="s">
        <v>325</v>
      </c>
      <c r="O83" s="83">
        <v>60.5</v>
      </c>
    </row>
    <row r="84" spans="1:15">
      <c r="A84" s="52" t="str">
        <f>'ERPs by country'!A91</f>
        <v>Liechtenstein</v>
      </c>
      <c r="B84" s="150" t="e">
        <f t="shared" si="2"/>
        <v>#N/A</v>
      </c>
      <c r="C84" s="110">
        <f>'ERPs by country'!E91</f>
        <v>4.7199999999999999E-2</v>
      </c>
      <c r="D84" s="27">
        <f>'ERPs by country'!D91</f>
        <v>0</v>
      </c>
      <c r="E84" s="27">
        <f t="shared" si="3"/>
        <v>4.7199999999999999E-2</v>
      </c>
      <c r="F84" s="65">
        <f>'Country Tax Rates'!C85</f>
        <v>0.125</v>
      </c>
      <c r="G84" s="65">
        <f>E84-'ERPs by country'!$E$3</f>
        <v>0</v>
      </c>
      <c r="H84" s="83"/>
      <c r="N84" s="184" t="s">
        <v>186</v>
      </c>
      <c r="O84" s="83">
        <v>72</v>
      </c>
    </row>
    <row r="85" spans="1:15">
      <c r="A85" s="52" t="str">
        <f>'ERPs by country'!A92</f>
        <v>Lithuania</v>
      </c>
      <c r="B85" s="150">
        <f t="shared" si="2"/>
        <v>69.75</v>
      </c>
      <c r="C85" s="110">
        <f>'ERPs by country'!E92</f>
        <v>5.8820579658656322E-2</v>
      </c>
      <c r="D85" s="27">
        <f>'ERPs by country'!D92</f>
        <v>1.0603460830120627E-2</v>
      </c>
      <c r="E85" s="27">
        <f t="shared" si="3"/>
        <v>5.8820579658656322E-2</v>
      </c>
      <c r="F85" s="65">
        <f>'Country Tax Rates'!C86</f>
        <v>0.15</v>
      </c>
      <c r="G85" s="65">
        <f>E85-'ERPs by country'!$E$3</f>
        <v>1.1620579658656323E-2</v>
      </c>
      <c r="H85" s="83"/>
      <c r="N85" s="184" t="s">
        <v>16</v>
      </c>
      <c r="O85" s="83">
        <v>64.25</v>
      </c>
    </row>
    <row r="86" spans="1:15">
      <c r="A86" s="52" t="str">
        <f>'ERPs by country'!A93</f>
        <v>Luxembourg</v>
      </c>
      <c r="B86" s="150">
        <f t="shared" si="2"/>
        <v>82.5</v>
      </c>
      <c r="C86" s="110">
        <f>'ERPs by country'!E93</f>
        <v>4.7199999999999999E-2</v>
      </c>
      <c r="D86" s="27">
        <f>'ERPs by country'!D93</f>
        <v>0</v>
      </c>
      <c r="E86" s="27">
        <f t="shared" si="3"/>
        <v>4.7199999999999999E-2</v>
      </c>
      <c r="F86" s="65">
        <f>'Country Tax Rates'!C87</f>
        <v>0.24940000000000001</v>
      </c>
      <c r="G86" s="65">
        <f>E86-'ERPs by country'!$E$3</f>
        <v>0</v>
      </c>
      <c r="H86" s="83"/>
      <c r="N86" s="184" t="s">
        <v>17</v>
      </c>
      <c r="O86" s="83">
        <v>63.75</v>
      </c>
    </row>
    <row r="87" spans="1:15">
      <c r="A87" s="52" t="str">
        <f>'ERPs by country'!A94</f>
        <v>Macao</v>
      </c>
      <c r="B87" s="150" t="e">
        <f t="shared" si="2"/>
        <v>#N/A</v>
      </c>
      <c r="C87" s="110">
        <f>'ERPs by country'!E94</f>
        <v>5.3053976219022358E-2</v>
      </c>
      <c r="D87" s="27">
        <f>'ERPs by country'!D94</f>
        <v>5.3415930497600151E-3</v>
      </c>
      <c r="E87" s="27">
        <f t="shared" si="3"/>
        <v>5.3053976219022358E-2</v>
      </c>
      <c r="F87" s="65">
        <f>'Country Tax Rates'!C88</f>
        <v>0.12</v>
      </c>
      <c r="G87" s="65">
        <f>E87-'ERPs by country'!$E$3</f>
        <v>5.8539762190223596E-3</v>
      </c>
      <c r="H87" s="83"/>
      <c r="N87" s="184" t="s">
        <v>63</v>
      </c>
      <c r="O87" s="83">
        <v>59.75</v>
      </c>
    </row>
    <row r="88" spans="1:15">
      <c r="A88" s="52" t="str">
        <f>'ERPs by country'!A95</f>
        <v>Macedonia</v>
      </c>
      <c r="B88" s="150" t="e">
        <f t="shared" si="2"/>
        <v>#N/A</v>
      </c>
      <c r="C88" s="110">
        <f>'ERPs by country'!E95</f>
        <v>8.2061738975968967E-2</v>
      </c>
      <c r="D88" s="27">
        <f>'ERPs by country'!D95</f>
        <v>3.1810382490361881E-2</v>
      </c>
      <c r="E88" s="27">
        <f t="shared" si="3"/>
        <v>8.2061738975968967E-2</v>
      </c>
      <c r="F88" s="65">
        <f>'Country Tax Rates'!C89</f>
        <v>0.1</v>
      </c>
      <c r="G88" s="65">
        <f>E88-'ERPs by country'!$E$3</f>
        <v>3.4861738975968969E-2</v>
      </c>
      <c r="H88" s="83"/>
      <c r="N88" s="184" t="s">
        <v>18</v>
      </c>
      <c r="O88" s="83">
        <v>63</v>
      </c>
    </row>
    <row r="89" spans="1:15">
      <c r="A89" s="52" t="str">
        <f>'ERPs by country'!A96</f>
        <v>Malaysia</v>
      </c>
      <c r="B89" s="150">
        <f t="shared" si="2"/>
        <v>69.25</v>
      </c>
      <c r="C89" s="110">
        <f>'ERPs by country'!E96</f>
        <v>5.8820579658656322E-2</v>
      </c>
      <c r="D89" s="27">
        <f>'ERPs by country'!D96</f>
        <v>1.0603460830120627E-2</v>
      </c>
      <c r="E89" s="27">
        <f t="shared" si="3"/>
        <v>5.8820579658656322E-2</v>
      </c>
      <c r="F89" s="65">
        <f>'Country Tax Rates'!C90</f>
        <v>0.24</v>
      </c>
      <c r="G89" s="65">
        <f>E89-'ERPs by country'!$E$3</f>
        <v>1.1620579658656323E-2</v>
      </c>
      <c r="H89" s="83"/>
      <c r="N89" s="184" t="s">
        <v>226</v>
      </c>
      <c r="O89" s="83">
        <v>49.25</v>
      </c>
    </row>
    <row r="90" spans="1:15">
      <c r="A90" s="52" t="str">
        <f>'ERPs by country'!A97</f>
        <v>Maldives</v>
      </c>
      <c r="B90" s="150" t="e">
        <f t="shared" si="2"/>
        <v>#N/A</v>
      </c>
      <c r="C90" s="110">
        <f>'ERPs by country'!E97</f>
        <v>0.1101957739390316</v>
      </c>
      <c r="D90" s="27">
        <f>'ERPs by country'!D97</f>
        <v>5.74819192369697E-2</v>
      </c>
      <c r="E90" s="27">
        <f t="shared" si="3"/>
        <v>0.1101957739390316</v>
      </c>
      <c r="F90" s="65">
        <f>'Country Tax Rates'!C91</f>
        <v>0.21129999999999999</v>
      </c>
      <c r="G90" s="65">
        <f>E90-'ERPs by country'!$E$3</f>
        <v>6.2995773939031607E-2</v>
      </c>
      <c r="H90" s="83"/>
      <c r="N90" s="184" t="s">
        <v>335</v>
      </c>
      <c r="O90" s="83">
        <v>63.75</v>
      </c>
    </row>
    <row r="91" spans="1:15">
      <c r="A91" s="52" t="str">
        <f>'ERPs by country'!A98</f>
        <v>Mali</v>
      </c>
      <c r="B91" s="150">
        <f t="shared" si="2"/>
        <v>60.5</v>
      </c>
      <c r="C91" s="110">
        <f>'ERPs by country'!E98</f>
        <v>0.1198067796717549</v>
      </c>
      <c r="D91" s="27">
        <f>'ERPs by country'!D98</f>
        <v>6.6251698870904069E-2</v>
      </c>
      <c r="E91" s="27">
        <f t="shared" si="3"/>
        <v>0.1198067796717549</v>
      </c>
      <c r="F91" s="65">
        <f>'Country Tax Rates'!C92</f>
        <v>0.28249999999999997</v>
      </c>
      <c r="G91" s="65">
        <f>E91-'ERPs by country'!$E$3</f>
        <v>7.2606779671754912E-2</v>
      </c>
      <c r="H91" s="83"/>
      <c r="N91" s="184" t="s">
        <v>136</v>
      </c>
      <c r="O91" s="83">
        <v>68.5</v>
      </c>
    </row>
    <row r="92" spans="1:15">
      <c r="A92" s="52" t="str">
        <f>'ERPs by country'!A99</f>
        <v>Malta</v>
      </c>
      <c r="B92" s="150">
        <f t="shared" si="2"/>
        <v>72</v>
      </c>
      <c r="C92" s="110">
        <f>'ERPs by country'!E99</f>
        <v>5.5413041262508976E-2</v>
      </c>
      <c r="D92" s="27">
        <f>'ERPs by country'!D99</f>
        <v>7.4941753235439005E-3</v>
      </c>
      <c r="E92" s="27">
        <f t="shared" si="3"/>
        <v>5.5413041262508976E-2</v>
      </c>
      <c r="F92" s="65">
        <f>'Country Tax Rates'!C93</f>
        <v>0.35</v>
      </c>
      <c r="G92" s="65">
        <f>E92-'ERPs by country'!$E$3</f>
        <v>8.2130412625089771E-3</v>
      </c>
      <c r="H92" s="83"/>
      <c r="N92" s="184" t="s">
        <v>187</v>
      </c>
      <c r="O92" s="83">
        <v>76.75</v>
      </c>
    </row>
    <row r="93" spans="1:15">
      <c r="A93" s="52" t="str">
        <f>'ERPs by country'!A100</f>
        <v>Mauritius</v>
      </c>
      <c r="B93" s="150" t="e">
        <f t="shared" si="2"/>
        <v>#N/A</v>
      </c>
      <c r="C93" s="110">
        <f>'ERPs by country'!E100</f>
        <v>6.2664981951745621E-2</v>
      </c>
      <c r="D93" s="27">
        <f>'ERPs by country'!D100</f>
        <v>1.4111372683694367E-2</v>
      </c>
      <c r="E93" s="27">
        <f t="shared" si="3"/>
        <v>6.2664981951745621E-2</v>
      </c>
      <c r="F93" s="65">
        <f>'Country Tax Rates'!C94</f>
        <v>0.15</v>
      </c>
      <c r="G93" s="65">
        <f>E93-'ERPs by country'!$E$3</f>
        <v>1.5464981951745622E-2</v>
      </c>
      <c r="H93" s="83"/>
      <c r="N93" s="184" t="s">
        <v>21</v>
      </c>
      <c r="O93" s="83">
        <v>78.25</v>
      </c>
    </row>
    <row r="94" spans="1:15">
      <c r="A94" s="52" t="str">
        <f>'ERPs by country'!A101</f>
        <v>Mexico</v>
      </c>
      <c r="B94" s="150">
        <f t="shared" si="2"/>
        <v>64.25</v>
      </c>
      <c r="C94" s="110">
        <f>'ERPs by country'!E101</f>
        <v>6.2664981951745621E-2</v>
      </c>
      <c r="D94" s="27">
        <f>'ERPs by country'!D101</f>
        <v>1.4111372683694367E-2</v>
      </c>
      <c r="E94" s="27">
        <f t="shared" si="3"/>
        <v>6.2664981951745621E-2</v>
      </c>
      <c r="F94" s="65">
        <f>'Country Tax Rates'!C95</f>
        <v>0.3</v>
      </c>
      <c r="G94" s="65">
        <f>E94-'ERPs by country'!$E$3</f>
        <v>1.5464981951745622E-2</v>
      </c>
      <c r="H94" s="83"/>
      <c r="N94" s="184" t="s">
        <v>22</v>
      </c>
      <c r="O94" s="83">
        <v>61</v>
      </c>
    </row>
    <row r="95" spans="1:15">
      <c r="A95" s="52" t="str">
        <f>'ERPs by country'!A102</f>
        <v>Moldova</v>
      </c>
      <c r="B95" s="150">
        <f t="shared" si="2"/>
        <v>63.75</v>
      </c>
      <c r="C95" s="110">
        <f>'ERPs by country'!E102</f>
        <v>0.1101957739390316</v>
      </c>
      <c r="D95" s="27">
        <f>'ERPs by country'!D102</f>
        <v>5.74819192369697E-2</v>
      </c>
      <c r="E95" s="27">
        <f t="shared" si="3"/>
        <v>0.1101957739390316</v>
      </c>
      <c r="F95" s="65">
        <f>'Country Tax Rates'!C96</f>
        <v>0.12</v>
      </c>
      <c r="G95" s="65">
        <f>E95-'ERPs by country'!$E$3</f>
        <v>6.2995773939031607E-2</v>
      </c>
      <c r="H95" s="83"/>
      <c r="N95" s="184" t="s">
        <v>321</v>
      </c>
      <c r="O95" s="83">
        <v>53.25</v>
      </c>
    </row>
    <row r="96" spans="1:15">
      <c r="A96" s="52" t="str">
        <f>'ERPs by country'!A103</f>
        <v>Mongolia</v>
      </c>
      <c r="B96" s="150">
        <f t="shared" si="2"/>
        <v>59.75</v>
      </c>
      <c r="C96" s="110">
        <f>'ERPs by country'!E103</f>
        <v>0.1101957739390316</v>
      </c>
      <c r="D96" s="27">
        <f>'ERPs by country'!D103</f>
        <v>5.74819192369697E-2</v>
      </c>
      <c r="E96" s="27">
        <f t="shared" si="3"/>
        <v>0.1101957739390316</v>
      </c>
      <c r="F96" s="65">
        <f>'Country Tax Rates'!C97</f>
        <v>0.25</v>
      </c>
      <c r="G96" s="65">
        <f>E96-'ERPs by country'!$E$3</f>
        <v>6.2995773939031607E-2</v>
      </c>
      <c r="H96" s="83"/>
      <c r="N96" s="184" t="s">
        <v>188</v>
      </c>
      <c r="O96" s="83">
        <v>56.25</v>
      </c>
    </row>
    <row r="97" spans="1:15">
      <c r="A97" s="52" t="str">
        <f>'ERPs by country'!A104</f>
        <v>Montenegro</v>
      </c>
      <c r="B97" s="150" t="e">
        <f t="shared" si="2"/>
        <v>#N/A</v>
      </c>
      <c r="C97" s="110">
        <f>'ERPs by country'!E104</f>
        <v>9.0799016914808295E-2</v>
      </c>
      <c r="D97" s="27">
        <f>'ERPs by country'!D104</f>
        <v>3.9782909430302202E-2</v>
      </c>
      <c r="E97" s="27">
        <f t="shared" si="3"/>
        <v>9.0799016914808295E-2</v>
      </c>
      <c r="F97" s="65">
        <f>'Country Tax Rates'!C98</f>
        <v>0.09</v>
      </c>
      <c r="G97" s="65">
        <f>E97-'ERPs by country'!$E$3</f>
        <v>4.3599016914808296E-2</v>
      </c>
      <c r="H97" s="83"/>
      <c r="N97" s="184" t="s">
        <v>23</v>
      </c>
      <c r="O97" s="83">
        <v>81.5</v>
      </c>
    </row>
    <row r="98" spans="1:15">
      <c r="A98" s="52" t="str">
        <f>'ERPs by country'!A105</f>
        <v>Montserrat</v>
      </c>
      <c r="B98" s="150" t="e">
        <f t="shared" si="2"/>
        <v>#N/A</v>
      </c>
      <c r="C98" s="110">
        <f>'ERPs by country'!E105</f>
        <v>6.8518958170767988E-2</v>
      </c>
      <c r="D98" s="27">
        <f>'ERPs by country'!D105</f>
        <v>1.9452965733454383E-2</v>
      </c>
      <c r="E98" s="27">
        <f t="shared" si="3"/>
        <v>6.8518958170767988E-2</v>
      </c>
      <c r="F98" s="65">
        <f>'Country Tax Rates'!C99</f>
        <v>0.21129999999999999</v>
      </c>
      <c r="G98" s="65">
        <f>E98-'ERPs by country'!$E$3</f>
        <v>2.1318958170767989E-2</v>
      </c>
      <c r="H98" s="83"/>
      <c r="N98" s="184" t="s">
        <v>24</v>
      </c>
      <c r="O98" s="83">
        <v>66</v>
      </c>
    </row>
    <row r="99" spans="1:15">
      <c r="A99" s="52" t="str">
        <f>'ERPs by country'!A106</f>
        <v>Morocco</v>
      </c>
      <c r="B99" s="150">
        <f t="shared" si="2"/>
        <v>63</v>
      </c>
      <c r="C99" s="110">
        <f>'ERPs by country'!E106</f>
        <v>7.1402259890584963E-2</v>
      </c>
      <c r="D99" s="27">
        <f>'ERPs by country'!D106</f>
        <v>2.208389962363469E-2</v>
      </c>
      <c r="E99" s="27">
        <f t="shared" si="3"/>
        <v>7.1402259890584963E-2</v>
      </c>
      <c r="F99" s="65">
        <f>'Country Tax Rates'!C100</f>
        <v>0.31</v>
      </c>
      <c r="G99" s="65">
        <f>E99-'ERPs by country'!$E$3</f>
        <v>2.4202259890584964E-2</v>
      </c>
      <c r="H99" s="83"/>
      <c r="N99" s="184" t="s">
        <v>25</v>
      </c>
      <c r="O99" s="83">
        <v>55</v>
      </c>
    </row>
    <row r="100" spans="1:15">
      <c r="A100" s="52" t="str">
        <f>'ERPs by country'!A107</f>
        <v>Mozambique</v>
      </c>
      <c r="B100" s="150">
        <f t="shared" si="2"/>
        <v>49.25</v>
      </c>
      <c r="C100" s="110">
        <f>'ERPs by country'!E107</f>
        <v>0.1343980338296166</v>
      </c>
      <c r="D100" s="27">
        <f>'ERPs by country'!D107</f>
        <v>7.9565818860604404E-2</v>
      </c>
      <c r="E100" s="27">
        <f t="shared" si="3"/>
        <v>0.1343980338296166</v>
      </c>
      <c r="F100" s="65">
        <f>'Country Tax Rates'!C101</f>
        <v>0.32</v>
      </c>
      <c r="G100" s="65">
        <f>E100-'ERPs by country'!$E$3</f>
        <v>8.7198033829616606E-2</v>
      </c>
      <c r="H100" s="83"/>
      <c r="N100" s="184" t="s">
        <v>26</v>
      </c>
      <c r="O100" s="83">
        <v>66.25</v>
      </c>
    </row>
    <row r="101" spans="1:15">
      <c r="A101" s="52" t="str">
        <f>'ERPs by country'!A108</f>
        <v>Namibia</v>
      </c>
      <c r="B101" s="150">
        <f t="shared" si="2"/>
        <v>68.5</v>
      </c>
      <c r="C101" s="110">
        <f>'ERPs by country'!E108</f>
        <v>8.2061738975968967E-2</v>
      </c>
      <c r="D101" s="27">
        <f>'ERPs by country'!D108</f>
        <v>3.1810382490361881E-2</v>
      </c>
      <c r="E101" s="27">
        <f t="shared" si="3"/>
        <v>8.2061738975968967E-2</v>
      </c>
      <c r="F101" s="65">
        <f>'Country Tax Rates'!C102</f>
        <v>0.32</v>
      </c>
      <c r="G101" s="65">
        <f>E101-'ERPs by country'!$E$3</f>
        <v>3.4861738975968969E-2</v>
      </c>
      <c r="H101" s="83"/>
      <c r="N101" s="184" t="s">
        <v>9</v>
      </c>
      <c r="O101" s="83">
        <v>64.5</v>
      </c>
    </row>
    <row r="102" spans="1:15">
      <c r="A102" s="52" t="str">
        <f>'ERPs by country'!A109</f>
        <v>Netherlands</v>
      </c>
      <c r="B102" s="150">
        <f t="shared" si="2"/>
        <v>76.75</v>
      </c>
      <c r="C102" s="110">
        <f>'ERPs by country'!E109</f>
        <v>4.7199999999999999E-2</v>
      </c>
      <c r="D102" s="27">
        <f>'ERPs by country'!D109</f>
        <v>0</v>
      </c>
      <c r="E102" s="27">
        <f t="shared" si="3"/>
        <v>4.7199999999999999E-2</v>
      </c>
      <c r="F102" s="65">
        <f>'Country Tax Rates'!C103</f>
        <v>0.25</v>
      </c>
      <c r="G102" s="65">
        <f>E102-'ERPs by country'!$E$3</f>
        <v>0</v>
      </c>
      <c r="H102" s="83"/>
      <c r="N102" s="184" t="s">
        <v>27</v>
      </c>
      <c r="O102" s="83">
        <v>65</v>
      </c>
    </row>
    <row r="103" spans="1:15">
      <c r="A103" s="52" t="str">
        <f>'ERPs by country'!A110</f>
        <v>New Zealand</v>
      </c>
      <c r="B103" s="150">
        <f t="shared" si="2"/>
        <v>78.25</v>
      </c>
      <c r="C103" s="110">
        <f>'ERPs by country'!E110</f>
        <v>4.7199999999999999E-2</v>
      </c>
      <c r="D103" s="27">
        <f>'ERPs by country'!D110</f>
        <v>0</v>
      </c>
      <c r="E103" s="27">
        <f t="shared" si="3"/>
        <v>4.7199999999999999E-2</v>
      </c>
      <c r="F103" s="65">
        <f>'Country Tax Rates'!C104</f>
        <v>0.28000000000000003</v>
      </c>
      <c r="G103" s="65">
        <f>E103-'ERPs by country'!$E$3</f>
        <v>0</v>
      </c>
      <c r="H103" s="83"/>
      <c r="N103" s="184" t="s">
        <v>28</v>
      </c>
      <c r="O103" s="83">
        <v>65.75</v>
      </c>
    </row>
    <row r="104" spans="1:15">
      <c r="A104" s="52" t="str">
        <f>'ERPs by country'!A111</f>
        <v>Nicaragua</v>
      </c>
      <c r="B104" s="150">
        <f t="shared" si="2"/>
        <v>61</v>
      </c>
      <c r="C104" s="110">
        <f>'ERPs by country'!E111</f>
        <v>0.1101957739390316</v>
      </c>
      <c r="D104" s="27">
        <f>'ERPs by country'!D111</f>
        <v>5.74819192369697E-2</v>
      </c>
      <c r="E104" s="27">
        <f t="shared" si="3"/>
        <v>0.1101957739390316</v>
      </c>
      <c r="F104" s="65">
        <f>'Country Tax Rates'!C105</f>
        <v>0.3</v>
      </c>
      <c r="G104" s="65">
        <f>E104-'ERPs by country'!$E$3</f>
        <v>6.2995773939031607E-2</v>
      </c>
      <c r="H104" s="83"/>
      <c r="N104" s="184" t="s">
        <v>29</v>
      </c>
      <c r="O104" s="83">
        <v>70.5</v>
      </c>
    </row>
    <row r="105" spans="1:15">
      <c r="A105" s="52" t="str">
        <f>'ERPs by country'!A112</f>
        <v>Niger</v>
      </c>
      <c r="B105" s="150">
        <f t="shared" si="2"/>
        <v>53.25</v>
      </c>
      <c r="C105" s="110">
        <f>'ERPs by country'!E112</f>
        <v>0.1101957739390316</v>
      </c>
      <c r="D105" s="27">
        <f>'ERPs by country'!D112</f>
        <v>5.74819192369697E-2</v>
      </c>
      <c r="E105" s="27">
        <f t="shared" ref="E105" si="4">C105</f>
        <v>0.1101957739390316</v>
      </c>
      <c r="F105" s="65">
        <f>'Country Tax Rates'!C106</f>
        <v>0.28249999999999997</v>
      </c>
      <c r="G105" s="65">
        <f>E105-'ERPs by country'!$E$3</f>
        <v>6.2995773939031607E-2</v>
      </c>
      <c r="H105" s="83"/>
      <c r="N105" s="184" t="s">
        <v>30</v>
      </c>
      <c r="O105" s="83">
        <v>73.25</v>
      </c>
    </row>
    <row r="106" spans="1:15">
      <c r="A106" s="52" t="str">
        <f>'ERPs by country'!A113</f>
        <v>Nigeria</v>
      </c>
      <c r="B106" s="150">
        <f t="shared" si="2"/>
        <v>56.25</v>
      </c>
      <c r="C106" s="110">
        <f>'ERPs by country'!E113</f>
        <v>0.10049739542691996</v>
      </c>
      <c r="D106" s="27">
        <f>'ERPs by country'!D113</f>
        <v>4.8632414333635951E-2</v>
      </c>
      <c r="E106" s="27">
        <f t="shared" si="3"/>
        <v>0.10049739542691996</v>
      </c>
      <c r="F106" s="65">
        <f>'Country Tax Rates'!C107</f>
        <v>0.3</v>
      </c>
      <c r="G106" s="65">
        <f>E106-'ERPs by country'!$E$3</f>
        <v>5.3297395426919962E-2</v>
      </c>
      <c r="H106" s="83"/>
      <c r="N106" s="184" t="s">
        <v>189</v>
      </c>
      <c r="O106" s="83">
        <v>72.25</v>
      </c>
    </row>
    <row r="107" spans="1:15">
      <c r="A107" s="52" t="str">
        <f>'ERPs by country'!A114</f>
        <v>Norway</v>
      </c>
      <c r="B107" s="150">
        <f t="shared" si="2"/>
        <v>81.5</v>
      </c>
      <c r="C107" s="110">
        <f>'ERPs by country'!E114</f>
        <v>4.7199999999999999E-2</v>
      </c>
      <c r="D107" s="27">
        <f>'ERPs by country'!D114</f>
        <v>0</v>
      </c>
      <c r="E107" s="27">
        <f t="shared" si="3"/>
        <v>4.7199999999999999E-2</v>
      </c>
      <c r="F107" s="65">
        <f>'Country Tax Rates'!C108</f>
        <v>0.22</v>
      </c>
      <c r="G107" s="65">
        <f>E107-'ERPs by country'!$E$3</f>
        <v>0</v>
      </c>
      <c r="H107" s="83"/>
      <c r="N107" s="184" t="s">
        <v>74</v>
      </c>
      <c r="O107" s="83">
        <v>71.5</v>
      </c>
    </row>
    <row r="108" spans="1:15">
      <c r="A108" s="52" t="str">
        <f>'ERPs by country'!A115</f>
        <v>Oman</v>
      </c>
      <c r="B108" s="150">
        <f t="shared" si="2"/>
        <v>66</v>
      </c>
      <c r="C108" s="110">
        <f>'ERPs by country'!E115</f>
        <v>8.2061738975968967E-2</v>
      </c>
      <c r="D108" s="27">
        <f>'ERPs by country'!D115</f>
        <v>3.1810382490361881E-2</v>
      </c>
      <c r="E108" s="27">
        <f t="shared" si="3"/>
        <v>8.2061738975968967E-2</v>
      </c>
      <c r="F108" s="65">
        <f>'Country Tax Rates'!C109</f>
        <v>0.15</v>
      </c>
      <c r="G108" s="65">
        <f>E108-'ERPs by country'!$E$3</f>
        <v>3.4861738975968969E-2</v>
      </c>
      <c r="H108" s="83"/>
      <c r="N108" s="184" t="s">
        <v>0</v>
      </c>
      <c r="O108" s="83">
        <v>67.5</v>
      </c>
    </row>
    <row r="109" spans="1:15">
      <c r="A109" s="52" t="str">
        <f>'ERPs by country'!A116</f>
        <v>Pakistan</v>
      </c>
      <c r="B109" s="150">
        <f t="shared" si="2"/>
        <v>55</v>
      </c>
      <c r="C109" s="110">
        <f>'ERPs by country'!E116</f>
        <v>0.1101957739390316</v>
      </c>
      <c r="D109" s="27">
        <f>'ERPs by country'!D116</f>
        <v>5.74819192369697E-2</v>
      </c>
      <c r="E109" s="27">
        <f t="shared" si="3"/>
        <v>0.1101957739390316</v>
      </c>
      <c r="F109" s="65">
        <f>'Country Tax Rates'!C110</f>
        <v>0.35</v>
      </c>
      <c r="G109" s="65">
        <f>E109-'ERPs by country'!$E$3</f>
        <v>6.2995773939031607E-2</v>
      </c>
      <c r="H109" s="83"/>
      <c r="N109" s="184" t="s">
        <v>1</v>
      </c>
      <c r="O109" s="83">
        <v>66.25</v>
      </c>
    </row>
    <row r="110" spans="1:15">
      <c r="A110" s="52" t="str">
        <f>'ERPs by country'!A117</f>
        <v>Panama</v>
      </c>
      <c r="B110" s="150">
        <f t="shared" si="2"/>
        <v>66.25</v>
      </c>
      <c r="C110" s="110">
        <f>'ERPs by country'!E117</f>
        <v>6.2664981951745621E-2</v>
      </c>
      <c r="D110" s="27">
        <f>'ERPs by country'!D117</f>
        <v>1.4111372683694367E-2</v>
      </c>
      <c r="E110" s="27">
        <f t="shared" si="3"/>
        <v>6.2664981951745621E-2</v>
      </c>
      <c r="F110" s="65">
        <f>'Country Tax Rates'!C111</f>
        <v>0.25</v>
      </c>
      <c r="G110" s="65">
        <f>E110-'ERPs by country'!$E$3</f>
        <v>1.5464981951745622E-2</v>
      </c>
      <c r="H110" s="83"/>
      <c r="N110" s="184" t="s">
        <v>2</v>
      </c>
      <c r="O110" s="83">
        <v>69.5</v>
      </c>
    </row>
    <row r="111" spans="1:15">
      <c r="A111" s="52" t="str">
        <f>'ERPs by country'!A118</f>
        <v>Papua New Guinea</v>
      </c>
      <c r="B111" s="150">
        <f t="shared" si="2"/>
        <v>64.5</v>
      </c>
      <c r="C111" s="110">
        <f>'ERPs by country'!E118</f>
        <v>0.10049739542691996</v>
      </c>
      <c r="D111" s="27">
        <f>'ERPs by country'!D118</f>
        <v>4.8632414333635951E-2</v>
      </c>
      <c r="E111" s="27">
        <f t="shared" si="3"/>
        <v>0.10049739542691996</v>
      </c>
      <c r="F111" s="65">
        <f>'Country Tax Rates'!C112</f>
        <v>0.3</v>
      </c>
      <c r="G111" s="65">
        <f>E111-'ERPs by country'!$E$3</f>
        <v>5.3297395426919962E-2</v>
      </c>
      <c r="H111" s="83"/>
      <c r="N111" s="184" t="s">
        <v>135</v>
      </c>
      <c r="O111" s="83">
        <v>62.5</v>
      </c>
    </row>
    <row r="112" spans="1:15">
      <c r="A112" s="52" t="str">
        <f>'ERPs by country'!A119</f>
        <v>Paraguay</v>
      </c>
      <c r="B112" s="150">
        <f t="shared" si="2"/>
        <v>65</v>
      </c>
      <c r="C112" s="110">
        <f>'ERPs by country'!E119</f>
        <v>7.1402259890584963E-2</v>
      </c>
      <c r="D112" s="27">
        <f>'ERPs by country'!D119</f>
        <v>2.208389962363469E-2</v>
      </c>
      <c r="E112" s="27">
        <f t="shared" si="3"/>
        <v>7.1402259890584963E-2</v>
      </c>
      <c r="F112" s="65">
        <f>'Country Tax Rates'!C113</f>
        <v>0.1</v>
      </c>
      <c r="G112" s="65">
        <f>E112-'ERPs by country'!$E$3</f>
        <v>2.4202259890584964E-2</v>
      </c>
      <c r="H112" s="83"/>
      <c r="N112" s="184" t="s">
        <v>514</v>
      </c>
      <c r="O112" s="83">
        <v>65.5</v>
      </c>
    </row>
    <row r="113" spans="1:15">
      <c r="A113" s="52" t="str">
        <f>'ERPs by country'!A120</f>
        <v>Peru</v>
      </c>
      <c r="B113" s="150">
        <f t="shared" si="2"/>
        <v>65.75</v>
      </c>
      <c r="C113" s="110">
        <f>'ERPs by country'!E120</f>
        <v>5.8820579658656322E-2</v>
      </c>
      <c r="D113" s="27">
        <f>'ERPs by country'!D120</f>
        <v>1.0603460830120627E-2</v>
      </c>
      <c r="E113" s="27">
        <f t="shared" si="3"/>
        <v>5.8820579658656322E-2</v>
      </c>
      <c r="F113" s="65">
        <f>'Country Tax Rates'!C114</f>
        <v>0.29499999999999998</v>
      </c>
      <c r="G113" s="65">
        <f>E113-'ERPs by country'!$E$3</f>
        <v>1.1620579658656323E-2</v>
      </c>
      <c r="H113" s="83"/>
      <c r="N113" s="184" t="s">
        <v>329</v>
      </c>
      <c r="O113" s="83">
        <v>58.75</v>
      </c>
    </row>
    <row r="114" spans="1:15">
      <c r="A114" s="52" t="str">
        <f>'ERPs by country'!A121</f>
        <v>Philippines</v>
      </c>
      <c r="B114" s="150">
        <f t="shared" si="2"/>
        <v>70.5</v>
      </c>
      <c r="C114" s="110">
        <f>'ERPs by country'!E121</f>
        <v>6.5635656450950999E-2</v>
      </c>
      <c r="D114" s="27">
        <f>'ERPs by country'!D121</f>
        <v>1.6822031843274077E-2</v>
      </c>
      <c r="E114" s="27">
        <f t="shared" si="3"/>
        <v>6.5635656450950999E-2</v>
      </c>
      <c r="F114" s="65">
        <f>'Country Tax Rates'!C115</f>
        <v>0.3</v>
      </c>
      <c r="G114" s="65">
        <f>E114-'ERPs by country'!$E$3</f>
        <v>1.8435656450951E-2</v>
      </c>
      <c r="H114" s="83"/>
      <c r="N114" s="184" t="s">
        <v>3</v>
      </c>
      <c r="O114" s="83">
        <v>79</v>
      </c>
    </row>
    <row r="115" spans="1:15">
      <c r="A115" s="52" t="str">
        <f>'ERPs by country'!A122</f>
        <v>Poland</v>
      </c>
      <c r="B115" s="150">
        <f t="shared" si="2"/>
        <v>73.25</v>
      </c>
      <c r="C115" s="110">
        <f>'ERPs by country'!E122</f>
        <v>5.5413041262508976E-2</v>
      </c>
      <c r="D115" s="27">
        <f>'ERPs by country'!D122</f>
        <v>7.4941753235439005E-3</v>
      </c>
      <c r="E115" s="27">
        <f t="shared" si="3"/>
        <v>5.5413041262508976E-2</v>
      </c>
      <c r="F115" s="65">
        <f>'Country Tax Rates'!C116</f>
        <v>0.19</v>
      </c>
      <c r="G115" s="65">
        <f>E115-'ERPs by country'!$E$3</f>
        <v>8.2130412625089771E-3</v>
      </c>
      <c r="H115" s="83"/>
      <c r="N115" s="184" t="s">
        <v>61</v>
      </c>
      <c r="O115" s="83">
        <v>67.75</v>
      </c>
    </row>
    <row r="116" spans="1:15">
      <c r="A116" s="52" t="str">
        <f>'ERPs by country'!A123</f>
        <v>Portugal</v>
      </c>
      <c r="B116" s="150">
        <f t="shared" si="2"/>
        <v>72.25</v>
      </c>
      <c r="C116" s="110">
        <f>'ERPs by country'!E123</f>
        <v>6.8518958170767988E-2</v>
      </c>
      <c r="D116" s="27">
        <f>'ERPs by country'!D123</f>
        <v>1.9452965733454383E-2</v>
      </c>
      <c r="E116" s="27">
        <f t="shared" si="3"/>
        <v>6.8518958170767988E-2</v>
      </c>
      <c r="F116" s="65">
        <f>'Country Tax Rates'!C117</f>
        <v>0.21</v>
      </c>
      <c r="G116" s="65">
        <f>E116-'ERPs by country'!$E$3</f>
        <v>2.1318958170767989E-2</v>
      </c>
      <c r="H116" s="83"/>
      <c r="N116" s="184" t="s">
        <v>190</v>
      </c>
      <c r="O116" s="83">
        <v>69</v>
      </c>
    </row>
    <row r="117" spans="1:15">
      <c r="A117" s="52" t="str">
        <f>'ERPs by country'!A124</f>
        <v>Qatar</v>
      </c>
      <c r="B117" s="150">
        <f t="shared" si="2"/>
        <v>71.5</v>
      </c>
      <c r="C117" s="110">
        <f>'ERPs by country'!E124</f>
        <v>5.3053976219022358E-2</v>
      </c>
      <c r="D117" s="27">
        <f>'ERPs by country'!D124</f>
        <v>5.3415930497600151E-3</v>
      </c>
      <c r="E117" s="27">
        <f t="shared" si="3"/>
        <v>5.3053976219022358E-2</v>
      </c>
      <c r="F117" s="65">
        <f>'Country Tax Rates'!C118</f>
        <v>0.1</v>
      </c>
      <c r="G117" s="65">
        <f>E117-'ERPs by country'!$E$3</f>
        <v>5.8539762190223596E-3</v>
      </c>
      <c r="H117" s="83"/>
      <c r="N117" s="184" t="s">
        <v>315</v>
      </c>
      <c r="O117" s="83">
        <v>50.5</v>
      </c>
    </row>
    <row r="118" spans="1:15">
      <c r="A118" s="52" t="str">
        <f>'ERPs by country'!A125</f>
        <v>Ras Al Khaimah (Emirate of)</v>
      </c>
      <c r="B118" s="150" t="e">
        <f t="shared" si="2"/>
        <v>#N/A</v>
      </c>
      <c r="C118" s="110">
        <f>'ERPs by country'!E125</f>
        <v>4.7199999999999999E-2</v>
      </c>
      <c r="D118" s="27">
        <f>'ERPs by country'!D125</f>
        <v>0</v>
      </c>
      <c r="E118" s="27">
        <f t="shared" si="3"/>
        <v>4.7199999999999999E-2</v>
      </c>
      <c r="F118" s="65">
        <f>'Country Tax Rates'!C119</f>
        <v>0</v>
      </c>
      <c r="G118" s="65">
        <f>E118-'ERPs by country'!$E$3</f>
        <v>0</v>
      </c>
      <c r="H118" s="83"/>
      <c r="N118" s="184" t="s">
        <v>76</v>
      </c>
      <c r="O118" s="83">
        <v>64.75</v>
      </c>
    </row>
    <row r="119" spans="1:15">
      <c r="A119" s="52" t="str">
        <f>'ERPs by country'!A126</f>
        <v>Romania</v>
      </c>
      <c r="B119" s="150">
        <f t="shared" si="2"/>
        <v>67.5</v>
      </c>
      <c r="C119" s="110">
        <f>'ERPs by country'!E126</f>
        <v>6.8518958170767988E-2</v>
      </c>
      <c r="D119" s="27">
        <f>'ERPs by country'!D126</f>
        <v>1.9452965733454383E-2</v>
      </c>
      <c r="E119" s="27">
        <f t="shared" si="3"/>
        <v>6.8518958170767988E-2</v>
      </c>
      <c r="F119" s="65">
        <f>'Country Tax Rates'!C120</f>
        <v>0.16</v>
      </c>
      <c r="G119" s="65">
        <f>E119-'ERPs by country'!$E$3</f>
        <v>2.1318958170767989E-2</v>
      </c>
      <c r="H119" s="83"/>
      <c r="N119" s="184" t="s">
        <v>138</v>
      </c>
      <c r="O119" s="83">
        <v>67.75</v>
      </c>
    </row>
    <row r="120" spans="1:15">
      <c r="A120" s="52" t="str">
        <f>'ERPs by country'!A127</f>
        <v>Russia</v>
      </c>
      <c r="B120" s="150">
        <f t="shared" si="2"/>
        <v>66.25</v>
      </c>
      <c r="C120" s="110">
        <f>'ERPs by country'!E127</f>
        <v>6.8518958170767988E-2</v>
      </c>
      <c r="D120" s="27">
        <f>'ERPs by country'!D127</f>
        <v>1.9452965733454383E-2</v>
      </c>
      <c r="E120" s="27">
        <f t="shared" si="3"/>
        <v>6.8518958170767988E-2</v>
      </c>
      <c r="F120" s="65">
        <f>'Country Tax Rates'!C121</f>
        <v>0.2</v>
      </c>
      <c r="G120" s="65">
        <f>E120-'ERPs by country'!$E$3</f>
        <v>2.1318958170767989E-2</v>
      </c>
      <c r="H120" s="83"/>
      <c r="N120" s="184" t="s">
        <v>134</v>
      </c>
      <c r="O120" s="83">
        <v>58.75</v>
      </c>
    </row>
    <row r="121" spans="1:15">
      <c r="A121" s="52" t="str">
        <f>'ERPs by country'!A128</f>
        <v>Rwanda</v>
      </c>
      <c r="B121" s="150" t="e">
        <f t="shared" si="2"/>
        <v>#N/A</v>
      </c>
      <c r="C121" s="110">
        <f>'ERPs by country'!E128</f>
        <v>0.10049739542691996</v>
      </c>
      <c r="D121" s="27">
        <f>'ERPs by country'!D128</f>
        <v>4.8632414333635951E-2</v>
      </c>
      <c r="E121" s="27">
        <f t="shared" si="3"/>
        <v>0.10049739542691996</v>
      </c>
      <c r="F121" s="65">
        <f>'Country Tax Rates'!C122</f>
        <v>0.3</v>
      </c>
      <c r="G121" s="65">
        <f>E121-'ERPs by country'!$E$3</f>
        <v>5.3297395426919962E-2</v>
      </c>
      <c r="H121" s="83"/>
      <c r="N121" s="184" t="s">
        <v>319</v>
      </c>
      <c r="O121" s="83">
        <v>38.25</v>
      </c>
    </row>
    <row r="122" spans="1:15">
      <c r="A122" s="52" t="str">
        <f>'ERPs by country'!A129</f>
        <v>Saudi Arabia</v>
      </c>
      <c r="B122" s="150">
        <f t="shared" si="2"/>
        <v>69.5</v>
      </c>
      <c r="C122" s="110">
        <f>'ERPs by country'!E129</f>
        <v>5.4015076792294683E-2</v>
      </c>
      <c r="D122" s="27">
        <f>'ERPs by country'!D129</f>
        <v>6.2185710131534505E-3</v>
      </c>
      <c r="E122" s="27">
        <f t="shared" si="3"/>
        <v>5.4015076792294683E-2</v>
      </c>
      <c r="F122" s="65">
        <f>'Country Tax Rates'!C123</f>
        <v>0.2</v>
      </c>
      <c r="G122" s="65">
        <f>E122-'ERPs by country'!$E$3</f>
        <v>6.8150767922946845E-3</v>
      </c>
      <c r="H122" s="83"/>
      <c r="N122" s="184" t="s">
        <v>33</v>
      </c>
      <c r="O122" s="83">
        <v>54.75</v>
      </c>
    </row>
    <row r="123" spans="1:15">
      <c r="A123" s="52" t="str">
        <f>'ERPs by country'!A130</f>
        <v>Senegal</v>
      </c>
      <c r="B123" s="150">
        <f t="shared" si="2"/>
        <v>62.5</v>
      </c>
      <c r="C123" s="110">
        <f>'ERPs by country'!E130</f>
        <v>8.2061738975968967E-2</v>
      </c>
      <c r="D123" s="27">
        <f>'ERPs by country'!D130</f>
        <v>3.1810382490361881E-2</v>
      </c>
      <c r="E123" s="27">
        <f t="shared" si="3"/>
        <v>8.2061738975968967E-2</v>
      </c>
      <c r="F123" s="65">
        <f>'Country Tax Rates'!C124</f>
        <v>0.3</v>
      </c>
      <c r="G123" s="65">
        <f>E123-'ERPs by country'!$E$3</f>
        <v>3.4861738975968969E-2</v>
      </c>
      <c r="H123" s="83"/>
      <c r="N123" s="184" t="s">
        <v>34</v>
      </c>
      <c r="O123" s="83">
        <v>79.5</v>
      </c>
    </row>
    <row r="124" spans="1:15">
      <c r="A124" s="52" t="str">
        <f>'ERPs by country'!A131</f>
        <v>Serbia</v>
      </c>
      <c r="B124" s="150" t="e">
        <f t="shared" si="2"/>
        <v>#N/A</v>
      </c>
      <c r="C124" s="110">
        <f>'ERPs by country'!E131</f>
        <v>8.2061738975968967E-2</v>
      </c>
      <c r="D124" s="27">
        <f>'ERPs by country'!D131</f>
        <v>3.1810382490361881E-2</v>
      </c>
      <c r="E124" s="27">
        <f t="shared" si="3"/>
        <v>8.2061738975968967E-2</v>
      </c>
      <c r="F124" s="65">
        <f>'Country Tax Rates'!C125</f>
        <v>0.15</v>
      </c>
      <c r="G124" s="65">
        <f>E124-'ERPs by country'!$E$3</f>
        <v>3.4861738975968969E-2</v>
      </c>
      <c r="H124" s="83"/>
      <c r="N124" s="184" t="s">
        <v>35</v>
      </c>
      <c r="O124" s="83">
        <v>81.75</v>
      </c>
    </row>
    <row r="125" spans="1:15">
      <c r="A125" s="52" t="str">
        <f>'ERPs by country'!A132</f>
        <v>Sharjah</v>
      </c>
      <c r="B125" s="150" t="e">
        <f t="shared" si="2"/>
        <v>#N/A</v>
      </c>
      <c r="C125" s="110">
        <f>'ERPs by country'!E132</f>
        <v>6.5635656450950999E-2</v>
      </c>
      <c r="D125" s="27">
        <f>'ERPs by country'!D132</f>
        <v>1.6822031843274077E-2</v>
      </c>
      <c r="E125" s="27">
        <f t="shared" si="3"/>
        <v>6.5635656450950999E-2</v>
      </c>
      <c r="F125" s="65">
        <f>'Country Tax Rates'!C126</f>
        <v>0</v>
      </c>
      <c r="G125" s="65">
        <f>E125-'ERPs by country'!$E$3</f>
        <v>1.8435656450951E-2</v>
      </c>
      <c r="H125" s="83"/>
      <c r="N125" s="184" t="s">
        <v>316</v>
      </c>
      <c r="O125" s="83">
        <v>47</v>
      </c>
    </row>
    <row r="126" spans="1:15">
      <c r="A126" s="52" t="str">
        <f>'ERPs by country'!A133</f>
        <v>Singapore</v>
      </c>
      <c r="B126" s="150">
        <f t="shared" si="2"/>
        <v>79</v>
      </c>
      <c r="C126" s="110">
        <f>'ERPs by country'!E133</f>
        <v>4.7199999999999999E-2</v>
      </c>
      <c r="D126" s="27">
        <f>'ERPs by country'!D133</f>
        <v>0</v>
      </c>
      <c r="E126" s="27">
        <f t="shared" si="3"/>
        <v>4.7199999999999999E-2</v>
      </c>
      <c r="F126" s="65">
        <f>'Country Tax Rates'!C127</f>
        <v>0.17</v>
      </c>
      <c r="G126" s="65">
        <f>E126-'ERPs by country'!$E$3</f>
        <v>0</v>
      </c>
      <c r="H126" s="83"/>
      <c r="N126" s="184" t="s">
        <v>64</v>
      </c>
      <c r="O126" s="83">
        <v>84</v>
      </c>
    </row>
    <row r="127" spans="1:15">
      <c r="A127" s="52" t="str">
        <f>'ERPs by country'!A134</f>
        <v>Slovakia</v>
      </c>
      <c r="B127" s="150">
        <f t="shared" si="2"/>
        <v>67.75</v>
      </c>
      <c r="C127" s="110">
        <f>'ERPs by country'!E134</f>
        <v>5.5413041262508976E-2</v>
      </c>
      <c r="D127" s="27">
        <f>'ERPs by country'!D134</f>
        <v>7.4941753235439005E-3</v>
      </c>
      <c r="E127" s="27">
        <f t="shared" si="3"/>
        <v>5.5413041262508976E-2</v>
      </c>
      <c r="F127" s="65">
        <f>'Country Tax Rates'!C128</f>
        <v>0.21</v>
      </c>
      <c r="G127" s="65">
        <f>E127-'ERPs by country'!$E$3</f>
        <v>8.2130412625089771E-3</v>
      </c>
      <c r="H127" s="83"/>
      <c r="N127" s="184" t="s">
        <v>332</v>
      </c>
      <c r="O127" s="83">
        <v>64</v>
      </c>
    </row>
    <row r="128" spans="1:15">
      <c r="A128" s="52" t="str">
        <f>'ERPs by country'!A135</f>
        <v>Slovenia</v>
      </c>
      <c r="B128" s="150">
        <f t="shared" si="2"/>
        <v>69</v>
      </c>
      <c r="C128" s="110">
        <f>'ERPs by country'!E135</f>
        <v>5.8820579658656322E-2</v>
      </c>
      <c r="D128" s="27">
        <f>'ERPs by country'!D135</f>
        <v>1.0603460830120627E-2</v>
      </c>
      <c r="E128" s="27">
        <f t="shared" si="3"/>
        <v>5.8820579658656322E-2</v>
      </c>
      <c r="F128" s="65">
        <f>'Country Tax Rates'!C129</f>
        <v>0.19</v>
      </c>
      <c r="G128" s="65">
        <f>E128-'ERPs by country'!$E$3</f>
        <v>1.1620579658656323E-2</v>
      </c>
      <c r="H128" s="83"/>
      <c r="N128" s="184" t="s">
        <v>65</v>
      </c>
      <c r="O128" s="83">
        <v>66</v>
      </c>
    </row>
    <row r="129" spans="1:15">
      <c r="A129" s="52" t="str">
        <f>'ERPs by country'!A136</f>
        <v>Solomon Islands</v>
      </c>
      <c r="B129" s="150" t="e">
        <f t="shared" si="2"/>
        <v>#N/A</v>
      </c>
      <c r="C129" s="110">
        <f>'ERPs by country'!E136</f>
        <v>0.1101957739390316</v>
      </c>
      <c r="D129" s="27">
        <f>'ERPs by country'!D136</f>
        <v>5.74819192369697E-2</v>
      </c>
      <c r="E129" s="27">
        <f t="shared" si="3"/>
        <v>0.1101957739390316</v>
      </c>
      <c r="F129" s="65">
        <f>'Country Tax Rates'!C130</f>
        <v>0.3</v>
      </c>
      <c r="G129" s="65">
        <f>E129-'ERPs by country'!$E$3</f>
        <v>6.2995773939031607E-2</v>
      </c>
      <c r="H129" s="83"/>
      <c r="N129" s="184" t="s">
        <v>324</v>
      </c>
      <c r="O129" s="83">
        <v>62</v>
      </c>
    </row>
    <row r="130" spans="1:15">
      <c r="A130" s="52" t="str">
        <f>'ERPs by country'!A137</f>
        <v>South Africa</v>
      </c>
      <c r="B130" s="150">
        <f t="shared" si="2"/>
        <v>64.75</v>
      </c>
      <c r="C130" s="110">
        <f>'ERPs by country'!E137</f>
        <v>7.629513553633499E-2</v>
      </c>
      <c r="D130" s="27">
        <f>'ERPs by country'!D137</f>
        <v>2.6548514710001261E-2</v>
      </c>
      <c r="E130" s="27">
        <f t="shared" si="3"/>
        <v>7.629513553633499E-2</v>
      </c>
      <c r="F130" s="65">
        <f>'Country Tax Rates'!C131</f>
        <v>0.28000000000000003</v>
      </c>
      <c r="G130" s="65">
        <f>E130-'ERPs by country'!$E$3</f>
        <v>2.9095135536334991E-2</v>
      </c>
      <c r="H130" s="83"/>
      <c r="N130" s="184" t="s">
        <v>512</v>
      </c>
      <c r="O130" s="83">
        <v>68</v>
      </c>
    </row>
    <row r="131" spans="1:15">
      <c r="A131" s="52" t="str">
        <f>'ERPs by country'!A138</f>
        <v>Spain</v>
      </c>
      <c r="B131" s="150">
        <f t="shared" ref="B131:B157" si="5">VLOOKUP(A131,$N$4:$O$143,2,FALSE)</f>
        <v>67.75</v>
      </c>
      <c r="C131" s="110">
        <f>'ERPs by country'!E138</f>
        <v>6.2664981951745621E-2</v>
      </c>
      <c r="D131" s="27">
        <f>'ERPs by country'!D138</f>
        <v>1.4111372683694367E-2</v>
      </c>
      <c r="E131" s="27">
        <f t="shared" si="3"/>
        <v>6.2664981951745621E-2</v>
      </c>
      <c r="F131" s="65">
        <f>'Country Tax Rates'!C132</f>
        <v>0.25</v>
      </c>
      <c r="G131" s="65">
        <f>E131-'ERPs by country'!$E$3</f>
        <v>1.5464981951745622E-2</v>
      </c>
      <c r="H131" s="83"/>
      <c r="N131" s="184" t="s">
        <v>77</v>
      </c>
      <c r="O131" s="83">
        <v>59</v>
      </c>
    </row>
    <row r="132" spans="1:15">
      <c r="A132" s="52" t="str">
        <f>'ERPs by country'!A139</f>
        <v>Sri Lanka</v>
      </c>
      <c r="B132" s="150">
        <f t="shared" si="5"/>
        <v>58.75</v>
      </c>
      <c r="C132" s="110">
        <f>'ERPs by country'!E139</f>
        <v>0.1198067796717549</v>
      </c>
      <c r="D132" s="27">
        <f>'ERPs by country'!D139</f>
        <v>6.6251698870904069E-2</v>
      </c>
      <c r="E132" s="27">
        <f t="shared" ref="E132:E157" si="6">C132</f>
        <v>0.1198067796717549</v>
      </c>
      <c r="F132" s="65">
        <f>'Country Tax Rates'!C133</f>
        <v>0.28000000000000003</v>
      </c>
      <c r="G132" s="65">
        <f>E132-'ERPs by country'!$E$3</f>
        <v>7.2606779671754912E-2</v>
      </c>
      <c r="H132" s="83"/>
      <c r="N132" s="184" t="s">
        <v>66</v>
      </c>
      <c r="O132" s="83">
        <v>55.5</v>
      </c>
    </row>
    <row r="133" spans="1:15">
      <c r="A133" s="52" t="str">
        <f>'ERPs by country'!A140</f>
        <v>St. Maarten</v>
      </c>
      <c r="B133" s="150" t="e">
        <f t="shared" si="5"/>
        <v>#N/A</v>
      </c>
      <c r="C133" s="110">
        <f>'ERPs by country'!E140</f>
        <v>6.8518958170767988E-2</v>
      </c>
      <c r="D133" s="27">
        <f>'ERPs by country'!D140</f>
        <v>1.9452965733454383E-2</v>
      </c>
      <c r="E133" s="27">
        <f t="shared" si="6"/>
        <v>6.8518958170767988E-2</v>
      </c>
      <c r="F133" s="65">
        <f>'Country Tax Rates'!C134</f>
        <v>0.27360000000000001</v>
      </c>
      <c r="G133" s="65">
        <f>E133-'ERPs by country'!$E$3</f>
        <v>2.1318958170767989E-2</v>
      </c>
      <c r="H133" s="83"/>
      <c r="N133" s="184" t="s">
        <v>228</v>
      </c>
      <c r="O133" s="83">
        <v>61.25</v>
      </c>
    </row>
    <row r="134" spans="1:15">
      <c r="A134" s="52" t="str">
        <f>'ERPs by country'!A141</f>
        <v>St. Vincent &amp; the Grenadines</v>
      </c>
      <c r="B134" s="150" t="e">
        <f t="shared" si="5"/>
        <v>#N/A</v>
      </c>
      <c r="C134" s="110">
        <f>'ERPs by country'!E141</f>
        <v>0.1101957739390316</v>
      </c>
      <c r="D134" s="27">
        <f>'ERPs by country'!D141</f>
        <v>5.74819192369697E-2</v>
      </c>
      <c r="E134" s="27">
        <f t="shared" si="6"/>
        <v>0.1101957739390316</v>
      </c>
      <c r="F134" s="65">
        <f>'Country Tax Rates'!C135</f>
        <v>0.27360000000000001</v>
      </c>
      <c r="G134" s="65">
        <f>E134-'ERPs by country'!$E$3</f>
        <v>6.2995773939031607E-2</v>
      </c>
      <c r="H134" s="83"/>
      <c r="N134" s="184" t="s">
        <v>68</v>
      </c>
      <c r="O134" s="83">
        <v>63</v>
      </c>
    </row>
    <row r="135" spans="1:15">
      <c r="A135" s="52" t="str">
        <f>'ERPs by country'!A142</f>
        <v>Suriname</v>
      </c>
      <c r="B135" s="150">
        <f t="shared" si="5"/>
        <v>54.75</v>
      </c>
      <c r="C135" s="110">
        <f>'ERPs by country'!E142</f>
        <v>0.14400903956233987</v>
      </c>
      <c r="D135" s="27">
        <f>'ERPs by country'!D142</f>
        <v>8.8335598494538758E-2</v>
      </c>
      <c r="E135" s="27">
        <f t="shared" si="6"/>
        <v>0.14400903956233987</v>
      </c>
      <c r="F135" s="65">
        <f>'Country Tax Rates'!C136</f>
        <v>0.36</v>
      </c>
      <c r="G135" s="65">
        <f>E135-'ERPs by country'!$E$3</f>
        <v>9.6809039562339883E-2</v>
      </c>
      <c r="H135" s="83"/>
      <c r="N135" s="184" t="s">
        <v>60</v>
      </c>
      <c r="O135" s="83">
        <v>72</v>
      </c>
    </row>
    <row r="136" spans="1:15">
      <c r="A136" s="52" t="str">
        <f>'ERPs by country'!A143</f>
        <v>Swaziland</v>
      </c>
      <c r="B136" s="150" t="e">
        <f t="shared" si="5"/>
        <v>#N/A</v>
      </c>
      <c r="C136" s="110">
        <f>'ERPs by country'!E143</f>
        <v>0.1101957739390316</v>
      </c>
      <c r="D136" s="27">
        <f>'ERPs by country'!D143</f>
        <v>5.74819192369697E-2</v>
      </c>
      <c r="E136" s="27">
        <f t="shared" si="6"/>
        <v>0.1101957739390316</v>
      </c>
      <c r="F136" s="65">
        <f>'Country Tax Rates'!C137</f>
        <v>0.27500000000000002</v>
      </c>
      <c r="G136" s="65">
        <f>E136-'ERPs by country'!$E$3</f>
        <v>6.2995773939031607E-2</v>
      </c>
      <c r="H136" s="83"/>
      <c r="N136" s="184" t="s">
        <v>57</v>
      </c>
      <c r="O136" s="83">
        <v>72.25</v>
      </c>
    </row>
    <row r="137" spans="1:15">
      <c r="A137" s="52" t="str">
        <f>'ERPs by country'!A144</f>
        <v>Sweden</v>
      </c>
      <c r="B137" s="150">
        <f t="shared" si="5"/>
        <v>79.5</v>
      </c>
      <c r="C137" s="110">
        <f>'ERPs by country'!E144</f>
        <v>4.7199999999999999E-2</v>
      </c>
      <c r="D137" s="27">
        <f>'ERPs by country'!D144</f>
        <v>0</v>
      </c>
      <c r="E137" s="27">
        <f t="shared" si="6"/>
        <v>4.7199999999999999E-2</v>
      </c>
      <c r="F137" s="65">
        <f>'Country Tax Rates'!C138</f>
        <v>0.214</v>
      </c>
      <c r="G137" s="65">
        <f>E137-'ERPs by country'!$E$3</f>
        <v>0</v>
      </c>
      <c r="H137" s="83"/>
      <c r="N137" s="184" t="s">
        <v>356</v>
      </c>
      <c r="O137" s="83">
        <v>69.25</v>
      </c>
    </row>
    <row r="138" spans="1:15">
      <c r="A138" s="52" t="str">
        <f>'ERPs by country'!A145</f>
        <v>Switzerland</v>
      </c>
      <c r="B138" s="150">
        <f t="shared" si="5"/>
        <v>81.75</v>
      </c>
      <c r="C138" s="110">
        <f>'ERPs by country'!E145</f>
        <v>4.7199999999999999E-2</v>
      </c>
      <c r="D138" s="27">
        <f>'ERPs by country'!D145</f>
        <v>0</v>
      </c>
      <c r="E138" s="27">
        <f t="shared" si="6"/>
        <v>4.7199999999999999E-2</v>
      </c>
      <c r="F138" s="65">
        <f>'Country Tax Rates'!C139</f>
        <v>0.1484</v>
      </c>
      <c r="G138" s="65">
        <f>E138-'ERPs by country'!$E$3</f>
        <v>0</v>
      </c>
      <c r="H138" s="83"/>
      <c r="N138" s="184" t="s">
        <v>69</v>
      </c>
      <c r="O138" s="83">
        <v>69.5</v>
      </c>
    </row>
    <row r="139" spans="1:15">
      <c r="A139" s="52" t="str">
        <f>'ERPs by country'!A146</f>
        <v>Taiwan</v>
      </c>
      <c r="B139" s="150">
        <f t="shared" si="5"/>
        <v>84</v>
      </c>
      <c r="C139" s="110">
        <f>'ERPs by country'!E146</f>
        <v>5.3053976219022358E-2</v>
      </c>
      <c r="D139" s="27">
        <f>'ERPs by country'!D146</f>
        <v>5.3415930497600151E-3</v>
      </c>
      <c r="E139" s="27">
        <f t="shared" si="6"/>
        <v>5.3053976219022358E-2</v>
      </c>
      <c r="F139" s="65">
        <f>'Country Tax Rates'!C140</f>
        <v>0.2</v>
      </c>
      <c r="G139" s="65">
        <f>E139-'ERPs by country'!$E$3</f>
        <v>5.8539762190223596E-3</v>
      </c>
      <c r="N139" s="184" t="s">
        <v>70</v>
      </c>
      <c r="O139" s="83">
        <v>42</v>
      </c>
    </row>
    <row r="140" spans="1:15">
      <c r="A140" s="52" t="str">
        <f>'ERPs by country'!A147</f>
        <v>Tajikistan</v>
      </c>
      <c r="B140" s="150" t="e">
        <f t="shared" si="5"/>
        <v>#N/A</v>
      </c>
      <c r="C140" s="110">
        <f>'ERPs by country'!E147</f>
        <v>0.1101957739390316</v>
      </c>
      <c r="D140" s="27">
        <f>'ERPs by country'!D147</f>
        <v>5.74819192369697E-2</v>
      </c>
      <c r="E140" s="27">
        <f t="shared" si="6"/>
        <v>0.1101957739390316</v>
      </c>
      <c r="F140" s="65">
        <f>'Country Tax Rates'!C141</f>
        <v>0.19120000000000001</v>
      </c>
      <c r="G140" s="65">
        <f>E140-'ERPs by country'!$E$3</f>
        <v>6.2995773939031607E-2</v>
      </c>
      <c r="N140" s="184" t="s">
        <v>71</v>
      </c>
      <c r="O140" s="83">
        <v>69</v>
      </c>
    </row>
    <row r="141" spans="1:15">
      <c r="A141" s="52" t="str">
        <f>'ERPs by country'!A148</f>
        <v>Tanzania</v>
      </c>
      <c r="B141" s="150">
        <f t="shared" si="5"/>
        <v>64</v>
      </c>
      <c r="C141" s="110">
        <f>'ERPs by country'!E148</f>
        <v>0.10049739542691996</v>
      </c>
      <c r="D141" s="27">
        <f>'ERPs by country'!D148</f>
        <v>4.8632414333635951E-2</v>
      </c>
      <c r="E141" s="27">
        <f t="shared" si="6"/>
        <v>0.10049739542691996</v>
      </c>
      <c r="F141" s="65">
        <f>'Country Tax Rates'!C142</f>
        <v>0.3</v>
      </c>
      <c r="G141" s="65">
        <f>E141-'ERPs by country'!$E$3</f>
        <v>5.3297395426919962E-2</v>
      </c>
      <c r="N141" s="184" t="s">
        <v>323</v>
      </c>
      <c r="O141" s="83">
        <v>50</v>
      </c>
    </row>
    <row r="142" spans="1:15">
      <c r="A142" s="52" t="str">
        <f>'ERPs by country'!A149</f>
        <v>Thailand</v>
      </c>
      <c r="B142" s="150">
        <f t="shared" si="5"/>
        <v>66</v>
      </c>
      <c r="C142" s="110">
        <f>'ERPs by country'!E149</f>
        <v>6.2664981951745621E-2</v>
      </c>
      <c r="D142" s="27">
        <f>'ERPs by country'!D149</f>
        <v>1.4111372683694367E-2</v>
      </c>
      <c r="E142" s="27">
        <f t="shared" si="6"/>
        <v>6.2664981951745621E-2</v>
      </c>
      <c r="F142" s="65">
        <f>'Country Tax Rates'!C143</f>
        <v>0.2</v>
      </c>
      <c r="G142" s="65">
        <f>E142-'ERPs by country'!$E$3</f>
        <v>1.5464981951745622E-2</v>
      </c>
      <c r="N142" s="184" t="s">
        <v>192</v>
      </c>
      <c r="O142" s="83">
        <v>53.5</v>
      </c>
    </row>
    <row r="143" spans="1:15">
      <c r="A143" s="52" t="str">
        <f>'ERPs by country'!A150</f>
        <v>Togo</v>
      </c>
      <c r="B143" s="150">
        <f t="shared" si="5"/>
        <v>62</v>
      </c>
      <c r="C143" s="110">
        <f>'ERPs by country'!E150</f>
        <v>0.1101957739390316</v>
      </c>
      <c r="D143" s="27">
        <f>'ERPs by country'!D150</f>
        <v>5.74819192369697E-2</v>
      </c>
      <c r="E143" s="27">
        <f t="shared" si="6"/>
        <v>0.1101957739390316</v>
      </c>
      <c r="F143" s="65">
        <f>'Country Tax Rates'!C144</f>
        <v>0.28249999999999997</v>
      </c>
      <c r="G143" s="65">
        <f>E143-'ERPs by country'!$E$3</f>
        <v>6.2995773939031607E-2</v>
      </c>
      <c r="N143" s="184" t="s">
        <v>320</v>
      </c>
      <c r="O143" s="83">
        <v>52.25</v>
      </c>
    </row>
    <row r="144" spans="1:15">
      <c r="A144" s="52" t="str">
        <f>'ERPs by country'!A151</f>
        <v>Trinidad and Tobago</v>
      </c>
      <c r="B144" s="150" t="e">
        <f t="shared" si="5"/>
        <v>#N/A</v>
      </c>
      <c r="C144" s="110">
        <f>'ERPs by country'!E151</f>
        <v>7.1402259890584963E-2</v>
      </c>
      <c r="D144" s="27">
        <f>'ERPs by country'!D151</f>
        <v>2.208389962363469E-2</v>
      </c>
      <c r="E144" s="27">
        <f t="shared" si="6"/>
        <v>7.1402259890584963E-2</v>
      </c>
      <c r="F144" s="65">
        <f>'Country Tax Rates'!C145</f>
        <v>0.3</v>
      </c>
      <c r="G144" s="65">
        <f>E144-'ERPs by country'!$E$3</f>
        <v>2.4202259890584964E-2</v>
      </c>
    </row>
    <row r="145" spans="1:11">
      <c r="A145" s="52" t="str">
        <f>'ERPs by country'!A152</f>
        <v>Tunisia</v>
      </c>
      <c r="B145" s="150">
        <f t="shared" si="5"/>
        <v>59</v>
      </c>
      <c r="C145" s="110">
        <f>'ERPs by country'!E152</f>
        <v>0.10049739542691996</v>
      </c>
      <c r="D145" s="27">
        <f>'ERPs by country'!D152</f>
        <v>4.8632414333635951E-2</v>
      </c>
      <c r="E145" s="27">
        <f t="shared" si="6"/>
        <v>0.10049739542691996</v>
      </c>
      <c r="F145" s="65">
        <f>'Country Tax Rates'!C146</f>
        <v>0.25</v>
      </c>
      <c r="G145" s="65">
        <f>E145-'ERPs by country'!$E$3</f>
        <v>5.3297395426919962E-2</v>
      </c>
    </row>
    <row r="146" spans="1:11">
      <c r="A146" s="52" t="str">
        <f>'ERPs by country'!A153</f>
        <v>Turkey</v>
      </c>
      <c r="B146" s="150">
        <f t="shared" si="5"/>
        <v>55.5</v>
      </c>
      <c r="C146" s="110">
        <f>'ERPs by country'!E153</f>
        <v>0.10049739542691996</v>
      </c>
      <c r="D146" s="27">
        <f>'ERPs by country'!D153</f>
        <v>4.8632414333635951E-2</v>
      </c>
      <c r="E146" s="27">
        <f t="shared" si="6"/>
        <v>0.10049739542691996</v>
      </c>
      <c r="F146" s="65">
        <f>'Country Tax Rates'!C147</f>
        <v>0.22</v>
      </c>
      <c r="G146" s="65">
        <f>E146-'ERPs by country'!$E$3</f>
        <v>5.3297395426919962E-2</v>
      </c>
    </row>
    <row r="147" spans="1:11">
      <c r="A147" s="52" t="str">
        <f>'ERPs by country'!A154</f>
        <v>Turks and Caicos Islands</v>
      </c>
      <c r="B147" s="150" t="e">
        <f t="shared" si="5"/>
        <v>#N/A</v>
      </c>
      <c r="C147" s="110">
        <f>'ERPs by country'!E154</f>
        <v>6.2664981951745621E-2</v>
      </c>
      <c r="D147" s="27">
        <f>'ERPs by country'!D154</f>
        <v>1.4111372683694367E-2</v>
      </c>
      <c r="E147" s="27">
        <f t="shared" si="6"/>
        <v>6.2664981951745621E-2</v>
      </c>
      <c r="F147" s="65">
        <f>'Country Tax Rates'!C148</f>
        <v>0</v>
      </c>
      <c r="G147" s="65">
        <f>E147-'ERPs by country'!$E$3</f>
        <v>1.5464981951745622E-2</v>
      </c>
    </row>
    <row r="148" spans="1:11">
      <c r="A148" s="52" t="str">
        <f>'ERPs by country'!A155</f>
        <v>Uganda</v>
      </c>
      <c r="B148" s="150">
        <f t="shared" si="5"/>
        <v>61.25</v>
      </c>
      <c r="C148" s="110">
        <f>'ERPs by country'!E155</f>
        <v>0.10049739542691996</v>
      </c>
      <c r="D148" s="27">
        <f>'ERPs by country'!D155</f>
        <v>4.8632414333635951E-2</v>
      </c>
      <c r="E148" s="27">
        <f t="shared" si="6"/>
        <v>0.10049739542691996</v>
      </c>
      <c r="F148" s="65">
        <f>'Country Tax Rates'!C149</f>
        <v>0.3</v>
      </c>
      <c r="G148" s="65">
        <f>E148-'ERPs by country'!$E$3</f>
        <v>5.3297395426919962E-2</v>
      </c>
    </row>
    <row r="149" spans="1:11">
      <c r="A149" s="52" t="str">
        <f>'ERPs by country'!A156</f>
        <v>Ukraine</v>
      </c>
      <c r="B149" s="150">
        <f t="shared" si="5"/>
        <v>63</v>
      </c>
      <c r="C149" s="110">
        <f>'ERPs by country'!E156</f>
        <v>0.1101957739390316</v>
      </c>
      <c r="D149" s="27">
        <f>'ERPs by country'!D156</f>
        <v>5.74819192369697E-2</v>
      </c>
      <c r="E149" s="27">
        <f t="shared" si="6"/>
        <v>0.1101957739390316</v>
      </c>
      <c r="F149" s="65">
        <f>'Country Tax Rates'!C150</f>
        <v>0.18</v>
      </c>
      <c r="G149" s="65">
        <f>E149-'ERPs by country'!$E$3</f>
        <v>6.2995773939031607E-2</v>
      </c>
    </row>
    <row r="150" spans="1:11">
      <c r="A150" s="52" t="str">
        <f>'ERPs by country'!A157</f>
        <v>United Arab Emirates</v>
      </c>
      <c r="B150" s="150">
        <f t="shared" si="5"/>
        <v>72</v>
      </c>
      <c r="C150" s="110">
        <f>'ERPs by country'!E157</f>
        <v>5.2005502866361637E-2</v>
      </c>
      <c r="D150" s="27">
        <f>'ERPs by country'!D157</f>
        <v>4.3848898169671765E-3</v>
      </c>
      <c r="E150" s="27">
        <f t="shared" si="6"/>
        <v>5.2005502866361637E-2</v>
      </c>
      <c r="F150" s="65">
        <f>'Country Tax Rates'!C151</f>
        <v>0.55000000000000004</v>
      </c>
      <c r="G150" s="65">
        <f>E150-'ERPs by country'!$E$3</f>
        <v>4.8055028663616384E-3</v>
      </c>
    </row>
    <row r="151" spans="1:11">
      <c r="A151" s="52" t="str">
        <f>'ERPs by country'!A158</f>
        <v>United Kingdom</v>
      </c>
      <c r="B151" s="150">
        <f t="shared" si="5"/>
        <v>72.25</v>
      </c>
      <c r="C151" s="110">
        <f>'ERPs by country'!E158</f>
        <v>5.3053976219022358E-2</v>
      </c>
      <c r="D151" s="27">
        <f>'ERPs by country'!D158</f>
        <v>5.3415930497600151E-3</v>
      </c>
      <c r="E151" s="27">
        <f t="shared" si="6"/>
        <v>5.3053976219022358E-2</v>
      </c>
      <c r="F151" s="65">
        <f>'Country Tax Rates'!C152</f>
        <v>0.19</v>
      </c>
      <c r="G151" s="65">
        <f>E151-'ERPs by country'!$E$3</f>
        <v>5.8539762190223596E-3</v>
      </c>
    </row>
    <row r="152" spans="1:11">
      <c r="A152" s="52" t="str">
        <f>'ERPs by country'!A159</f>
        <v>United States</v>
      </c>
      <c r="B152" s="150">
        <f t="shared" si="5"/>
        <v>69.25</v>
      </c>
      <c r="C152" s="110">
        <f>'ERPs by country'!E159</f>
        <v>4.7199999999999999E-2</v>
      </c>
      <c r="D152" s="27">
        <f>'ERPs by country'!D159</f>
        <v>0</v>
      </c>
      <c r="E152" s="27">
        <f t="shared" si="6"/>
        <v>4.7199999999999999E-2</v>
      </c>
      <c r="F152" s="65">
        <f>'Country Tax Rates'!C153</f>
        <v>0.27</v>
      </c>
      <c r="G152" s="65">
        <f>E152-'ERPs by country'!$E$3</f>
        <v>0</v>
      </c>
    </row>
    <row r="153" spans="1:11">
      <c r="A153" s="52" t="str">
        <f>'ERPs by country'!A160</f>
        <v>Uruguay</v>
      </c>
      <c r="B153" s="150">
        <f t="shared" si="5"/>
        <v>69.5</v>
      </c>
      <c r="C153" s="110">
        <f>'ERPs by country'!E160</f>
        <v>6.5635656450950999E-2</v>
      </c>
      <c r="D153" s="27">
        <f>'ERPs by country'!D160</f>
        <v>1.6822031843274077E-2</v>
      </c>
      <c r="E153" s="27">
        <f t="shared" si="6"/>
        <v>6.5635656450950999E-2</v>
      </c>
      <c r="F153" s="65">
        <f>'Country Tax Rates'!C154</f>
        <v>0.25</v>
      </c>
      <c r="G153" s="65">
        <f>E153-'ERPs by country'!$E$3</f>
        <v>1.8435656450951E-2</v>
      </c>
    </row>
    <row r="154" spans="1:11">
      <c r="A154" s="52" t="str">
        <f>'ERPs by country'!A161</f>
        <v>Uzbekistan</v>
      </c>
      <c r="B154" s="150" t="e">
        <f t="shared" si="5"/>
        <v>#N/A</v>
      </c>
      <c r="C154" s="110">
        <f>'ERPs by country'!E161</f>
        <v>9.0799016914808295E-2</v>
      </c>
      <c r="D154" s="27">
        <f>'ERPs by country'!D161</f>
        <v>3.9782909430302202E-2</v>
      </c>
      <c r="E154" s="27">
        <f t="shared" si="6"/>
        <v>9.0799016914808295E-2</v>
      </c>
      <c r="F154" s="65">
        <f>'Country Tax Rates'!C155</f>
        <v>7.4999999999999997E-2</v>
      </c>
      <c r="G154" s="65">
        <f>E154-'ERPs by country'!$E$3</f>
        <v>4.3599016914808296E-2</v>
      </c>
    </row>
    <row r="155" spans="1:11">
      <c r="A155" s="52" t="str">
        <f>'ERPs by country'!A162</f>
        <v>Venezuela</v>
      </c>
      <c r="B155" s="150">
        <f t="shared" si="5"/>
        <v>42</v>
      </c>
      <c r="C155" s="110">
        <f>'ERPs by country'!E162</f>
        <v>0.23898657542527282</v>
      </c>
      <c r="D155" s="27">
        <f>'ERPs by country'!D162</f>
        <v>0.17499999999999999</v>
      </c>
      <c r="E155" s="27">
        <f t="shared" si="6"/>
        <v>0.23898657542527282</v>
      </c>
      <c r="F155" s="65">
        <f>'Country Tax Rates'!C156</f>
        <v>0.34</v>
      </c>
      <c r="G155" s="65">
        <f>E155-'ERPs by country'!$E$3</f>
        <v>0.19178657542527283</v>
      </c>
    </row>
    <row r="156" spans="1:11">
      <c r="A156" s="52" t="str">
        <f>'ERPs by country'!A163</f>
        <v>Vietnam</v>
      </c>
      <c r="B156" s="150">
        <f t="shared" si="5"/>
        <v>69</v>
      </c>
      <c r="C156" s="110">
        <f>'ERPs by country'!E163</f>
        <v>8.2061738975968967E-2</v>
      </c>
      <c r="D156" s="27">
        <f>'ERPs by country'!D163</f>
        <v>3.1810382490361881E-2</v>
      </c>
      <c r="E156" s="27">
        <f t="shared" si="6"/>
        <v>8.2061738975968967E-2</v>
      </c>
      <c r="F156" s="65">
        <f>'Country Tax Rates'!C157</f>
        <v>0.2</v>
      </c>
      <c r="G156" s="65">
        <f>E156-'ERPs by country'!$E$3</f>
        <v>3.4861738975968969E-2</v>
      </c>
    </row>
    <row r="157" spans="1:11">
      <c r="A157" s="52" t="str">
        <f>'ERPs by country'!A164</f>
        <v>Zambia</v>
      </c>
      <c r="B157" s="150">
        <f t="shared" si="5"/>
        <v>53.5</v>
      </c>
      <c r="C157" s="110">
        <f>'ERPs by country'!E164</f>
        <v>0.16340579658656318</v>
      </c>
      <c r="D157" s="27">
        <f>'ERPs by country'!D164</f>
        <v>0.10603460830120626</v>
      </c>
      <c r="E157" s="27">
        <f t="shared" si="6"/>
        <v>0.16340579658656318</v>
      </c>
      <c r="F157" s="65">
        <f>'Country Tax Rates'!C158</f>
        <v>0.35</v>
      </c>
      <c r="G157" s="65">
        <f>E157-'ERPs by country'!$E$3</f>
        <v>0.11620579658656319</v>
      </c>
    </row>
    <row r="158" spans="1:11">
      <c r="A158" s="52"/>
      <c r="B158" s="151"/>
      <c r="C158" s="110"/>
      <c r="D158" s="27"/>
      <c r="E158" s="27"/>
      <c r="F158" s="65"/>
      <c r="G158" s="65"/>
    </row>
    <row r="159" spans="1:11">
      <c r="A159" s="52"/>
      <c r="B159" s="151"/>
      <c r="C159" s="110"/>
      <c r="D159" s="27"/>
      <c r="E159" s="27"/>
      <c r="F159" s="65"/>
      <c r="G159" s="65"/>
    </row>
    <row r="160" spans="1:11">
      <c r="A160" s="52"/>
      <c r="B160" s="151"/>
      <c r="C160" s="110"/>
      <c r="D160" s="27"/>
      <c r="E160" s="27"/>
      <c r="F160" s="65"/>
      <c r="G160" s="65"/>
      <c r="H160" s="83"/>
      <c r="J160" s="153" t="s">
        <v>171</v>
      </c>
      <c r="K160" s="154" t="s">
        <v>499</v>
      </c>
    </row>
    <row r="161" spans="1:11">
      <c r="A161" s="52" t="s">
        <v>337</v>
      </c>
      <c r="B161" s="150">
        <f>VLOOKUP(A161,$N$4:$O$143,2,FALSE)</f>
        <v>57.25</v>
      </c>
      <c r="C161" s="65"/>
      <c r="D161" s="65">
        <f>G161/'ERPs by country'!$E$5</f>
        <v>7.9565818860604418E-2</v>
      </c>
      <c r="E161" s="105">
        <f t="shared" ref="E161:E180" si="7">IF(C161&gt;0,C161,VLOOKUP(B161,$I$3:$K$19,3))</f>
        <v>0.1343980338296166</v>
      </c>
      <c r="F161" s="105">
        <v>0.26</v>
      </c>
      <c r="G161" s="65">
        <f>E161-'ERPs by country'!$E$3</f>
        <v>8.7198033829616606E-2</v>
      </c>
      <c r="H161" s="83"/>
      <c r="J161" s="155" t="s">
        <v>128</v>
      </c>
      <c r="K161" s="156">
        <v>0.29153846153846152</v>
      </c>
    </row>
    <row r="162" spans="1:11">
      <c r="A162" s="52" t="s">
        <v>338</v>
      </c>
      <c r="B162" s="150">
        <f t="shared" ref="B162:B180" si="8">VLOOKUP(A162,$N$4:$O$143,2,FALSE)</f>
        <v>80</v>
      </c>
      <c r="C162" s="65"/>
      <c r="D162" s="65">
        <f>G162/'ERPs by country'!$E$5</f>
        <v>7.4941753235439014E-3</v>
      </c>
      <c r="E162" s="105">
        <f t="shared" si="7"/>
        <v>5.5413041262508976E-2</v>
      </c>
      <c r="F162" s="65">
        <v>0.185</v>
      </c>
      <c r="G162" s="65">
        <f>E162-'ERPs by country'!$E$3</f>
        <v>8.2130412625089771E-3</v>
      </c>
      <c r="H162" s="83"/>
      <c r="J162" s="155" t="s">
        <v>129</v>
      </c>
      <c r="K162" s="156">
        <v>0.23102608695652177</v>
      </c>
    </row>
    <row r="163" spans="1:11">
      <c r="A163" s="52" t="s">
        <v>334</v>
      </c>
      <c r="B163" s="150">
        <f t="shared" si="8"/>
        <v>63.75</v>
      </c>
      <c r="C163" s="65"/>
      <c r="D163" s="65">
        <f>G163/'ERPs by country'!$E$5</f>
        <v>5.7481919236969693E-2</v>
      </c>
      <c r="E163" s="105">
        <f t="shared" si="7"/>
        <v>0.1101957739390316</v>
      </c>
      <c r="F163" s="65">
        <v>0.31</v>
      </c>
      <c r="G163" s="65">
        <f>E163-'ERPs by country'!$E$3</f>
        <v>6.2995773939031607E-2</v>
      </c>
      <c r="H163" s="83"/>
      <c r="J163" s="155" t="s">
        <v>53</v>
      </c>
      <c r="K163" s="156">
        <v>0.19333333333333336</v>
      </c>
    </row>
    <row r="164" spans="1:11">
      <c r="A164" s="52" t="s">
        <v>317</v>
      </c>
      <c r="B164" s="150">
        <f t="shared" si="8"/>
        <v>53.5</v>
      </c>
      <c r="C164" s="65"/>
      <c r="D164" s="65">
        <f>G164/'ERPs by country'!$E$5</f>
        <v>0.10603460830120626</v>
      </c>
      <c r="E164" s="105">
        <f t="shared" si="7"/>
        <v>0.16340579658656318</v>
      </c>
      <c r="F164" s="65">
        <v>0.29149999999999998</v>
      </c>
      <c r="G164" s="65">
        <f>E164-'ERPs by country'!$E$3</f>
        <v>0.11620579658656319</v>
      </c>
      <c r="H164" s="83"/>
      <c r="J164" s="155" t="s">
        <v>54</v>
      </c>
      <c r="K164" s="156">
        <v>0.18641428571428573</v>
      </c>
    </row>
    <row r="165" spans="1:11">
      <c r="A165" s="52" t="s">
        <v>333</v>
      </c>
      <c r="B165" s="150">
        <f t="shared" si="8"/>
        <v>62</v>
      </c>
      <c r="C165" s="65"/>
      <c r="D165" s="65">
        <f>G165/'ERPs by country'!$E$5</f>
        <v>6.6251698870904083E-2</v>
      </c>
      <c r="E165" s="105">
        <f t="shared" si="7"/>
        <v>0.1198067796717549</v>
      </c>
      <c r="F165" s="65">
        <v>0.29149999999999998</v>
      </c>
      <c r="G165" s="65">
        <f>E165-'ERPs by country'!$E$3</f>
        <v>7.2606779671754912E-2</v>
      </c>
      <c r="H165" s="83"/>
      <c r="J165" s="155" t="s">
        <v>51</v>
      </c>
      <c r="K165" s="156">
        <v>0.27932105263157891</v>
      </c>
    </row>
    <row r="166" spans="1:11">
      <c r="A166" s="52" t="s">
        <v>330</v>
      </c>
      <c r="B166" s="150">
        <f t="shared" si="8"/>
        <v>65.75</v>
      </c>
      <c r="C166" s="65"/>
      <c r="D166" s="65">
        <f>G166/'ERPs by country'!$E$5</f>
        <v>4.8632414333635958E-2</v>
      </c>
      <c r="E166" s="105">
        <f t="shared" si="7"/>
        <v>0.10049739542691996</v>
      </c>
      <c r="F166" s="65">
        <v>0.18640000000000001</v>
      </c>
      <c r="G166" s="65">
        <f>E166-'ERPs by country'!$E$3</f>
        <v>5.3297395426919962E-2</v>
      </c>
      <c r="H166" s="83"/>
      <c r="J166" s="155" t="s">
        <v>125</v>
      </c>
      <c r="K166" s="156">
        <v>0.16692307692307692</v>
      </c>
    </row>
    <row r="167" spans="1:11">
      <c r="A167" s="52" t="s">
        <v>326</v>
      </c>
      <c r="B167" s="150">
        <f t="shared" si="8"/>
        <v>52.75</v>
      </c>
      <c r="C167" s="65"/>
      <c r="D167" s="65">
        <f>G167/'ERPs by country'!$E$5</f>
        <v>0.10603460830120626</v>
      </c>
      <c r="E167" s="105">
        <f t="shared" si="7"/>
        <v>0.16340579658656318</v>
      </c>
      <c r="F167" s="65">
        <v>0.18640000000000001</v>
      </c>
      <c r="G167" s="65">
        <f>E167-'ERPs by country'!$E$3</f>
        <v>0.11620579658656319</v>
      </c>
      <c r="H167" s="83"/>
      <c r="J167" s="155" t="s">
        <v>127</v>
      </c>
      <c r="K167" s="156">
        <v>0.2023076923076923</v>
      </c>
    </row>
    <row r="168" spans="1:11">
      <c r="A168" s="52" t="s">
        <v>328</v>
      </c>
      <c r="B168" s="150">
        <f t="shared" si="8"/>
        <v>59.25</v>
      </c>
      <c r="C168" s="65"/>
      <c r="D168" s="65">
        <f>G168/'ERPs by country'!$E$5</f>
        <v>7.9565818860604418E-2</v>
      </c>
      <c r="E168" s="105">
        <f t="shared" si="7"/>
        <v>0.1343980338296166</v>
      </c>
      <c r="F168" s="65">
        <v>0.20230000000000001</v>
      </c>
      <c r="G168" s="65">
        <f>E168-'ERPs by country'!$E$3</f>
        <v>8.7198033829616606E-2</v>
      </c>
      <c r="H168" s="83"/>
      <c r="J168" s="155" t="s">
        <v>130</v>
      </c>
      <c r="K168" s="156">
        <v>0.25750000000000001</v>
      </c>
    </row>
    <row r="169" spans="1:11">
      <c r="A169" s="52" t="s">
        <v>386</v>
      </c>
      <c r="B169" s="150">
        <f t="shared" si="8"/>
        <v>50.75</v>
      </c>
      <c r="C169" s="65"/>
      <c r="D169" s="65">
        <f>G169/'ERPs by country'!$E$5</f>
        <v>0.10603460830120626</v>
      </c>
      <c r="E169" s="105">
        <f t="shared" si="7"/>
        <v>0.16340579658656318</v>
      </c>
      <c r="F169" s="65">
        <v>0.23100000000000001</v>
      </c>
      <c r="G169" s="65">
        <f>E169-'ERPs by country'!$E$3</f>
        <v>0.11620579658656319</v>
      </c>
      <c r="H169" s="83"/>
      <c r="J169" s="155" t="s">
        <v>126</v>
      </c>
      <c r="K169" s="156">
        <v>0.20019615384615383</v>
      </c>
    </row>
    <row r="170" spans="1:11">
      <c r="A170" s="52" t="s">
        <v>318</v>
      </c>
      <c r="B170" s="150">
        <f t="shared" si="8"/>
        <v>53.5</v>
      </c>
      <c r="C170" s="65"/>
      <c r="D170" s="65">
        <f>G170/'ERPs by country'!$E$5</f>
        <v>0.10603460830120626</v>
      </c>
      <c r="E170" s="105">
        <f t="shared" si="7"/>
        <v>0.16340579658656318</v>
      </c>
      <c r="F170" s="65">
        <v>0.29149999999999998</v>
      </c>
      <c r="G170" s="65">
        <f>E170-'ERPs by country'!$E$3</f>
        <v>0.11620579658656319</v>
      </c>
      <c r="H170" s="83"/>
    </row>
    <row r="171" spans="1:11">
      <c r="A171" s="52" t="s">
        <v>322</v>
      </c>
      <c r="B171" s="150">
        <f t="shared" si="8"/>
        <v>58.25</v>
      </c>
      <c r="C171" s="65"/>
      <c r="D171" s="65">
        <f>G171/'ERPs by country'!$E$5</f>
        <v>7.9565818860604418E-2</v>
      </c>
      <c r="E171" s="105">
        <f t="shared" si="7"/>
        <v>0.1343980338296166</v>
      </c>
      <c r="F171" s="105">
        <v>0.2</v>
      </c>
      <c r="G171" s="65">
        <f>E171-'ERPs by country'!$E$3</f>
        <v>8.7198033829616606E-2</v>
      </c>
      <c r="H171" s="83"/>
    </row>
    <row r="172" spans="1:11">
      <c r="A172" s="52" t="s">
        <v>336</v>
      </c>
      <c r="B172" s="150">
        <f t="shared" si="8"/>
        <v>63.25</v>
      </c>
      <c r="C172" s="65"/>
      <c r="D172" s="65">
        <f>G172/'ERPs by country'!$E$5</f>
        <v>5.7481919236969693E-2</v>
      </c>
      <c r="E172" s="105">
        <f t="shared" si="7"/>
        <v>0.1101957739390316</v>
      </c>
      <c r="F172" s="65">
        <v>0.2</v>
      </c>
      <c r="G172" s="65">
        <f>E172-'ERPs by country'!$E$3</f>
        <v>6.2995773939031607E-2</v>
      </c>
      <c r="H172" s="83"/>
    </row>
    <row r="173" spans="1:11">
      <c r="A173" s="52" t="s">
        <v>327</v>
      </c>
      <c r="B173" s="150">
        <f t="shared" si="8"/>
        <v>58.75</v>
      </c>
      <c r="C173" s="65"/>
      <c r="D173" s="65">
        <f>G173/'ERPs by country'!$E$5</f>
        <v>7.9565818860604418E-2</v>
      </c>
      <c r="E173" s="105">
        <f t="shared" si="7"/>
        <v>0.1343980338296166</v>
      </c>
      <c r="F173" s="65">
        <v>0.3</v>
      </c>
      <c r="G173" s="65">
        <f>E173-'ERPs by country'!$E$3</f>
        <v>8.7198033829616606E-2</v>
      </c>
      <c r="H173" s="83"/>
    </row>
    <row r="174" spans="1:11">
      <c r="A174" s="52" t="s">
        <v>335</v>
      </c>
      <c r="B174" s="150">
        <f t="shared" si="8"/>
        <v>63.75</v>
      </c>
      <c r="C174" s="65"/>
      <c r="D174" s="65">
        <f>G174/'ERPs by country'!$E$5</f>
        <v>5.7481919236969693E-2</v>
      </c>
      <c r="E174" s="105">
        <f t="shared" si="7"/>
        <v>0.1101957739390316</v>
      </c>
      <c r="F174" s="65">
        <v>0.25</v>
      </c>
      <c r="G174" s="65">
        <f>E174-'ERPs by country'!$E$3</f>
        <v>6.2995773939031607E-2</v>
      </c>
      <c r="H174" s="83"/>
    </row>
    <row r="175" spans="1:11">
      <c r="A175" s="52" t="s">
        <v>329</v>
      </c>
      <c r="B175" s="150">
        <f t="shared" si="8"/>
        <v>58.75</v>
      </c>
      <c r="C175" s="65"/>
      <c r="D175" s="65">
        <f>G175/'ERPs by country'!$E$5</f>
        <v>7.9565818860604418E-2</v>
      </c>
      <c r="E175" s="105">
        <f t="shared" si="7"/>
        <v>0.1343980338296166</v>
      </c>
      <c r="F175" s="65">
        <v>0.3</v>
      </c>
      <c r="G175" s="65">
        <f>E175-'ERPs by country'!$E$3</f>
        <v>8.7198033829616606E-2</v>
      </c>
      <c r="H175" s="83"/>
    </row>
    <row r="176" spans="1:11">
      <c r="A176" s="52" t="s">
        <v>315</v>
      </c>
      <c r="B176" s="150">
        <f t="shared" si="8"/>
        <v>50.5</v>
      </c>
      <c r="C176" s="65"/>
      <c r="D176" s="65">
        <f>G176/'ERPs by country'!$E$5</f>
        <v>0.10603460830120626</v>
      </c>
      <c r="E176" s="105">
        <f t="shared" si="7"/>
        <v>0.16340579658656318</v>
      </c>
      <c r="F176" s="65">
        <v>0.29149999999999998</v>
      </c>
      <c r="G176" s="65">
        <f>E176-'ERPs by country'!$E$3</f>
        <v>0.11620579658656319</v>
      </c>
      <c r="H176" s="83"/>
    </row>
    <row r="177" spans="1:8">
      <c r="A177" s="52" t="s">
        <v>319</v>
      </c>
      <c r="B177" s="150">
        <f t="shared" si="8"/>
        <v>38.25</v>
      </c>
      <c r="C177" s="65"/>
      <c r="D177" s="65">
        <f>G177/'ERPs by country'!$E$5</f>
        <v>0.17499999999999999</v>
      </c>
      <c r="E177" s="105">
        <f t="shared" si="7"/>
        <v>0.23898657542527282</v>
      </c>
      <c r="F177" s="65">
        <v>0.35</v>
      </c>
      <c r="G177" s="65">
        <f>E177-'ERPs by country'!$E$3</f>
        <v>0.19178657542527283</v>
      </c>
      <c r="H177" s="83"/>
    </row>
    <row r="178" spans="1:8">
      <c r="A178" s="52" t="s">
        <v>316</v>
      </c>
      <c r="B178" s="150">
        <f t="shared" si="8"/>
        <v>47</v>
      </c>
      <c r="C178" s="65"/>
      <c r="D178" s="65">
        <f>G178/'ERPs by country'!$E$5</f>
        <v>0.17499999999999999</v>
      </c>
      <c r="E178" s="105">
        <f t="shared" si="7"/>
        <v>0.23898657542527282</v>
      </c>
      <c r="F178" s="65">
        <v>0.28000000000000003</v>
      </c>
      <c r="G178" s="65">
        <f>E178-'ERPs by country'!$E$3</f>
        <v>0.19178657542527283</v>
      </c>
      <c r="H178" s="83"/>
    </row>
    <row r="179" spans="1:8">
      <c r="A179" s="52" t="s">
        <v>323</v>
      </c>
      <c r="B179" s="150">
        <f t="shared" si="8"/>
        <v>50</v>
      </c>
      <c r="C179" s="65"/>
      <c r="D179" s="65">
        <f>G179/'ERPs by country'!$E$5</f>
        <v>0.17499999999999999</v>
      </c>
      <c r="E179" s="105">
        <f t="shared" si="7"/>
        <v>0.23898657542527282</v>
      </c>
      <c r="F179" s="65">
        <v>0.2</v>
      </c>
      <c r="G179" s="65">
        <f>E179-'ERPs by country'!$E$3</f>
        <v>0.19178657542527283</v>
      </c>
    </row>
    <row r="180" spans="1:8">
      <c r="A180" s="52" t="s">
        <v>320</v>
      </c>
      <c r="B180" s="150">
        <f t="shared" si="8"/>
        <v>52.25</v>
      </c>
      <c r="C180" s="65"/>
      <c r="D180" s="65">
        <f>G180/'ERPs by country'!$E$5</f>
        <v>0.10603460830120626</v>
      </c>
      <c r="E180" s="105">
        <f t="shared" si="7"/>
        <v>0.16340579658656318</v>
      </c>
      <c r="F180" s="65">
        <v>0.25</v>
      </c>
      <c r="G180" s="65">
        <f>E180-'ERPs by country'!$E$3</f>
        <v>0.11620579658656319</v>
      </c>
    </row>
    <row r="181" spans="1:8" ht="11.4">
      <c r="A181"/>
      <c r="B181" s="88"/>
      <c r="C181"/>
      <c r="D181"/>
    </row>
  </sheetData>
  <sortState xmlns:xlrd2="http://schemas.microsoft.com/office/spreadsheetml/2017/richdata2" ref="N2:O142">
    <sortCondition ref="N2:N142"/>
  </sortState>
  <mergeCells count="3">
    <mergeCell ref="I1:J1"/>
    <mergeCell ref="N1:N3"/>
    <mergeCell ref="O1:O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C96-9AF2-BA45-8E66-CC7A4AFE4F76}">
  <dimension ref="A1:A9"/>
  <sheetViews>
    <sheetView workbookViewId="0">
      <selection activeCell="A4" sqref="A4"/>
    </sheetView>
  </sheetViews>
  <sheetFormatPr defaultColWidth="11" defaultRowHeight="11.4"/>
  <sheetData>
    <row r="1" spans="1:1">
      <c r="A1" t="s">
        <v>528</v>
      </c>
    </row>
    <row r="2" spans="1:1">
      <c r="A2" t="s">
        <v>529</v>
      </c>
    </row>
    <row r="3" spans="1:1">
      <c r="A3" t="s">
        <v>530</v>
      </c>
    </row>
    <row r="4" spans="1:1">
      <c r="A4" t="s">
        <v>531</v>
      </c>
    </row>
    <row r="5" spans="1:1">
      <c r="A5" t="s">
        <v>532</v>
      </c>
    </row>
    <row r="6" spans="1:1">
      <c r="A6" t="s">
        <v>533</v>
      </c>
    </row>
    <row r="7" spans="1:1">
      <c r="A7" t="s">
        <v>534</v>
      </c>
    </row>
    <row r="8" spans="1:1">
      <c r="A8" t="s">
        <v>535</v>
      </c>
    </row>
    <row r="9" spans="1:1">
      <c r="A9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defaultColWidth="11" defaultRowHeight="15.6"/>
  <cols>
    <col min="1" max="1" width="35.625" style="44" bestFit="1" customWidth="1"/>
    <col min="2" max="2" width="22" customWidth="1"/>
  </cols>
  <sheetData>
    <row r="1" spans="1:4" s="43" customFormat="1" ht="18">
      <c r="A1" s="43" t="s">
        <v>256</v>
      </c>
    </row>
    <row r="2" spans="1:4">
      <c r="A2" s="44" t="s">
        <v>75</v>
      </c>
      <c r="B2" s="45" t="s">
        <v>343</v>
      </c>
      <c r="D2" s="1" t="s">
        <v>339</v>
      </c>
    </row>
    <row r="3" spans="1:4">
      <c r="B3" s="44"/>
      <c r="D3" s="1" t="s">
        <v>340</v>
      </c>
    </row>
    <row r="4" spans="1:4">
      <c r="A4" s="44" t="s">
        <v>259</v>
      </c>
      <c r="B4" s="47" t="str">
        <f>VLOOKUP(B2,'Ratings worksheet'!$A$2:$C$158,3, FALSE)</f>
        <v>Caa2</v>
      </c>
      <c r="C4" t="s">
        <v>261</v>
      </c>
    </row>
    <row r="5" spans="1:4">
      <c r="A5" s="44" t="s">
        <v>260</v>
      </c>
      <c r="B5" s="47" t="str">
        <f>VLOOKUP(B2,'Ratings worksheet'!$A$2:$C$158,2, FALSE)</f>
        <v>NA</v>
      </c>
      <c r="C5" t="s">
        <v>261</v>
      </c>
    </row>
    <row r="6" spans="1:4">
      <c r="A6" s="44" t="s">
        <v>258</v>
      </c>
      <c r="B6" s="48" t="str">
        <f>VLOOKUP(B2,'10-year CDS Spreads'!A2:D158,3, FALSE)</f>
        <v>NA</v>
      </c>
    </row>
    <row r="7" spans="1:4">
      <c r="A7" s="44" t="s">
        <v>268</v>
      </c>
      <c r="B7" s="48" t="str">
        <f>IF(B6="NA","NA",VLOOKUP(B2,'ERPs by country'!A8:I164,9,FALSE)/'ERPs by country'!E5)</f>
        <v>NA</v>
      </c>
    </row>
    <row r="8" spans="1:4">
      <c r="B8" s="46"/>
    </row>
    <row r="9" spans="1:4">
      <c r="A9" s="44" t="s">
        <v>351</v>
      </c>
      <c r="B9" s="84">
        <f>VLOOKUP(B2,'ERPs by country'!A8:I164,4,FALSE)</f>
        <v>7.9565818860604404E-2</v>
      </c>
    </row>
    <row r="10" spans="1:4">
      <c r="A10" s="44" t="s">
        <v>262</v>
      </c>
      <c r="B10" s="48">
        <f>VLOOKUP(B2,'ERPs by country'!A8:I164,6,FALSE)</f>
        <v>8.7198033829616592E-2</v>
      </c>
    </row>
    <row r="11" spans="1:4">
      <c r="A11" s="44" t="s">
        <v>263</v>
      </c>
      <c r="B11" s="48">
        <f>VLOOKUP(B2,'ERPs by country'!A8:I164,5,FALSE)</f>
        <v>0.1343980338296166</v>
      </c>
    </row>
    <row r="12" spans="1:4">
      <c r="B12" s="46"/>
    </row>
    <row r="13" spans="1:4">
      <c r="A13" s="44" t="s">
        <v>264</v>
      </c>
      <c r="B13" s="48" t="str">
        <f>VLOOKUP(B2,'ERPs by country'!A8:I164,9,FALSE)</f>
        <v>NA</v>
      </c>
    </row>
    <row r="14" spans="1:4">
      <c r="A14" s="44" t="s">
        <v>265</v>
      </c>
      <c r="B14" s="48" t="str">
        <f>VLOOKUP(B2,'ERPs by country'!A8:I164,8,FALSE)</f>
        <v>NA</v>
      </c>
    </row>
    <row r="16" spans="1:4" ht="18">
      <c r="A16" s="43" t="s">
        <v>257</v>
      </c>
    </row>
    <row r="17" spans="1:2">
      <c r="A17" s="44" t="s">
        <v>52</v>
      </c>
      <c r="B17" s="49" t="s">
        <v>53</v>
      </c>
    </row>
    <row r="19" spans="1:2">
      <c r="A19" s="44" t="s">
        <v>279</v>
      </c>
      <c r="B19" s="50">
        <f>VLOOKUP(B17,'Regional Simple Averages'!$A$5:$E$13,3,FALSE)</f>
        <v>1.4533005638269432E-2</v>
      </c>
    </row>
    <row r="20" spans="1:2">
      <c r="A20" s="44" t="s">
        <v>280</v>
      </c>
      <c r="B20" s="50">
        <f>VLOOKUP(B17,'Regional Simple Averages'!$A$5:$E$13,4,FALSE)</f>
        <v>6.1733005638269424E-2</v>
      </c>
    </row>
    <row r="22" spans="1:2">
      <c r="A22" s="44" t="s">
        <v>266</v>
      </c>
      <c r="B22" s="50">
        <f>VLOOKUP(B17,'Regional Weighted Averages'!A171:C179,3,FALSE)</f>
        <v>3.2682921225493468E-5</v>
      </c>
    </row>
    <row r="23" spans="1:2">
      <c r="A23" s="44" t="s">
        <v>267</v>
      </c>
      <c r="B23" s="50">
        <f>VLOOKUP(B17,'Regional Weighted Averages'!A171:C179,2,FALSE)</f>
        <v>4.723268292122549E-2</v>
      </c>
    </row>
    <row r="25" spans="1:2">
      <c r="A25" s="67" t="s">
        <v>352</v>
      </c>
    </row>
    <row r="27" spans="1:2" s="100" customFormat="1" ht="18">
      <c r="A27" s="43" t="s">
        <v>387</v>
      </c>
    </row>
    <row r="28" spans="1:2">
      <c r="A28" s="44" t="s">
        <v>75</v>
      </c>
      <c r="B28" s="45" t="s">
        <v>320</v>
      </c>
    </row>
    <row r="30" spans="1:2">
      <c r="A30" s="44" t="s">
        <v>349</v>
      </c>
      <c r="B30" s="98">
        <f>VLOOKUP(B28,'PRS Worksheet'!A161:E180,2,FALSE)</f>
        <v>52.25</v>
      </c>
    </row>
    <row r="31" spans="1:2">
      <c r="A31" s="44" t="s">
        <v>388</v>
      </c>
      <c r="B31" s="99">
        <f>VLOOKUP(B28,'PRS Worksheet'!A161:E180,5,FALSE)</f>
        <v>0.16340579658656318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topLeftCell="A151" zoomScale="87" zoomScaleNormal="87" workbookViewId="0">
      <selection activeCell="D88" sqref="D88"/>
    </sheetView>
  </sheetViews>
  <sheetFormatPr defaultColWidth="11" defaultRowHeight="11.4"/>
  <cols>
    <col min="1" max="1" width="35.875" style="22" customWidth="1"/>
    <col min="2" max="2" width="25.875" style="22" customWidth="1"/>
    <col min="3" max="3" width="25.875" customWidth="1"/>
    <col min="4" max="4" width="26.625" customWidth="1"/>
    <col min="5" max="5" width="25.875" customWidth="1"/>
    <col min="6" max="6" width="21.875" customWidth="1"/>
    <col min="7" max="7" width="24.125" customWidth="1"/>
    <col min="8" max="8" width="26.5" customWidth="1"/>
    <col min="9" max="9" width="22.875" customWidth="1"/>
    <col min="10" max="51" width="10.875" style="232"/>
  </cols>
  <sheetData>
    <row r="1" spans="1:51" ht="15.6">
      <c r="A1" s="117" t="s">
        <v>504</v>
      </c>
      <c r="B1" s="117"/>
      <c r="C1" s="7"/>
      <c r="D1" s="7"/>
      <c r="E1" s="7"/>
      <c r="F1" s="7"/>
      <c r="G1" s="7"/>
      <c r="H1" s="7"/>
      <c r="I1" s="7"/>
      <c r="J1" s="231"/>
      <c r="K1" s="231"/>
      <c r="L1" s="231"/>
    </row>
    <row r="2" spans="1:51" ht="15.6">
      <c r="A2" s="6" t="s">
        <v>505</v>
      </c>
      <c r="B2" s="262">
        <v>42735</v>
      </c>
      <c r="C2" s="4"/>
      <c r="D2" s="4"/>
      <c r="E2" s="4"/>
      <c r="F2" s="4"/>
      <c r="G2" s="4"/>
      <c r="H2" s="4"/>
      <c r="I2" s="4"/>
      <c r="J2" s="233"/>
      <c r="K2" s="233"/>
      <c r="L2" s="233"/>
    </row>
    <row r="3" spans="1:51">
      <c r="A3" s="22" t="s">
        <v>72</v>
      </c>
      <c r="E3" s="14">
        <v>4.7199999999999999E-2</v>
      </c>
      <c r="F3" s="1" t="s">
        <v>545</v>
      </c>
    </row>
    <row r="4" spans="1:51">
      <c r="A4" s="22" t="s">
        <v>141</v>
      </c>
      <c r="E4" s="15" t="s">
        <v>73</v>
      </c>
      <c r="F4" s="21"/>
      <c r="G4" s="21"/>
    </row>
    <row r="5" spans="1:51">
      <c r="A5" s="22" t="s">
        <v>142</v>
      </c>
      <c r="E5" s="96">
        <f>'Relative Equity Volatility'!B4</f>
        <v>1.0959232881444163</v>
      </c>
      <c r="F5" s="107" t="s">
        <v>545</v>
      </c>
      <c r="G5" s="21"/>
    </row>
    <row r="6" spans="1:51">
      <c r="F6" s="3"/>
      <c r="G6" s="3"/>
      <c r="H6" s="3"/>
      <c r="I6" s="3"/>
    </row>
    <row r="7" spans="1:51" s="2" customFormat="1" ht="32.4">
      <c r="A7" s="122" t="s">
        <v>75</v>
      </c>
      <c r="B7" s="123" t="s">
        <v>128</v>
      </c>
      <c r="C7" s="124" t="s">
        <v>271</v>
      </c>
      <c r="D7" s="125" t="s">
        <v>139</v>
      </c>
      <c r="E7" s="125" t="s">
        <v>140</v>
      </c>
      <c r="F7" s="125" t="s">
        <v>37</v>
      </c>
      <c r="G7" s="126" t="s">
        <v>399</v>
      </c>
      <c r="H7" s="125" t="s">
        <v>462</v>
      </c>
      <c r="I7" s="127" t="s">
        <v>463</v>
      </c>
      <c r="J7" s="234" t="s">
        <v>38</v>
      </c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</row>
    <row r="8" spans="1:51" ht="15.6">
      <c r="A8" s="121" t="str">
        <f>'Sovereign Ratings (Moody''s,S&amp;P)'!A2</f>
        <v>Abu Dhabi</v>
      </c>
      <c r="B8" s="116" t="str">
        <f>VLOOKUP(A8,'Regional lookup table'!$A$2:$B$161,2)</f>
        <v>Middle East</v>
      </c>
      <c r="C8" s="11" t="str">
        <f>'Sovereign Ratings (Moody''s,S&amp;P)'!C2</f>
        <v>Aa2</v>
      </c>
      <c r="D8" s="24">
        <f>VLOOKUP(C8,$J$9:$K$31,2,FALSE)/10000</f>
        <v>4.3848898169671765E-3</v>
      </c>
      <c r="E8" s="24">
        <f>$E$3+F8</f>
        <v>5.2005502866361637E-2</v>
      </c>
      <c r="F8" s="13">
        <f>IF($E$4="Yes",D8*$E$5,D8)</f>
        <v>4.8055028663616358E-3</v>
      </c>
      <c r="G8" s="13">
        <f>VLOOKUP(A8,'10-year CDS Spreads'!$A$2:$D$157,4)</f>
        <v>4.5999999999999999E-3</v>
      </c>
      <c r="H8" s="13">
        <f>IF(I8="NA","NA",$E$3+I8)</f>
        <v>5.224124712546431E-2</v>
      </c>
      <c r="I8" s="16">
        <f>IF(G8="NA","NA",G8*$E$5)</f>
        <v>5.0412471254643147E-3</v>
      </c>
      <c r="J8" s="236" t="s">
        <v>39</v>
      </c>
      <c r="K8" s="236" t="s">
        <v>40</v>
      </c>
    </row>
    <row r="9" spans="1:51" ht="15.6">
      <c r="A9" s="121" t="str">
        <f>'Sovereign Ratings (Moody''s,S&amp;P)'!A3</f>
        <v>Albania</v>
      </c>
      <c r="B9" s="116" t="str">
        <f>VLOOKUP(A9,'Regional lookup table'!$A$3:$B$161,2)</f>
        <v>Eastern Europe &amp; Russia</v>
      </c>
      <c r="C9" s="11" t="str">
        <f>'Sovereign Ratings (Moody''s,S&amp;P)'!C3</f>
        <v>B1</v>
      </c>
      <c r="D9" s="24">
        <f t="shared" ref="D9:D72" si="0">VLOOKUP(C9,$J$9:$K$31,2,FALSE)/10000</f>
        <v>3.9782909430302202E-2</v>
      </c>
      <c r="E9" s="24">
        <f t="shared" ref="E9:E72" si="1">$E$3+F9</f>
        <v>9.0799016914808295E-2</v>
      </c>
      <c r="F9" s="13">
        <f t="shared" ref="F9:F72" si="2">IF($E$4="Yes",D9*$E$5,D9)</f>
        <v>4.3599016914808296E-2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8" t="s">
        <v>41</v>
      </c>
      <c r="K9" s="237">
        <f t="shared" ref="K9:K22" si="5">C189</f>
        <v>62.185710131534506</v>
      </c>
    </row>
    <row r="10" spans="1:51" ht="15.6">
      <c r="A10" s="121" t="str">
        <f>'Sovereign Ratings (Moody''s,S&amp;P)'!A4</f>
        <v>Andorra (Principality of)</v>
      </c>
      <c r="B10" s="116" t="str">
        <f>VLOOKUP(A10,'Regional lookup table'!$A$3:$B$161,2)</f>
        <v>Western Europe</v>
      </c>
      <c r="C10" s="11" t="str">
        <f>'Sovereign Ratings (Moody''s,S&amp;P)'!C4</f>
        <v>Caa1</v>
      </c>
      <c r="D10" s="24">
        <f t="shared" si="0"/>
        <v>6.6251698870904069E-2</v>
      </c>
      <c r="E10" s="24">
        <f t="shared" si="1"/>
        <v>0.1198067796717549</v>
      </c>
      <c r="F10" s="13">
        <f t="shared" si="2"/>
        <v>7.2606779671754898E-2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8" t="s">
        <v>42</v>
      </c>
      <c r="K10" s="237">
        <f t="shared" si="5"/>
        <v>74.941753235439009</v>
      </c>
    </row>
    <row r="11" spans="1:51" ht="15.6">
      <c r="A11" s="121" t="str">
        <f>'Sovereign Ratings (Moody''s,S&amp;P)'!A5</f>
        <v>Angola</v>
      </c>
      <c r="B11" s="116" t="str">
        <f>VLOOKUP(A11,'Regional lookup table'!$A$3:$B$161,2)</f>
        <v>Africa</v>
      </c>
      <c r="C11" s="11" t="str">
        <f>'Sovereign Ratings (Moody''s,S&amp;P)'!C5</f>
        <v>Caa1</v>
      </c>
      <c r="D11" s="24">
        <f t="shared" si="0"/>
        <v>6.6251698870904069E-2</v>
      </c>
      <c r="E11" s="24">
        <f t="shared" si="1"/>
        <v>0.1198067796717549</v>
      </c>
      <c r="F11" s="13">
        <f t="shared" si="2"/>
        <v>7.2606779671754898E-2</v>
      </c>
      <c r="G11" s="13">
        <f>VLOOKUP(A11,'10-year CDS Spreads'!$A$2:$D$157,4)</f>
        <v>7.2700000000000001E-2</v>
      </c>
      <c r="H11" s="13">
        <f t="shared" si="3"/>
        <v>0.12687362304809907</v>
      </c>
      <c r="I11" s="16">
        <f t="shared" si="4"/>
        <v>7.9673623048099065E-2</v>
      </c>
      <c r="J11" s="8" t="s">
        <v>43</v>
      </c>
      <c r="K11" s="237">
        <f t="shared" si="5"/>
        <v>106.03460830120628</v>
      </c>
    </row>
    <row r="12" spans="1:51" ht="15.6">
      <c r="A12" s="121" t="str">
        <f>'Sovereign Ratings (Moody''s,S&amp;P)'!A6</f>
        <v>Argentina</v>
      </c>
      <c r="B12" s="116" t="str">
        <f>VLOOKUP(A12,'Regional lookup table'!$A$3:$B$161,2)</f>
        <v>Central and South America</v>
      </c>
      <c r="C12" s="11" t="str">
        <f>'Sovereign Ratings (Moody''s,S&amp;P)'!C6</f>
        <v>Ca</v>
      </c>
      <c r="D12" s="24">
        <f t="shared" si="0"/>
        <v>0.10603460830120626</v>
      </c>
      <c r="E12" s="24">
        <f t="shared" si="1"/>
        <v>0.16340579658656318</v>
      </c>
      <c r="F12" s="13">
        <f t="shared" si="2"/>
        <v>0.11620579658656319</v>
      </c>
      <c r="G12" s="13" t="str">
        <f>VLOOKUP(A12,'10-year CDS Spreads'!$A$2:$D$157,4)</f>
        <v>NA</v>
      </c>
      <c r="H12" s="13" t="str">
        <f t="shared" si="3"/>
        <v>NA</v>
      </c>
      <c r="I12" s="16" t="str">
        <f t="shared" si="4"/>
        <v>NA</v>
      </c>
      <c r="J12" s="8" t="s">
        <v>44</v>
      </c>
      <c r="K12" s="237">
        <f t="shared" si="5"/>
        <v>35.079118535737408</v>
      </c>
    </row>
    <row r="13" spans="1:51" ht="15.6">
      <c r="A13" s="121" t="str">
        <f>'Sovereign Ratings (Moody''s,S&amp;P)'!A7</f>
        <v>Armenia</v>
      </c>
      <c r="B13" s="116" t="str">
        <f>VLOOKUP(A13,'Regional lookup table'!$A$3:$B$161,2)</f>
        <v>Eastern Europe &amp; Russia</v>
      </c>
      <c r="C13" s="11" t="str">
        <f>'Sovereign Ratings (Moody''s,S&amp;P)'!C7</f>
        <v>Ba3</v>
      </c>
      <c r="D13" s="24">
        <f t="shared" si="0"/>
        <v>3.1810382490361881E-2</v>
      </c>
      <c r="E13" s="24">
        <f t="shared" si="1"/>
        <v>8.2061738975968967E-2</v>
      </c>
      <c r="F13" s="13">
        <f t="shared" si="2"/>
        <v>3.4861738975968962E-2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8" t="s">
        <v>45</v>
      </c>
      <c r="K13" s="237">
        <f t="shared" si="5"/>
        <v>43.848898169671763</v>
      </c>
    </row>
    <row r="14" spans="1:51" ht="15.6">
      <c r="A14" s="121" t="str">
        <f>'Sovereign Ratings (Moody''s,S&amp;P)'!A8</f>
        <v>Aruba</v>
      </c>
      <c r="B14" s="116" t="str">
        <f>VLOOKUP(A14,'Regional lookup table'!$A$3:$B$161,2)</f>
        <v>Caribbean</v>
      </c>
      <c r="C14" s="11" t="str">
        <f>'Sovereign Ratings (Moody''s,S&amp;P)'!C8</f>
        <v>Baa1</v>
      </c>
      <c r="D14" s="24">
        <f t="shared" si="0"/>
        <v>1.4111372683694367E-2</v>
      </c>
      <c r="E14" s="24">
        <f t="shared" si="1"/>
        <v>6.2664981951745621E-2</v>
      </c>
      <c r="F14" s="13">
        <f t="shared" si="2"/>
        <v>1.5464981951745628E-2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8" t="s">
        <v>46</v>
      </c>
      <c r="K14" s="237">
        <f t="shared" si="5"/>
        <v>53.415930497600151</v>
      </c>
    </row>
    <row r="15" spans="1:51" ht="15.6">
      <c r="A15" s="121" t="str">
        <f>'Sovereign Ratings (Moody''s,S&amp;P)'!A9</f>
        <v>Australia</v>
      </c>
      <c r="B15" s="116" t="str">
        <f>VLOOKUP(A15,'Regional lookup table'!$A$3:$B$161,2)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4.7199999999999999E-2</v>
      </c>
      <c r="F15" s="13">
        <f t="shared" si="2"/>
        <v>0</v>
      </c>
      <c r="G15" s="13">
        <f>VLOOKUP(A15,'10-year CDS Spreads'!$A$2:$D$157,4)</f>
        <v>0</v>
      </c>
      <c r="H15" s="13">
        <f t="shared" si="3"/>
        <v>4.7199999999999999E-2</v>
      </c>
      <c r="I15" s="16">
        <f t="shared" si="4"/>
        <v>0</v>
      </c>
      <c r="J15" s="8" t="s">
        <v>47</v>
      </c>
      <c r="K15" s="237">
        <f t="shared" si="5"/>
        <v>0</v>
      </c>
    </row>
    <row r="16" spans="1:51" ht="15.6">
      <c r="A16" s="121" t="str">
        <f>'Sovereign Ratings (Moody''s,S&amp;P)'!A10</f>
        <v>Austria</v>
      </c>
      <c r="B16" s="116" t="str">
        <f>VLOOKUP(A16,'Regional lookup table'!$A$3:$B$161,2)</f>
        <v>Western Europe</v>
      </c>
      <c r="C16" s="11" t="str">
        <f>'Sovereign Ratings (Moody''s,S&amp;P)'!C10</f>
        <v>Aa1</v>
      </c>
      <c r="D16" s="24">
        <f t="shared" si="0"/>
        <v>3.5079118535737406E-3</v>
      </c>
      <c r="E16" s="24">
        <f t="shared" si="1"/>
        <v>5.1044402293089305E-2</v>
      </c>
      <c r="F16" s="13">
        <f t="shared" si="2"/>
        <v>3.8444022930893078E-3</v>
      </c>
      <c r="G16" s="13">
        <f>VLOOKUP(A16,'10-year CDS Spreads'!$A$2:$D$157,4)</f>
        <v>0</v>
      </c>
      <c r="H16" s="13">
        <f t="shared" si="3"/>
        <v>4.7199999999999999E-2</v>
      </c>
      <c r="I16" s="16">
        <f t="shared" si="4"/>
        <v>0</v>
      </c>
      <c r="J16" s="8" t="s">
        <v>48</v>
      </c>
      <c r="K16" s="237">
        <f t="shared" si="5"/>
        <v>397.82909430302203</v>
      </c>
    </row>
    <row r="17" spans="1:11" ht="15.6">
      <c r="A17" s="121" t="str">
        <f>'Sovereign Ratings (Moody''s,S&amp;P)'!A11</f>
        <v>Azerbaijan</v>
      </c>
      <c r="B17" s="116" t="str">
        <f>VLOOKUP(A17,'Regional lookup table'!$A$3:$B$161,2)</f>
        <v>Eastern Europe &amp; Russia</v>
      </c>
      <c r="C17" s="11" t="str">
        <f>'Sovereign Ratings (Moody''s,S&amp;P)'!C11</f>
        <v>Ba2</v>
      </c>
      <c r="D17" s="24">
        <f t="shared" si="0"/>
        <v>2.6548514710001261E-2</v>
      </c>
      <c r="E17" s="24">
        <f t="shared" si="1"/>
        <v>7.629513553633499E-2</v>
      </c>
      <c r="F17" s="13">
        <f t="shared" si="2"/>
        <v>2.9095135536334988E-2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8" t="s">
        <v>49</v>
      </c>
      <c r="K17" s="237">
        <f t="shared" si="5"/>
        <v>486.3241433363595</v>
      </c>
    </row>
    <row r="18" spans="1:11" ht="15.6">
      <c r="A18" s="121" t="str">
        <f>'Sovereign Ratings (Moody''s,S&amp;P)'!A12</f>
        <v>Bahamas</v>
      </c>
      <c r="B18" s="116" t="str">
        <f>VLOOKUP(A18,'Regional lookup table'!$A$3:$B$161,2)</f>
        <v>Caribbean</v>
      </c>
      <c r="C18" s="11" t="str">
        <f>'Sovereign Ratings (Moody''s,S&amp;P)'!C12</f>
        <v>Ba2</v>
      </c>
      <c r="D18" s="24">
        <f t="shared" si="0"/>
        <v>2.6548514710001261E-2</v>
      </c>
      <c r="E18" s="24">
        <f t="shared" si="1"/>
        <v>7.629513553633499E-2</v>
      </c>
      <c r="F18" s="13">
        <f t="shared" si="2"/>
        <v>2.9095135536334988E-2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8" t="s">
        <v>78</v>
      </c>
      <c r="K18" s="237">
        <f t="shared" si="5"/>
        <v>574.81919236969702</v>
      </c>
    </row>
    <row r="19" spans="1:11" ht="15.6">
      <c r="A19" s="121" t="str">
        <f>'Sovereign Ratings (Moody''s,S&amp;P)'!A13</f>
        <v>Bahrain</v>
      </c>
      <c r="B19" s="116" t="str">
        <f>VLOOKUP(A19,'Regional lookup table'!$A$3:$B$161,2)</f>
        <v>Middle East</v>
      </c>
      <c r="C19" s="11" t="str">
        <f>'Sovereign Ratings (Moody''s,S&amp;P)'!C13</f>
        <v>B2</v>
      </c>
      <c r="D19" s="24">
        <f t="shared" si="0"/>
        <v>4.8632414333635951E-2</v>
      </c>
      <c r="E19" s="24">
        <f t="shared" si="1"/>
        <v>0.10049739542691996</v>
      </c>
      <c r="F19" s="13">
        <f t="shared" si="2"/>
        <v>5.3297395426919955E-2</v>
      </c>
      <c r="G19" s="13">
        <f>VLOOKUP(A19,'10-year CDS Spreads'!$A$2:$D$157,4)</f>
        <v>2.9500000000000002E-2</v>
      </c>
      <c r="H19" s="13">
        <f t="shared" si="3"/>
        <v>7.9529737000260281E-2</v>
      </c>
      <c r="I19" s="16">
        <f t="shared" si="4"/>
        <v>3.2329737000260282E-2</v>
      </c>
      <c r="J19" s="8" t="s">
        <v>79</v>
      </c>
      <c r="K19" s="237">
        <f t="shared" si="5"/>
        <v>220.8389962363469</v>
      </c>
    </row>
    <row r="20" spans="1:11" ht="15.6">
      <c r="A20" s="121" t="str">
        <f>'Sovereign Ratings (Moody''s,S&amp;P)'!A14</f>
        <v>Bangladesh</v>
      </c>
      <c r="B20" s="116" t="str">
        <f>VLOOKUP(A20,'Regional lookup table'!$A$3:$B$161,2)</f>
        <v>Asia</v>
      </c>
      <c r="C20" s="11" t="str">
        <f>'Sovereign Ratings (Moody''s,S&amp;P)'!C14</f>
        <v>Ba3</v>
      </c>
      <c r="D20" s="24">
        <f t="shared" si="0"/>
        <v>3.1810382490361881E-2</v>
      </c>
      <c r="E20" s="24">
        <f t="shared" si="1"/>
        <v>8.2061738975968967E-2</v>
      </c>
      <c r="F20" s="13">
        <f t="shared" si="2"/>
        <v>3.4861738975968962E-2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8" t="s">
        <v>80</v>
      </c>
      <c r="K20" s="237">
        <f t="shared" si="5"/>
        <v>265.48514710001263</v>
      </c>
    </row>
    <row r="21" spans="1:11" ht="15.6">
      <c r="A21" s="121" t="str">
        <f>'Sovereign Ratings (Moody''s,S&amp;P)'!A15</f>
        <v>Barbados</v>
      </c>
      <c r="B21" s="116" t="str">
        <f>VLOOKUP(A21,'Regional lookup table'!$A$3:$B$161,2)</f>
        <v>Caribbean</v>
      </c>
      <c r="C21" s="11" t="str">
        <f>'Sovereign Ratings (Moody''s,S&amp;P)'!C15</f>
        <v>Caa1</v>
      </c>
      <c r="D21" s="24">
        <f t="shared" si="0"/>
        <v>6.6251698870904069E-2</v>
      </c>
      <c r="E21" s="24">
        <f t="shared" si="1"/>
        <v>0.1198067796717549</v>
      </c>
      <c r="F21" s="13">
        <f t="shared" si="2"/>
        <v>7.2606779671754898E-2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8" t="s">
        <v>81</v>
      </c>
      <c r="K21" s="237">
        <f t="shared" si="5"/>
        <v>318.10382490361883</v>
      </c>
    </row>
    <row r="22" spans="1:11" ht="15.6">
      <c r="A22" s="121" t="str">
        <f>'Sovereign Ratings (Moody''s,S&amp;P)'!A16</f>
        <v>Belarus</v>
      </c>
      <c r="B22" s="116" t="str">
        <f>VLOOKUP(A22,'Regional lookup table'!$A$3:$B$161,2)</f>
        <v>Eastern Europe &amp; Russia</v>
      </c>
      <c r="C22" s="11" t="str">
        <f>'Sovereign Ratings (Moody''s,S&amp;P)'!C16</f>
        <v>B3</v>
      </c>
      <c r="D22" s="24">
        <f t="shared" si="0"/>
        <v>5.74819192369697E-2</v>
      </c>
      <c r="E22" s="24">
        <f t="shared" si="1"/>
        <v>0.1101957739390316</v>
      </c>
      <c r="F22" s="13">
        <f t="shared" si="2"/>
        <v>6.2995773939031607E-2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8" t="s">
        <v>82</v>
      </c>
      <c r="K22" s="237">
        <f t="shared" si="5"/>
        <v>141.11372683694367</v>
      </c>
    </row>
    <row r="23" spans="1:11" ht="15.6">
      <c r="A23" s="121" t="str">
        <f>'Sovereign Ratings (Moody''s,S&amp;P)'!A17</f>
        <v>Belgium</v>
      </c>
      <c r="B23" s="116" t="str">
        <f>VLOOKUP(A23,'Regional lookup table'!$A$3:$B$161,2)</f>
        <v>Western Europe</v>
      </c>
      <c r="C23" s="11" t="str">
        <f>'Sovereign Ratings (Moody''s,S&amp;P)'!C17</f>
        <v>Aa3</v>
      </c>
      <c r="D23" s="24">
        <f t="shared" si="0"/>
        <v>5.3415930497600151E-3</v>
      </c>
      <c r="E23" s="24">
        <f t="shared" si="1"/>
        <v>5.3053976219022358E-2</v>
      </c>
      <c r="F23" s="13">
        <f t="shared" si="2"/>
        <v>5.8539762190223561E-3</v>
      </c>
      <c r="G23" s="13">
        <f>VLOOKUP(A23,'10-year CDS Spreads'!$A$2:$D$157,4)</f>
        <v>4.0000000000000018E-4</v>
      </c>
      <c r="H23" s="13">
        <f t="shared" si="3"/>
        <v>4.7638369315257764E-2</v>
      </c>
      <c r="I23" s="16">
        <f t="shared" si="4"/>
        <v>4.383693152577667E-4</v>
      </c>
      <c r="J23" s="8" t="s">
        <v>83</v>
      </c>
      <c r="K23" s="237">
        <f t="shared" ref="K23:K29" si="6">C203</f>
        <v>168.22031843274075</v>
      </c>
    </row>
    <row r="24" spans="1:11" ht="15.6">
      <c r="A24" s="121" t="str">
        <f>'Sovereign Ratings (Moody''s,S&amp;P)'!A18</f>
        <v>Belize</v>
      </c>
      <c r="B24" s="116" t="str">
        <f>VLOOKUP(A24,'Regional lookup table'!$A$3:$B$161,2)</f>
        <v>Central and South America</v>
      </c>
      <c r="C24" s="11" t="str">
        <f>'Sovereign Ratings (Moody''s,S&amp;P)'!C18</f>
        <v>Caa3</v>
      </c>
      <c r="D24" s="24">
        <f t="shared" si="0"/>
        <v>8.8335598494538758E-2</v>
      </c>
      <c r="E24" s="24">
        <f t="shared" si="1"/>
        <v>0.14400903956233987</v>
      </c>
      <c r="F24" s="13">
        <f t="shared" si="2"/>
        <v>9.6809039562339869E-2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8" t="s">
        <v>124</v>
      </c>
      <c r="K24" s="237">
        <f t="shared" si="6"/>
        <v>194.52965733454383</v>
      </c>
    </row>
    <row r="25" spans="1:11" ht="15.6">
      <c r="A25" s="121" t="str">
        <f>'Sovereign Ratings (Moody''s,S&amp;P)'!A19</f>
        <v>Benin</v>
      </c>
      <c r="B25" s="116" t="str">
        <f>VLOOKUP(A25,'Regional lookup table'!$A$3:$B$161,2)</f>
        <v>Africa</v>
      </c>
      <c r="C25" s="11" t="str">
        <f>'Sovereign Ratings (Moody''s,S&amp;P)'!C19</f>
        <v>B2</v>
      </c>
      <c r="D25" s="24">
        <f t="shared" si="0"/>
        <v>4.8632414333635951E-2</v>
      </c>
      <c r="E25" s="24">
        <f t="shared" si="1"/>
        <v>0.10049739542691996</v>
      </c>
      <c r="F25" s="13">
        <f t="shared" si="2"/>
        <v>5.3297395426919955E-2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8" t="s">
        <v>137</v>
      </c>
      <c r="K25" s="237">
        <f t="shared" si="6"/>
        <v>1750</v>
      </c>
    </row>
    <row r="26" spans="1:11" ht="15.6">
      <c r="A26" s="121" t="str">
        <f>'Sovereign Ratings (Moody''s,S&amp;P)'!A20</f>
        <v>Bermuda</v>
      </c>
      <c r="B26" s="116" t="str">
        <f>VLOOKUP(A26,'Regional lookup table'!$A$3:$B$161,2)</f>
        <v>Caribbean</v>
      </c>
      <c r="C26" s="11" t="str">
        <f>'Sovereign Ratings (Moody''s,S&amp;P)'!C20</f>
        <v>A2</v>
      </c>
      <c r="D26" s="24">
        <f t="shared" si="0"/>
        <v>7.4941753235439005E-3</v>
      </c>
      <c r="E26" s="24">
        <f t="shared" si="1"/>
        <v>5.5413041262508976E-2</v>
      </c>
      <c r="F26" s="13">
        <f t="shared" si="2"/>
        <v>8.2130412625089771E-3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346</v>
      </c>
      <c r="K26" s="237">
        <f t="shared" si="6"/>
        <v>1060.3460830120625</v>
      </c>
    </row>
    <row r="27" spans="1:11" ht="15.6">
      <c r="A27" s="121" t="str">
        <f>'Sovereign Ratings (Moody''s,S&amp;P)'!A21</f>
        <v>Bolivia</v>
      </c>
      <c r="B27" s="116" t="str">
        <f>VLOOKUP(A27,'Regional lookup table'!$A$3:$B$161,2)</f>
        <v>Central and South America</v>
      </c>
      <c r="C27" s="11" t="str">
        <f>'Sovereign Ratings (Moody''s,S&amp;P)'!C21</f>
        <v>B2</v>
      </c>
      <c r="D27" s="24">
        <f t="shared" si="0"/>
        <v>4.8632414333635951E-2</v>
      </c>
      <c r="E27" s="24">
        <f t="shared" si="1"/>
        <v>0.10049739542691996</v>
      </c>
      <c r="F27" s="13">
        <f t="shared" si="2"/>
        <v>5.3297395426919955E-2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237">
        <f t="shared" si="6"/>
        <v>662.51698870904067</v>
      </c>
    </row>
    <row r="28" spans="1:11" ht="15.6">
      <c r="A28" s="121" t="str">
        <f>'Sovereign Ratings (Moody''s,S&amp;P)'!A22</f>
        <v>Bosnia and Herzegovina</v>
      </c>
      <c r="B28" s="116" t="str">
        <f>VLOOKUP(A28,'Regional lookup table'!$A$3:$B$161,2)</f>
        <v>Eastern Europe &amp; Russia</v>
      </c>
      <c r="C28" s="11" t="str">
        <f>'Sovereign Ratings (Moody''s,S&amp;P)'!C22</f>
        <v>B3</v>
      </c>
      <c r="D28" s="24">
        <f t="shared" si="0"/>
        <v>5.74819192369697E-2</v>
      </c>
      <c r="E28" s="24">
        <f t="shared" si="1"/>
        <v>0.1101957739390316</v>
      </c>
      <c r="F28" s="13">
        <f t="shared" si="2"/>
        <v>6.2995773939031607E-2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237">
        <f t="shared" si="6"/>
        <v>795.65818860604406</v>
      </c>
    </row>
    <row r="29" spans="1:11" ht="15.6">
      <c r="A29" s="121" t="str">
        <f>'Sovereign Ratings (Moody''s,S&amp;P)'!A23</f>
        <v>Botswana</v>
      </c>
      <c r="B29" s="116" t="str">
        <f>VLOOKUP(A29,'Regional lookup table'!$A$3:$B$161,2)</f>
        <v>Africa</v>
      </c>
      <c r="C29" s="11" t="str">
        <f>'Sovereign Ratings (Moody''s,S&amp;P)'!C23</f>
        <v>A2</v>
      </c>
      <c r="D29" s="24">
        <f t="shared" si="0"/>
        <v>7.4941753235439005E-3</v>
      </c>
      <c r="E29" s="24">
        <f t="shared" si="1"/>
        <v>5.5413041262508976E-2</v>
      </c>
      <c r="F29" s="13">
        <f t="shared" si="2"/>
        <v>8.2130412625089771E-3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237">
        <f t="shared" si="6"/>
        <v>883.3559849453876</v>
      </c>
    </row>
    <row r="30" spans="1:11" ht="15.6">
      <c r="A30" s="121" t="str">
        <f>'Sovereign Ratings (Moody''s,S&amp;P)'!A24</f>
        <v>Brazil</v>
      </c>
      <c r="B30" s="116" t="str">
        <f>VLOOKUP(A30,'Regional lookup table'!$A$3:$B$161,2)</f>
        <v>Central and South America</v>
      </c>
      <c r="C30" s="11" t="str">
        <f>'Sovereign Ratings (Moody''s,S&amp;P)'!C24</f>
        <v>Ba2</v>
      </c>
      <c r="D30" s="24">
        <f t="shared" si="0"/>
        <v>2.6548514710001261E-2</v>
      </c>
      <c r="E30" s="24">
        <f t="shared" si="1"/>
        <v>7.629513553633499E-2</v>
      </c>
      <c r="F30" s="13">
        <f t="shared" si="2"/>
        <v>2.9095135536334988E-2</v>
      </c>
      <c r="G30" s="13">
        <f>VLOOKUP(A30,'10-year CDS Spreads'!$A$2:$D$157,4)</f>
        <v>1.9199999999999998E-2</v>
      </c>
      <c r="H30" s="13">
        <f t="shared" si="3"/>
        <v>6.8241727132372795E-2</v>
      </c>
      <c r="I30" s="16">
        <f t="shared" si="4"/>
        <v>2.1041727132372793E-2</v>
      </c>
      <c r="J30" s="8" t="s">
        <v>277</v>
      </c>
      <c r="K30" s="238" t="str">
        <f>C210</f>
        <v>NA</v>
      </c>
    </row>
    <row r="31" spans="1:11" ht="15.6">
      <c r="A31" s="121" t="str">
        <f>'Sovereign Ratings (Moody''s,S&amp;P)'!A25</f>
        <v>Bulgaria</v>
      </c>
      <c r="B31" s="116" t="str">
        <f>VLOOKUP(A31,'Regional lookup table'!$A$3:$B$161,2)</f>
        <v>Eastern Europe &amp; Russia</v>
      </c>
      <c r="C31" s="11" t="str">
        <f>'Sovereign Ratings (Moody''s,S&amp;P)'!C25</f>
        <v>Baa1</v>
      </c>
      <c r="D31" s="24">
        <f t="shared" si="0"/>
        <v>1.4111372683694367E-2</v>
      </c>
      <c r="E31" s="24">
        <f t="shared" si="1"/>
        <v>6.2664981951745621E-2</v>
      </c>
      <c r="F31" s="13">
        <f t="shared" si="2"/>
        <v>1.5464981951745628E-2</v>
      </c>
      <c r="G31" s="13">
        <f>VLOOKUP(A31,'10-year CDS Spreads'!$A$2:$D$157,4)</f>
        <v>4.7000000000000002E-3</v>
      </c>
      <c r="H31" s="13">
        <f t="shared" si="3"/>
        <v>5.2350839454278757E-2</v>
      </c>
      <c r="I31" s="16">
        <f t="shared" si="4"/>
        <v>5.1508394542787569E-3</v>
      </c>
    </row>
    <row r="32" spans="1:11" ht="15.6">
      <c r="A32" s="121" t="str">
        <f>'Sovereign Ratings (Moody''s,S&amp;P)'!A26</f>
        <v>Burkina Faso</v>
      </c>
      <c r="B32" s="116" t="str">
        <f>VLOOKUP(A32,'Regional lookup table'!$A$3:$B$161,2)</f>
        <v>Africa</v>
      </c>
      <c r="C32" s="11" t="str">
        <f>'Sovereign Ratings (Moody''s,S&amp;P)'!C26</f>
        <v>B2</v>
      </c>
      <c r="D32" s="24">
        <f t="shared" si="0"/>
        <v>4.8632414333635951E-2</v>
      </c>
      <c r="E32" s="24">
        <f t="shared" si="1"/>
        <v>0.10049739542691996</v>
      </c>
      <c r="F32" s="13">
        <f t="shared" si="2"/>
        <v>5.3297395426919955E-2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5.6">
      <c r="A33" s="121" t="str">
        <f>'Sovereign Ratings (Moody''s,S&amp;P)'!A27</f>
        <v>Cambodia</v>
      </c>
      <c r="B33" s="116" t="str">
        <f>VLOOKUP(A33,'Regional lookup table'!$A$3:$B$161,2)</f>
        <v>Asia</v>
      </c>
      <c r="C33" s="11" t="str">
        <f>'Sovereign Ratings (Moody''s,S&amp;P)'!C27</f>
        <v>B2</v>
      </c>
      <c r="D33" s="24">
        <f t="shared" si="0"/>
        <v>4.8632414333635951E-2</v>
      </c>
      <c r="E33" s="24">
        <f t="shared" si="1"/>
        <v>0.10049739542691996</v>
      </c>
      <c r="F33" s="13">
        <f t="shared" si="2"/>
        <v>5.3297395426919955E-2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5.6">
      <c r="A34" s="121" t="str">
        <f>'Sovereign Ratings (Moody''s,S&amp;P)'!A28</f>
        <v>Cameroon</v>
      </c>
      <c r="B34" s="116" t="str">
        <f>VLOOKUP(A34,'Regional lookup table'!$A$3:$B$161,2)</f>
        <v>Africa</v>
      </c>
      <c r="C34" s="11" t="str">
        <f>'Sovereign Ratings (Moody''s,S&amp;P)'!C28</f>
        <v>B2</v>
      </c>
      <c r="D34" s="24">
        <f t="shared" si="0"/>
        <v>4.8632414333635951E-2</v>
      </c>
      <c r="E34" s="24">
        <f t="shared" si="1"/>
        <v>0.10049739542691996</v>
      </c>
      <c r="F34" s="13">
        <f t="shared" si="2"/>
        <v>5.3297395426919955E-2</v>
      </c>
      <c r="G34" s="13">
        <f>VLOOKUP(A34,'10-year CDS Spreads'!$A$2:$D$157,4)</f>
        <v>5.6400000000000006E-2</v>
      </c>
      <c r="H34" s="13">
        <f t="shared" si="3"/>
        <v>0.10901007345134509</v>
      </c>
      <c r="I34" s="16">
        <f t="shared" si="4"/>
        <v>6.1810073451345086E-2</v>
      </c>
    </row>
    <row r="35" spans="1:9" ht="15.6">
      <c r="A35" s="121" t="str">
        <f>'Sovereign Ratings (Moody''s,S&amp;P)'!A29</f>
        <v>Canada</v>
      </c>
      <c r="B35" s="116" t="str">
        <f>VLOOKUP(A35,'Regional lookup table'!$A$3:$B$161,2)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4.7199999999999999E-2</v>
      </c>
      <c r="F35" s="13">
        <f t="shared" si="2"/>
        <v>0</v>
      </c>
      <c r="G35" s="13">
        <f>VLOOKUP(A35,'10-year CDS Spreads'!$A$2:$D$157,4)</f>
        <v>1.8999999999999998E-3</v>
      </c>
      <c r="H35" s="13">
        <f t="shared" si="3"/>
        <v>4.9282254247474393E-2</v>
      </c>
      <c r="I35" s="16">
        <f t="shared" si="4"/>
        <v>2.0822542474743908E-3</v>
      </c>
    </row>
    <row r="36" spans="1:9" ht="15.6">
      <c r="A36" s="121" t="str">
        <f>'Sovereign Ratings (Moody''s,S&amp;P)'!A30</f>
        <v>Cape Verde</v>
      </c>
      <c r="B36" s="116" t="str">
        <f>VLOOKUP(A36,'Regional lookup table'!$A$3:$B$161,2)</f>
        <v>Africa</v>
      </c>
      <c r="C36" s="11" t="str">
        <f>'Sovereign Ratings (Moody''s,S&amp;P)'!C30</f>
        <v>B2</v>
      </c>
      <c r="D36" s="24">
        <f t="shared" si="0"/>
        <v>4.8632414333635951E-2</v>
      </c>
      <c r="E36" s="24">
        <f t="shared" si="1"/>
        <v>0.10049739542691996</v>
      </c>
      <c r="F36" s="13">
        <f t="shared" si="2"/>
        <v>5.3297395426919955E-2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5.6">
      <c r="A37" s="121" t="str">
        <f>'Sovereign Ratings (Moody''s,S&amp;P)'!A31</f>
        <v>Cayman Islands</v>
      </c>
      <c r="B37" s="116" t="str">
        <f>VLOOKUP(A37,'Regional lookup table'!$A$3:$B$161,2)</f>
        <v>Caribbean</v>
      </c>
      <c r="C37" s="11" t="str">
        <f>'Sovereign Ratings (Moody''s,S&amp;P)'!C31</f>
        <v>Aa3</v>
      </c>
      <c r="D37" s="24">
        <f t="shared" si="0"/>
        <v>5.3415930497600151E-3</v>
      </c>
      <c r="E37" s="24">
        <f t="shared" si="1"/>
        <v>5.3053976219022358E-2</v>
      </c>
      <c r="F37" s="13">
        <f t="shared" si="2"/>
        <v>5.8539762190223561E-3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5.6">
      <c r="A38" s="121" t="str">
        <f>'Sovereign Ratings (Moody''s,S&amp;P)'!A32</f>
        <v>Chile</v>
      </c>
      <c r="B38" s="116" t="str">
        <f>VLOOKUP(A38,'Regional lookup table'!$A$3:$B$161,2)</f>
        <v>Central and South America</v>
      </c>
      <c r="C38" s="11" t="str">
        <f>'Sovereign Ratings (Moody''s,S&amp;P)'!C32</f>
        <v>A1</v>
      </c>
      <c r="D38" s="24">
        <f t="shared" si="0"/>
        <v>6.2185710131534505E-3</v>
      </c>
      <c r="E38" s="24">
        <f t="shared" si="1"/>
        <v>5.4015076792294683E-2</v>
      </c>
      <c r="F38" s="13">
        <f t="shared" si="2"/>
        <v>6.8150767922946836E-3</v>
      </c>
      <c r="G38" s="13">
        <f>VLOOKUP(A38,'10-year CDS Spreads'!$A$2:$D$157,4)</f>
        <v>6.6999999999999994E-3</v>
      </c>
      <c r="H38" s="13">
        <f t="shared" si="3"/>
        <v>5.454268603056759E-2</v>
      </c>
      <c r="I38" s="16">
        <f t="shared" si="4"/>
        <v>7.3426860305675886E-3</v>
      </c>
    </row>
    <row r="39" spans="1:9" ht="15.6">
      <c r="A39" s="121" t="str">
        <f>'Sovereign Ratings (Moody''s,S&amp;P)'!A33</f>
        <v>China</v>
      </c>
      <c r="B39" s="116" t="str">
        <f>VLOOKUP(A39,'Regional lookup table'!$A$3:$B$161,2)</f>
        <v>Asia</v>
      </c>
      <c r="C39" s="11" t="str">
        <f>'Sovereign Ratings (Moody''s,S&amp;P)'!C33</f>
        <v>A1</v>
      </c>
      <c r="D39" s="24">
        <f t="shared" si="0"/>
        <v>6.2185710131534505E-3</v>
      </c>
      <c r="E39" s="24">
        <f t="shared" si="1"/>
        <v>5.4015076792294683E-2</v>
      </c>
      <c r="F39" s="13">
        <f t="shared" si="2"/>
        <v>6.8150767922946836E-3</v>
      </c>
      <c r="G39" s="13">
        <f>VLOOKUP(A39,'10-year CDS Spreads'!$A$2:$D$157,4)</f>
        <v>3.3E-3</v>
      </c>
      <c r="H39" s="13">
        <f t="shared" si="3"/>
        <v>5.0816546850876575E-2</v>
      </c>
      <c r="I39" s="16">
        <f t="shared" si="4"/>
        <v>3.6165468508765736E-3</v>
      </c>
    </row>
    <row r="40" spans="1:9" ht="15.6">
      <c r="A40" s="121" t="str">
        <f>'Sovereign Ratings (Moody''s,S&amp;P)'!A34</f>
        <v>Colombia</v>
      </c>
      <c r="B40" s="116" t="str">
        <f>VLOOKUP(A40,'Regional lookup table'!$A$3:$B$161,2)</f>
        <v>Central and South America</v>
      </c>
      <c r="C40" s="11" t="str">
        <f>'Sovereign Ratings (Moody''s,S&amp;P)'!C34</f>
        <v>Baa2</v>
      </c>
      <c r="D40" s="24">
        <f t="shared" si="0"/>
        <v>1.6822031843274077E-2</v>
      </c>
      <c r="E40" s="24">
        <f t="shared" si="1"/>
        <v>6.5635656450950999E-2</v>
      </c>
      <c r="F40" s="13">
        <f t="shared" si="2"/>
        <v>1.8435656450951004E-2</v>
      </c>
      <c r="G40" s="13">
        <f>VLOOKUP(A40,'10-year CDS Spreads'!$A$2:$D$157,4)</f>
        <v>1.29E-2</v>
      </c>
      <c r="H40" s="13">
        <f t="shared" si="3"/>
        <v>6.1337410417062969E-2</v>
      </c>
      <c r="I40" s="16">
        <f t="shared" si="4"/>
        <v>1.4137410417062971E-2</v>
      </c>
    </row>
    <row r="41" spans="1:9" ht="15.6">
      <c r="A41" s="121" t="str">
        <f>'Sovereign Ratings (Moody''s,S&amp;P)'!A35</f>
        <v>Congo (Democratic Republic of)</v>
      </c>
      <c r="B41" s="116" t="str">
        <f>VLOOKUP(A41,'Regional lookup table'!$A$3:$B$161,2)</f>
        <v>Africa</v>
      </c>
      <c r="C41" s="11" t="str">
        <f>'Sovereign Ratings (Moody''s,S&amp;P)'!C35</f>
        <v>Caa1</v>
      </c>
      <c r="D41" s="24">
        <f t="shared" si="0"/>
        <v>6.6251698870904069E-2</v>
      </c>
      <c r="E41" s="24">
        <f t="shared" si="1"/>
        <v>0.1198067796717549</v>
      </c>
      <c r="F41" s="13">
        <f t="shared" si="2"/>
        <v>7.2606779671754898E-2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5.6">
      <c r="A42" s="121" t="str">
        <f>'Sovereign Ratings (Moody''s,S&amp;P)'!A36</f>
        <v>Congo (Republic of)</v>
      </c>
      <c r="B42" s="116" t="str">
        <f>VLOOKUP(A42,'Regional lookup table'!$A$3:$B$161,2)</f>
        <v>Africa</v>
      </c>
      <c r="C42" s="11" t="str">
        <f>'Sovereign Ratings (Moody''s,S&amp;P)'!C36</f>
        <v>Caa2</v>
      </c>
      <c r="D42" s="24">
        <f t="shared" si="0"/>
        <v>7.9565818860604404E-2</v>
      </c>
      <c r="E42" s="24">
        <f t="shared" si="1"/>
        <v>0.1343980338296166</v>
      </c>
      <c r="F42" s="13">
        <f t="shared" si="2"/>
        <v>8.7198033829616592E-2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5.6">
      <c r="A43" s="121" t="str">
        <f>'Sovereign Ratings (Moody''s,S&amp;P)'!A37</f>
        <v>Cook Islands</v>
      </c>
      <c r="B43" s="116" t="str">
        <f>VLOOKUP(A43,'Regional lookup table'!$A$3:$B$161,2)</f>
        <v>Australia &amp; New Zealand</v>
      </c>
      <c r="C43" s="11" t="str">
        <f>'Sovereign Ratings (Moody''s,S&amp;P)'!C37</f>
        <v>B1</v>
      </c>
      <c r="D43" s="24">
        <f t="shared" si="0"/>
        <v>3.9782909430302202E-2</v>
      </c>
      <c r="E43" s="24">
        <f t="shared" si="1"/>
        <v>9.0799016914808295E-2</v>
      </c>
      <c r="F43" s="13">
        <f t="shared" si="2"/>
        <v>4.3599016914808296E-2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5.6">
      <c r="A44" s="121" t="str">
        <f>'Sovereign Ratings (Moody''s,S&amp;P)'!A38</f>
        <v>Costa Rica</v>
      </c>
      <c r="B44" s="116" t="str">
        <f>VLOOKUP(A44,'Regional lookup table'!$A$3:$B$161,2)</f>
        <v>Central and South America</v>
      </c>
      <c r="C44" s="11" t="str">
        <f>'Sovereign Ratings (Moody''s,S&amp;P)'!C38</f>
        <v>B2</v>
      </c>
      <c r="D44" s="24">
        <f t="shared" si="0"/>
        <v>4.8632414333635951E-2</v>
      </c>
      <c r="E44" s="24">
        <f t="shared" si="1"/>
        <v>0.10049739542691996</v>
      </c>
      <c r="F44" s="13">
        <f t="shared" si="2"/>
        <v>5.3297395426919955E-2</v>
      </c>
      <c r="G44" s="13">
        <f>VLOOKUP(A44,'10-year CDS Spreads'!$A$2:$D$157,4)</f>
        <v>5.8999999999999997E-2</v>
      </c>
      <c r="H44" s="13">
        <f t="shared" si="3"/>
        <v>0.11185947400052057</v>
      </c>
      <c r="I44" s="16">
        <f t="shared" si="4"/>
        <v>6.4659474000520564E-2</v>
      </c>
    </row>
    <row r="45" spans="1:9" ht="15.6">
      <c r="A45" s="121" t="str">
        <f>'Sovereign Ratings (Moody''s,S&amp;P)'!A39</f>
        <v>Côte d'Ivoire</v>
      </c>
      <c r="B45" s="116" t="str">
        <f>VLOOKUP(A45,'Regional lookup table'!$A$3:$B$161,2)</f>
        <v>Africa</v>
      </c>
      <c r="C45" s="11" t="str">
        <f>'Sovereign Ratings (Moody''s,S&amp;P)'!C39</f>
        <v>Ba3</v>
      </c>
      <c r="D45" s="24">
        <f t="shared" si="0"/>
        <v>3.1810382490361881E-2</v>
      </c>
      <c r="E45" s="24">
        <f t="shared" si="1"/>
        <v>8.2061738975968967E-2</v>
      </c>
      <c r="F45" s="13">
        <f t="shared" si="2"/>
        <v>3.4861738975968962E-2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5.6">
      <c r="A46" s="121" t="str">
        <f>'Sovereign Ratings (Moody''s,S&amp;P)'!A40</f>
        <v>Croatia</v>
      </c>
      <c r="B46" s="116" t="str">
        <f>VLOOKUP(A46,'Regional lookup table'!$A$3:$B$161,2)</f>
        <v>Eastern Europe &amp; Russia</v>
      </c>
      <c r="C46" s="11" t="str">
        <f>'Sovereign Ratings (Moody''s,S&amp;P)'!C40</f>
        <v>Ba1</v>
      </c>
      <c r="D46" s="24">
        <f t="shared" si="0"/>
        <v>2.208389962363469E-2</v>
      </c>
      <c r="E46" s="24">
        <f t="shared" si="1"/>
        <v>7.1402259890584963E-2</v>
      </c>
      <c r="F46" s="13">
        <f t="shared" si="2"/>
        <v>2.4202259890584967E-2</v>
      </c>
      <c r="G46" s="13">
        <f>VLOOKUP(A46,'10-year CDS Spreads'!$A$2:$D$157,4)</f>
        <v>1.0500000000000001E-2</v>
      </c>
      <c r="H46" s="13">
        <f t="shared" si="3"/>
        <v>5.8707194525516371E-2</v>
      </c>
      <c r="I46" s="16">
        <f t="shared" si="4"/>
        <v>1.1507194525516372E-2</v>
      </c>
    </row>
    <row r="47" spans="1:9" ht="15.6">
      <c r="A47" s="121" t="str">
        <f>'Sovereign Ratings (Moody''s,S&amp;P)'!A41</f>
        <v>Cuba</v>
      </c>
      <c r="B47" s="116" t="str">
        <f>VLOOKUP(A47,'Regional lookup table'!$A$3:$B$161,2)</f>
        <v>Caribbean</v>
      </c>
      <c r="C47" s="11" t="str">
        <f>'Sovereign Ratings (Moody''s,S&amp;P)'!C41</f>
        <v>Caa2</v>
      </c>
      <c r="D47" s="24">
        <f t="shared" si="0"/>
        <v>7.9565818860604404E-2</v>
      </c>
      <c r="E47" s="24">
        <f t="shared" si="1"/>
        <v>0.1343980338296166</v>
      </c>
      <c r="F47" s="13">
        <f t="shared" si="2"/>
        <v>8.7198033829616592E-2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5.6">
      <c r="A48" s="121" t="str">
        <f>'Sovereign Ratings (Moody''s,S&amp;P)'!A42</f>
        <v>Curacao</v>
      </c>
      <c r="B48" s="116" t="str">
        <f>VLOOKUP(A48,'Regional lookup table'!$A$3:$B$161,2)</f>
        <v>Caribbean</v>
      </c>
      <c r="C48" s="11" t="str">
        <f>'Sovereign Ratings (Moody''s,S&amp;P)'!C42</f>
        <v>A3</v>
      </c>
      <c r="D48" s="24">
        <f t="shared" si="0"/>
        <v>1.0603460830120627E-2</v>
      </c>
      <c r="E48" s="24">
        <f t="shared" si="1"/>
        <v>5.8820579658656322E-2</v>
      </c>
      <c r="F48" s="13">
        <f t="shared" si="2"/>
        <v>1.1620579658656319E-2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5.6">
      <c r="A49" s="121" t="str">
        <f>'Sovereign Ratings (Moody''s,S&amp;P)'!A43</f>
        <v>Cyprus</v>
      </c>
      <c r="B49" s="116" t="str">
        <f>VLOOKUP(A49,'Regional lookup table'!$A$3:$B$161,2)</f>
        <v>Western Europe</v>
      </c>
      <c r="C49" s="11" t="str">
        <f>'Sovereign Ratings (Moody''s,S&amp;P)'!C43</f>
        <v>Ba2</v>
      </c>
      <c r="D49" s="24">
        <f t="shared" si="0"/>
        <v>2.6548514710001261E-2</v>
      </c>
      <c r="E49" s="24">
        <f t="shared" si="1"/>
        <v>7.629513553633499E-2</v>
      </c>
      <c r="F49" s="13">
        <f t="shared" si="2"/>
        <v>2.9095135536334988E-2</v>
      </c>
      <c r="G49" s="13">
        <f>VLOOKUP(A49,'10-year CDS Spreads'!$A$2:$D$157,4)</f>
        <v>9.6000000000000009E-3</v>
      </c>
      <c r="H49" s="13">
        <f t="shared" si="3"/>
        <v>5.7720863566186401E-2</v>
      </c>
      <c r="I49" s="16">
        <f t="shared" si="4"/>
        <v>1.0520863566186398E-2</v>
      </c>
    </row>
    <row r="50" spans="1:9" ht="15.6">
      <c r="A50" s="121" t="str">
        <f>'Sovereign Ratings (Moody''s,S&amp;P)'!A44</f>
        <v>Czech Republic</v>
      </c>
      <c r="B50" s="116" t="str">
        <f>VLOOKUP(A50,'Regional lookup table'!$A$3:$B$161,2)</f>
        <v>Eastern Europe &amp; Russia</v>
      </c>
      <c r="C50" s="11" t="str">
        <f>'Sovereign Ratings (Moody''s,S&amp;P)'!C44</f>
        <v>Aa3</v>
      </c>
      <c r="D50" s="24">
        <f t="shared" si="0"/>
        <v>5.3415930497600151E-3</v>
      </c>
      <c r="E50" s="24">
        <f t="shared" si="1"/>
        <v>5.3053976219022358E-2</v>
      </c>
      <c r="F50" s="13">
        <f t="shared" si="2"/>
        <v>5.8539762190223561E-3</v>
      </c>
      <c r="G50" s="13">
        <f>VLOOKUP(A50,'10-year CDS Spreads'!$A$2:$D$157,4)</f>
        <v>2.8000000000000004E-3</v>
      </c>
      <c r="H50" s="13">
        <f t="shared" si="3"/>
        <v>5.0268585206804363E-2</v>
      </c>
      <c r="I50" s="16">
        <f t="shared" si="4"/>
        <v>3.0685852068043661E-3</v>
      </c>
    </row>
    <row r="51" spans="1:9" ht="15.6">
      <c r="A51" s="121" t="str">
        <f>'Sovereign Ratings (Moody''s,S&amp;P)'!A45</f>
        <v>Denmark</v>
      </c>
      <c r="B51" s="116" t="str">
        <f>VLOOKUP(A51,'Regional lookup table'!$A$3:$B$161,2)</f>
        <v>Western Europe</v>
      </c>
      <c r="C51" s="11" t="str">
        <f>'Sovereign Ratings (Moody''s,S&amp;P)'!C45</f>
        <v>Aaa</v>
      </c>
      <c r="D51" s="24">
        <f t="shared" si="0"/>
        <v>0</v>
      </c>
      <c r="E51" s="24">
        <f t="shared" si="1"/>
        <v>4.7199999999999999E-2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4.7199999999999999E-2</v>
      </c>
      <c r="I51" s="16">
        <f t="shared" si="4"/>
        <v>0</v>
      </c>
    </row>
    <row r="52" spans="1:9" ht="15.6">
      <c r="A52" s="121" t="str">
        <f>'Sovereign Ratings (Moody''s,S&amp;P)'!A46</f>
        <v>Dominican Republic</v>
      </c>
      <c r="B52" s="116" t="str">
        <f>VLOOKUP(A52,'Regional lookup table'!$A$3:$B$161,2)</f>
        <v>Caribbean</v>
      </c>
      <c r="C52" s="11" t="str">
        <f>'Sovereign Ratings (Moody''s,S&amp;P)'!C46</f>
        <v>Ba3</v>
      </c>
      <c r="D52" s="24">
        <f t="shared" si="0"/>
        <v>3.1810382490361881E-2</v>
      </c>
      <c r="E52" s="24">
        <f t="shared" si="1"/>
        <v>8.2061738975968967E-2</v>
      </c>
      <c r="F52" s="13">
        <f t="shared" si="2"/>
        <v>3.4861738975968962E-2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5.6">
      <c r="A53" s="121" t="str">
        <f>'Sovereign Ratings (Moody''s,S&amp;P)'!A47</f>
        <v>Ecuador</v>
      </c>
      <c r="B53" s="116" t="str">
        <f>VLOOKUP(A53,'Regional lookup table'!$A$3:$B$161,2)</f>
        <v>Central and South America</v>
      </c>
      <c r="C53" s="11" t="str">
        <f>'Sovereign Ratings (Moody''s,S&amp;P)'!C47</f>
        <v>Caa3</v>
      </c>
      <c r="D53" s="24">
        <f t="shared" si="0"/>
        <v>8.8335598494538758E-2</v>
      </c>
      <c r="E53" s="24">
        <f t="shared" si="1"/>
        <v>0.14400903956233987</v>
      </c>
      <c r="F53" s="13">
        <f t="shared" si="2"/>
        <v>9.6809039562339869E-2</v>
      </c>
      <c r="G53" s="13" t="str">
        <f>VLOOKUP(A53,'10-year CDS Spreads'!$A$2:$D$157,4)</f>
        <v>NA</v>
      </c>
      <c r="H53" s="13" t="str">
        <f t="shared" si="3"/>
        <v>NA</v>
      </c>
      <c r="I53" s="16" t="str">
        <f t="shared" si="4"/>
        <v>NA</v>
      </c>
    </row>
    <row r="54" spans="1:9" ht="15.6">
      <c r="A54" s="121" t="str">
        <f>'Sovereign Ratings (Moody''s,S&amp;P)'!A48</f>
        <v>Egypt</v>
      </c>
      <c r="B54" s="116" t="str">
        <f>VLOOKUP(A54,'Regional lookup table'!$A$3:$B$161,2)</f>
        <v>Africa</v>
      </c>
      <c r="C54" s="11" t="str">
        <f>'Sovereign Ratings (Moody''s,S&amp;P)'!C48</f>
        <v>B2</v>
      </c>
      <c r="D54" s="24">
        <f t="shared" si="0"/>
        <v>4.8632414333635951E-2</v>
      </c>
      <c r="E54" s="24">
        <f t="shared" si="1"/>
        <v>0.10049739542691996</v>
      </c>
      <c r="F54" s="13">
        <f t="shared" si="2"/>
        <v>5.3297395426919955E-2</v>
      </c>
      <c r="G54" s="13">
        <f>VLOOKUP(A54,'10-year CDS Spreads'!$A$2:$D$157,4)</f>
        <v>3.8500000000000006E-2</v>
      </c>
      <c r="H54" s="13">
        <f t="shared" si="3"/>
        <v>8.9393046593560038E-2</v>
      </c>
      <c r="I54" s="16">
        <f t="shared" si="4"/>
        <v>4.2193046593560032E-2</v>
      </c>
    </row>
    <row r="55" spans="1:9" ht="15.6">
      <c r="A55" s="121" t="str">
        <f>'Sovereign Ratings (Moody''s,S&amp;P)'!A49</f>
        <v>El Salvador</v>
      </c>
      <c r="B55" s="116" t="str">
        <f>VLOOKUP(A55,'Regional lookup table'!$A$3:$B$161,2)</f>
        <v>Central and South America</v>
      </c>
      <c r="C55" s="11" t="str">
        <f>'Sovereign Ratings (Moody''s,S&amp;P)'!C49</f>
        <v>B3</v>
      </c>
      <c r="D55" s="24">
        <f t="shared" si="0"/>
        <v>5.74819192369697E-2</v>
      </c>
      <c r="E55" s="24">
        <f t="shared" si="1"/>
        <v>0.1101957739390316</v>
      </c>
      <c r="F55" s="13">
        <f t="shared" si="2"/>
        <v>6.2995773939031607E-2</v>
      </c>
      <c r="G55" s="13">
        <f>VLOOKUP(A55,'10-year CDS Spreads'!$A$2:$D$157,4)</f>
        <v>7.5499999999999998E-2</v>
      </c>
      <c r="H55" s="13">
        <f t="shared" si="3"/>
        <v>0.12994220825490344</v>
      </c>
      <c r="I55" s="16">
        <f t="shared" si="4"/>
        <v>8.2742208254903429E-2</v>
      </c>
    </row>
    <row r="56" spans="1:9" ht="15.6">
      <c r="A56" s="121" t="str">
        <f>'Sovereign Ratings (Moody''s,S&amp;P)'!A50</f>
        <v>Estonia</v>
      </c>
      <c r="B56" s="116" t="str">
        <f>VLOOKUP(A56,'Regional lookup table'!$A$3:$B$161,2)</f>
        <v>Eastern Europe &amp; Russia</v>
      </c>
      <c r="C56" s="11" t="str">
        <f>'Sovereign Ratings (Moody''s,S&amp;P)'!C50</f>
        <v>A1</v>
      </c>
      <c r="D56" s="24">
        <f t="shared" si="0"/>
        <v>6.2185710131534505E-3</v>
      </c>
      <c r="E56" s="24">
        <f t="shared" si="1"/>
        <v>5.4015076792294683E-2</v>
      </c>
      <c r="F56" s="13">
        <f t="shared" si="2"/>
        <v>6.8150767922946836E-3</v>
      </c>
      <c r="G56" s="13">
        <f>VLOOKUP(A56,'10-year CDS Spreads'!$A$2:$D$157,4)</f>
        <v>4.7000000000000002E-3</v>
      </c>
      <c r="H56" s="13">
        <f t="shared" si="3"/>
        <v>5.2350839454278757E-2</v>
      </c>
      <c r="I56" s="16">
        <f t="shared" si="4"/>
        <v>5.1508394542787569E-3</v>
      </c>
    </row>
    <row r="57" spans="1:9" ht="15.6">
      <c r="A57" s="121" t="str">
        <f>'Sovereign Ratings (Moody''s,S&amp;P)'!A51</f>
        <v>Ethiopia</v>
      </c>
      <c r="B57" s="116" t="str">
        <f>VLOOKUP(A57,'Regional lookup table'!$A$3:$B$161,2)</f>
        <v>Africa</v>
      </c>
      <c r="C57" s="11" t="str">
        <f>'Sovereign Ratings (Moody''s,S&amp;P)'!C51</f>
        <v>B2</v>
      </c>
      <c r="D57" s="24">
        <f t="shared" si="0"/>
        <v>4.8632414333635951E-2</v>
      </c>
      <c r="E57" s="24">
        <f t="shared" si="1"/>
        <v>0.10049739542691996</v>
      </c>
      <c r="F57" s="13">
        <f t="shared" si="2"/>
        <v>5.3297395426919955E-2</v>
      </c>
      <c r="G57" s="13" t="str">
        <f>VLOOKUP(A57,'10-year CDS Spreads'!$A$2:$D$157,4)</f>
        <v>NA</v>
      </c>
      <c r="H57" s="13" t="str">
        <f t="shared" si="3"/>
        <v>NA</v>
      </c>
      <c r="I57" s="16" t="str">
        <f t="shared" si="4"/>
        <v>NA</v>
      </c>
    </row>
    <row r="58" spans="1:9" ht="15.6">
      <c r="A58" s="121" t="str">
        <f>'Sovereign Ratings (Moody''s,S&amp;P)'!A52</f>
        <v>Fiji</v>
      </c>
      <c r="B58" s="116" t="str">
        <f>VLOOKUP(A58,'Regional lookup table'!$A$3:$B$161,2)</f>
        <v>Asia</v>
      </c>
      <c r="C58" s="11" t="str">
        <f>'Sovereign Ratings (Moody''s,S&amp;P)'!C52</f>
        <v>Ba3</v>
      </c>
      <c r="D58" s="24">
        <f t="shared" si="0"/>
        <v>3.1810382490361881E-2</v>
      </c>
      <c r="E58" s="24">
        <f t="shared" si="1"/>
        <v>8.2061738975968967E-2</v>
      </c>
      <c r="F58" s="13">
        <f t="shared" si="2"/>
        <v>3.4861738975968962E-2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5.6">
      <c r="A59" s="121" t="str">
        <f>'Sovereign Ratings (Moody''s,S&amp;P)'!A53</f>
        <v>Finland</v>
      </c>
      <c r="B59" s="116" t="str">
        <f>VLOOKUP(A59,'Regional lookup table'!$A$3:$B$161,2)</f>
        <v>Western Europe</v>
      </c>
      <c r="C59" s="11" t="str">
        <f>'Sovereign Ratings (Moody''s,S&amp;P)'!C53</f>
        <v>Aa1</v>
      </c>
      <c r="D59" s="24">
        <f t="shared" si="0"/>
        <v>3.5079118535737406E-3</v>
      </c>
      <c r="E59" s="24">
        <f t="shared" si="1"/>
        <v>5.1044402293089305E-2</v>
      </c>
      <c r="F59" s="13">
        <f t="shared" si="2"/>
        <v>3.8444022930893078E-3</v>
      </c>
      <c r="G59" s="13">
        <f>VLOOKUP(A59,'10-year CDS Spreads'!$A$2:$D$157,4)</f>
        <v>2.0000000000000009E-4</v>
      </c>
      <c r="H59" s="13">
        <f t="shared" si="3"/>
        <v>4.7419184657628885E-2</v>
      </c>
      <c r="I59" s="16">
        <f t="shared" si="4"/>
        <v>2.1918465762888335E-4</v>
      </c>
    </row>
    <row r="60" spans="1:9" ht="15.6">
      <c r="A60" s="121" t="str">
        <f>'Sovereign Ratings (Moody''s,S&amp;P)'!A54</f>
        <v>France</v>
      </c>
      <c r="B60" s="116" t="str">
        <f>VLOOKUP(A60,'Regional lookup table'!$A$3:$B$161,2)</f>
        <v>Western Europe</v>
      </c>
      <c r="C60" s="11" t="str">
        <f>'Sovereign Ratings (Moody''s,S&amp;P)'!C54</f>
        <v>Aa2</v>
      </c>
      <c r="D60" s="24">
        <f t="shared" si="0"/>
        <v>4.3848898169671765E-3</v>
      </c>
      <c r="E60" s="24">
        <f t="shared" si="1"/>
        <v>5.2005502866361637E-2</v>
      </c>
      <c r="F60" s="13">
        <f t="shared" si="2"/>
        <v>4.8055028663616358E-3</v>
      </c>
      <c r="G60" s="13">
        <f>VLOOKUP(A60,'10-year CDS Spreads'!$A$2:$D$157,4)</f>
        <v>9.0000000000000019E-4</v>
      </c>
      <c r="H60" s="13">
        <f t="shared" si="3"/>
        <v>4.8186330959329976E-2</v>
      </c>
      <c r="I60" s="16">
        <f t="shared" si="4"/>
        <v>9.8633095932997494E-4</v>
      </c>
    </row>
    <row r="61" spans="1:9" ht="15.6">
      <c r="A61" s="121" t="str">
        <f>'Sovereign Ratings (Moody''s,S&amp;P)'!A55</f>
        <v>Gabon</v>
      </c>
      <c r="B61" s="116" t="str">
        <f>VLOOKUP(A61,'Regional lookup table'!$A$3:$B$161,2)</f>
        <v>Africa</v>
      </c>
      <c r="C61" s="11" t="str">
        <f>'Sovereign Ratings (Moody''s,S&amp;P)'!C55</f>
        <v>Caa1</v>
      </c>
      <c r="D61" s="24">
        <f t="shared" si="0"/>
        <v>6.6251698870904069E-2</v>
      </c>
      <c r="E61" s="24">
        <f t="shared" si="1"/>
        <v>0.1198067796717549</v>
      </c>
      <c r="F61" s="13">
        <f t="shared" si="2"/>
        <v>7.2606779671754898E-2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5.6">
      <c r="A62" s="121" t="str">
        <f>'Sovereign Ratings (Moody''s,S&amp;P)'!A56</f>
        <v>Georgia</v>
      </c>
      <c r="B62" s="116" t="str">
        <f>VLOOKUP(A62,'Regional lookup table'!$A$3:$B$161,2)</f>
        <v>Eastern Europe &amp; Russia</v>
      </c>
      <c r="C62" s="11" t="str">
        <f>'Sovereign Ratings (Moody''s,S&amp;P)'!C56</f>
        <v>Ba2</v>
      </c>
      <c r="D62" s="24">
        <f t="shared" si="0"/>
        <v>2.6548514710001261E-2</v>
      </c>
      <c r="E62" s="24">
        <f t="shared" si="1"/>
        <v>7.629513553633499E-2</v>
      </c>
      <c r="F62" s="13">
        <f t="shared" si="2"/>
        <v>2.9095135536334988E-2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5.6">
      <c r="A63" s="121" t="str">
        <f>'Sovereign Ratings (Moody''s,S&amp;P)'!A57</f>
        <v>Germany</v>
      </c>
      <c r="B63" s="116" t="str">
        <f>VLOOKUP(A63,'Regional lookup table'!$A$3:$B$161,2)</f>
        <v>Western Europe</v>
      </c>
      <c r="C63" s="11" t="str">
        <f>'Sovereign Ratings (Moody''s,S&amp;P)'!C57</f>
        <v>Aaa</v>
      </c>
      <c r="D63" s="24">
        <f t="shared" si="0"/>
        <v>0</v>
      </c>
      <c r="E63" s="24">
        <f t="shared" si="1"/>
        <v>4.7199999999999999E-2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4.7199999999999999E-2</v>
      </c>
      <c r="I63" s="16">
        <f t="shared" si="4"/>
        <v>0</v>
      </c>
    </row>
    <row r="64" spans="1:9" ht="15.6">
      <c r="A64" s="121" t="str">
        <f>'Sovereign Ratings (Moody''s,S&amp;P)'!A58</f>
        <v>Ghana</v>
      </c>
      <c r="B64" s="116" t="str">
        <f>VLOOKUP(A64,'Regional lookup table'!$A$3:$B$161,2)</f>
        <v>Africa</v>
      </c>
      <c r="C64" s="11" t="str">
        <f>'Sovereign Ratings (Moody''s,S&amp;P)'!C58</f>
        <v>B3</v>
      </c>
      <c r="D64" s="24">
        <f t="shared" si="0"/>
        <v>5.74819192369697E-2</v>
      </c>
      <c r="E64" s="24">
        <f t="shared" si="1"/>
        <v>0.1101957739390316</v>
      </c>
      <c r="F64" s="13">
        <f t="shared" si="2"/>
        <v>6.2995773939031607E-2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5.6">
      <c r="A65" s="121" t="str">
        <f>'Sovereign Ratings (Moody''s,S&amp;P)'!A59</f>
        <v>Greece</v>
      </c>
      <c r="B65" s="116" t="str">
        <f>VLOOKUP(A65,'Regional lookup table'!$A$3:$B$161,2)</f>
        <v>Western Europe</v>
      </c>
      <c r="C65" s="11" t="str">
        <f>'Sovereign Ratings (Moody''s,S&amp;P)'!C59</f>
        <v>Ba3</v>
      </c>
      <c r="D65" s="24">
        <f t="shared" si="0"/>
        <v>3.1810382490361881E-2</v>
      </c>
      <c r="E65" s="24">
        <f t="shared" si="1"/>
        <v>8.2061738975968967E-2</v>
      </c>
      <c r="F65" s="13">
        <f t="shared" si="2"/>
        <v>3.4861738975968962E-2</v>
      </c>
      <c r="G65" s="13">
        <f>VLOOKUP(A65,'10-year CDS Spreads'!$A$2:$D$157,4)</f>
        <v>1.38E-2</v>
      </c>
      <c r="H65" s="13">
        <f t="shared" si="3"/>
        <v>6.2323741376392947E-2</v>
      </c>
      <c r="I65" s="16">
        <f t="shared" si="4"/>
        <v>1.5123741376392944E-2</v>
      </c>
    </row>
    <row r="66" spans="1:9" ht="15.6">
      <c r="A66" s="121" t="str">
        <f>'Sovereign Ratings (Moody''s,S&amp;P)'!A60</f>
        <v>Guatemala</v>
      </c>
      <c r="B66" s="116" t="str">
        <f>VLOOKUP(A66,'Regional lookup table'!$A$3:$B$161,2)</f>
        <v>Central and South America</v>
      </c>
      <c r="C66" s="11" t="str">
        <f>'Sovereign Ratings (Moody''s,S&amp;P)'!C60</f>
        <v>Ba1</v>
      </c>
      <c r="D66" s="24">
        <f t="shared" si="0"/>
        <v>2.208389962363469E-2</v>
      </c>
      <c r="E66" s="24">
        <f t="shared" si="1"/>
        <v>7.1402259890584963E-2</v>
      </c>
      <c r="F66" s="13">
        <f t="shared" si="2"/>
        <v>2.4202259890584967E-2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5.6">
      <c r="A67" s="121" t="str">
        <f>'Sovereign Ratings (Moody''s,S&amp;P)'!A61</f>
        <v>Guernsey (States of)</v>
      </c>
      <c r="B67" s="116" t="str">
        <f>VLOOKUP(A67,'Regional lookup table'!$A$3:$B$161,2)</f>
        <v>Western Europe</v>
      </c>
      <c r="C67" s="11" t="str">
        <f>'Sovereign Ratings (Moody''s,S&amp;P)'!C61</f>
        <v>Aaa</v>
      </c>
      <c r="D67" s="24">
        <f t="shared" si="0"/>
        <v>0</v>
      </c>
      <c r="E67" s="24">
        <f t="shared" si="1"/>
        <v>4.7199999999999999E-2</v>
      </c>
      <c r="F67" s="13">
        <f t="shared" si="2"/>
        <v>0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5.6">
      <c r="A68" s="121" t="str">
        <f>'Sovereign Ratings (Moody''s,S&amp;P)'!A62</f>
        <v>Honduras</v>
      </c>
      <c r="B68" s="116" t="str">
        <f>VLOOKUP(A68,'Regional lookup table'!$A$3:$B$161,2)</f>
        <v>Central and South America</v>
      </c>
      <c r="C68" s="11" t="str">
        <f>'Sovereign Ratings (Moody''s,S&amp;P)'!C62</f>
        <v>B1</v>
      </c>
      <c r="D68" s="24">
        <f t="shared" si="0"/>
        <v>3.9782909430302202E-2</v>
      </c>
      <c r="E68" s="24">
        <f t="shared" si="1"/>
        <v>9.0799016914808295E-2</v>
      </c>
      <c r="F68" s="13">
        <f t="shared" si="2"/>
        <v>4.3599016914808296E-2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5.6">
      <c r="A69" s="121" t="str">
        <f>'Sovereign Ratings (Moody''s,S&amp;P)'!A63</f>
        <v>Hong Kong</v>
      </c>
      <c r="B69" s="116" t="str">
        <f>VLOOKUP(A69,'Regional lookup table'!$A$3:$B$161,2)</f>
        <v>Asia</v>
      </c>
      <c r="C69" s="11" t="str">
        <f>'Sovereign Ratings (Moody''s,S&amp;P)'!C63</f>
        <v>Aa3</v>
      </c>
      <c r="D69" s="24">
        <f t="shared" si="0"/>
        <v>5.3415930497600151E-3</v>
      </c>
      <c r="E69" s="24">
        <f t="shared" si="1"/>
        <v>5.3053976219022358E-2</v>
      </c>
      <c r="F69" s="13">
        <f t="shared" si="2"/>
        <v>5.8539762190223561E-3</v>
      </c>
      <c r="G69" s="13">
        <f>VLOOKUP(A69,'10-year CDS Spreads'!$A$2:$D$157,4)</f>
        <v>5.0000000000000001E-3</v>
      </c>
      <c r="H69" s="13">
        <f t="shared" si="3"/>
        <v>5.2679616440722082E-2</v>
      </c>
      <c r="I69" s="16">
        <f t="shared" si="4"/>
        <v>5.4796164407220817E-3</v>
      </c>
    </row>
    <row r="70" spans="1:9" ht="15.6">
      <c r="A70" s="121" t="str">
        <f>'Sovereign Ratings (Moody''s,S&amp;P)'!A64</f>
        <v>Hungary</v>
      </c>
      <c r="B70" s="116" t="str">
        <f>VLOOKUP(A70,'Regional lookup table'!$A$3:$B$161,2)</f>
        <v>Eastern Europe &amp; Russia</v>
      </c>
      <c r="C70" s="11" t="str">
        <f>'Sovereign Ratings (Moody''s,S&amp;P)'!C64</f>
        <v>Baa3</v>
      </c>
      <c r="D70" s="24">
        <f t="shared" si="0"/>
        <v>1.9452965733454383E-2</v>
      </c>
      <c r="E70" s="24">
        <f t="shared" si="1"/>
        <v>6.8518958170767988E-2</v>
      </c>
      <c r="F70" s="13">
        <f t="shared" si="2"/>
        <v>2.1318958170767986E-2</v>
      </c>
      <c r="G70" s="13">
        <f>VLOOKUP(A70,'10-year CDS Spreads'!$A$2:$D$157,4)</f>
        <v>7.1000000000000004E-3</v>
      </c>
      <c r="H70" s="13">
        <f t="shared" si="3"/>
        <v>5.4981055345825355E-2</v>
      </c>
      <c r="I70" s="16">
        <f t="shared" si="4"/>
        <v>7.7810553458253565E-3</v>
      </c>
    </row>
    <row r="71" spans="1:9" ht="15.6">
      <c r="A71" s="121" t="str">
        <f>'Sovereign Ratings (Moody''s,S&amp;P)'!A65</f>
        <v>Iceland</v>
      </c>
      <c r="B71" s="116" t="str">
        <f>VLOOKUP(A71,'Regional lookup table'!$A$3:$B$161,2)</f>
        <v>Western Europe</v>
      </c>
      <c r="C71" s="11" t="str">
        <f>'Sovereign Ratings (Moody''s,S&amp;P)'!C65</f>
        <v>A2</v>
      </c>
      <c r="D71" s="24">
        <f t="shared" si="0"/>
        <v>7.4941753235439005E-3</v>
      </c>
      <c r="E71" s="24">
        <f t="shared" si="1"/>
        <v>5.5413041262508976E-2</v>
      </c>
      <c r="F71" s="13">
        <f t="shared" si="2"/>
        <v>8.2130412625089771E-3</v>
      </c>
      <c r="G71" s="13">
        <f>VLOOKUP(A71,'10-year CDS Spreads'!$A$2:$D$157,4)</f>
        <v>6.2000000000000006E-3</v>
      </c>
      <c r="H71" s="13">
        <f t="shared" si="3"/>
        <v>5.3994724386495378E-2</v>
      </c>
      <c r="I71" s="16">
        <f t="shared" si="4"/>
        <v>6.794724386495382E-3</v>
      </c>
    </row>
    <row r="72" spans="1:9" ht="15.6">
      <c r="A72" s="121" t="str">
        <f>'Sovereign Ratings (Moody''s,S&amp;P)'!A66</f>
        <v>India</v>
      </c>
      <c r="B72" s="116" t="str">
        <f>VLOOKUP(A72,'Regional lookup table'!$A$3:$B$161,2)</f>
        <v>Asia</v>
      </c>
      <c r="C72" s="11" t="str">
        <f>'Sovereign Ratings (Moody''s,S&amp;P)'!C66</f>
        <v>Baa3</v>
      </c>
      <c r="D72" s="24">
        <f t="shared" si="0"/>
        <v>1.9452965733454383E-2</v>
      </c>
      <c r="E72" s="24">
        <f t="shared" si="1"/>
        <v>6.8518958170767988E-2</v>
      </c>
      <c r="F72" s="13">
        <f t="shared" si="2"/>
        <v>2.1318958170767986E-2</v>
      </c>
      <c r="G72" s="13">
        <f>VLOOKUP(A72,'10-year CDS Spreads'!$A$2:$D$157,4)</f>
        <v>1.01E-2</v>
      </c>
      <c r="H72" s="13">
        <f t="shared" si="3"/>
        <v>5.8268825210258605E-2</v>
      </c>
      <c r="I72" s="16">
        <f t="shared" si="4"/>
        <v>1.1068825210258605E-2</v>
      </c>
    </row>
    <row r="73" spans="1:9" ht="15.6">
      <c r="A73" s="121" t="str">
        <f>'Sovereign Ratings (Moody''s,S&amp;P)'!A67</f>
        <v>Indonesia</v>
      </c>
      <c r="B73" s="116" t="str">
        <f>VLOOKUP(A73,'Regional lookup table'!$A$3:$B$161,2)</f>
        <v>Asia</v>
      </c>
      <c r="C73" s="11" t="str">
        <f>'Sovereign Ratings (Moody''s,S&amp;P)'!C67</f>
        <v>Baa2</v>
      </c>
      <c r="D73" s="24">
        <f t="shared" ref="D73:D136" si="7">VLOOKUP(C73,$J$9:$K$31,2,FALSE)/10000</f>
        <v>1.6822031843274077E-2</v>
      </c>
      <c r="E73" s="24">
        <f>$E$3+F73</f>
        <v>6.5635656450950999E-2</v>
      </c>
      <c r="F73" s="13">
        <f>IF($E$4="Yes",D73*$E$5,D73)</f>
        <v>1.8435656450951004E-2</v>
      </c>
      <c r="G73" s="13">
        <f>VLOOKUP(A73,'10-year CDS Spreads'!$A$2:$D$157,4)</f>
        <v>1.0500000000000001E-2</v>
      </c>
      <c r="H73" s="13">
        <f>IF(I73="NA","NA",$E$3+I73)</f>
        <v>5.8707194525516371E-2</v>
      </c>
      <c r="I73" s="16">
        <f t="shared" ref="I73:I140" si="8">IF(G73="NA","NA",G73*$E$5)</f>
        <v>1.1507194525516372E-2</v>
      </c>
    </row>
    <row r="74" spans="1:9" ht="15.6">
      <c r="A74" s="121" t="str">
        <f>'Sovereign Ratings (Moody''s,S&amp;P)'!A68</f>
        <v>Iraq</v>
      </c>
      <c r="B74" s="116" t="str">
        <f>VLOOKUP(A74,'Regional lookup table'!$A$3:$B$161,2)</f>
        <v>Middle East</v>
      </c>
      <c r="C74" s="11" t="str">
        <f>'Sovereign Ratings (Moody''s,S&amp;P)'!C68</f>
        <v>Caa1</v>
      </c>
      <c r="D74" s="24">
        <f t="shared" si="7"/>
        <v>6.6251698870904069E-2</v>
      </c>
      <c r="E74" s="24">
        <f t="shared" ref="E74:E144" si="9">$E$3+F74</f>
        <v>0.1198067796717549</v>
      </c>
      <c r="F74" s="13">
        <f t="shared" ref="F74:F130" si="10">IF($E$4="Yes",D74*$E$5,D74)</f>
        <v>7.2606779671754898E-2</v>
      </c>
      <c r="G74" s="13">
        <f>VLOOKUP(A74,'10-year CDS Spreads'!$A$2:$D$157,4)</f>
        <v>6.7500000000000004E-2</v>
      </c>
      <c r="H74" s="13">
        <f t="shared" ref="H74:H144" si="11">IF(I74="NA","NA",$E$3+I74)</f>
        <v>0.1211748219497481</v>
      </c>
      <c r="I74" s="16">
        <f t="shared" si="8"/>
        <v>7.397482194974811E-2</v>
      </c>
    </row>
    <row r="75" spans="1:9" ht="15.6">
      <c r="A75" s="121" t="str">
        <f>'Sovereign Ratings (Moody''s,S&amp;P)'!A69</f>
        <v>Ireland</v>
      </c>
      <c r="B75" s="116" t="str">
        <f>VLOOKUP(A75,'Regional lookup table'!$A$3:$B$161,2)</f>
        <v>Western Europe</v>
      </c>
      <c r="C75" s="11" t="str">
        <f>'Sovereign Ratings (Moody''s,S&amp;P)'!C69</f>
        <v>A2</v>
      </c>
      <c r="D75" s="24">
        <f t="shared" si="7"/>
        <v>7.4941753235439005E-3</v>
      </c>
      <c r="E75" s="24">
        <f t="shared" si="9"/>
        <v>5.5413041262508976E-2</v>
      </c>
      <c r="F75" s="13">
        <f t="shared" si="10"/>
        <v>8.2130412625089771E-3</v>
      </c>
      <c r="G75" s="13">
        <f>VLOOKUP(A75,'10-year CDS Spreads'!$A$2:$D$157,4)</f>
        <v>9.0000000000000019E-4</v>
      </c>
      <c r="H75" s="13">
        <f t="shared" si="11"/>
        <v>4.8186330959329976E-2</v>
      </c>
      <c r="I75" s="16">
        <f t="shared" si="8"/>
        <v>9.8633095932997494E-4</v>
      </c>
    </row>
    <row r="76" spans="1:9" ht="15.6">
      <c r="A76" s="121" t="str">
        <f>'Sovereign Ratings (Moody''s,S&amp;P)'!A70</f>
        <v>Isle of Man</v>
      </c>
      <c r="B76" s="116" t="str">
        <f>VLOOKUP(A76,'Regional lookup table'!$A$3:$B$161,2)</f>
        <v>Western Europe</v>
      </c>
      <c r="C76" s="11" t="str">
        <f>'Sovereign Ratings (Moody''s,S&amp;P)'!C70</f>
        <v>Aa3</v>
      </c>
      <c r="D76" s="24">
        <f t="shared" si="7"/>
        <v>5.3415930497600151E-3</v>
      </c>
      <c r="E76" s="24">
        <f t="shared" si="9"/>
        <v>5.3053976219022358E-2</v>
      </c>
      <c r="F76" s="13">
        <f t="shared" si="10"/>
        <v>5.8539762190223561E-3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5.6">
      <c r="A77" s="121" t="str">
        <f>'Sovereign Ratings (Moody''s,S&amp;P)'!A71</f>
        <v>Israel</v>
      </c>
      <c r="B77" s="116" t="str">
        <f>VLOOKUP(A77,'Regional lookup table'!$A$3:$B$161,2)</f>
        <v>Middle East</v>
      </c>
      <c r="C77" s="11" t="str">
        <f>'Sovereign Ratings (Moody''s,S&amp;P)'!C71</f>
        <v>A1</v>
      </c>
      <c r="D77" s="24">
        <f t="shared" si="7"/>
        <v>6.2185710131534505E-3</v>
      </c>
      <c r="E77" s="24">
        <f t="shared" si="9"/>
        <v>5.4015076792294683E-2</v>
      </c>
      <c r="F77" s="13">
        <f t="shared" si="10"/>
        <v>6.8150767922946836E-3</v>
      </c>
      <c r="G77" s="13">
        <f>VLOOKUP(A77,'10-year CDS Spreads'!$A$2:$D$157,4)</f>
        <v>5.4000000000000003E-3</v>
      </c>
      <c r="H77" s="13">
        <f t="shared" si="11"/>
        <v>5.3117985755979848E-2</v>
      </c>
      <c r="I77" s="16">
        <f t="shared" si="8"/>
        <v>5.9179857559798488E-3</v>
      </c>
    </row>
    <row r="78" spans="1:9" ht="15.6">
      <c r="A78" s="121" t="str">
        <f>'Sovereign Ratings (Moody''s,S&amp;P)'!A72</f>
        <v>Italy</v>
      </c>
      <c r="B78" s="116" t="str">
        <f>VLOOKUP(A78,'Regional lookup table'!$A$3:$B$161,2)</f>
        <v>Western Europe</v>
      </c>
      <c r="C78" s="11" t="str">
        <f>'Sovereign Ratings (Moody''s,S&amp;P)'!C72</f>
        <v>Baa3</v>
      </c>
      <c r="D78" s="24">
        <f t="shared" si="7"/>
        <v>1.9452965733454383E-2</v>
      </c>
      <c r="E78" s="24">
        <f t="shared" si="9"/>
        <v>6.8518958170767988E-2</v>
      </c>
      <c r="F78" s="13">
        <f t="shared" si="10"/>
        <v>2.1318958170767986E-2</v>
      </c>
      <c r="G78" s="13">
        <f>VLOOKUP(A78,'10-year CDS Spreads'!$A$2:$D$157,4)</f>
        <v>1.2E-2</v>
      </c>
      <c r="H78" s="13">
        <f t="shared" si="11"/>
        <v>6.0351079457732992E-2</v>
      </c>
      <c r="I78" s="16">
        <f t="shared" si="8"/>
        <v>1.3151079457732995E-2</v>
      </c>
    </row>
    <row r="79" spans="1:9" ht="15.6">
      <c r="A79" s="121" t="str">
        <f>'Sovereign Ratings (Moody''s,S&amp;P)'!A73</f>
        <v>Jamaica</v>
      </c>
      <c r="B79" s="116" t="str">
        <f>VLOOKUP(A79,'Regional lookup table'!$A$3:$B$161,2)</f>
        <v>Caribbean</v>
      </c>
      <c r="C79" s="11" t="str">
        <f>'Sovereign Ratings (Moody''s,S&amp;P)'!C73</f>
        <v>B2</v>
      </c>
      <c r="D79" s="24">
        <f t="shared" si="7"/>
        <v>4.8632414333635951E-2</v>
      </c>
      <c r="E79" s="24">
        <f t="shared" si="9"/>
        <v>0.10049739542691996</v>
      </c>
      <c r="F79" s="13">
        <f t="shared" si="10"/>
        <v>5.3297395426919955E-2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5.6">
      <c r="A80" s="121" t="str">
        <f>'Sovereign Ratings (Moody''s,S&amp;P)'!A74</f>
        <v>Japan</v>
      </c>
      <c r="B80" s="116" t="str">
        <f>VLOOKUP(A80,'Regional lookup table'!$A$3:$B$161,2)</f>
        <v>Asia</v>
      </c>
      <c r="C80" s="11" t="str">
        <f>'Sovereign Ratings (Moody''s,S&amp;P)'!C74</f>
        <v>A1</v>
      </c>
      <c r="D80" s="24">
        <f t="shared" si="7"/>
        <v>6.2185710131534505E-3</v>
      </c>
      <c r="E80" s="24">
        <f t="shared" si="9"/>
        <v>5.4015076792294683E-2</v>
      </c>
      <c r="F80" s="13">
        <f t="shared" si="10"/>
        <v>6.8150767922946836E-3</v>
      </c>
      <c r="G80" s="13">
        <f>VLOOKUP(A80,'10-year CDS Spreads'!$A$2:$D$157,4)</f>
        <v>5.0000000000000001E-4</v>
      </c>
      <c r="H80" s="13">
        <f t="shared" si="11"/>
        <v>4.7747961644072204E-2</v>
      </c>
      <c r="I80" s="16">
        <f t="shared" si="8"/>
        <v>5.4796164407220813E-4</v>
      </c>
    </row>
    <row r="81" spans="1:9" ht="15.6">
      <c r="A81" s="121" t="str">
        <f>'Sovereign Ratings (Moody''s,S&amp;P)'!A75</f>
        <v>Jersey (States of)</v>
      </c>
      <c r="B81" s="116" t="str">
        <f>VLOOKUP(A81,'Regional lookup table'!$A$3:$B$161,2)</f>
        <v>Western Europe</v>
      </c>
      <c r="C81" s="11" t="str">
        <f>'Sovereign Ratings (Moody''s,S&amp;P)'!C75</f>
        <v>Aaa</v>
      </c>
      <c r="D81" s="24">
        <f t="shared" si="7"/>
        <v>0</v>
      </c>
      <c r="E81" s="24">
        <f t="shared" si="9"/>
        <v>4.7199999999999999E-2</v>
      </c>
      <c r="F81" s="13">
        <f t="shared" si="10"/>
        <v>0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5.6">
      <c r="A82" s="121" t="str">
        <f>'Sovereign Ratings (Moody''s,S&amp;P)'!A76</f>
        <v>Jordan</v>
      </c>
      <c r="B82" s="116" t="str">
        <f>VLOOKUP(A82,'Regional lookup table'!$A$3:$B$161,2)</f>
        <v>Middle East</v>
      </c>
      <c r="C82" s="11" t="str">
        <f>'Sovereign Ratings (Moody''s,S&amp;P)'!C76</f>
        <v>B1</v>
      </c>
      <c r="D82" s="24">
        <f t="shared" si="7"/>
        <v>3.9782909430302202E-2</v>
      </c>
      <c r="E82" s="24">
        <f t="shared" si="9"/>
        <v>9.0799016914808295E-2</v>
      </c>
      <c r="F82" s="13">
        <f t="shared" si="10"/>
        <v>4.3599016914808296E-2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5.6">
      <c r="A83" s="121" t="str">
        <f>'Sovereign Ratings (Moody''s,S&amp;P)'!A77</f>
        <v>Kazakhstan</v>
      </c>
      <c r="B83" s="116" t="str">
        <f>VLOOKUP(A83,'Regional lookup table'!$A$3:$B$161,2)</f>
        <v>Eastern Europe &amp; Russia</v>
      </c>
      <c r="C83" s="11" t="str">
        <f>'Sovereign Ratings (Moody''s,S&amp;P)'!C77</f>
        <v>Baa3</v>
      </c>
      <c r="D83" s="24">
        <f t="shared" si="7"/>
        <v>1.9452965733454383E-2</v>
      </c>
      <c r="E83" s="24">
        <f t="shared" si="9"/>
        <v>6.8518958170767988E-2</v>
      </c>
      <c r="F83" s="13">
        <f t="shared" si="10"/>
        <v>2.1318958170767986E-2</v>
      </c>
      <c r="G83" s="13">
        <f>VLOOKUP(A83,'10-year CDS Spreads'!$A$2:$D$157,4)</f>
        <v>7.2999999999999992E-3</v>
      </c>
      <c r="H83" s="13">
        <f t="shared" si="11"/>
        <v>5.5200240003454235E-2</v>
      </c>
      <c r="I83" s="16">
        <f t="shared" si="8"/>
        <v>8.0002400034542374E-3</v>
      </c>
    </row>
    <row r="84" spans="1:9" ht="15.6">
      <c r="A84" s="121" t="str">
        <f>'Sovereign Ratings (Moody''s,S&amp;P)'!A78</f>
        <v>Kenya</v>
      </c>
      <c r="B84" s="116" t="str">
        <f>VLOOKUP(A84,'Regional lookup table'!$A$3:$B$161,2)</f>
        <v>Africa</v>
      </c>
      <c r="C84" s="11" t="str">
        <f>'Sovereign Ratings (Moody''s,S&amp;P)'!C78</f>
        <v>B2</v>
      </c>
      <c r="D84" s="24">
        <f t="shared" si="7"/>
        <v>4.8632414333635951E-2</v>
      </c>
      <c r="E84" s="24">
        <f t="shared" si="9"/>
        <v>0.10049739542691996</v>
      </c>
      <c r="F84" s="13">
        <f t="shared" si="10"/>
        <v>5.3297395426919955E-2</v>
      </c>
      <c r="G84" s="13">
        <f>VLOOKUP(A84,'10-year CDS Spreads'!$A$2:$D$157,4)</f>
        <v>3.8300000000000001E-2</v>
      </c>
      <c r="H84" s="13">
        <f t="shared" si="11"/>
        <v>8.9173861935931145E-2</v>
      </c>
      <c r="I84" s="16">
        <f t="shared" si="8"/>
        <v>4.1973861935931146E-2</v>
      </c>
    </row>
    <row r="85" spans="1:9" ht="15.6">
      <c r="A85" s="121" t="str">
        <f>'Sovereign Ratings (Moody''s,S&amp;P)'!A79</f>
        <v>Korea</v>
      </c>
      <c r="B85" s="116" t="str">
        <f>VLOOKUP(A85,'Regional lookup table'!$A$3:$B$161,2)</f>
        <v>Asia</v>
      </c>
      <c r="C85" s="11" t="str">
        <f>'Sovereign Ratings (Moody''s,S&amp;P)'!C79</f>
        <v>Aa2</v>
      </c>
      <c r="D85" s="24">
        <f t="shared" si="7"/>
        <v>4.3848898169671765E-3</v>
      </c>
      <c r="E85" s="24">
        <f>$E$3+F85</f>
        <v>5.2005502866361637E-2</v>
      </c>
      <c r="F85" s="13">
        <f>IF($E$4="Yes",D85*$E$5,D85)</f>
        <v>4.8055028663616358E-3</v>
      </c>
      <c r="G85" s="13">
        <f>VLOOKUP(A85,'10-year CDS Spreads'!$A$2:$D$157,4)</f>
        <v>1.8999999999999998E-3</v>
      </c>
      <c r="H85" s="13">
        <f>IF(I85="NA","NA",$E$3+I85)</f>
        <v>4.9282254247474393E-2</v>
      </c>
      <c r="I85" s="16">
        <f t="shared" si="8"/>
        <v>2.0822542474743908E-3</v>
      </c>
    </row>
    <row r="86" spans="1:9" ht="15.6">
      <c r="A86" s="121" t="str">
        <f>'Sovereign Ratings (Moody''s,S&amp;P)'!A80</f>
        <v>Kuwait</v>
      </c>
      <c r="B86" s="116" t="str">
        <f>VLOOKUP(A86,'Regional lookup table'!$A$3:$B$161,2)</f>
        <v>Middle East</v>
      </c>
      <c r="C86" s="11" t="str">
        <f>'Sovereign Ratings (Moody''s,S&amp;P)'!C80</f>
        <v>A1</v>
      </c>
      <c r="D86" s="24">
        <f t="shared" si="7"/>
        <v>6.2185710131534505E-3</v>
      </c>
      <c r="E86" s="24">
        <f t="shared" si="9"/>
        <v>5.4015076792294683E-2</v>
      </c>
      <c r="F86" s="13">
        <f t="shared" si="10"/>
        <v>6.8150767922946836E-3</v>
      </c>
      <c r="G86" s="13">
        <f>VLOOKUP(A86,'10-year CDS Spreads'!$A$2:$D$157,4)</f>
        <v>5.1999999999999998E-3</v>
      </c>
      <c r="H86" s="13">
        <f t="shared" si="11"/>
        <v>5.2898801098350962E-2</v>
      </c>
      <c r="I86" s="16">
        <f t="shared" si="8"/>
        <v>5.6988010983509644E-3</v>
      </c>
    </row>
    <row r="87" spans="1:9" ht="15.6">
      <c r="A87" s="121" t="str">
        <f>'Sovereign Ratings (Moody''s,S&amp;P)'!A81</f>
        <v>Kyrgyzstan</v>
      </c>
      <c r="B87" s="116" t="str">
        <f>VLOOKUP(A87,'Regional lookup table'!$A$3:$B$161,2)</f>
        <v>Eastern Europe &amp; Russia</v>
      </c>
      <c r="C87" s="11" t="str">
        <f>'Sovereign Ratings (Moody''s,S&amp;P)'!C81</f>
        <v>B2</v>
      </c>
      <c r="D87" s="24">
        <f t="shared" si="7"/>
        <v>4.8632414333635951E-2</v>
      </c>
      <c r="E87" s="24">
        <f t="shared" si="9"/>
        <v>0.10049739542691996</v>
      </c>
      <c r="F87" s="13">
        <f t="shared" si="10"/>
        <v>5.3297395426919955E-2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5.6">
      <c r="A88" s="121" t="str">
        <f>'Sovereign Ratings (Moody''s,S&amp;P)'!A82</f>
        <v>Laos</v>
      </c>
      <c r="B88" s="116" t="str">
        <f>VLOOKUP(A88,'Regional lookup table'!$A$3:$B$161,2)</f>
        <v>Asia</v>
      </c>
      <c r="C88" s="11" t="str">
        <f>'Sovereign Ratings (Moody''s,S&amp;P)'!C82</f>
        <v>Caa2</v>
      </c>
      <c r="D88" s="24">
        <f t="shared" si="7"/>
        <v>7.9565818860604404E-2</v>
      </c>
      <c r="E88" s="24">
        <f t="shared" ref="E88" si="12">$E$3+F88</f>
        <v>0.1343980338296166</v>
      </c>
      <c r="F88" s="13">
        <f t="shared" ref="F88" si="13">IF($E$4="Yes",D88*$E$5,D88)</f>
        <v>8.7198033829616592E-2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5.6">
      <c r="A89" s="121" t="str">
        <f>'Sovereign Ratings (Moody''s,S&amp;P)'!A83</f>
        <v>Latvia</v>
      </c>
      <c r="B89" s="116" t="str">
        <f>VLOOKUP(A89,'Regional lookup table'!$A$3:$B$161,2)</f>
        <v>Eastern Europe &amp; Russia</v>
      </c>
      <c r="C89" s="11" t="str">
        <f>'Sovereign Ratings (Moody''s,S&amp;P)'!C83</f>
        <v>A3</v>
      </c>
      <c r="D89" s="24">
        <f t="shared" si="7"/>
        <v>1.0603460830120627E-2</v>
      </c>
      <c r="E89" s="24">
        <f t="shared" si="9"/>
        <v>5.8820579658656322E-2</v>
      </c>
      <c r="F89" s="13">
        <f t="shared" si="10"/>
        <v>1.1620579658656319E-2</v>
      </c>
      <c r="G89" s="13">
        <f>VLOOKUP(A89,'10-year CDS Spreads'!$A$2:$D$157,4)</f>
        <v>6.9999999999999993E-3</v>
      </c>
      <c r="H89" s="13">
        <f t="shared" si="11"/>
        <v>5.4871463017010916E-2</v>
      </c>
      <c r="I89" s="16">
        <f t="shared" si="8"/>
        <v>7.6714630170109134E-3</v>
      </c>
    </row>
    <row r="90" spans="1:9" ht="15.6">
      <c r="A90" s="121" t="str">
        <f>'Sovereign Ratings (Moody''s,S&amp;P)'!A84</f>
        <v>Lebanon</v>
      </c>
      <c r="B90" s="116" t="str">
        <f>VLOOKUP(A90,'Regional lookup table'!$A$3:$B$161,2)</f>
        <v>Middle East</v>
      </c>
      <c r="C90" s="11" t="str">
        <f>'Sovereign Ratings (Moody''s,S&amp;P)'!C84</f>
        <v>C</v>
      </c>
      <c r="D90" s="24">
        <f t="shared" si="7"/>
        <v>0.17499999999999999</v>
      </c>
      <c r="E90" s="24">
        <f t="shared" si="9"/>
        <v>0.23898657542527282</v>
      </c>
      <c r="F90" s="13">
        <f t="shared" si="10"/>
        <v>0.19178657542527283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5.6">
      <c r="A91" s="121" t="str">
        <f>'Sovereign Ratings (Moody''s,S&amp;P)'!A85</f>
        <v>Liechtenstein</v>
      </c>
      <c r="B91" s="116" t="str">
        <f>VLOOKUP(A91,'Regional lookup table'!$A$3:$B$161,2)</f>
        <v>Western Europe</v>
      </c>
      <c r="C91" s="11" t="str">
        <f>'Sovereign Ratings (Moody''s,S&amp;P)'!C85</f>
        <v>Aaa</v>
      </c>
      <c r="D91" s="24">
        <f t="shared" si="7"/>
        <v>0</v>
      </c>
      <c r="E91" s="24">
        <f t="shared" si="9"/>
        <v>4.7199999999999999E-2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5.6">
      <c r="A92" s="121" t="str">
        <f>'Sovereign Ratings (Moody''s,S&amp;P)'!A86</f>
        <v>Lithuania</v>
      </c>
      <c r="B92" s="116" t="str">
        <f>VLOOKUP(A92,'Regional lookup table'!$A$3:$B$161,2)</f>
        <v>Eastern Europe &amp; Russia</v>
      </c>
      <c r="C92" s="11" t="str">
        <f>'Sovereign Ratings (Moody''s,S&amp;P)'!C86</f>
        <v>A3</v>
      </c>
      <c r="D92" s="24">
        <f t="shared" si="7"/>
        <v>1.0603460830120627E-2</v>
      </c>
      <c r="E92" s="24">
        <f t="shared" si="9"/>
        <v>5.8820579658656322E-2</v>
      </c>
      <c r="F92" s="13">
        <f t="shared" si="10"/>
        <v>1.1620579658656319E-2</v>
      </c>
      <c r="G92" s="13">
        <f>VLOOKUP(A92,'10-year CDS Spreads'!$A$2:$D$157,4)</f>
        <v>6.6999999999999994E-3</v>
      </c>
      <c r="H92" s="13">
        <f t="shared" si="11"/>
        <v>5.454268603056759E-2</v>
      </c>
      <c r="I92" s="16">
        <f t="shared" si="8"/>
        <v>7.3426860305675886E-3</v>
      </c>
    </row>
    <row r="93" spans="1:9" ht="15.6">
      <c r="A93" s="121" t="str">
        <f>'Sovereign Ratings (Moody''s,S&amp;P)'!A87</f>
        <v>Luxembourg</v>
      </c>
      <c r="B93" s="116" t="str">
        <f>VLOOKUP(A93,'Regional lookup table'!$A$3:$B$161,2)</f>
        <v>Western Europe</v>
      </c>
      <c r="C93" s="11" t="str">
        <f>'Sovereign Ratings (Moody''s,S&amp;P)'!C87</f>
        <v>Aaa</v>
      </c>
      <c r="D93" s="24">
        <f t="shared" si="7"/>
        <v>0</v>
      </c>
      <c r="E93" s="24">
        <f t="shared" si="9"/>
        <v>4.7199999999999999E-2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5.6">
      <c r="A94" s="121" t="str">
        <f>'Sovereign Ratings (Moody''s,S&amp;P)'!A88</f>
        <v>Macao</v>
      </c>
      <c r="B94" s="116" t="str">
        <f>VLOOKUP(A94,'Regional lookup table'!$A$3:$B$161,2)</f>
        <v>Asia</v>
      </c>
      <c r="C94" s="11" t="str">
        <f>'Sovereign Ratings (Moody''s,S&amp;P)'!C88</f>
        <v>Aa3</v>
      </c>
      <c r="D94" s="24">
        <f t="shared" si="7"/>
        <v>5.3415930497600151E-3</v>
      </c>
      <c r="E94" s="24">
        <f t="shared" si="9"/>
        <v>5.3053976219022358E-2</v>
      </c>
      <c r="F94" s="13">
        <f t="shared" si="10"/>
        <v>5.8539762190223561E-3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5.6">
      <c r="A95" s="121" t="str">
        <f>'Sovereign Ratings (Moody''s,S&amp;P)'!A89</f>
        <v>Macedonia</v>
      </c>
      <c r="B95" s="116" t="str">
        <f>VLOOKUP(A95,'Regional lookup table'!$A$3:$B$161,2)</f>
        <v>Eastern Europe &amp; Russia</v>
      </c>
      <c r="C95" s="11" t="str">
        <f>'Sovereign Ratings (Moody''s,S&amp;P)'!C89</f>
        <v>Ba3</v>
      </c>
      <c r="D95" s="24">
        <f t="shared" si="7"/>
        <v>3.1810382490361881E-2</v>
      </c>
      <c r="E95" s="24">
        <f t="shared" si="9"/>
        <v>8.2061738975968967E-2</v>
      </c>
      <c r="F95" s="13">
        <f t="shared" si="10"/>
        <v>3.4861738975968962E-2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5.6">
      <c r="A96" s="121" t="str">
        <f>'Sovereign Ratings (Moody''s,S&amp;P)'!A90</f>
        <v>Malaysia</v>
      </c>
      <c r="B96" s="116" t="str">
        <f>VLOOKUP(A96,'Regional lookup table'!$A$3:$B$161,2)</f>
        <v>Asia</v>
      </c>
      <c r="C96" s="11" t="str">
        <f>'Sovereign Ratings (Moody''s,S&amp;P)'!C90</f>
        <v>A3</v>
      </c>
      <c r="D96" s="24">
        <f t="shared" si="7"/>
        <v>1.0603460830120627E-2</v>
      </c>
      <c r="E96" s="24">
        <f t="shared" ref="E96" si="16">$E$3+F96</f>
        <v>5.8820579658656322E-2</v>
      </c>
      <c r="F96" s="13">
        <f t="shared" ref="F96" si="17">IF($E$4="Yes",D96*$E$5,D96)</f>
        <v>1.1620579658656319E-2</v>
      </c>
      <c r="G96" s="13">
        <f>VLOOKUP(A96,'10-year CDS Spreads'!$A$2:$D$157,4)</f>
        <v>4.7000000000000002E-3</v>
      </c>
      <c r="H96" s="13">
        <f t="shared" ref="H96" si="18">IF(I96="NA","NA",$E$3+I96)</f>
        <v>5.2350839454278757E-2</v>
      </c>
      <c r="I96" s="16">
        <f t="shared" ref="I96" si="19">IF(G96="NA","NA",G96*$E$5)</f>
        <v>5.1508394542787569E-3</v>
      </c>
    </row>
    <row r="97" spans="1:9" ht="15.6">
      <c r="A97" s="121" t="str">
        <f>'Sovereign Ratings (Moody''s,S&amp;P)'!A91</f>
        <v>Maldives</v>
      </c>
      <c r="B97" s="116" t="str">
        <f>VLOOKUP(A97,'Regional lookup table'!$A$3:$B$161,2)</f>
        <v>Asia</v>
      </c>
      <c r="C97" s="11" t="str">
        <f>'Sovereign Ratings (Moody''s,S&amp;P)'!C91</f>
        <v>B3</v>
      </c>
      <c r="D97" s="24">
        <f t="shared" si="7"/>
        <v>5.74819192369697E-2</v>
      </c>
      <c r="E97" s="24">
        <f t="shared" si="9"/>
        <v>0.1101957739390316</v>
      </c>
      <c r="F97" s="13">
        <f t="shared" si="10"/>
        <v>6.2995773939031607E-2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5.6">
      <c r="A98" s="121" t="str">
        <f>'Sovereign Ratings (Moody''s,S&amp;P)'!A92</f>
        <v>Mali</v>
      </c>
      <c r="B98" s="116" t="str">
        <f>VLOOKUP(A98,'Regional lookup table'!$A$3:$B$161,2)</f>
        <v>Africa</v>
      </c>
      <c r="C98" s="11" t="str">
        <f>'Sovereign Ratings (Moody''s,S&amp;P)'!C92</f>
        <v>Caa1</v>
      </c>
      <c r="D98" s="24">
        <f t="shared" si="7"/>
        <v>6.6251698870904069E-2</v>
      </c>
      <c r="E98" s="24">
        <f t="shared" si="9"/>
        <v>0.1198067796717549</v>
      </c>
      <c r="F98" s="13">
        <f t="shared" si="10"/>
        <v>7.2606779671754898E-2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5.6">
      <c r="A99" s="121" t="str">
        <f>'Sovereign Ratings (Moody''s,S&amp;P)'!A93</f>
        <v>Malta</v>
      </c>
      <c r="B99" s="116" t="str">
        <f>VLOOKUP(A99,'Regional lookup table'!$A$3:$B$161,2)</f>
        <v>Western Europe</v>
      </c>
      <c r="C99" s="11" t="str">
        <f>'Sovereign Ratings (Moody''s,S&amp;P)'!C93</f>
        <v>A2</v>
      </c>
      <c r="D99" s="24">
        <f t="shared" si="7"/>
        <v>7.4941753235439005E-3</v>
      </c>
      <c r="E99" s="24">
        <f t="shared" si="9"/>
        <v>5.5413041262508976E-2</v>
      </c>
      <c r="F99" s="13">
        <f t="shared" si="10"/>
        <v>8.2130412625089771E-3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5.6">
      <c r="A100" s="121" t="str">
        <f>'Sovereign Ratings (Moody''s,S&amp;P)'!A94</f>
        <v>Mauritius</v>
      </c>
      <c r="B100" s="116" t="str">
        <f>VLOOKUP(A100,'Regional lookup table'!$A$3:$B$161,2)</f>
        <v>Asia</v>
      </c>
      <c r="C100" s="11" t="str">
        <f>'Sovereign Ratings (Moody''s,S&amp;P)'!C94</f>
        <v>Baa1</v>
      </c>
      <c r="D100" s="24">
        <f t="shared" si="7"/>
        <v>1.4111372683694367E-2</v>
      </c>
      <c r="E100" s="24">
        <f t="shared" si="9"/>
        <v>6.2664981951745621E-2</v>
      </c>
      <c r="F100" s="13">
        <f t="shared" si="10"/>
        <v>1.5464981951745628E-2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5.6">
      <c r="A101" s="121" t="str">
        <f>'Sovereign Ratings (Moody''s,S&amp;P)'!A95</f>
        <v>Mexico</v>
      </c>
      <c r="B101" s="116" t="str">
        <f>VLOOKUP(A101,'Regional lookup table'!$A$3:$B$161,2)</f>
        <v>Central and South America</v>
      </c>
      <c r="C101" s="11" t="str">
        <f>'Sovereign Ratings (Moody''s,S&amp;P)'!C95</f>
        <v>Baa1</v>
      </c>
      <c r="D101" s="24">
        <f t="shared" si="7"/>
        <v>1.4111372683694367E-2</v>
      </c>
      <c r="E101" s="24">
        <f t="shared" si="9"/>
        <v>6.2664981951745621E-2</v>
      </c>
      <c r="F101" s="13">
        <f t="shared" si="10"/>
        <v>1.5464981951745628E-2</v>
      </c>
      <c r="G101" s="13">
        <f>VLOOKUP(A101,'10-year CDS Spreads'!$A$2:$D$157,4)</f>
        <v>1.2200000000000001E-2</v>
      </c>
      <c r="H101" s="13">
        <f t="shared" si="11"/>
        <v>6.0570264115361878E-2</v>
      </c>
      <c r="I101" s="16">
        <f t="shared" si="8"/>
        <v>1.337026411536188E-2</v>
      </c>
    </row>
    <row r="102" spans="1:9" ht="15.6">
      <c r="A102" s="121" t="str">
        <f>'Sovereign Ratings (Moody''s,S&amp;P)'!A96</f>
        <v>Moldova</v>
      </c>
      <c r="B102" s="116" t="str">
        <f>VLOOKUP(A102,'Regional lookup table'!$A$3:$B$161,2)</f>
        <v>Eastern Europe &amp; Russia</v>
      </c>
      <c r="C102" s="11" t="str">
        <f>'Sovereign Ratings (Moody''s,S&amp;P)'!C96</f>
        <v>B3</v>
      </c>
      <c r="D102" s="24">
        <f t="shared" si="7"/>
        <v>5.74819192369697E-2</v>
      </c>
      <c r="E102" s="24">
        <f t="shared" si="9"/>
        <v>0.1101957739390316</v>
      </c>
      <c r="F102" s="13">
        <f t="shared" si="10"/>
        <v>6.2995773939031607E-2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5.6">
      <c r="A103" s="121" t="str">
        <f>'Sovereign Ratings (Moody''s,S&amp;P)'!A97</f>
        <v>Mongolia</v>
      </c>
      <c r="B103" s="116" t="str">
        <f>VLOOKUP(A103,'Regional lookup table'!$A$3:$B$161,2)</f>
        <v>Asia</v>
      </c>
      <c r="C103" s="11" t="str">
        <f>'Sovereign Ratings (Moody''s,S&amp;P)'!C97</f>
        <v>B3</v>
      </c>
      <c r="D103" s="24">
        <f t="shared" si="7"/>
        <v>5.74819192369697E-2</v>
      </c>
      <c r="E103" s="24">
        <f t="shared" si="9"/>
        <v>0.1101957739390316</v>
      </c>
      <c r="F103" s="13">
        <f t="shared" si="10"/>
        <v>6.2995773939031607E-2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5.6">
      <c r="A104" s="121" t="str">
        <f>'Sovereign Ratings (Moody''s,S&amp;P)'!A98</f>
        <v>Montenegro</v>
      </c>
      <c r="B104" s="116" t="str">
        <f>VLOOKUP(A104,'Regional lookup table'!$A$3:$B$161,2)</f>
        <v>Eastern Europe &amp; Russia</v>
      </c>
      <c r="C104" s="11" t="str">
        <f>'Sovereign Ratings (Moody''s,S&amp;P)'!C98</f>
        <v>B1</v>
      </c>
      <c r="D104" s="24">
        <f t="shared" si="7"/>
        <v>3.9782909430302202E-2</v>
      </c>
      <c r="E104" s="24">
        <f t="shared" si="9"/>
        <v>9.0799016914808295E-2</v>
      </c>
      <c r="F104" s="13">
        <f t="shared" si="10"/>
        <v>4.3599016914808296E-2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5.6">
      <c r="A105" s="121" t="str">
        <f>'Sovereign Ratings (Moody''s,S&amp;P)'!A99</f>
        <v>Montserrat</v>
      </c>
      <c r="B105" s="116" t="str">
        <f>VLOOKUP(A105,'Regional lookup table'!$A$3:$B$161,2)</f>
        <v>Caribbean</v>
      </c>
      <c r="C105" s="11" t="str">
        <f>'Sovereign Ratings (Moody''s,S&amp;P)'!C99</f>
        <v>Baa3</v>
      </c>
      <c r="D105" s="24">
        <f t="shared" si="7"/>
        <v>1.9452965733454383E-2</v>
      </c>
      <c r="E105" s="24">
        <f t="shared" si="9"/>
        <v>6.8518958170767988E-2</v>
      </c>
      <c r="F105" s="13">
        <f t="shared" si="10"/>
        <v>2.1318958170767986E-2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5.6">
      <c r="A106" s="121" t="str">
        <f>'Sovereign Ratings (Moody''s,S&amp;P)'!A100</f>
        <v>Morocco</v>
      </c>
      <c r="B106" s="116" t="str">
        <f>VLOOKUP(A106,'Regional lookup table'!$A$3:$B$161,2)</f>
        <v>Africa</v>
      </c>
      <c r="C106" s="11" t="str">
        <f>'Sovereign Ratings (Moody''s,S&amp;P)'!C100</f>
        <v>Ba1</v>
      </c>
      <c r="D106" s="24">
        <f t="shared" si="7"/>
        <v>2.208389962363469E-2</v>
      </c>
      <c r="E106" s="24">
        <f t="shared" si="9"/>
        <v>7.1402259890584963E-2</v>
      </c>
      <c r="F106" s="13">
        <f t="shared" si="10"/>
        <v>2.4202259890584967E-2</v>
      </c>
      <c r="G106" s="13">
        <f>VLOOKUP(A106,'10-year CDS Spreads'!$A$2:$D$157,4)</f>
        <v>1.3299999999999999E-2</v>
      </c>
      <c r="H106" s="13">
        <f t="shared" si="11"/>
        <v>6.1775779732320735E-2</v>
      </c>
      <c r="I106" s="16">
        <f t="shared" si="8"/>
        <v>1.4575779732320736E-2</v>
      </c>
    </row>
    <row r="107" spans="1:9" ht="15.6">
      <c r="A107" s="121" t="str">
        <f>'Sovereign Ratings (Moody''s,S&amp;P)'!A101</f>
        <v>Mozambique</v>
      </c>
      <c r="B107" s="116" t="str">
        <f>VLOOKUP(A107,'Regional lookup table'!$A$3:$B$161,2)</f>
        <v>Africa</v>
      </c>
      <c r="C107" s="11" t="str">
        <f>'Sovereign Ratings (Moody''s,S&amp;P)'!C101</f>
        <v>Caa2</v>
      </c>
      <c r="D107" s="24">
        <f t="shared" si="7"/>
        <v>7.9565818860604404E-2</v>
      </c>
      <c r="E107" s="24">
        <f t="shared" si="9"/>
        <v>0.1343980338296166</v>
      </c>
      <c r="F107" s="13">
        <f t="shared" si="10"/>
        <v>8.7198033829616592E-2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5.6">
      <c r="A108" s="121" t="str">
        <f>'Sovereign Ratings (Moody''s,S&amp;P)'!A102</f>
        <v>Namibia</v>
      </c>
      <c r="B108" s="116" t="str">
        <f>VLOOKUP(A108,'Regional lookup table'!$A$3:$B$161,2)</f>
        <v>Africa</v>
      </c>
      <c r="C108" s="11" t="str">
        <f>'Sovereign Ratings (Moody''s,S&amp;P)'!C102</f>
        <v>Ba3</v>
      </c>
      <c r="D108" s="24">
        <f t="shared" si="7"/>
        <v>3.1810382490361881E-2</v>
      </c>
      <c r="E108" s="24">
        <f t="shared" si="9"/>
        <v>8.2061738975968967E-2</v>
      </c>
      <c r="F108" s="13">
        <f t="shared" si="10"/>
        <v>3.4861738975968962E-2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5.6">
      <c r="A109" s="121" t="str">
        <f>'Sovereign Ratings (Moody''s,S&amp;P)'!A103</f>
        <v>Netherlands</v>
      </c>
      <c r="B109" s="116" t="str">
        <f>VLOOKUP(A109,'Regional lookup table'!$A$3:$B$161,2)</f>
        <v>Western Europe</v>
      </c>
      <c r="C109" s="11" t="str">
        <f>'Sovereign Ratings (Moody''s,S&amp;P)'!C103</f>
        <v>Aaa</v>
      </c>
      <c r="D109" s="24">
        <f t="shared" si="7"/>
        <v>0</v>
      </c>
      <c r="E109" s="24">
        <f t="shared" si="9"/>
        <v>4.7199999999999999E-2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4.7199999999999999E-2</v>
      </c>
      <c r="I109" s="16">
        <f t="shared" si="8"/>
        <v>0</v>
      </c>
    </row>
    <row r="110" spans="1:9" ht="15.6">
      <c r="A110" s="121" t="str">
        <f>'Sovereign Ratings (Moody''s,S&amp;P)'!A104</f>
        <v>New Zealand</v>
      </c>
      <c r="B110" s="116" t="str">
        <f>VLOOKUP(A110,'Regional lookup table'!$A$3:$B$161,2)</f>
        <v>Australia &amp; New Zealand</v>
      </c>
      <c r="C110" s="11" t="str">
        <f>'Sovereign Ratings (Moody''s,S&amp;P)'!C104</f>
        <v>Aaa</v>
      </c>
      <c r="D110" s="24">
        <f t="shared" si="7"/>
        <v>0</v>
      </c>
      <c r="E110" s="24">
        <f t="shared" si="9"/>
        <v>4.7199999999999999E-2</v>
      </c>
      <c r="F110" s="13">
        <f t="shared" si="10"/>
        <v>0</v>
      </c>
      <c r="G110" s="13">
        <f>VLOOKUP(A110,'10-year CDS Spreads'!$A$2:$D$157,4)</f>
        <v>2.0000000000000009E-4</v>
      </c>
      <c r="H110" s="13">
        <f t="shared" si="11"/>
        <v>4.7419184657628885E-2</v>
      </c>
      <c r="I110" s="16">
        <f t="shared" si="8"/>
        <v>2.1918465762888335E-4</v>
      </c>
    </row>
    <row r="111" spans="1:9" ht="15.6">
      <c r="A111" s="121" t="str">
        <f>'Sovereign Ratings (Moody''s,S&amp;P)'!A105</f>
        <v>Nicaragua</v>
      </c>
      <c r="B111" s="116" t="str">
        <f>VLOOKUP(A111,'Regional lookup table'!$A$3:$B$161,2)</f>
        <v>Central and South America</v>
      </c>
      <c r="C111" s="11" t="str">
        <f>'Sovereign Ratings (Moody''s,S&amp;P)'!C105</f>
        <v>B3</v>
      </c>
      <c r="D111" s="24">
        <f t="shared" si="7"/>
        <v>5.74819192369697E-2</v>
      </c>
      <c r="E111" s="24">
        <f t="shared" si="9"/>
        <v>0.1101957739390316</v>
      </c>
      <c r="F111" s="13">
        <f t="shared" si="10"/>
        <v>6.2995773939031607E-2</v>
      </c>
      <c r="G111" s="13" t="str">
        <f>VLOOKUP(A111,'10-year CDS Spreads'!$A$2:$D$157,4)</f>
        <v>NA</v>
      </c>
      <c r="H111" s="13" t="str">
        <f t="shared" si="11"/>
        <v>NA</v>
      </c>
      <c r="I111" s="16" t="str">
        <f t="shared" si="8"/>
        <v>NA</v>
      </c>
    </row>
    <row r="112" spans="1:9" ht="15.6">
      <c r="A112" s="121" t="str">
        <f>'Sovereign Ratings (Moody''s,S&amp;P)'!A106</f>
        <v>Niger</v>
      </c>
      <c r="B112" s="116" t="str">
        <f>VLOOKUP(A112,'Regional lookup table'!$A$3:$B$161,2)</f>
        <v>Africa</v>
      </c>
      <c r="C112" s="11" t="str">
        <f>'Sovereign Ratings (Moody''s,S&amp;P)'!C106</f>
        <v>B3</v>
      </c>
      <c r="D112" s="24">
        <f t="shared" si="7"/>
        <v>5.74819192369697E-2</v>
      </c>
      <c r="E112" s="24">
        <f t="shared" ref="E112" si="20">$E$3+F112</f>
        <v>0.1101957739390316</v>
      </c>
      <c r="F112" s="13">
        <f t="shared" ref="F112" si="21">IF($E$4="Yes",D112*$E$5,D112)</f>
        <v>6.2995773939031607E-2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5.6">
      <c r="A113" s="121" t="str">
        <f>'Sovereign Ratings (Moody''s,S&amp;P)'!A107</f>
        <v>Nigeria</v>
      </c>
      <c r="B113" s="116" t="str">
        <f>VLOOKUP(A113,'Regional lookup table'!$A$3:$B$161,2)</f>
        <v>Africa</v>
      </c>
      <c r="C113" s="11" t="str">
        <f>'Sovereign Ratings (Moody''s,S&amp;P)'!C107</f>
        <v>B2</v>
      </c>
      <c r="D113" s="24">
        <f t="shared" si="7"/>
        <v>4.8632414333635951E-2</v>
      </c>
      <c r="E113" s="24">
        <f t="shared" si="9"/>
        <v>0.10049739542691996</v>
      </c>
      <c r="F113" s="13">
        <f t="shared" si="10"/>
        <v>5.3297395426919955E-2</v>
      </c>
      <c r="G113" s="13">
        <f>VLOOKUP(A113,'10-year CDS Spreads'!$A$2:$D$157,4)</f>
        <v>3.3600000000000005E-2</v>
      </c>
      <c r="H113" s="13">
        <f t="shared" si="11"/>
        <v>8.4023022481652387E-2</v>
      </c>
      <c r="I113" s="16">
        <f t="shared" si="8"/>
        <v>3.6823022481652395E-2</v>
      </c>
    </row>
    <row r="114" spans="1:9" ht="15.6">
      <c r="A114" s="121" t="str">
        <f>'Sovereign Ratings (Moody''s,S&amp;P)'!A108</f>
        <v>Norway</v>
      </c>
      <c r="B114" s="116" t="str">
        <f>VLOOKUP(A114,'Regional lookup table'!$A$3:$B$161,2)</f>
        <v>Western Europe</v>
      </c>
      <c r="C114" s="11" t="str">
        <f>'Sovereign Ratings (Moody''s,S&amp;P)'!C108</f>
        <v>Aaa</v>
      </c>
      <c r="D114" s="24">
        <f t="shared" si="7"/>
        <v>0</v>
      </c>
      <c r="E114" s="24">
        <f t="shared" si="9"/>
        <v>4.7199999999999999E-2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4.7199999999999999E-2</v>
      </c>
      <c r="I114" s="16">
        <f t="shared" si="8"/>
        <v>0</v>
      </c>
    </row>
    <row r="115" spans="1:9" ht="15.6">
      <c r="A115" s="121" t="str">
        <f>'Sovereign Ratings (Moody''s,S&amp;P)'!A109</f>
        <v>Oman</v>
      </c>
      <c r="B115" s="116" t="str">
        <f>VLOOKUP(A115,'Regional lookup table'!$A$3:$B$161,2)</f>
        <v>Middle East</v>
      </c>
      <c r="C115" s="11" t="str">
        <f>'Sovereign Ratings (Moody''s,S&amp;P)'!C109</f>
        <v>Ba3</v>
      </c>
      <c r="D115" s="24">
        <f t="shared" si="7"/>
        <v>3.1810382490361881E-2</v>
      </c>
      <c r="E115" s="24">
        <f t="shared" si="9"/>
        <v>8.2061738975968967E-2</v>
      </c>
      <c r="F115" s="13">
        <f t="shared" si="10"/>
        <v>3.4861738975968962E-2</v>
      </c>
      <c r="G115" s="13">
        <f>VLOOKUP(A115,'10-year CDS Spreads'!$A$2:$D$157,4)</f>
        <v>3.6699999999999997E-2</v>
      </c>
      <c r="H115" s="13">
        <f t="shared" si="11"/>
        <v>8.742038467490007E-2</v>
      </c>
      <c r="I115" s="16">
        <f t="shared" si="8"/>
        <v>4.0220384674900071E-2</v>
      </c>
    </row>
    <row r="116" spans="1:9" ht="15.6">
      <c r="A116" s="121" t="str">
        <f>'Sovereign Ratings (Moody''s,S&amp;P)'!A110</f>
        <v>Pakistan</v>
      </c>
      <c r="B116" s="116" t="str">
        <f>VLOOKUP(A116,'Regional lookup table'!$A$3:$B$161,2)</f>
        <v>Asia</v>
      </c>
      <c r="C116" s="11" t="str">
        <f>'Sovereign Ratings (Moody''s,S&amp;P)'!C110</f>
        <v>B3</v>
      </c>
      <c r="D116" s="24">
        <f t="shared" si="7"/>
        <v>5.74819192369697E-2</v>
      </c>
      <c r="E116" s="24">
        <f t="shared" si="9"/>
        <v>0.1101957739390316</v>
      </c>
      <c r="F116" s="13">
        <f t="shared" si="10"/>
        <v>6.2995773939031607E-2</v>
      </c>
      <c r="G116" s="13">
        <f>VLOOKUP(A116,'10-year CDS Spreads'!$A$2:$D$157,4)</f>
        <v>4.2800000000000005E-2</v>
      </c>
      <c r="H116" s="13">
        <f t="shared" si="11"/>
        <v>9.4105516732581024E-2</v>
      </c>
      <c r="I116" s="16">
        <f t="shared" si="8"/>
        <v>4.6905516732581025E-2</v>
      </c>
    </row>
    <row r="117" spans="1:9" ht="15.6">
      <c r="A117" s="121" t="str">
        <f>'Sovereign Ratings (Moody''s,S&amp;P)'!A111</f>
        <v>Panama</v>
      </c>
      <c r="B117" s="116" t="str">
        <f>VLOOKUP(A117,'Regional lookup table'!$A$3:$B$161,2)</f>
        <v>Central and South America</v>
      </c>
      <c r="C117" s="11" t="str">
        <f>'Sovereign Ratings (Moody''s,S&amp;P)'!C111</f>
        <v>Baa1</v>
      </c>
      <c r="D117" s="24">
        <f t="shared" si="7"/>
        <v>1.4111372683694367E-2</v>
      </c>
      <c r="E117" s="24">
        <f t="shared" si="9"/>
        <v>6.2664981951745621E-2</v>
      </c>
      <c r="F117" s="13">
        <f t="shared" si="10"/>
        <v>1.5464981951745628E-2</v>
      </c>
      <c r="G117" s="13">
        <f>VLOOKUP(A117,'10-year CDS Spreads'!$A$2:$D$157,4)</f>
        <v>7.1999999999999998E-3</v>
      </c>
      <c r="H117" s="13">
        <f t="shared" si="11"/>
        <v>5.5090647674639795E-2</v>
      </c>
      <c r="I117" s="16">
        <f t="shared" si="8"/>
        <v>7.8906476746397978E-3</v>
      </c>
    </row>
    <row r="118" spans="1:9" ht="15.6">
      <c r="A118" s="121" t="str">
        <f>'Sovereign Ratings (Moody''s,S&amp;P)'!A112</f>
        <v>Papua New Guinea</v>
      </c>
      <c r="B118" s="116" t="str">
        <f>VLOOKUP(A118,'Regional lookup table'!$A$3:$B$161,2)</f>
        <v>Asia</v>
      </c>
      <c r="C118" s="11" t="str">
        <f>'Sovereign Ratings (Moody''s,S&amp;P)'!C112</f>
        <v>B2</v>
      </c>
      <c r="D118" s="24">
        <f t="shared" si="7"/>
        <v>4.8632414333635951E-2</v>
      </c>
      <c r="E118" s="24">
        <f t="shared" si="9"/>
        <v>0.10049739542691996</v>
      </c>
      <c r="F118" s="13">
        <f t="shared" si="10"/>
        <v>5.3297395426919955E-2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5.6">
      <c r="A119" s="121" t="str">
        <f>'Sovereign Ratings (Moody''s,S&amp;P)'!A113</f>
        <v>Paraguay</v>
      </c>
      <c r="B119" s="116" t="str">
        <f>VLOOKUP(A119,'Regional lookup table'!$A$3:$B$161,2)</f>
        <v>Central and South America</v>
      </c>
      <c r="C119" s="11" t="str">
        <f>'Sovereign Ratings (Moody''s,S&amp;P)'!C113</f>
        <v>Ba1</v>
      </c>
      <c r="D119" s="24">
        <f t="shared" si="7"/>
        <v>2.208389962363469E-2</v>
      </c>
      <c r="E119" s="24">
        <f t="shared" si="9"/>
        <v>7.1402259890584963E-2</v>
      </c>
      <c r="F119" s="13">
        <f t="shared" si="10"/>
        <v>2.4202259890584967E-2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5.6">
      <c r="A120" s="121" t="str">
        <f>'Sovereign Ratings (Moody''s,S&amp;P)'!A114</f>
        <v>Peru</v>
      </c>
      <c r="B120" s="116" t="str">
        <f>VLOOKUP(A120,'Regional lookup table'!$A$3:$B$161,2)</f>
        <v>Central and South America</v>
      </c>
      <c r="C120" s="11" t="str">
        <f>'Sovereign Ratings (Moody''s,S&amp;P)'!C114</f>
        <v>A3</v>
      </c>
      <c r="D120" s="24">
        <f t="shared" si="7"/>
        <v>1.0603460830120627E-2</v>
      </c>
      <c r="E120" s="24">
        <f t="shared" si="9"/>
        <v>5.8820579658656322E-2</v>
      </c>
      <c r="F120" s="13">
        <f t="shared" si="10"/>
        <v>1.1620579658656319E-2</v>
      </c>
      <c r="G120" s="13">
        <f>VLOOKUP(A120,'10-year CDS Spreads'!$A$2:$D$157,4)</f>
        <v>8.0999999999999996E-3</v>
      </c>
      <c r="H120" s="13">
        <f t="shared" si="11"/>
        <v>5.6076978633969772E-2</v>
      </c>
      <c r="I120" s="16">
        <f t="shared" si="8"/>
        <v>8.8769786339697714E-3</v>
      </c>
    </row>
    <row r="121" spans="1:9" ht="15.6">
      <c r="A121" s="121" t="str">
        <f>'Sovereign Ratings (Moody''s,S&amp;P)'!A115</f>
        <v>Philippines</v>
      </c>
      <c r="B121" s="116" t="str">
        <f>VLOOKUP(A121,'Regional lookup table'!$A$3:$B$161,2)</f>
        <v>Asia</v>
      </c>
      <c r="C121" s="11" t="str">
        <f>'Sovereign Ratings (Moody''s,S&amp;P)'!C115</f>
        <v>Baa2</v>
      </c>
      <c r="D121" s="24">
        <f t="shared" si="7"/>
        <v>1.6822031843274077E-2</v>
      </c>
      <c r="E121" s="24">
        <f t="shared" si="9"/>
        <v>6.5635656450950999E-2</v>
      </c>
      <c r="F121" s="13">
        <f t="shared" si="10"/>
        <v>1.8435656450951004E-2</v>
      </c>
      <c r="G121" s="13">
        <f>VLOOKUP(A121,'10-year CDS Spreads'!$A$2:$D$157,4)</f>
        <v>4.4000000000000003E-3</v>
      </c>
      <c r="H121" s="13">
        <f t="shared" si="11"/>
        <v>5.2022062467835431E-2</v>
      </c>
      <c r="I121" s="16">
        <f t="shared" si="8"/>
        <v>4.8220624678354321E-3</v>
      </c>
    </row>
    <row r="122" spans="1:9" ht="15.6">
      <c r="A122" s="121" t="str">
        <f>'Sovereign Ratings (Moody''s,S&amp;P)'!A116</f>
        <v>Poland</v>
      </c>
      <c r="B122" s="116" t="str">
        <f>VLOOKUP(A122,'Regional lookup table'!$A$3:$B$161,2)</f>
        <v>Eastern Europe &amp; Russia</v>
      </c>
      <c r="C122" s="11" t="str">
        <f>'Sovereign Ratings (Moody''s,S&amp;P)'!C116</f>
        <v>A2</v>
      </c>
      <c r="D122" s="24">
        <f t="shared" si="7"/>
        <v>7.4941753235439005E-3</v>
      </c>
      <c r="E122" s="24">
        <f t="shared" si="9"/>
        <v>5.5413041262508976E-2</v>
      </c>
      <c r="F122" s="13">
        <f t="shared" si="10"/>
        <v>8.2130412625089771E-3</v>
      </c>
      <c r="G122" s="13">
        <f>VLOOKUP(A122,'10-year CDS Spreads'!$A$2:$D$157,4)</f>
        <v>6.8000000000000005E-3</v>
      </c>
      <c r="H122" s="13">
        <f t="shared" si="11"/>
        <v>5.465227835938203E-2</v>
      </c>
      <c r="I122" s="16">
        <f t="shared" si="8"/>
        <v>7.4522783593820316E-3</v>
      </c>
    </row>
    <row r="123" spans="1:9" ht="15.6">
      <c r="A123" s="121" t="str">
        <f>'Sovereign Ratings (Moody''s,S&amp;P)'!A117</f>
        <v>Portugal</v>
      </c>
      <c r="B123" s="116" t="str">
        <f>VLOOKUP(A123,'Regional lookup table'!$A$3:$B$161,2)</f>
        <v>Western Europe</v>
      </c>
      <c r="C123" s="11" t="str">
        <f>'Sovereign Ratings (Moody''s,S&amp;P)'!C117</f>
        <v>Baa3</v>
      </c>
      <c r="D123" s="24">
        <f t="shared" si="7"/>
        <v>1.9452965733454383E-2</v>
      </c>
      <c r="E123" s="24">
        <f t="shared" si="9"/>
        <v>6.8518958170767988E-2</v>
      </c>
      <c r="F123" s="13">
        <f t="shared" si="10"/>
        <v>2.1318958170767986E-2</v>
      </c>
      <c r="G123" s="13">
        <f>VLOOKUP(A123,'10-year CDS Spreads'!$A$2:$D$157,4)</f>
        <v>4.1999999999999997E-3</v>
      </c>
      <c r="H123" s="13">
        <f t="shared" si="11"/>
        <v>5.1802877810206545E-2</v>
      </c>
      <c r="I123" s="16">
        <f t="shared" si="8"/>
        <v>4.6028778102065486E-3</v>
      </c>
    </row>
    <row r="124" spans="1:9" ht="15.6">
      <c r="A124" s="121" t="str">
        <f>'Sovereign Ratings (Moody''s,S&amp;P)'!A118</f>
        <v>Qatar</v>
      </c>
      <c r="B124" s="116" t="str">
        <f>VLOOKUP(A124,'Regional lookup table'!$A$3:$B$161,2)</f>
        <v>Middle East</v>
      </c>
      <c r="C124" s="11" t="str">
        <f>'Sovereign Ratings (Moody''s,S&amp;P)'!C118</f>
        <v>Aa3</v>
      </c>
      <c r="D124" s="24">
        <f t="shared" si="7"/>
        <v>5.3415930497600151E-3</v>
      </c>
      <c r="E124" s="24">
        <f t="shared" si="9"/>
        <v>5.3053976219022358E-2</v>
      </c>
      <c r="F124" s="13">
        <f t="shared" si="10"/>
        <v>5.8539762190223561E-3</v>
      </c>
      <c r="G124" s="13">
        <f>VLOOKUP(A124,'10-year CDS Spreads'!$A$2:$D$157,4)</f>
        <v>5.1000000000000004E-3</v>
      </c>
      <c r="H124" s="13">
        <f t="shared" si="11"/>
        <v>5.2789208769536522E-2</v>
      </c>
      <c r="I124" s="16">
        <f t="shared" si="8"/>
        <v>5.5892087695365239E-3</v>
      </c>
    </row>
    <row r="125" spans="1:9" ht="15.6">
      <c r="A125" s="121" t="str">
        <f>'Sovereign Ratings (Moody''s,S&amp;P)'!A119</f>
        <v>Ras Al Khaimah (Emirate of)</v>
      </c>
      <c r="B125" s="116" t="str">
        <f>VLOOKUP(A125,'Regional lookup table'!$A$3:$B$161,2)</f>
        <v>Middle East</v>
      </c>
      <c r="C125" s="11" t="str">
        <f>'Sovereign Ratings (Moody''s,S&amp;P)'!C119</f>
        <v>Aaa</v>
      </c>
      <c r="D125" s="24">
        <f t="shared" si="7"/>
        <v>0</v>
      </c>
      <c r="E125" s="24">
        <f t="shared" si="9"/>
        <v>4.7199999999999999E-2</v>
      </c>
      <c r="F125" s="13">
        <f t="shared" si="10"/>
        <v>0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5.6">
      <c r="A126" s="121" t="str">
        <f>'Sovereign Ratings (Moody''s,S&amp;P)'!A120</f>
        <v>Romania</v>
      </c>
      <c r="B126" s="116" t="str">
        <f>VLOOKUP(A126,'Regional lookup table'!$A$3:$B$161,2)</f>
        <v>Eastern Europe &amp; Russia</v>
      </c>
      <c r="C126" s="11" t="str">
        <f>'Sovereign Ratings (Moody''s,S&amp;P)'!C120</f>
        <v>Baa3</v>
      </c>
      <c r="D126" s="24">
        <f t="shared" si="7"/>
        <v>1.9452965733454383E-2</v>
      </c>
      <c r="E126" s="24">
        <f t="shared" si="9"/>
        <v>6.8518958170767988E-2</v>
      </c>
      <c r="F126" s="13">
        <f t="shared" si="10"/>
        <v>2.1318958170767986E-2</v>
      </c>
      <c r="G126" s="13">
        <f>VLOOKUP(A126,'10-year CDS Spreads'!$A$2:$D$157,4)</f>
        <v>9.9000000000000008E-3</v>
      </c>
      <c r="H126" s="13">
        <f t="shared" si="11"/>
        <v>5.8049640552629719E-2</v>
      </c>
      <c r="I126" s="16">
        <f t="shared" si="8"/>
        <v>1.0849640552629722E-2</v>
      </c>
    </row>
    <row r="127" spans="1:9" ht="15.6">
      <c r="A127" s="121" t="str">
        <f>'Sovereign Ratings (Moody''s,S&amp;P)'!A121</f>
        <v>Russia</v>
      </c>
      <c r="B127" s="116" t="str">
        <f>VLOOKUP(A127,'Regional lookup table'!$A$3:$B$161,2)</f>
        <v>Eastern Europe &amp; Russia</v>
      </c>
      <c r="C127" s="11" t="str">
        <f>'Sovereign Ratings (Moody''s,S&amp;P)'!C121</f>
        <v>Baa3</v>
      </c>
      <c r="D127" s="24">
        <f t="shared" si="7"/>
        <v>1.9452965733454383E-2</v>
      </c>
      <c r="E127" s="24">
        <f t="shared" si="9"/>
        <v>6.8518958170767988E-2</v>
      </c>
      <c r="F127" s="13">
        <f t="shared" si="10"/>
        <v>2.1318958170767986E-2</v>
      </c>
      <c r="G127" s="13">
        <f>VLOOKUP(A127,'10-year CDS Spreads'!$A$2:$D$157,4)</f>
        <v>1.24E-2</v>
      </c>
      <c r="H127" s="13">
        <f t="shared" si="11"/>
        <v>6.0789448772990765E-2</v>
      </c>
      <c r="I127" s="16">
        <f t="shared" si="8"/>
        <v>1.3589448772990762E-2</v>
      </c>
    </row>
    <row r="128" spans="1:9" ht="15.6">
      <c r="A128" s="121" t="str">
        <f>'Sovereign Ratings (Moody''s,S&amp;P)'!A122</f>
        <v>Rwanda</v>
      </c>
      <c r="B128" s="116" t="str">
        <f>VLOOKUP(A128,'Regional lookup table'!$A$3:$B$161,2)</f>
        <v>Africa</v>
      </c>
      <c r="C128" s="11" t="str">
        <f>'Sovereign Ratings (Moody''s,S&amp;P)'!C122</f>
        <v>B2</v>
      </c>
      <c r="D128" s="24">
        <f t="shared" si="7"/>
        <v>4.8632414333635951E-2</v>
      </c>
      <c r="E128" s="24">
        <f t="shared" si="9"/>
        <v>0.10049739542691996</v>
      </c>
      <c r="F128" s="13">
        <f t="shared" si="10"/>
        <v>5.3297395426919955E-2</v>
      </c>
      <c r="G128" s="13">
        <f>VLOOKUP(A128,'10-year CDS Spreads'!$A$2:$D$157,4)</f>
        <v>3.49E-2</v>
      </c>
      <c r="H128" s="13">
        <f t="shared" si="11"/>
        <v>8.544772275624013E-2</v>
      </c>
      <c r="I128" s="16">
        <f t="shared" si="8"/>
        <v>3.8247722756240131E-2</v>
      </c>
    </row>
    <row r="129" spans="1:9" ht="15.6">
      <c r="A129" s="121" t="str">
        <f>'Sovereign Ratings (Moody''s,S&amp;P)'!A123</f>
        <v>Saudi Arabia</v>
      </c>
      <c r="B129" s="116" t="str">
        <f>VLOOKUP(A129,'Regional lookup table'!$A$3:$B$161,2)</f>
        <v>Middle East</v>
      </c>
      <c r="C129" s="11" t="str">
        <f>'Sovereign Ratings (Moody''s,S&amp;P)'!C123</f>
        <v>A1</v>
      </c>
      <c r="D129" s="24">
        <f t="shared" si="7"/>
        <v>6.2185710131534505E-3</v>
      </c>
      <c r="E129" s="24">
        <f t="shared" si="9"/>
        <v>5.4015076792294683E-2</v>
      </c>
      <c r="F129" s="13">
        <f t="shared" si="10"/>
        <v>6.8150767922946836E-3</v>
      </c>
      <c r="G129" s="13">
        <f>VLOOKUP(A129,'10-year CDS Spreads'!$A$2:$D$157,4)</f>
        <v>8.8999999999999999E-3</v>
      </c>
      <c r="H129" s="13">
        <f t="shared" si="11"/>
        <v>5.6953717264485303E-2</v>
      </c>
      <c r="I129" s="16">
        <f t="shared" si="8"/>
        <v>9.7537172644853055E-3</v>
      </c>
    </row>
    <row r="130" spans="1:9" ht="15.6">
      <c r="A130" s="121" t="str">
        <f>'Sovereign Ratings (Moody''s,S&amp;P)'!A124</f>
        <v>Senegal</v>
      </c>
      <c r="B130" s="116" t="str">
        <f>VLOOKUP(A130,'Regional lookup table'!$A$3:$B$161,2)</f>
        <v>Africa</v>
      </c>
      <c r="C130" s="11" t="str">
        <f>'Sovereign Ratings (Moody''s,S&amp;P)'!C124</f>
        <v>Ba3</v>
      </c>
      <c r="D130" s="24">
        <f t="shared" si="7"/>
        <v>3.1810382490361881E-2</v>
      </c>
      <c r="E130" s="24">
        <f t="shared" si="9"/>
        <v>8.2061738975968967E-2</v>
      </c>
      <c r="F130" s="13">
        <f t="shared" si="10"/>
        <v>3.4861738975968962E-2</v>
      </c>
      <c r="G130" s="13">
        <f>VLOOKUP(A130,'10-year CDS Spreads'!$A$2:$D$157,4)</f>
        <v>2.7099999999999999E-2</v>
      </c>
      <c r="H130" s="13">
        <f t="shared" si="11"/>
        <v>7.6899521108713675E-2</v>
      </c>
      <c r="I130" s="16">
        <f t="shared" si="8"/>
        <v>2.969952110871368E-2</v>
      </c>
    </row>
    <row r="131" spans="1:9" ht="15.6">
      <c r="A131" s="121" t="str">
        <f>'Sovereign Ratings (Moody''s,S&amp;P)'!A125</f>
        <v>Serbia</v>
      </c>
      <c r="B131" s="116" t="str">
        <f>VLOOKUP(A131,'Regional lookup table'!$A$3:$B$161,2)</f>
        <v>Eastern Europe &amp; Russia</v>
      </c>
      <c r="C131" s="11" t="str">
        <f>'Sovereign Ratings (Moody''s,S&amp;P)'!C125</f>
        <v>Ba3</v>
      </c>
      <c r="D131" s="24">
        <f t="shared" si="7"/>
        <v>3.1810382490361881E-2</v>
      </c>
      <c r="E131" s="24">
        <f t="shared" si="9"/>
        <v>8.2061738975968967E-2</v>
      </c>
      <c r="F131" s="13">
        <f>IF($E$4="Yes",D131*$E$5,D131)</f>
        <v>3.4861738975968962E-2</v>
      </c>
      <c r="G131" s="13">
        <f>VLOOKUP(A131,'10-year CDS Spreads'!$A$2:$D$157,4)</f>
        <v>1.38E-2</v>
      </c>
      <c r="H131" s="13">
        <f t="shared" si="11"/>
        <v>6.2323741376392947E-2</v>
      </c>
      <c r="I131" s="16">
        <f t="shared" si="8"/>
        <v>1.5123741376392944E-2</v>
      </c>
    </row>
    <row r="132" spans="1:9" ht="15.6">
      <c r="A132" s="121" t="str">
        <f>'Sovereign Ratings (Moody''s,S&amp;P)'!A126</f>
        <v>Sharjah</v>
      </c>
      <c r="B132" s="116" t="str">
        <f>VLOOKUP(A132,'Regional lookup table'!$A$3:$B$161,2)</f>
        <v>Middle East</v>
      </c>
      <c r="C132" s="11" t="str">
        <f>'Sovereign Ratings (Moody''s,S&amp;P)'!C126</f>
        <v>Baa2</v>
      </c>
      <c r="D132" s="24">
        <f t="shared" si="7"/>
        <v>1.6822031843274077E-2</v>
      </c>
      <c r="E132" s="24">
        <f t="shared" si="9"/>
        <v>6.5635656450950999E-2</v>
      </c>
      <c r="F132" s="13">
        <f t="shared" ref="F132:F143" si="24">IF($E$4="Yes",D132*$E$5,D132)</f>
        <v>1.8435656450951004E-2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5.6">
      <c r="A133" s="121" t="str">
        <f>'Sovereign Ratings (Moody''s,S&amp;P)'!A127</f>
        <v>Singapore</v>
      </c>
      <c r="B133" s="116" t="str">
        <f>VLOOKUP(A133,'Regional lookup table'!$A$3:$B$161,2)</f>
        <v>Asia</v>
      </c>
      <c r="C133" s="11" t="str">
        <f>'Sovereign Ratings (Moody''s,S&amp;P)'!C127</f>
        <v>Aaa</v>
      </c>
      <c r="D133" s="24">
        <f t="shared" si="7"/>
        <v>0</v>
      </c>
      <c r="E133" s="24">
        <f t="shared" si="9"/>
        <v>4.7199999999999999E-2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5.6">
      <c r="A134" s="121" t="str">
        <f>'Sovereign Ratings (Moody''s,S&amp;P)'!A128</f>
        <v>Slovakia</v>
      </c>
      <c r="B134" s="116" t="str">
        <f>VLOOKUP(A134,'Regional lookup table'!$A$3:$B$161,2)</f>
        <v>Eastern Europe &amp; Russia</v>
      </c>
      <c r="C134" s="11" t="str">
        <f>'Sovereign Ratings (Moody''s,S&amp;P)'!C128</f>
        <v>A2</v>
      </c>
      <c r="D134" s="24">
        <f t="shared" si="7"/>
        <v>7.4941753235439005E-3</v>
      </c>
      <c r="E134" s="24">
        <f t="shared" ref="E134" si="25">$E$3+F134</f>
        <v>5.5413041262508976E-2</v>
      </c>
      <c r="F134" s="13">
        <f t="shared" ref="F134" si="26">IF($E$4="Yes",D134*$E$5,D134)</f>
        <v>8.2130412625089771E-3</v>
      </c>
      <c r="G134" s="13">
        <f>VLOOKUP(A134,'10-year CDS Spreads'!$A$2:$D$157,4)</f>
        <v>5.6000000000000008E-3</v>
      </c>
      <c r="H134" s="13">
        <f t="shared" ref="H134" si="27">IF(I134="NA","NA",$E$3+I134)</f>
        <v>5.3337170413608734E-2</v>
      </c>
      <c r="I134" s="16">
        <f t="shared" ref="I134" si="28">IF(G134="NA","NA",G134*$E$5)</f>
        <v>6.1371704136087323E-3</v>
      </c>
    </row>
    <row r="135" spans="1:9" ht="15.6">
      <c r="A135" s="121" t="str">
        <f>'Sovereign Ratings (Moody''s,S&amp;P)'!A129</f>
        <v>Slovenia</v>
      </c>
      <c r="B135" s="116" t="str">
        <f>VLOOKUP(A135,'Regional lookup table'!$A$3:$B$161,2)</f>
        <v>Eastern Europe &amp; Russia</v>
      </c>
      <c r="C135" s="11" t="str">
        <f>'Sovereign Ratings (Moody''s,S&amp;P)'!C129</f>
        <v>A3</v>
      </c>
      <c r="D135" s="24">
        <f t="shared" si="7"/>
        <v>1.0603460830120627E-2</v>
      </c>
      <c r="E135" s="24">
        <f t="shared" si="9"/>
        <v>5.8820579658656322E-2</v>
      </c>
      <c r="F135" s="13">
        <f t="shared" si="24"/>
        <v>1.1620579658656319E-2</v>
      </c>
      <c r="G135" s="13">
        <f>VLOOKUP(A135,'10-year CDS Spreads'!$A$2:$D$157,4)</f>
        <v>8.3000000000000001E-3</v>
      </c>
      <c r="H135" s="13">
        <f t="shared" si="11"/>
        <v>5.6296163291598658E-2</v>
      </c>
      <c r="I135" s="16">
        <f t="shared" si="8"/>
        <v>9.0961632915986558E-3</v>
      </c>
    </row>
    <row r="136" spans="1:9" ht="15.6">
      <c r="A136" s="121" t="str">
        <f>'Sovereign Ratings (Moody''s,S&amp;P)'!A130</f>
        <v>Solomon Islands</v>
      </c>
      <c r="B136" s="116" t="str">
        <f>VLOOKUP(A136,'Regional lookup table'!$A$3:$B$161,2)</f>
        <v>Asia</v>
      </c>
      <c r="C136" s="11" t="str">
        <f>'Sovereign Ratings (Moody''s,S&amp;P)'!C130</f>
        <v>B3</v>
      </c>
      <c r="D136" s="24">
        <f t="shared" si="7"/>
        <v>5.74819192369697E-2</v>
      </c>
      <c r="E136" s="24">
        <f t="shared" si="9"/>
        <v>0.1101957739390316</v>
      </c>
      <c r="F136" s="13">
        <f t="shared" si="24"/>
        <v>6.2995773939031607E-2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5.6">
      <c r="A137" s="121" t="str">
        <f>'Sovereign Ratings (Moody''s,S&amp;P)'!A131</f>
        <v>South Africa</v>
      </c>
      <c r="B137" s="116" t="str">
        <f>VLOOKUP(A137,'Regional lookup table'!$A$3:$B$161,2)</f>
        <v>Africa</v>
      </c>
      <c r="C137" s="11" t="str">
        <f>'Sovereign Ratings (Moody''s,S&amp;P)'!C131</f>
        <v>Ba2</v>
      </c>
      <c r="D137" s="24">
        <f t="shared" ref="D137:D164" si="29">VLOOKUP(C137,$J$9:$K$31,2,FALSE)/10000</f>
        <v>2.6548514710001261E-2</v>
      </c>
      <c r="E137" s="24">
        <f t="shared" si="9"/>
        <v>7.629513553633499E-2</v>
      </c>
      <c r="F137" s="13">
        <f t="shared" si="24"/>
        <v>2.9095135536334988E-2</v>
      </c>
      <c r="G137" s="13">
        <f>VLOOKUP(A137,'10-year CDS Spreads'!$A$2:$D$157,4)</f>
        <v>2.7E-2</v>
      </c>
      <c r="H137" s="13">
        <f t="shared" si="11"/>
        <v>7.6789928779899236E-2</v>
      </c>
      <c r="I137" s="16">
        <f t="shared" si="8"/>
        <v>2.958992877989924E-2</v>
      </c>
    </row>
    <row r="138" spans="1:9" ht="15.6">
      <c r="A138" s="121" t="str">
        <f>'Sovereign Ratings (Moody''s,S&amp;P)'!A132</f>
        <v>Spain</v>
      </c>
      <c r="B138" s="116" t="str">
        <f>VLOOKUP(A138,'Regional lookup table'!$A$3:$B$161,2)</f>
        <v>Western Europe</v>
      </c>
      <c r="C138" s="11" t="str">
        <f>'Sovereign Ratings (Moody''s,S&amp;P)'!C132</f>
        <v>Baa1</v>
      </c>
      <c r="D138" s="24">
        <f t="shared" si="29"/>
        <v>1.4111372683694367E-2</v>
      </c>
      <c r="E138" s="24">
        <f t="shared" si="9"/>
        <v>6.2664981951745621E-2</v>
      </c>
      <c r="F138" s="13">
        <f t="shared" si="24"/>
        <v>1.5464981951745628E-2</v>
      </c>
      <c r="G138" s="13">
        <f>VLOOKUP(A138,'10-year CDS Spreads'!$A$2:$D$157,4)</f>
        <v>4.8999999999999998E-3</v>
      </c>
      <c r="H138" s="13">
        <f t="shared" si="11"/>
        <v>5.2570024111907636E-2</v>
      </c>
      <c r="I138" s="16">
        <f t="shared" si="8"/>
        <v>5.3700241119076396E-3</v>
      </c>
    </row>
    <row r="139" spans="1:9" ht="15.6">
      <c r="A139" s="121" t="str">
        <f>'Sovereign Ratings (Moody''s,S&amp;P)'!A133</f>
        <v>Sri Lanka</v>
      </c>
      <c r="B139" s="116" t="str">
        <f>VLOOKUP(A139,'Regional lookup table'!$A$3:$B$161,2)</f>
        <v>Asia</v>
      </c>
      <c r="C139" s="11" t="str">
        <f>'Sovereign Ratings (Moody''s,S&amp;P)'!C133</f>
        <v>Caa1</v>
      </c>
      <c r="D139" s="24">
        <f t="shared" si="29"/>
        <v>6.6251698870904069E-2</v>
      </c>
      <c r="E139" s="24">
        <f t="shared" si="9"/>
        <v>0.1198067796717549</v>
      </c>
      <c r="F139" s="13">
        <f t="shared" si="24"/>
        <v>7.2606779671754898E-2</v>
      </c>
      <c r="G139" s="13" t="str">
        <f>VLOOKUP(A139,'10-year CDS Spreads'!$A$2:$D$157,4)</f>
        <v>NA</v>
      </c>
      <c r="H139" s="13" t="str">
        <f t="shared" si="11"/>
        <v>NA</v>
      </c>
      <c r="I139" s="16" t="str">
        <f t="shared" si="8"/>
        <v>NA</v>
      </c>
    </row>
    <row r="140" spans="1:9" ht="15.6">
      <c r="A140" s="121" t="str">
        <f>'Sovereign Ratings (Moody''s,S&amp;P)'!A134</f>
        <v>St. Maarten</v>
      </c>
      <c r="B140" s="116" t="str">
        <f>VLOOKUP(A140,'Regional lookup table'!$A$3:$B$161,2)</f>
        <v>Caribbean</v>
      </c>
      <c r="C140" s="11" t="str">
        <f>'Sovereign Ratings (Moody''s,S&amp;P)'!C134</f>
        <v>Baa3</v>
      </c>
      <c r="D140" s="24">
        <f t="shared" si="29"/>
        <v>1.9452965733454383E-2</v>
      </c>
      <c r="E140" s="24">
        <f t="shared" si="9"/>
        <v>6.8518958170767988E-2</v>
      </c>
      <c r="F140" s="13">
        <f t="shared" si="24"/>
        <v>2.1318958170767986E-2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5.6">
      <c r="A141" s="121" t="str">
        <f>'Sovereign Ratings (Moody''s,S&amp;P)'!A135</f>
        <v>St. Vincent &amp; the Grenadines</v>
      </c>
      <c r="B141" s="116" t="str">
        <f>VLOOKUP(A141,'Regional lookup table'!$A$3:$B$161,2)</f>
        <v>Caribbean</v>
      </c>
      <c r="C141" s="11" t="str">
        <f>'Sovereign Ratings (Moody''s,S&amp;P)'!C135</f>
        <v>B3</v>
      </c>
      <c r="D141" s="24">
        <f t="shared" si="29"/>
        <v>5.74819192369697E-2</v>
      </c>
      <c r="E141" s="24">
        <f>$E$3+F141</f>
        <v>0.1101957739390316</v>
      </c>
      <c r="F141" s="13">
        <f>IF($E$4="Yes",D141*$E$5,D141)</f>
        <v>6.2995773939031607E-2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5.6">
      <c r="A142" s="121" t="str">
        <f>'Sovereign Ratings (Moody''s,S&amp;P)'!A136</f>
        <v>Suriname</v>
      </c>
      <c r="B142" s="116" t="str">
        <f>VLOOKUP(A142,'Regional lookup table'!$A$3:$B$161,2)</f>
        <v>Central and South America</v>
      </c>
      <c r="C142" s="11" t="str">
        <f>'Sovereign Ratings (Moody''s,S&amp;P)'!C136</f>
        <v>Caa3</v>
      </c>
      <c r="D142" s="24">
        <f t="shared" si="29"/>
        <v>8.8335598494538758E-2</v>
      </c>
      <c r="E142" s="24">
        <f t="shared" si="9"/>
        <v>0.14400903956233987</v>
      </c>
      <c r="F142" s="13">
        <f t="shared" si="24"/>
        <v>9.6809039562339869E-2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5.6">
      <c r="A143" s="121" t="str">
        <f>'Sovereign Ratings (Moody''s,S&amp;P)'!A137</f>
        <v>Swaziland</v>
      </c>
      <c r="B143" s="116" t="str">
        <f>VLOOKUP(A143,'Regional lookup table'!$A$3:$B$161,2)</f>
        <v>Africa</v>
      </c>
      <c r="C143" s="11" t="str">
        <f>'Sovereign Ratings (Moody''s,S&amp;P)'!C137</f>
        <v>B3</v>
      </c>
      <c r="D143" s="24">
        <f t="shared" si="29"/>
        <v>5.74819192369697E-2</v>
      </c>
      <c r="E143" s="24">
        <f t="shared" si="9"/>
        <v>0.1101957739390316</v>
      </c>
      <c r="F143" s="13">
        <f t="shared" si="24"/>
        <v>6.2995773939031607E-2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5.6">
      <c r="A144" s="121" t="str">
        <f>'Sovereign Ratings (Moody''s,S&amp;P)'!A138</f>
        <v>Sweden</v>
      </c>
      <c r="B144" s="116" t="str">
        <f>VLOOKUP(A144,'Regional lookup table'!$A$3:$B$161,2)</f>
        <v>Western Europe</v>
      </c>
      <c r="C144" s="11" t="str">
        <f>'Sovereign Ratings (Moody''s,S&amp;P)'!C138</f>
        <v>Aaa</v>
      </c>
      <c r="D144" s="24">
        <f t="shared" si="29"/>
        <v>0</v>
      </c>
      <c r="E144" s="24">
        <f t="shared" si="9"/>
        <v>4.7199999999999999E-2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4.7199999999999999E-2</v>
      </c>
      <c r="I144" s="16">
        <f t="shared" si="30"/>
        <v>0</v>
      </c>
    </row>
    <row r="145" spans="1:9" ht="15.6">
      <c r="A145" s="121" t="str">
        <f>'Sovereign Ratings (Moody''s,S&amp;P)'!A139</f>
        <v>Switzerland</v>
      </c>
      <c r="B145" s="116" t="str">
        <f>VLOOKUP(A145,'Regional lookup table'!$A$3:$B$161,2)</f>
        <v>Western Europe</v>
      </c>
      <c r="C145" s="11" t="str">
        <f>'Sovereign Ratings (Moody''s,S&amp;P)'!C139</f>
        <v>Aaa</v>
      </c>
      <c r="D145" s="24">
        <f t="shared" si="29"/>
        <v>0</v>
      </c>
      <c r="E145" s="24">
        <f>$E$3+F145</f>
        <v>4.7199999999999999E-2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4.7199999999999999E-2</v>
      </c>
      <c r="I145" s="16">
        <f>IF(G145="NA","NA",G145*$E$5)</f>
        <v>0</v>
      </c>
    </row>
    <row r="146" spans="1:9" ht="15.6">
      <c r="A146" s="121" t="str">
        <f>'Sovereign Ratings (Moody''s,S&amp;P)'!A140</f>
        <v>Taiwan</v>
      </c>
      <c r="B146" s="116" t="str">
        <f>VLOOKUP(A146,'Regional lookup table'!$A$3:$B$161,2)</f>
        <v>Asia</v>
      </c>
      <c r="C146" s="11" t="str">
        <f>'Sovereign Ratings (Moody''s,S&amp;P)'!C140</f>
        <v>Aa3</v>
      </c>
      <c r="D146" s="24">
        <f t="shared" si="29"/>
        <v>5.3415930497600151E-3</v>
      </c>
      <c r="E146" s="24">
        <f>$E$3+F146</f>
        <v>5.3053976219022358E-2</v>
      </c>
      <c r="F146" s="13">
        <f>IF($E$4="Yes",D146*$E$5,D146)</f>
        <v>5.8539762190223561E-3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5.6">
      <c r="A147" s="121" t="str">
        <f>'Sovereign Ratings (Moody''s,S&amp;P)'!A141</f>
        <v>Tajikistan</v>
      </c>
      <c r="B147" s="116" t="str">
        <f>VLOOKUP(A147,'Regional lookup table'!$A$3:$B$161,2)</f>
        <v>Eastern Europe &amp; Russia</v>
      </c>
      <c r="C147" s="11" t="str">
        <f>'Sovereign Ratings (Moody''s,S&amp;P)'!C141</f>
        <v>B3</v>
      </c>
      <c r="D147" s="24">
        <f t="shared" si="29"/>
        <v>5.74819192369697E-2</v>
      </c>
      <c r="E147" s="24">
        <f t="shared" ref="E147:E155" si="32">$E$3+F147</f>
        <v>0.1101957739390316</v>
      </c>
      <c r="F147" s="13">
        <f t="shared" si="31"/>
        <v>6.2995773939031607E-2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5.6">
      <c r="A148" s="121" t="str">
        <f>'Sovereign Ratings (Moody''s,S&amp;P)'!A142</f>
        <v>Tanzania</v>
      </c>
      <c r="B148" s="116" t="str">
        <f>VLOOKUP(A148,'Regional lookup table'!$A$3:$B$161,2)</f>
        <v>Africa</v>
      </c>
      <c r="C148" s="11" t="str">
        <f>'Sovereign Ratings (Moody''s,S&amp;P)'!C142</f>
        <v>B2</v>
      </c>
      <c r="D148" s="24">
        <f t="shared" si="29"/>
        <v>4.8632414333635951E-2</v>
      </c>
      <c r="E148" s="24">
        <f t="shared" si="32"/>
        <v>0.10049739542691996</v>
      </c>
      <c r="F148" s="13">
        <f t="shared" si="31"/>
        <v>5.3297395426919955E-2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5.6">
      <c r="A149" s="121" t="str">
        <f>'Sovereign Ratings (Moody''s,S&amp;P)'!A143</f>
        <v>Thailand</v>
      </c>
      <c r="B149" s="116" t="str">
        <f>VLOOKUP(A149,'Regional lookup table'!$A$3:$B$161,2)</f>
        <v>Asia</v>
      </c>
      <c r="C149" s="11" t="str">
        <f>'Sovereign Ratings (Moody''s,S&amp;P)'!C143</f>
        <v>Baa1</v>
      </c>
      <c r="D149" s="24">
        <f t="shared" si="29"/>
        <v>1.4111372683694367E-2</v>
      </c>
      <c r="E149" s="24">
        <f t="shared" si="32"/>
        <v>6.2664981951745621E-2</v>
      </c>
      <c r="F149" s="13">
        <f t="shared" si="31"/>
        <v>1.5464981951745628E-2</v>
      </c>
      <c r="G149" s="13">
        <f>VLOOKUP(A149,'10-year CDS Spreads'!$A$2:$D$157,4)</f>
        <v>3.8999999999999998E-3</v>
      </c>
      <c r="H149" s="13">
        <f t="shared" si="33"/>
        <v>5.1474100823763219E-2</v>
      </c>
      <c r="I149" s="16">
        <f t="shared" si="30"/>
        <v>4.2741008237632237E-3</v>
      </c>
    </row>
    <row r="150" spans="1:9" ht="15.6">
      <c r="A150" s="121" t="str">
        <f>'Sovereign Ratings (Moody''s,S&amp;P)'!A144</f>
        <v>Togo</v>
      </c>
      <c r="B150" s="116" t="str">
        <f>VLOOKUP(A150,'Regional lookup table'!$A$3:$B$161,2)</f>
        <v>Africa</v>
      </c>
      <c r="C150" s="11" t="str">
        <f>'Sovereign Ratings (Moody''s,S&amp;P)'!C144</f>
        <v>B3</v>
      </c>
      <c r="D150" s="24">
        <f t="shared" si="29"/>
        <v>5.74819192369697E-2</v>
      </c>
      <c r="E150" s="24">
        <f t="shared" si="32"/>
        <v>0.1101957739390316</v>
      </c>
      <c r="F150" s="13">
        <f t="shared" si="31"/>
        <v>6.2995773939031607E-2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5.6">
      <c r="A151" s="121" t="str">
        <f>'Sovereign Ratings (Moody''s,S&amp;P)'!A145</f>
        <v>Trinidad and Tobago</v>
      </c>
      <c r="B151" s="116" t="str">
        <f>VLOOKUP(A151,'Regional lookup table'!$A$3:$B$161,2)</f>
        <v>Caribbean</v>
      </c>
      <c r="C151" s="11" t="str">
        <f>'Sovereign Ratings (Moody''s,S&amp;P)'!C145</f>
        <v>Ba1</v>
      </c>
      <c r="D151" s="24">
        <f t="shared" si="29"/>
        <v>2.208389962363469E-2</v>
      </c>
      <c r="E151" s="24">
        <f t="shared" si="32"/>
        <v>7.1402259890584963E-2</v>
      </c>
      <c r="F151" s="13">
        <f t="shared" si="31"/>
        <v>2.4202259890584967E-2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5.6">
      <c r="A152" s="121" t="str">
        <f>'Sovereign Ratings (Moody''s,S&amp;P)'!A146</f>
        <v>Tunisia</v>
      </c>
      <c r="B152" s="116" t="str">
        <f>VLOOKUP(A152,'Regional lookup table'!$A$3:$B$161,2)</f>
        <v>Africa</v>
      </c>
      <c r="C152" s="11" t="str">
        <f>'Sovereign Ratings (Moody''s,S&amp;P)'!C146</f>
        <v>B2</v>
      </c>
      <c r="D152" s="24">
        <f t="shared" si="29"/>
        <v>4.8632414333635951E-2</v>
      </c>
      <c r="E152" s="24">
        <f t="shared" si="32"/>
        <v>0.10049739542691996</v>
      </c>
      <c r="F152" s="13">
        <f t="shared" ref="F152:F160" si="34">IF($E$4="Yes",D152*$E$5,D152)</f>
        <v>5.3297395426919955E-2</v>
      </c>
      <c r="G152" s="13">
        <f>VLOOKUP(A152,'10-year CDS Spreads'!$A$2:$D$157,4)</f>
        <v>4.6200000000000005E-2</v>
      </c>
      <c r="H152" s="13">
        <f t="shared" si="33"/>
        <v>9.7831655912272039E-2</v>
      </c>
      <c r="I152" s="16">
        <f t="shared" si="30"/>
        <v>5.063165591227204E-2</v>
      </c>
    </row>
    <row r="153" spans="1:9" ht="15.6">
      <c r="A153" s="121" t="str">
        <f>'Sovereign Ratings (Moody''s,S&amp;P)'!A147</f>
        <v>Turkey</v>
      </c>
      <c r="B153" s="116" t="str">
        <f>VLOOKUP(A153,'Regional lookup table'!$A$3:$B$161,2)</f>
        <v>Western Europe</v>
      </c>
      <c r="C153" s="11" t="str">
        <f>'Sovereign Ratings (Moody''s,S&amp;P)'!C147</f>
        <v>B2</v>
      </c>
      <c r="D153" s="24">
        <f t="shared" si="29"/>
        <v>4.8632414333635951E-2</v>
      </c>
      <c r="E153" s="24">
        <f t="shared" si="32"/>
        <v>0.10049739542691996</v>
      </c>
      <c r="F153" s="13">
        <f t="shared" si="34"/>
        <v>5.3297395426919955E-2</v>
      </c>
      <c r="G153" s="13">
        <f>VLOOKUP(A153,'10-year CDS Spreads'!$A$2:$D$157,4)</f>
        <v>3.0799999999999998E-2</v>
      </c>
      <c r="H153" s="13">
        <f t="shared" si="33"/>
        <v>8.0954437274848023E-2</v>
      </c>
      <c r="I153" s="16">
        <f t="shared" si="30"/>
        <v>3.3754437274848018E-2</v>
      </c>
    </row>
    <row r="154" spans="1:9" ht="15.6">
      <c r="A154" s="121" t="str">
        <f>'Sovereign Ratings (Moody''s,S&amp;P)'!A148</f>
        <v>Turks and Caicos Islands</v>
      </c>
      <c r="B154" s="116" t="str">
        <f>VLOOKUP(A154,'Regional lookup table'!$A$3:$B$161,2)</f>
        <v>Caribbean</v>
      </c>
      <c r="C154" s="11" t="str">
        <f>'Sovereign Ratings (Moody''s,S&amp;P)'!C148</f>
        <v>Baa1</v>
      </c>
      <c r="D154" s="24">
        <f t="shared" si="29"/>
        <v>1.4111372683694367E-2</v>
      </c>
      <c r="E154" s="24">
        <f t="shared" si="32"/>
        <v>6.2664981951745621E-2</v>
      </c>
      <c r="F154" s="13">
        <f t="shared" si="34"/>
        <v>1.5464981951745628E-2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5.6">
      <c r="A155" s="121" t="str">
        <f>'Sovereign Ratings (Moody''s,S&amp;P)'!A149</f>
        <v>Uganda</v>
      </c>
      <c r="B155" s="116" t="str">
        <f>VLOOKUP(A155,'Regional lookup table'!$A$3:$B$161,2)</f>
        <v>Africa</v>
      </c>
      <c r="C155" s="11" t="str">
        <f>'Sovereign Ratings (Moody''s,S&amp;P)'!C149</f>
        <v>B2</v>
      </c>
      <c r="D155" s="24">
        <f t="shared" si="29"/>
        <v>4.8632414333635951E-2</v>
      </c>
      <c r="E155" s="24">
        <f t="shared" si="32"/>
        <v>0.10049739542691996</v>
      </c>
      <c r="F155" s="13">
        <f t="shared" si="34"/>
        <v>5.3297395426919955E-2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5.6">
      <c r="A156" s="121" t="str">
        <f>'Sovereign Ratings (Moody''s,S&amp;P)'!A150</f>
        <v>Ukraine</v>
      </c>
      <c r="B156" s="116" t="str">
        <f>VLOOKUP(A156,'Regional lookup table'!$A$3:$B$161,2)</f>
        <v>Eastern Europe &amp; Russia</v>
      </c>
      <c r="C156" s="11" t="str">
        <f>'Sovereign Ratings (Moody''s,S&amp;P)'!C150</f>
        <v>B3</v>
      </c>
      <c r="D156" s="24">
        <f t="shared" si="29"/>
        <v>5.74819192369697E-2</v>
      </c>
      <c r="E156" s="24">
        <f t="shared" ref="E156:E161" si="35">$E$3+F156</f>
        <v>0.1101957739390316</v>
      </c>
      <c r="F156" s="13">
        <f t="shared" si="34"/>
        <v>6.2995773939031607E-2</v>
      </c>
      <c r="G156" s="13">
        <f>VLOOKUP(A156,'10-year CDS Spreads'!$A$2:$D$157,4)</f>
        <v>3.9499999999999993E-2</v>
      </c>
      <c r="H156" s="13">
        <f t="shared" ref="H156:H161" si="36">IF(I156="NA","NA",$E$3+I156)</f>
        <v>9.0488969881704434E-2</v>
      </c>
      <c r="I156" s="16">
        <f t="shared" si="30"/>
        <v>4.3288969881704435E-2</v>
      </c>
    </row>
    <row r="157" spans="1:9" ht="15.6">
      <c r="A157" s="121" t="str">
        <f>'Sovereign Ratings (Moody''s,S&amp;P)'!A151</f>
        <v>United Arab Emirates</v>
      </c>
      <c r="B157" s="116" t="str">
        <f>VLOOKUP(A157,'Regional lookup table'!$A$3:$B$161,2)</f>
        <v>Middle East</v>
      </c>
      <c r="C157" s="11" t="str">
        <f>'Sovereign Ratings (Moody''s,S&amp;P)'!C151</f>
        <v>Aa2</v>
      </c>
      <c r="D157" s="24">
        <f t="shared" si="29"/>
        <v>4.3848898169671765E-3</v>
      </c>
      <c r="E157" s="24">
        <f t="shared" si="35"/>
        <v>5.2005502866361637E-2</v>
      </c>
      <c r="F157" s="13">
        <f t="shared" si="34"/>
        <v>4.8055028663616358E-3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5.6">
      <c r="A158" s="121" t="str">
        <f>'Sovereign Ratings (Moody''s,S&amp;P)'!A152</f>
        <v>United Kingdom</v>
      </c>
      <c r="B158" s="116" t="str">
        <f>VLOOKUP(A158,'Regional lookup table'!$A$3:$B$161,2)</f>
        <v>Western Europe</v>
      </c>
      <c r="C158" s="11" t="str">
        <f>'Sovereign Ratings (Moody''s,S&amp;P)'!C152</f>
        <v>Aa3</v>
      </c>
      <c r="D158" s="24">
        <f t="shared" si="29"/>
        <v>5.3415930497600151E-3</v>
      </c>
      <c r="E158" s="24">
        <f t="shared" si="35"/>
        <v>5.3053976219022358E-2</v>
      </c>
      <c r="F158" s="13">
        <f t="shared" si="34"/>
        <v>5.8539762190223561E-3</v>
      </c>
      <c r="G158" s="13">
        <f>VLOOKUP(A158,'10-year CDS Spreads'!$A$2:$D$157,4)</f>
        <v>7.000000000000001E-4</v>
      </c>
      <c r="H158" s="13">
        <f t="shared" si="36"/>
        <v>4.796714630170109E-2</v>
      </c>
      <c r="I158" s="16">
        <f t="shared" si="30"/>
        <v>7.6714630170109154E-4</v>
      </c>
    </row>
    <row r="159" spans="1:9" ht="15.6">
      <c r="A159" s="121" t="str">
        <f>'Sovereign Ratings (Moody''s,S&amp;P)'!A153</f>
        <v>United States</v>
      </c>
      <c r="B159" s="116" t="str">
        <f>VLOOKUP(A159,'Regional lookup table'!$A$3:$B$161,2)</f>
        <v>North America</v>
      </c>
      <c r="C159" s="11" t="str">
        <f>'Sovereign Ratings (Moody''s,S&amp;P)'!C153</f>
        <v>Aaa</v>
      </c>
      <c r="D159" s="24">
        <f t="shared" si="29"/>
        <v>0</v>
      </c>
      <c r="E159" s="24">
        <f t="shared" si="35"/>
        <v>4.7199999999999999E-2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4.7199999999999999E-2</v>
      </c>
      <c r="I159" s="16">
        <f t="shared" si="30"/>
        <v>0</v>
      </c>
    </row>
    <row r="160" spans="1:9" ht="15.6">
      <c r="A160" s="128" t="str">
        <f>'Sovereign Ratings (Moody''s,S&amp;P)'!A154</f>
        <v>Uruguay</v>
      </c>
      <c r="B160" s="118" t="str">
        <f>VLOOKUP(A160,'Regional lookup table'!$A$3:$B$161,2)</f>
        <v>Central and South America</v>
      </c>
      <c r="C160" s="102" t="str">
        <f>'Sovereign Ratings (Moody''s,S&amp;P)'!C154</f>
        <v>Baa2</v>
      </c>
      <c r="D160" s="24">
        <f t="shared" si="29"/>
        <v>1.6822031843274077E-2</v>
      </c>
      <c r="E160" s="129">
        <f t="shared" si="35"/>
        <v>6.5635656450950999E-2</v>
      </c>
      <c r="F160" s="130">
        <f t="shared" si="34"/>
        <v>1.8435656450951004E-2</v>
      </c>
      <c r="G160" s="130">
        <f>VLOOKUP(A160,'10-year CDS Spreads'!$A$2:$D$157,4)</f>
        <v>1.04E-2</v>
      </c>
      <c r="H160" s="130">
        <f t="shared" si="36"/>
        <v>5.8597602196701931E-2</v>
      </c>
      <c r="I160" s="131">
        <f t="shared" si="30"/>
        <v>1.1397602196701929E-2</v>
      </c>
    </row>
    <row r="161" spans="1:51" ht="15.6">
      <c r="A161" s="172" t="str">
        <f>'Sovereign Ratings (Moody''s,S&amp;P)'!A155</f>
        <v>Uzbekistan</v>
      </c>
      <c r="B161" s="116" t="str">
        <f>VLOOKUP(A161,'Regional lookup table'!$A$3:$B$161,2)</f>
        <v>Eastern Europe &amp; Russia</v>
      </c>
      <c r="C161" s="11" t="str">
        <f>'Sovereign Ratings (Moody''s,S&amp;P)'!C155</f>
        <v>B1</v>
      </c>
      <c r="D161" s="24">
        <f t="shared" si="29"/>
        <v>3.9782909430302202E-2</v>
      </c>
      <c r="E161" s="24">
        <f t="shared" si="35"/>
        <v>9.0799016914808295E-2</v>
      </c>
      <c r="F161" s="13">
        <f t="shared" ref="F161" si="37">IF($E$4="Yes",D161*$E$5,D161)</f>
        <v>4.3599016914808296E-2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51" s="171" customFormat="1" ht="15.6">
      <c r="A162" s="173" t="str">
        <f>'Sovereign Ratings (Moody''s,S&amp;P)'!A156</f>
        <v>Venezuela</v>
      </c>
      <c r="B162" s="174" t="str">
        <f>VLOOKUP(A162,'Regional lookup table'!$A$3:$B$161,2)</f>
        <v>Central and South America</v>
      </c>
      <c r="C162" s="175" t="str">
        <f>'Sovereign Ratings (Moody''s,S&amp;P)'!C156</f>
        <v>C</v>
      </c>
      <c r="D162" s="24">
        <f t="shared" si="29"/>
        <v>0.17499999999999999</v>
      </c>
      <c r="E162" s="176">
        <f t="shared" ref="E162:E163" si="39">$E$3+F162</f>
        <v>0.23898657542527282</v>
      </c>
      <c r="F162" s="177">
        <f t="shared" ref="F162:F163" si="40">IF($E$4="Yes",D162*$E$5,D162)</f>
        <v>0.19178657542527283</v>
      </c>
      <c r="G162" s="177" t="str">
        <f>VLOOKUP(A162,'10-year CDS Spreads'!$A$2:$D$157,4)</f>
        <v>NA</v>
      </c>
      <c r="H162" s="177" t="str">
        <f t="shared" ref="H162:H163" si="41">IF(I162="NA","NA",$E$3+I162)</f>
        <v>NA</v>
      </c>
      <c r="I162" s="177" t="str">
        <f t="shared" ref="I162:I163" si="42">IF(G162="NA","NA",G162*$E$5)</f>
        <v>NA</v>
      </c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  <c r="AX162" s="232"/>
      <c r="AY162" s="232"/>
    </row>
    <row r="163" spans="1:51" ht="15.6">
      <c r="A163" s="172" t="str">
        <f>'Sovereign Ratings (Moody''s,S&amp;P)'!A157</f>
        <v>Vietnam</v>
      </c>
      <c r="B163" s="116" t="str">
        <f>VLOOKUP(A163,'Regional lookup table'!$A$3:$B$161,2)</f>
        <v>Asia</v>
      </c>
      <c r="C163" s="11" t="str">
        <f>'Sovereign Ratings (Moody''s,S&amp;P)'!C157</f>
        <v>Ba3</v>
      </c>
      <c r="D163" s="24">
        <f t="shared" si="29"/>
        <v>3.1810382490361881E-2</v>
      </c>
      <c r="E163" s="24">
        <f t="shared" si="39"/>
        <v>8.2061738975968967E-2</v>
      </c>
      <c r="F163" s="13">
        <f t="shared" si="40"/>
        <v>3.4861738975968962E-2</v>
      </c>
      <c r="G163" s="13">
        <f>VLOOKUP(A163,'10-year CDS Spreads'!$A$2:$D$157,4)</f>
        <v>1.26E-2</v>
      </c>
      <c r="H163" s="13">
        <f t="shared" si="41"/>
        <v>6.1008633430619644E-2</v>
      </c>
      <c r="I163" s="13">
        <f t="shared" si="42"/>
        <v>1.3808633430619645E-2</v>
      </c>
    </row>
    <row r="164" spans="1:51" ht="15.6">
      <c r="A164" s="173" t="str">
        <f>'Sovereign Ratings (Moody''s,S&amp;P)'!A158</f>
        <v>Zambia</v>
      </c>
      <c r="B164" s="174" t="str">
        <f>VLOOKUP(A164,'Regional lookup table'!$A$3:$B$161,2)</f>
        <v>Africa</v>
      </c>
      <c r="C164" s="175" t="str">
        <f>'Sovereign Ratings (Moody''s,S&amp;P)'!C158</f>
        <v>Ca</v>
      </c>
      <c r="D164" s="24">
        <f t="shared" si="29"/>
        <v>0.10603460830120626</v>
      </c>
      <c r="E164" s="176">
        <f t="shared" ref="E164" si="43">$E$3+F164</f>
        <v>0.16340579658656318</v>
      </c>
      <c r="F164" s="177">
        <f t="shared" ref="F164" si="44">IF($E$4="Yes",D164*$E$5,D164)</f>
        <v>0.11620579658656319</v>
      </c>
      <c r="G164" s="177" t="str">
        <f>VLOOKUP(A164,'10-year CDS Spreads'!$A$2:$D$158,4)</f>
        <v>NA</v>
      </c>
      <c r="H164" s="177" t="str">
        <f t="shared" ref="H164" si="45">IF(I164="NA","NA",$E$3+I164)</f>
        <v>NA</v>
      </c>
      <c r="I164" s="177" t="str">
        <f t="shared" ref="I164" si="46">IF(G164="NA","NA",G164*$E$5)</f>
        <v>NA</v>
      </c>
    </row>
    <row r="165" spans="1:51" ht="15.6">
      <c r="A165" s="265" t="s">
        <v>391</v>
      </c>
      <c r="B165" s="265"/>
      <c r="C165" s="265"/>
      <c r="D165" s="265"/>
      <c r="E165" s="265"/>
      <c r="F165" s="30"/>
      <c r="G165" s="30"/>
      <c r="H165" s="30"/>
      <c r="I165" s="30"/>
    </row>
    <row r="166" spans="1:51" s="108" customFormat="1" ht="15.6">
      <c r="A166" s="119" t="s">
        <v>75</v>
      </c>
      <c r="B166" s="119" t="s">
        <v>392</v>
      </c>
      <c r="C166" s="108" t="s">
        <v>312</v>
      </c>
      <c r="D166" s="108" t="s">
        <v>393</v>
      </c>
      <c r="E166" s="108" t="s">
        <v>313</v>
      </c>
      <c r="F166" s="112"/>
      <c r="G166" s="112"/>
      <c r="H166" s="112"/>
      <c r="I166" s="112"/>
      <c r="J166" s="232"/>
      <c r="K166" s="232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</row>
    <row r="167" spans="1:51" ht="15.6">
      <c r="A167" s="52" t="str">
        <f>'PRS Worksheet'!A161</f>
        <v>Algeria</v>
      </c>
      <c r="B167" s="64">
        <f>'PRS Worksheet'!B161</f>
        <v>57.25</v>
      </c>
      <c r="C167" s="105">
        <f>'PRS Worksheet'!E161</f>
        <v>0.1343980338296166</v>
      </c>
      <c r="D167" s="65">
        <f>'PRS Worksheet'!G161</f>
        <v>8.7198033829616606E-2</v>
      </c>
      <c r="E167" s="65">
        <f>'PRS Worksheet'!D161</f>
        <v>7.9565818860604418E-2</v>
      </c>
      <c r="F167" s="30"/>
      <c r="G167" s="30"/>
      <c r="H167" s="30"/>
      <c r="J167" s="239"/>
      <c r="K167" s="239"/>
    </row>
    <row r="168" spans="1:51" ht="15.6">
      <c r="A168" s="52" t="str">
        <f>'PRS Worksheet'!A162</f>
        <v>Brunei</v>
      </c>
      <c r="B168" s="64">
        <f>'PRS Worksheet'!B162</f>
        <v>80</v>
      </c>
      <c r="C168" s="105">
        <f>'PRS Worksheet'!E162</f>
        <v>5.5413041262508976E-2</v>
      </c>
      <c r="D168" s="65">
        <f>'PRS Worksheet'!G162</f>
        <v>8.2130412625089771E-3</v>
      </c>
      <c r="E168" s="65">
        <f>'PRS Worksheet'!D162</f>
        <v>7.4941753235439014E-3</v>
      </c>
      <c r="F168" s="30"/>
      <c r="G168" s="30"/>
      <c r="H168" s="30"/>
    </row>
    <row r="169" spans="1:51" ht="15.6">
      <c r="A169" s="52" t="str">
        <f>'PRS Worksheet'!A163</f>
        <v>Gambia</v>
      </c>
      <c r="B169" s="64">
        <f>'PRS Worksheet'!B163</f>
        <v>63.75</v>
      </c>
      <c r="C169" s="105">
        <f>'PRS Worksheet'!E163</f>
        <v>0.1101957739390316</v>
      </c>
      <c r="D169" s="65">
        <f>'PRS Worksheet'!G163</f>
        <v>6.2995773939031607E-2</v>
      </c>
      <c r="E169" s="65">
        <f>'PRS Worksheet'!D163</f>
        <v>5.7481919236969693E-2</v>
      </c>
      <c r="F169" s="30"/>
      <c r="G169" s="30"/>
      <c r="H169" s="30"/>
    </row>
    <row r="170" spans="1:51" ht="15.6">
      <c r="A170" s="52" t="str">
        <f>'PRS Worksheet'!A164</f>
        <v>Guinea</v>
      </c>
      <c r="B170" s="64">
        <f>'PRS Worksheet'!B164</f>
        <v>53.5</v>
      </c>
      <c r="C170" s="105">
        <f>'PRS Worksheet'!E164</f>
        <v>0.16340579658656318</v>
      </c>
      <c r="D170" s="65">
        <f>'PRS Worksheet'!G164</f>
        <v>0.11620579658656319</v>
      </c>
      <c r="E170" s="65">
        <f>'PRS Worksheet'!D164</f>
        <v>0.10603460830120626</v>
      </c>
      <c r="F170" s="30"/>
      <c r="G170" s="30"/>
      <c r="H170" s="30"/>
    </row>
    <row r="171" spans="1:51" ht="15.6">
      <c r="A171" s="52" t="str">
        <f>'PRS Worksheet'!A165</f>
        <v>Guinea-Bissau</v>
      </c>
      <c r="B171" s="64">
        <f>'PRS Worksheet'!B165</f>
        <v>62</v>
      </c>
      <c r="C171" s="105">
        <f>'PRS Worksheet'!E165</f>
        <v>0.1198067796717549</v>
      </c>
      <c r="D171" s="65">
        <f>'PRS Worksheet'!G165</f>
        <v>7.2606779671754912E-2</v>
      </c>
      <c r="E171" s="65">
        <f>'PRS Worksheet'!D165</f>
        <v>6.6251698870904083E-2</v>
      </c>
      <c r="F171" s="30"/>
      <c r="G171" s="30"/>
      <c r="H171" s="30"/>
    </row>
    <row r="172" spans="1:51" ht="15.6">
      <c r="A172" s="52" t="str">
        <f>'PRS Worksheet'!A166</f>
        <v>Guyana</v>
      </c>
      <c r="B172" s="64">
        <f>'PRS Worksheet'!B166</f>
        <v>65.75</v>
      </c>
      <c r="C172" s="105">
        <f>'PRS Worksheet'!E166</f>
        <v>0.10049739542691996</v>
      </c>
      <c r="D172" s="65">
        <f>'PRS Worksheet'!G166</f>
        <v>5.3297395426919962E-2</v>
      </c>
      <c r="E172" s="65">
        <f>'PRS Worksheet'!D166</f>
        <v>4.8632414333635958E-2</v>
      </c>
      <c r="F172" s="30"/>
      <c r="G172" s="30"/>
      <c r="H172" s="30"/>
    </row>
    <row r="173" spans="1:51" ht="15.6">
      <c r="A173" s="52" t="str">
        <f>'PRS Worksheet'!A167</f>
        <v>Haiti</v>
      </c>
      <c r="B173" s="64">
        <f>'PRS Worksheet'!B167</f>
        <v>52.75</v>
      </c>
      <c r="C173" s="105">
        <f>'PRS Worksheet'!E167</f>
        <v>0.16340579658656318</v>
      </c>
      <c r="D173" s="65">
        <f>'PRS Worksheet'!G167</f>
        <v>0.11620579658656319</v>
      </c>
      <c r="E173" s="65">
        <f>'PRS Worksheet'!D167</f>
        <v>0.10603460830120626</v>
      </c>
      <c r="F173" s="30"/>
      <c r="G173" s="30"/>
      <c r="H173" s="30"/>
    </row>
    <row r="174" spans="1:51" ht="15.6">
      <c r="A174" s="52" t="str">
        <f>'PRS Worksheet'!A168</f>
        <v>Iran</v>
      </c>
      <c r="B174" s="64">
        <f>'PRS Worksheet'!B168</f>
        <v>59.25</v>
      </c>
      <c r="C174" s="105">
        <f>'PRS Worksheet'!E168</f>
        <v>0.1343980338296166</v>
      </c>
      <c r="D174" s="65">
        <f>'PRS Worksheet'!G168</f>
        <v>8.7198033829616606E-2</v>
      </c>
      <c r="E174" s="65">
        <f>'PRS Worksheet'!D168</f>
        <v>7.9565818860604418E-2</v>
      </c>
      <c r="F174" s="30"/>
      <c r="G174" s="30"/>
      <c r="H174" s="30"/>
    </row>
    <row r="175" spans="1:51" ht="15.6">
      <c r="A175" s="52" t="str">
        <f>'PRS Worksheet'!A169</f>
        <v>Korea, D.P.R.</v>
      </c>
      <c r="B175" s="64">
        <f>'PRS Worksheet'!B169</f>
        <v>50.75</v>
      </c>
      <c r="C175" s="105">
        <f>'PRS Worksheet'!E169</f>
        <v>0.16340579658656318</v>
      </c>
      <c r="D175" s="65">
        <f>'PRS Worksheet'!G169</f>
        <v>0.11620579658656319</v>
      </c>
      <c r="E175" s="65">
        <f>'PRS Worksheet'!D169</f>
        <v>0.10603460830120626</v>
      </c>
      <c r="F175" s="30"/>
      <c r="G175" s="30"/>
      <c r="H175" s="30"/>
    </row>
    <row r="176" spans="1:51" ht="15.6">
      <c r="A176" s="52" t="str">
        <f>'PRS Worksheet'!A170</f>
        <v>Liberia</v>
      </c>
      <c r="B176" s="64">
        <f>'PRS Worksheet'!B170</f>
        <v>53.5</v>
      </c>
      <c r="C176" s="105">
        <f>'PRS Worksheet'!E170</f>
        <v>0.16340579658656318</v>
      </c>
      <c r="D176" s="65">
        <f>'PRS Worksheet'!G170</f>
        <v>0.11620579658656319</v>
      </c>
      <c r="E176" s="65">
        <f>'PRS Worksheet'!D170</f>
        <v>0.10603460830120626</v>
      </c>
      <c r="F176" s="30"/>
      <c r="G176" s="30"/>
      <c r="H176" s="30"/>
    </row>
    <row r="177" spans="1:8" ht="15.6">
      <c r="A177" s="52" t="str">
        <f>'PRS Worksheet'!A171</f>
        <v>Libya</v>
      </c>
      <c r="B177" s="64">
        <f>'PRS Worksheet'!B171</f>
        <v>58.25</v>
      </c>
      <c r="C177" s="105">
        <f>'PRS Worksheet'!E171</f>
        <v>0.1343980338296166</v>
      </c>
      <c r="D177" s="65">
        <f>'PRS Worksheet'!G171</f>
        <v>8.7198033829616606E-2</v>
      </c>
      <c r="E177" s="65">
        <f>'PRS Worksheet'!D171</f>
        <v>7.9565818860604418E-2</v>
      </c>
      <c r="F177" s="30"/>
      <c r="G177" s="30"/>
      <c r="H177" s="30"/>
    </row>
    <row r="178" spans="1:8" ht="15.6">
      <c r="A178" s="52" t="str">
        <f>'PRS Worksheet'!A172</f>
        <v>Madagascar</v>
      </c>
      <c r="B178" s="64">
        <f>'PRS Worksheet'!B172</f>
        <v>63.25</v>
      </c>
      <c r="C178" s="105">
        <f>'PRS Worksheet'!E172</f>
        <v>0.1101957739390316</v>
      </c>
      <c r="D178" s="65">
        <f>'PRS Worksheet'!G172</f>
        <v>6.2995773939031607E-2</v>
      </c>
      <c r="E178" s="65">
        <f>'PRS Worksheet'!D172</f>
        <v>5.7481919236969693E-2</v>
      </c>
      <c r="F178" s="30"/>
      <c r="G178" s="30"/>
      <c r="H178" s="30"/>
    </row>
    <row r="179" spans="1:8" ht="15.6">
      <c r="A179" s="52" t="str">
        <f>'PRS Worksheet'!A173</f>
        <v>Malawi</v>
      </c>
      <c r="B179" s="64">
        <f>'PRS Worksheet'!B173</f>
        <v>58.75</v>
      </c>
      <c r="C179" s="105">
        <f>'PRS Worksheet'!E173</f>
        <v>0.1343980338296166</v>
      </c>
      <c r="D179" s="65">
        <f>'PRS Worksheet'!G173</f>
        <v>8.7198033829616606E-2</v>
      </c>
      <c r="E179" s="65">
        <f>'PRS Worksheet'!D173</f>
        <v>7.9565818860604418E-2</v>
      </c>
      <c r="F179" s="30"/>
      <c r="G179" s="30"/>
      <c r="H179" s="30"/>
    </row>
    <row r="180" spans="1:8" ht="15.6">
      <c r="A180" s="52" t="str">
        <f>'PRS Worksheet'!A174</f>
        <v>Myanmar</v>
      </c>
      <c r="B180" s="64">
        <f>'PRS Worksheet'!B174</f>
        <v>63.75</v>
      </c>
      <c r="C180" s="105">
        <f>'PRS Worksheet'!E174</f>
        <v>0.1101957739390316</v>
      </c>
      <c r="D180" s="65">
        <f>'PRS Worksheet'!G174</f>
        <v>6.2995773939031607E-2</v>
      </c>
      <c r="E180" s="65">
        <f>'PRS Worksheet'!D174</f>
        <v>5.7481919236969693E-2</v>
      </c>
      <c r="F180" s="30"/>
      <c r="G180" s="30"/>
      <c r="H180" s="30"/>
    </row>
    <row r="181" spans="1:8" ht="15.6">
      <c r="A181" s="52" t="str">
        <f>'PRS Worksheet'!A175</f>
        <v>Sierra Leone</v>
      </c>
      <c r="B181" s="64">
        <f>'PRS Worksheet'!B175</f>
        <v>58.75</v>
      </c>
      <c r="C181" s="105">
        <f>'PRS Worksheet'!E175</f>
        <v>0.1343980338296166</v>
      </c>
      <c r="D181" s="65">
        <f>'PRS Worksheet'!G175</f>
        <v>8.7198033829616606E-2</v>
      </c>
      <c r="E181" s="65">
        <f>'PRS Worksheet'!D175</f>
        <v>7.9565818860604418E-2</v>
      </c>
      <c r="F181" s="30"/>
      <c r="G181" s="30"/>
      <c r="H181" s="30"/>
    </row>
    <row r="182" spans="1:8" ht="15.6">
      <c r="A182" s="52" t="str">
        <f>'PRS Worksheet'!A176</f>
        <v>Somalia</v>
      </c>
      <c r="B182" s="64">
        <f>'PRS Worksheet'!B176</f>
        <v>50.5</v>
      </c>
      <c r="C182" s="105">
        <f>'PRS Worksheet'!E176</f>
        <v>0.16340579658656318</v>
      </c>
      <c r="D182" s="65">
        <f>'PRS Worksheet'!G176</f>
        <v>0.11620579658656319</v>
      </c>
      <c r="E182" s="65">
        <f>'PRS Worksheet'!D176</f>
        <v>0.10603460830120626</v>
      </c>
      <c r="F182" s="30"/>
      <c r="G182" s="30"/>
      <c r="H182" s="30"/>
    </row>
    <row r="183" spans="1:8" ht="15.6">
      <c r="A183" s="52" t="str">
        <f>'PRS Worksheet'!A177</f>
        <v>Sudan</v>
      </c>
      <c r="B183" s="64">
        <f>'PRS Worksheet'!B177</f>
        <v>38.25</v>
      </c>
      <c r="C183" s="105">
        <f>'PRS Worksheet'!E177</f>
        <v>0.23898657542527282</v>
      </c>
      <c r="D183" s="65">
        <f>'PRS Worksheet'!G177</f>
        <v>0.19178657542527283</v>
      </c>
      <c r="E183" s="65">
        <f>'PRS Worksheet'!D177</f>
        <v>0.17499999999999999</v>
      </c>
      <c r="F183" s="30"/>
      <c r="G183" s="30"/>
      <c r="H183" s="30"/>
    </row>
    <row r="184" spans="1:8" ht="15.6">
      <c r="A184" s="52" t="str">
        <f>'PRS Worksheet'!A178</f>
        <v>Syria</v>
      </c>
      <c r="B184" s="64">
        <f>'PRS Worksheet'!B178</f>
        <v>47</v>
      </c>
      <c r="C184" s="105">
        <f>'PRS Worksheet'!E178</f>
        <v>0.23898657542527282</v>
      </c>
      <c r="D184" s="65">
        <f>'PRS Worksheet'!G178</f>
        <v>0.19178657542527283</v>
      </c>
      <c r="E184" s="65">
        <f>'PRS Worksheet'!D178</f>
        <v>0.17499999999999999</v>
      </c>
      <c r="F184" s="30"/>
      <c r="G184" s="30"/>
      <c r="H184" s="30"/>
    </row>
    <row r="185" spans="1:8" ht="15.6">
      <c r="A185" s="52" t="str">
        <f>'PRS Worksheet'!A179</f>
        <v>Yemen, Republic</v>
      </c>
      <c r="B185" s="64">
        <f>'PRS Worksheet'!B179</f>
        <v>50</v>
      </c>
      <c r="C185" s="105">
        <f>'PRS Worksheet'!E179</f>
        <v>0.23898657542527282</v>
      </c>
      <c r="D185" s="65">
        <f>'PRS Worksheet'!G179</f>
        <v>0.19178657542527283</v>
      </c>
      <c r="E185" s="65">
        <f>'PRS Worksheet'!D179</f>
        <v>0.17499999999999999</v>
      </c>
      <c r="F185" s="30"/>
      <c r="G185" s="30"/>
      <c r="H185" s="30"/>
    </row>
    <row r="186" spans="1:8" ht="15.6">
      <c r="A186" s="52" t="str">
        <f>'PRS Worksheet'!A180</f>
        <v>Zimbabwe</v>
      </c>
      <c r="B186" s="64">
        <f>'PRS Worksheet'!B180</f>
        <v>52.25</v>
      </c>
      <c r="C186" s="105">
        <f>'PRS Worksheet'!E180</f>
        <v>0.16340579658656318</v>
      </c>
      <c r="D186" s="65">
        <f>'PRS Worksheet'!G180</f>
        <v>0.11620579658656319</v>
      </c>
      <c r="E186" s="65">
        <f>'PRS Worksheet'!D180</f>
        <v>0.10603460830120626</v>
      </c>
      <c r="F186" s="30"/>
      <c r="G186" s="30"/>
      <c r="H186" s="30"/>
    </row>
    <row r="187" spans="1:8" ht="15.6">
      <c r="A187" s="103"/>
      <c r="B187" s="120"/>
      <c r="C187" s="104"/>
      <c r="D187" s="29"/>
      <c r="E187" s="30"/>
      <c r="F187" s="30"/>
      <c r="G187" s="30"/>
      <c r="H187" s="30"/>
    </row>
    <row r="188" spans="1:8">
      <c r="B188" s="20" t="s">
        <v>39</v>
      </c>
      <c r="C188" s="20" t="s">
        <v>40</v>
      </c>
    </row>
    <row r="189" spans="1:8">
      <c r="B189" s="5" t="s">
        <v>41</v>
      </c>
      <c r="C189" s="144">
        <f>'Default Spreads for Ratings'!C2</f>
        <v>62.185710131534506</v>
      </c>
    </row>
    <row r="190" spans="1:8">
      <c r="B190" s="5" t="s">
        <v>42</v>
      </c>
      <c r="C190" s="144">
        <f>'Default Spreads for Ratings'!C3</f>
        <v>74.941753235439009</v>
      </c>
    </row>
    <row r="191" spans="1:8">
      <c r="B191" s="5" t="s">
        <v>43</v>
      </c>
      <c r="C191" s="144">
        <f>'Default Spreads for Ratings'!C4</f>
        <v>106.03460830120628</v>
      </c>
    </row>
    <row r="192" spans="1:8">
      <c r="B192" s="5" t="s">
        <v>44</v>
      </c>
      <c r="C192" s="144">
        <f>'Default Spreads for Ratings'!C5</f>
        <v>35.079118535737408</v>
      </c>
    </row>
    <row r="193" spans="2:3">
      <c r="B193" s="5" t="s">
        <v>45</v>
      </c>
      <c r="C193" s="144">
        <f>'Default Spreads for Ratings'!C6</f>
        <v>43.848898169671763</v>
      </c>
    </row>
    <row r="194" spans="2:3">
      <c r="B194" s="5" t="s">
        <v>46</v>
      </c>
      <c r="C194" s="144">
        <f>'Default Spreads for Ratings'!C7</f>
        <v>53.415930497600151</v>
      </c>
    </row>
    <row r="195" spans="2:3">
      <c r="B195" s="5" t="s">
        <v>47</v>
      </c>
      <c r="C195" s="144">
        <f>'Default Spreads for Ratings'!C8</f>
        <v>0</v>
      </c>
    </row>
    <row r="196" spans="2:3">
      <c r="B196" s="5" t="s">
        <v>48</v>
      </c>
      <c r="C196" s="144">
        <f>'Default Spreads for Ratings'!C9</f>
        <v>397.82909430302203</v>
      </c>
    </row>
    <row r="197" spans="2:3">
      <c r="B197" s="5" t="s">
        <v>49</v>
      </c>
      <c r="C197" s="144">
        <f>'Default Spreads for Ratings'!C10</f>
        <v>486.3241433363595</v>
      </c>
    </row>
    <row r="198" spans="2:3">
      <c r="B198" s="5" t="s">
        <v>78</v>
      </c>
      <c r="C198" s="144">
        <f>'Default Spreads for Ratings'!C11</f>
        <v>574.81919236969702</v>
      </c>
    </row>
    <row r="199" spans="2:3">
      <c r="B199" s="5" t="s">
        <v>79</v>
      </c>
      <c r="C199" s="144">
        <f>'Default Spreads for Ratings'!C12</f>
        <v>220.8389962363469</v>
      </c>
    </row>
    <row r="200" spans="2:3">
      <c r="B200" s="5" t="s">
        <v>80</v>
      </c>
      <c r="C200" s="144">
        <f>'Default Spreads for Ratings'!C13</f>
        <v>265.48514710001263</v>
      </c>
    </row>
    <row r="201" spans="2:3">
      <c r="B201" s="5" t="s">
        <v>81</v>
      </c>
      <c r="C201" s="144">
        <f>'Default Spreads for Ratings'!C14</f>
        <v>318.10382490361883</v>
      </c>
    </row>
    <row r="202" spans="2:3">
      <c r="B202" s="5" t="s">
        <v>82</v>
      </c>
      <c r="C202" s="144">
        <f>'Default Spreads for Ratings'!C15</f>
        <v>141.11372683694367</v>
      </c>
    </row>
    <row r="203" spans="2:3">
      <c r="B203" s="5" t="s">
        <v>83</v>
      </c>
      <c r="C203" s="144">
        <f>'Default Spreads for Ratings'!C16</f>
        <v>168.22031843274075</v>
      </c>
    </row>
    <row r="204" spans="2:3">
      <c r="B204" s="5" t="s">
        <v>124</v>
      </c>
      <c r="C204" s="144">
        <f>'Default Spreads for Ratings'!C17</f>
        <v>194.52965733454383</v>
      </c>
    </row>
    <row r="205" spans="2:3">
      <c r="B205" s="8" t="s">
        <v>137</v>
      </c>
      <c r="C205" s="144">
        <v>1750</v>
      </c>
    </row>
    <row r="206" spans="2:3">
      <c r="B206" s="8" t="s">
        <v>346</v>
      </c>
      <c r="C206" s="144">
        <f>'Default Spreads for Ratings'!C18</f>
        <v>1060.3460830120625</v>
      </c>
    </row>
    <row r="207" spans="2:3">
      <c r="B207" s="141" t="s">
        <v>100</v>
      </c>
      <c r="C207" s="144">
        <f>'Default Spreads for Ratings'!C19</f>
        <v>662.51698870904067</v>
      </c>
    </row>
    <row r="208" spans="2:3">
      <c r="B208" s="8" t="s">
        <v>58</v>
      </c>
      <c r="C208" s="144">
        <f>'Default Spreads for Ratings'!C20</f>
        <v>795.65818860604406</v>
      </c>
    </row>
    <row r="209" spans="2:3">
      <c r="B209" s="8" t="s">
        <v>62</v>
      </c>
      <c r="C209" s="144">
        <f>'Default Spreads for Ratings'!C21</f>
        <v>883.3559849453876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10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7"/>
  <sheetViews>
    <sheetView workbookViewId="0">
      <selection activeCell="K16" sqref="K16"/>
    </sheetView>
  </sheetViews>
  <sheetFormatPr defaultColWidth="11" defaultRowHeight="11.4"/>
  <cols>
    <col min="1" max="1" width="31.375" customWidth="1"/>
    <col min="6" max="6" width="20" customWidth="1"/>
  </cols>
  <sheetData>
    <row r="1" spans="1:11">
      <c r="A1" s="17"/>
      <c r="B1" s="17" t="s">
        <v>380</v>
      </c>
    </row>
    <row r="2" spans="1:11">
      <c r="A2" s="17" t="s">
        <v>381</v>
      </c>
      <c r="B2" s="94">
        <f>D17</f>
        <v>0.14068738148382262</v>
      </c>
      <c r="D2" t="s">
        <v>395</v>
      </c>
    </row>
    <row r="3" spans="1:11">
      <c r="A3" s="17" t="s">
        <v>382</v>
      </c>
      <c r="B3" s="94">
        <f>K16</f>
        <v>0.15418257771617877</v>
      </c>
      <c r="D3" t="s">
        <v>396</v>
      </c>
    </row>
    <row r="4" spans="1:11">
      <c r="A4" s="17" t="s">
        <v>383</v>
      </c>
      <c r="B4" s="95">
        <f>B3/B2</f>
        <v>1.0959232881444163</v>
      </c>
    </row>
    <row r="9" spans="1:11">
      <c r="A9" t="s">
        <v>368</v>
      </c>
      <c r="B9" t="s">
        <v>495</v>
      </c>
      <c r="G9" t="s">
        <v>368</v>
      </c>
      <c r="H9" t="s">
        <v>379</v>
      </c>
    </row>
    <row r="10" spans="1:11">
      <c r="A10" t="s">
        <v>254</v>
      </c>
      <c r="B10" t="s">
        <v>369</v>
      </c>
      <c r="G10" t="s">
        <v>254</v>
      </c>
      <c r="H10" t="s">
        <v>378</v>
      </c>
    </row>
    <row r="11" spans="1:11">
      <c r="B11" s="113" t="s">
        <v>397</v>
      </c>
      <c r="H11" s="113" t="s">
        <v>384</v>
      </c>
    </row>
    <row r="12" spans="1:11">
      <c r="A12" t="s">
        <v>370</v>
      </c>
      <c r="B12" t="s">
        <v>371</v>
      </c>
      <c r="G12" t="s">
        <v>370</v>
      </c>
      <c r="H12" t="s">
        <v>371</v>
      </c>
    </row>
    <row r="13" spans="1:11">
      <c r="A13" t="s">
        <v>372</v>
      </c>
      <c r="B13" t="s">
        <v>373</v>
      </c>
      <c r="G13" t="s">
        <v>372</v>
      </c>
      <c r="H13" t="s">
        <v>373</v>
      </c>
    </row>
    <row r="14" spans="1:11" ht="34.799999999999997">
      <c r="A14" s="87" t="s">
        <v>361</v>
      </c>
      <c r="B14" s="87" t="s">
        <v>362</v>
      </c>
      <c r="G14" s="89" t="s">
        <v>374</v>
      </c>
      <c r="H14" s="85" t="s">
        <v>553</v>
      </c>
      <c r="I14" s="85" t="s">
        <v>375</v>
      </c>
      <c r="J14" s="85"/>
      <c r="K14" s="85"/>
    </row>
    <row r="15" spans="1:11" ht="24">
      <c r="A15" s="148">
        <v>40907</v>
      </c>
      <c r="B15" s="88">
        <v>5.5</v>
      </c>
      <c r="C15" t="s">
        <v>363</v>
      </c>
      <c r="D15" s="88">
        <f>AVERAGE(B15:B1337)</f>
        <v>4.1205442176870664</v>
      </c>
      <c r="E15" t="s">
        <v>364</v>
      </c>
      <c r="G15" s="90">
        <v>40908</v>
      </c>
      <c r="H15" s="91">
        <v>209.96</v>
      </c>
      <c r="I15" s="93"/>
      <c r="J15" s="85" t="s">
        <v>376</v>
      </c>
      <c r="K15" s="92">
        <f>STDEV(I15:I1319)</f>
        <v>9.5619975526531203E-3</v>
      </c>
    </row>
    <row r="16" spans="1:11" ht="36" thickBot="1">
      <c r="A16" s="148">
        <v>40908</v>
      </c>
      <c r="B16" s="179">
        <v>5.5</v>
      </c>
      <c r="C16" t="s">
        <v>365</v>
      </c>
      <c r="D16">
        <f>STDEV(B15:B1337)</f>
        <v>0.57970857627469974</v>
      </c>
      <c r="E16" t="s">
        <v>364</v>
      </c>
      <c r="G16" s="90">
        <v>40911</v>
      </c>
      <c r="H16" s="91">
        <v>203.33</v>
      </c>
      <c r="I16" s="93">
        <f t="shared" ref="I16:I78" si="0">H16/H15-1</f>
        <v>-3.1577443322537646E-2</v>
      </c>
      <c r="J16" s="85" t="s">
        <v>377</v>
      </c>
      <c r="K16" s="92">
        <f>K15*(260^0.5)</f>
        <v>0.15418257771617877</v>
      </c>
    </row>
    <row r="17" spans="1:11" ht="16.2" thickBot="1">
      <c r="A17" s="148">
        <v>40911</v>
      </c>
      <c r="B17" s="88">
        <v>5.47</v>
      </c>
      <c r="C17" t="s">
        <v>366</v>
      </c>
      <c r="D17" s="186">
        <f>D16/D15</f>
        <v>0.14068738148382262</v>
      </c>
      <c r="E17" t="s">
        <v>367</v>
      </c>
      <c r="G17" s="90">
        <v>40912</v>
      </c>
      <c r="H17" s="91">
        <v>203.45</v>
      </c>
      <c r="I17" s="93">
        <f t="shared" si="0"/>
        <v>5.9017360940338826E-4</v>
      </c>
      <c r="J17" s="85"/>
      <c r="K17" s="85"/>
    </row>
    <row r="18" spans="1:11" ht="15.6">
      <c r="A18" s="148">
        <v>40912</v>
      </c>
      <c r="B18" s="88">
        <v>5.46</v>
      </c>
      <c r="G18" s="90">
        <v>40913</v>
      </c>
      <c r="H18" s="91">
        <v>201.43</v>
      </c>
      <c r="I18" s="93">
        <f t="shared" si="0"/>
        <v>-9.9287294175471885E-3</v>
      </c>
      <c r="J18" s="85"/>
      <c r="K18" s="85"/>
    </row>
    <row r="19" spans="1:11" ht="15.6">
      <c r="A19" s="148">
        <v>40913</v>
      </c>
      <c r="B19" s="88">
        <v>5.45</v>
      </c>
      <c r="G19" s="90">
        <v>40914</v>
      </c>
      <c r="H19" s="91">
        <v>195.34</v>
      </c>
      <c r="I19" s="93">
        <f t="shared" si="0"/>
        <v>-3.0233828128878537E-2</v>
      </c>
      <c r="J19" s="85"/>
      <c r="K19" s="85"/>
    </row>
    <row r="20" spans="1:11" ht="15.6">
      <c r="A20" s="148">
        <v>40914</v>
      </c>
      <c r="B20" s="88">
        <v>5.48</v>
      </c>
      <c r="G20" s="90">
        <v>40915</v>
      </c>
      <c r="H20" s="91">
        <v>195.54</v>
      </c>
      <c r="I20" s="93">
        <f t="shared" si="0"/>
        <v>1.0238558410975429E-3</v>
      </c>
      <c r="J20" s="85"/>
      <c r="K20" s="85"/>
    </row>
    <row r="21" spans="1:11" ht="15.6">
      <c r="A21" s="148">
        <v>40915</v>
      </c>
      <c r="B21" s="88">
        <v>5.49</v>
      </c>
      <c r="G21" s="90">
        <v>40918</v>
      </c>
      <c r="H21" s="91">
        <v>191.16</v>
      </c>
      <c r="I21" s="93">
        <f t="shared" si="0"/>
        <v>-2.2399509051856392E-2</v>
      </c>
      <c r="J21" s="85"/>
      <c r="K21" s="85"/>
    </row>
    <row r="22" spans="1:11" ht="15.6">
      <c r="A22" s="148">
        <v>40918</v>
      </c>
      <c r="B22" s="88">
        <v>5.51</v>
      </c>
      <c r="G22" s="90">
        <v>40919</v>
      </c>
      <c r="H22" s="91">
        <v>191.04</v>
      </c>
      <c r="I22" s="93">
        <f t="shared" si="0"/>
        <v>-6.2774639045826142E-4</v>
      </c>
      <c r="J22" s="85"/>
      <c r="K22" s="85"/>
    </row>
    <row r="23" spans="1:11" ht="15.6">
      <c r="A23" s="148">
        <v>40919</v>
      </c>
      <c r="B23" s="88">
        <v>5.55</v>
      </c>
      <c r="G23" s="90">
        <v>40920</v>
      </c>
      <c r="H23" s="91">
        <v>191.86</v>
      </c>
      <c r="I23" s="93">
        <f t="shared" si="0"/>
        <v>4.292294807370256E-3</v>
      </c>
      <c r="J23" s="85"/>
      <c r="K23" s="85"/>
    </row>
    <row r="24" spans="1:11" ht="15.6">
      <c r="A24" s="148">
        <v>40920</v>
      </c>
      <c r="B24" s="88">
        <v>5.59</v>
      </c>
      <c r="G24" s="90">
        <v>40921</v>
      </c>
      <c r="H24" s="91">
        <v>190.61</v>
      </c>
      <c r="I24" s="93">
        <f t="shared" si="0"/>
        <v>-6.5151673094965279E-3</v>
      </c>
      <c r="J24" s="85"/>
      <c r="K24" s="85"/>
    </row>
    <row r="25" spans="1:11" ht="15.6">
      <c r="A25" s="148">
        <v>40921</v>
      </c>
      <c r="B25" s="88">
        <v>5.65</v>
      </c>
      <c r="G25" s="90">
        <v>40922</v>
      </c>
      <c r="H25" s="91">
        <v>186.54</v>
      </c>
      <c r="I25" s="93">
        <f t="shared" si="0"/>
        <v>-2.1352499868842245E-2</v>
      </c>
      <c r="J25" s="85"/>
      <c r="K25" s="85"/>
    </row>
    <row r="26" spans="1:11" ht="15.6">
      <c r="A26" s="148">
        <v>40922</v>
      </c>
      <c r="B26" s="88">
        <v>5.71</v>
      </c>
      <c r="G26" s="90">
        <v>40925</v>
      </c>
      <c r="H26" s="91">
        <v>184.94</v>
      </c>
      <c r="I26" s="93">
        <f t="shared" si="0"/>
        <v>-8.5772488474321618E-3</v>
      </c>
      <c r="J26" s="85"/>
      <c r="K26" s="85"/>
    </row>
    <row r="27" spans="1:11" ht="15.6">
      <c r="A27" s="148">
        <v>40925</v>
      </c>
      <c r="B27" s="88">
        <v>5.72</v>
      </c>
      <c r="G27" s="90">
        <v>40926</v>
      </c>
      <c r="H27" s="91">
        <v>187.75</v>
      </c>
      <c r="I27" s="93">
        <f t="shared" si="0"/>
        <v>1.5194117010922437E-2</v>
      </c>
      <c r="J27" s="85"/>
      <c r="K27" s="85"/>
    </row>
    <row r="28" spans="1:11" ht="15.6">
      <c r="A28" s="148">
        <v>40926</v>
      </c>
      <c r="B28" s="88">
        <v>5.72</v>
      </c>
      <c r="G28" s="90">
        <v>40927</v>
      </c>
      <c r="H28" s="91">
        <v>182.42</v>
      </c>
      <c r="I28" s="93">
        <f t="shared" si="0"/>
        <v>-2.8388814913448801E-2</v>
      </c>
      <c r="J28" s="85"/>
      <c r="K28" s="85"/>
    </row>
    <row r="29" spans="1:11" ht="15.6">
      <c r="A29" s="148">
        <v>40927</v>
      </c>
      <c r="B29" s="88">
        <v>5.77</v>
      </c>
      <c r="G29" s="90">
        <v>40928</v>
      </c>
      <c r="H29" s="91">
        <v>181.33</v>
      </c>
      <c r="I29" s="93">
        <f t="shared" si="0"/>
        <v>-5.9752220151297886E-3</v>
      </c>
      <c r="J29" s="85"/>
      <c r="K29" s="85"/>
    </row>
    <row r="30" spans="1:11" ht="15.6">
      <c r="A30" s="148">
        <v>40928</v>
      </c>
      <c r="B30" s="88">
        <v>5.79</v>
      </c>
      <c r="G30" s="90">
        <v>40929</v>
      </c>
      <c r="H30" s="91">
        <v>186.42</v>
      </c>
      <c r="I30" s="93">
        <f t="shared" si="0"/>
        <v>2.8070368940605439E-2</v>
      </c>
      <c r="J30" s="85"/>
      <c r="K30" s="85"/>
    </row>
    <row r="31" spans="1:11" ht="15.6">
      <c r="A31" s="148">
        <v>40929</v>
      </c>
      <c r="B31" s="88">
        <v>5.7</v>
      </c>
      <c r="G31" s="90">
        <v>40932</v>
      </c>
      <c r="H31" s="91">
        <v>187.54</v>
      </c>
      <c r="I31" s="93">
        <f t="shared" si="0"/>
        <v>6.0079390623324347E-3</v>
      </c>
      <c r="J31" s="85"/>
      <c r="K31" s="85"/>
    </row>
    <row r="32" spans="1:11" ht="15.6">
      <c r="A32" s="148">
        <v>40932</v>
      </c>
      <c r="B32" s="88">
        <v>5.69</v>
      </c>
      <c r="G32" s="90">
        <v>40933</v>
      </c>
      <c r="H32" s="91">
        <v>185.95</v>
      </c>
      <c r="I32" s="93">
        <f t="shared" si="0"/>
        <v>-8.4781913191852576E-3</v>
      </c>
      <c r="J32" s="85"/>
      <c r="K32" s="85"/>
    </row>
    <row r="33" spans="1:11" ht="15.6">
      <c r="A33" s="148">
        <v>40933</v>
      </c>
      <c r="B33" s="88">
        <v>5.66</v>
      </c>
      <c r="G33" s="90">
        <v>40934</v>
      </c>
      <c r="H33" s="91">
        <v>187.21</v>
      </c>
      <c r="I33" s="93">
        <f t="shared" si="0"/>
        <v>6.7760150578113354E-3</v>
      </c>
      <c r="J33" s="85"/>
      <c r="K33" s="85"/>
    </row>
    <row r="34" spans="1:11" ht="15.6">
      <c r="A34" s="148">
        <v>40934</v>
      </c>
      <c r="B34" s="88">
        <v>5.63</v>
      </c>
      <c r="G34" s="90">
        <v>40935</v>
      </c>
      <c r="H34" s="91">
        <v>188.76</v>
      </c>
      <c r="I34" s="93">
        <f t="shared" si="0"/>
        <v>8.2794722504138107E-3</v>
      </c>
      <c r="J34" s="85"/>
      <c r="K34" s="85"/>
    </row>
    <row r="35" spans="1:11" ht="15.6">
      <c r="A35" s="148">
        <v>40935</v>
      </c>
      <c r="B35" s="88">
        <v>5.56</v>
      </c>
      <c r="G35" s="90">
        <v>40936</v>
      </c>
      <c r="H35" s="91">
        <v>194.1</v>
      </c>
      <c r="I35" s="93">
        <f t="shared" si="0"/>
        <v>2.8289891926255528E-2</v>
      </c>
      <c r="J35" s="85"/>
      <c r="K35" s="85"/>
    </row>
    <row r="36" spans="1:11" ht="15.6">
      <c r="A36" s="148">
        <v>40936</v>
      </c>
      <c r="B36" s="88">
        <v>5.51</v>
      </c>
      <c r="G36" s="90">
        <v>40939</v>
      </c>
      <c r="H36" s="91">
        <v>194.05</v>
      </c>
      <c r="I36" s="93">
        <f t="shared" si="0"/>
        <v>-2.5759917568257684E-4</v>
      </c>
      <c r="J36" s="85"/>
      <c r="K36" s="85"/>
    </row>
    <row r="37" spans="1:11" ht="15.6">
      <c r="A37" s="148">
        <v>40938</v>
      </c>
      <c r="B37" s="88">
        <v>5.55</v>
      </c>
      <c r="G37" s="90">
        <v>40940</v>
      </c>
      <c r="H37" s="91">
        <v>190.82</v>
      </c>
      <c r="I37" s="93">
        <f t="shared" si="0"/>
        <v>-1.6645194537490471E-2</v>
      </c>
      <c r="J37" s="85"/>
      <c r="K37" s="85"/>
    </row>
    <row r="38" spans="1:11" ht="15.6">
      <c r="A38" s="148">
        <v>40939</v>
      </c>
      <c r="B38" s="88">
        <v>5.55</v>
      </c>
      <c r="G38" s="90">
        <v>40941</v>
      </c>
      <c r="H38" s="91">
        <v>189.11</v>
      </c>
      <c r="I38" s="93">
        <f t="shared" si="0"/>
        <v>-8.9613248087201391E-3</v>
      </c>
      <c r="J38" s="85"/>
      <c r="K38" s="85"/>
    </row>
    <row r="39" spans="1:11" ht="15.6">
      <c r="A39" s="148">
        <v>40940</v>
      </c>
      <c r="B39" s="88">
        <v>5.59</v>
      </c>
      <c r="G39" s="90">
        <v>40942</v>
      </c>
      <c r="H39" s="91">
        <v>193.17</v>
      </c>
      <c r="I39" s="93">
        <f t="shared" si="0"/>
        <v>2.146898630426719E-2</v>
      </c>
      <c r="J39" s="85"/>
      <c r="K39" s="85"/>
    </row>
    <row r="40" spans="1:11" ht="15.6">
      <c r="A40" s="148">
        <v>40941</v>
      </c>
      <c r="B40" s="88">
        <v>5.57</v>
      </c>
      <c r="G40" s="90">
        <v>40943</v>
      </c>
      <c r="H40" s="91">
        <v>192.91</v>
      </c>
      <c r="I40" s="93">
        <f t="shared" si="0"/>
        <v>-1.3459646943106973E-3</v>
      </c>
      <c r="J40" s="85"/>
      <c r="K40" s="85"/>
    </row>
    <row r="41" spans="1:11" ht="15.6">
      <c r="A41" s="148">
        <v>40942</v>
      </c>
      <c r="B41" s="88">
        <v>5.51</v>
      </c>
      <c r="G41" s="90">
        <v>40946</v>
      </c>
      <c r="H41" s="91">
        <v>191.32</v>
      </c>
      <c r="I41" s="93">
        <f t="shared" si="0"/>
        <v>-8.2421854750920343E-3</v>
      </c>
      <c r="J41" s="85"/>
      <c r="K41" s="85"/>
    </row>
    <row r="42" spans="1:11" ht="15.6">
      <c r="A42" s="148">
        <v>40943</v>
      </c>
      <c r="B42" s="88">
        <v>5.49</v>
      </c>
      <c r="G42" s="90">
        <v>40947</v>
      </c>
      <c r="H42" s="91">
        <v>190.07</v>
      </c>
      <c r="I42" s="93">
        <f t="shared" si="0"/>
        <v>-6.5335563453898793E-3</v>
      </c>
      <c r="J42" s="85"/>
      <c r="K42" s="85"/>
    </row>
    <row r="43" spans="1:11" ht="15.6">
      <c r="A43" s="148">
        <v>40946</v>
      </c>
      <c r="B43" s="88">
        <v>5.49</v>
      </c>
      <c r="G43" s="90">
        <v>40948</v>
      </c>
      <c r="H43" s="91">
        <v>190.27</v>
      </c>
      <c r="I43" s="93">
        <f t="shared" si="0"/>
        <v>1.0522439101383618E-3</v>
      </c>
      <c r="J43" s="85"/>
      <c r="K43" s="85"/>
    </row>
    <row r="44" spans="1:11" ht="15.6">
      <c r="A44" s="148">
        <v>40947</v>
      </c>
      <c r="B44" s="88">
        <v>5.51</v>
      </c>
      <c r="G44" s="90">
        <v>40949</v>
      </c>
      <c r="H44" s="91">
        <v>186.09</v>
      </c>
      <c r="I44" s="93">
        <f t="shared" si="0"/>
        <v>-2.1968781205655152E-2</v>
      </c>
      <c r="J44" s="85"/>
      <c r="K44" s="85"/>
    </row>
    <row r="45" spans="1:11" ht="15.6">
      <c r="A45" s="148">
        <v>40948</v>
      </c>
      <c r="B45" s="88">
        <v>5.53</v>
      </c>
      <c r="G45" s="90">
        <v>40950</v>
      </c>
      <c r="H45" s="91">
        <v>186.06</v>
      </c>
      <c r="I45" s="93">
        <f t="shared" si="0"/>
        <v>-1.6121231662102886E-4</v>
      </c>
      <c r="J45" s="85"/>
      <c r="K45" s="85"/>
    </row>
    <row r="46" spans="1:11" ht="15.6">
      <c r="A46" s="148">
        <v>40949</v>
      </c>
      <c r="B46" s="88">
        <v>5.58</v>
      </c>
      <c r="G46" s="90">
        <v>40953</v>
      </c>
      <c r="H46" s="91">
        <v>189.98</v>
      </c>
      <c r="I46" s="93">
        <f t="shared" si="0"/>
        <v>2.1068472535741067E-2</v>
      </c>
      <c r="J46" s="85"/>
      <c r="K46" s="85"/>
    </row>
    <row r="47" spans="1:11" ht="15.6">
      <c r="A47" s="148">
        <v>40950</v>
      </c>
      <c r="B47" s="88">
        <v>5.61</v>
      </c>
      <c r="G47" s="90">
        <v>40954</v>
      </c>
      <c r="H47" s="91">
        <v>191.31</v>
      </c>
      <c r="I47" s="93">
        <f t="shared" si="0"/>
        <v>7.0007369196758429E-3</v>
      </c>
      <c r="J47" s="85"/>
      <c r="K47" s="85"/>
    </row>
    <row r="48" spans="1:11" ht="15.6">
      <c r="A48" s="148">
        <v>40953</v>
      </c>
      <c r="B48" s="88">
        <v>5.6</v>
      </c>
      <c r="G48" s="90">
        <v>40955</v>
      </c>
      <c r="H48" s="91">
        <v>192.85</v>
      </c>
      <c r="I48" s="93">
        <f t="shared" si="0"/>
        <v>8.0497621661177465E-3</v>
      </c>
      <c r="J48" s="85"/>
      <c r="K48" s="85"/>
    </row>
    <row r="49" spans="1:11" ht="15.6">
      <c r="A49" s="148">
        <v>40954</v>
      </c>
      <c r="B49" s="88">
        <v>5.57</v>
      </c>
      <c r="G49" s="90">
        <v>40956</v>
      </c>
      <c r="H49" s="91">
        <v>195.34</v>
      </c>
      <c r="I49" s="93">
        <f t="shared" si="0"/>
        <v>1.2911589318122862E-2</v>
      </c>
      <c r="J49" s="85"/>
      <c r="K49" s="85"/>
    </row>
    <row r="50" spans="1:11" ht="15.6">
      <c r="A50" s="148">
        <v>40955</v>
      </c>
      <c r="B50" s="88">
        <v>5.5</v>
      </c>
      <c r="G50" s="90">
        <v>40957</v>
      </c>
      <c r="H50" s="91">
        <v>194.3</v>
      </c>
      <c r="I50" s="93">
        <f t="shared" si="0"/>
        <v>-5.3240503737073119E-3</v>
      </c>
      <c r="J50" s="85"/>
      <c r="K50" s="85"/>
    </row>
    <row r="51" spans="1:11" ht="15.6">
      <c r="A51" s="148">
        <v>40956</v>
      </c>
      <c r="B51" s="88">
        <v>5.48</v>
      </c>
      <c r="G51" s="90">
        <v>40960</v>
      </c>
      <c r="H51" s="91">
        <v>196.99</v>
      </c>
      <c r="I51" s="93">
        <f t="shared" si="0"/>
        <v>1.3844570252187216E-2</v>
      </c>
      <c r="J51" s="85"/>
      <c r="K51" s="85"/>
    </row>
    <row r="52" spans="1:11" ht="15.6">
      <c r="A52" s="148">
        <v>40957</v>
      </c>
      <c r="B52" s="88">
        <v>5.46</v>
      </c>
      <c r="G52" s="90">
        <v>40961</v>
      </c>
      <c r="H52" s="91">
        <v>195.39</v>
      </c>
      <c r="I52" s="93">
        <f t="shared" si="0"/>
        <v>-8.1222397075995101E-3</v>
      </c>
      <c r="J52" s="85"/>
      <c r="K52" s="85"/>
    </row>
    <row r="53" spans="1:11" ht="15.6">
      <c r="A53" s="148">
        <v>40960</v>
      </c>
      <c r="B53" s="88">
        <v>5.44</v>
      </c>
      <c r="G53" s="90">
        <v>40962</v>
      </c>
      <c r="H53" s="91">
        <v>193.36</v>
      </c>
      <c r="I53" s="93">
        <f t="shared" si="0"/>
        <v>-1.0389477455345575E-2</v>
      </c>
      <c r="J53" s="85"/>
      <c r="K53" s="85"/>
    </row>
    <row r="54" spans="1:11" ht="15.6">
      <c r="A54" s="148">
        <v>40961</v>
      </c>
      <c r="B54" s="88">
        <v>5.43</v>
      </c>
      <c r="G54" s="90">
        <v>40963</v>
      </c>
      <c r="H54" s="91">
        <v>192.69</v>
      </c>
      <c r="I54" s="93">
        <f t="shared" si="0"/>
        <v>-3.4650393049235895E-3</v>
      </c>
      <c r="J54" s="85"/>
      <c r="K54" s="85"/>
    </row>
    <row r="55" spans="1:11" ht="15.6">
      <c r="A55" s="148">
        <v>40962</v>
      </c>
      <c r="B55" s="88">
        <v>5.44</v>
      </c>
      <c r="G55" s="90">
        <v>40964</v>
      </c>
      <c r="H55" s="91">
        <v>194.24</v>
      </c>
      <c r="I55" s="93">
        <f t="shared" si="0"/>
        <v>8.044008511080003E-3</v>
      </c>
      <c r="J55" s="85"/>
      <c r="K55" s="85"/>
    </row>
    <row r="56" spans="1:11" ht="15.6">
      <c r="A56" s="148">
        <v>40963</v>
      </c>
      <c r="B56" s="88">
        <v>5.4</v>
      </c>
      <c r="G56" s="90">
        <v>40967</v>
      </c>
      <c r="H56" s="91">
        <v>194.49</v>
      </c>
      <c r="I56" s="93">
        <f t="shared" si="0"/>
        <v>1.2870675453047209E-3</v>
      </c>
      <c r="J56" s="85"/>
      <c r="K56" s="85"/>
    </row>
    <row r="57" spans="1:11" ht="15.6">
      <c r="A57" s="148">
        <v>40964</v>
      </c>
      <c r="B57" s="88">
        <v>5.39</v>
      </c>
      <c r="G57" s="90">
        <v>40968</v>
      </c>
      <c r="H57" s="91">
        <v>198.33</v>
      </c>
      <c r="I57" s="93">
        <f t="shared" si="0"/>
        <v>1.9743945704149279E-2</v>
      </c>
      <c r="J57" s="85"/>
      <c r="K57" s="85"/>
    </row>
    <row r="58" spans="1:11" ht="15.6">
      <c r="A58" s="148">
        <v>40967</v>
      </c>
      <c r="B58" s="88">
        <v>5.38</v>
      </c>
      <c r="G58" s="90">
        <v>40969</v>
      </c>
      <c r="H58" s="91">
        <v>202.16</v>
      </c>
      <c r="I58" s="93">
        <f t="shared" si="0"/>
        <v>1.9311248928553404E-2</v>
      </c>
      <c r="J58" s="85"/>
      <c r="K58" s="85"/>
    </row>
    <row r="59" spans="1:11" ht="15.6">
      <c r="A59" s="148">
        <v>40968</v>
      </c>
      <c r="B59" s="88">
        <v>5.36</v>
      </c>
      <c r="G59" s="90">
        <v>40970</v>
      </c>
      <c r="H59" s="91">
        <v>204.56</v>
      </c>
      <c r="I59" s="93">
        <f t="shared" si="0"/>
        <v>1.1871784724970302E-2</v>
      </c>
      <c r="J59" s="85"/>
      <c r="K59" s="85"/>
    </row>
    <row r="60" spans="1:11" ht="15.6">
      <c r="A60" s="148">
        <v>40969</v>
      </c>
      <c r="B60" s="88">
        <v>5.31</v>
      </c>
      <c r="G60" s="90">
        <v>40971</v>
      </c>
      <c r="H60" s="91">
        <v>207.64</v>
      </c>
      <c r="I60" s="93">
        <f t="shared" si="0"/>
        <v>1.5056707078607623E-2</v>
      </c>
      <c r="J60" s="85"/>
      <c r="K60" s="85"/>
    </row>
    <row r="61" spans="1:11" ht="15.6">
      <c r="A61" s="148">
        <v>40970</v>
      </c>
      <c r="B61" s="88">
        <v>5.28</v>
      </c>
      <c r="G61" s="90">
        <v>40974</v>
      </c>
      <c r="H61" s="91">
        <v>208.73</v>
      </c>
      <c r="I61" s="93">
        <f t="shared" si="0"/>
        <v>5.2494702369485502E-3</v>
      </c>
      <c r="J61" s="85"/>
      <c r="K61" s="85"/>
    </row>
    <row r="62" spans="1:11" ht="15.6">
      <c r="A62" s="148">
        <v>40971</v>
      </c>
      <c r="B62" s="88">
        <v>5.21</v>
      </c>
      <c r="G62" s="90">
        <v>40975</v>
      </c>
      <c r="H62" s="91">
        <v>207.03</v>
      </c>
      <c r="I62" s="93">
        <f t="shared" si="0"/>
        <v>-8.144492885545862E-3</v>
      </c>
      <c r="J62" s="85"/>
      <c r="K62" s="85"/>
    </row>
    <row r="63" spans="1:11" ht="15.6">
      <c r="A63" s="148">
        <v>40974</v>
      </c>
      <c r="B63" s="88">
        <v>5.25</v>
      </c>
      <c r="G63" s="90">
        <v>40976</v>
      </c>
      <c r="H63" s="91">
        <v>207.3</v>
      </c>
      <c r="I63" s="93">
        <f t="shared" si="0"/>
        <v>1.3041588175626284E-3</v>
      </c>
      <c r="J63" s="85"/>
      <c r="K63" s="85"/>
    </row>
    <row r="64" spans="1:11" ht="15.6">
      <c r="A64" s="148">
        <v>40975</v>
      </c>
      <c r="B64" s="88">
        <v>5.24</v>
      </c>
      <c r="G64" s="90">
        <v>40977</v>
      </c>
      <c r="H64" s="91">
        <v>207.35</v>
      </c>
      <c r="I64" s="93">
        <f t="shared" si="0"/>
        <v>2.4119633381558536E-4</v>
      </c>
      <c r="J64" s="85"/>
      <c r="K64" s="85"/>
    </row>
    <row r="65" spans="1:11" ht="15.6">
      <c r="A65" s="148">
        <v>40976</v>
      </c>
      <c r="B65" s="88">
        <v>5.24</v>
      </c>
      <c r="G65" s="90">
        <v>40978</v>
      </c>
      <c r="H65" s="91">
        <v>209.98</v>
      </c>
      <c r="I65" s="93">
        <f t="shared" si="0"/>
        <v>1.2683867856281728E-2</v>
      </c>
      <c r="J65" s="85"/>
      <c r="K65" s="85"/>
    </row>
    <row r="66" spans="1:11" ht="15.6">
      <c r="A66" s="148">
        <v>40977</v>
      </c>
      <c r="B66" s="88">
        <v>5.22</v>
      </c>
      <c r="G66" s="90">
        <v>40981</v>
      </c>
      <c r="H66" s="91">
        <v>210.46</v>
      </c>
      <c r="I66" s="93">
        <f t="shared" si="0"/>
        <v>2.285931993523338E-3</v>
      </c>
      <c r="J66" s="85"/>
      <c r="K66" s="85"/>
    </row>
    <row r="67" spans="1:11" ht="15.6">
      <c r="A67" s="148">
        <v>40978</v>
      </c>
      <c r="B67" s="88">
        <v>5.19</v>
      </c>
      <c r="G67" s="90">
        <v>40982</v>
      </c>
      <c r="H67" s="91">
        <v>206.82</v>
      </c>
      <c r="I67" s="93">
        <f t="shared" si="0"/>
        <v>-1.7295448066140917E-2</v>
      </c>
      <c r="J67" s="85"/>
      <c r="K67" s="85"/>
    </row>
    <row r="68" spans="1:11" ht="15.6">
      <c r="A68" s="148">
        <v>40981</v>
      </c>
      <c r="B68" s="88">
        <v>5.18</v>
      </c>
      <c r="G68" s="90">
        <v>40983</v>
      </c>
      <c r="H68" s="91">
        <v>207.26</v>
      </c>
      <c r="I68" s="93">
        <f t="shared" si="0"/>
        <v>2.1274538245816821E-3</v>
      </c>
      <c r="J68" s="85"/>
      <c r="K68" s="85"/>
    </row>
    <row r="69" spans="1:11" ht="15.6">
      <c r="A69" s="148">
        <v>40982</v>
      </c>
      <c r="B69" s="88">
        <v>5.22</v>
      </c>
      <c r="G69" s="90">
        <v>40984</v>
      </c>
      <c r="H69" s="91">
        <v>213.48</v>
      </c>
      <c r="I69" s="93">
        <f t="shared" si="0"/>
        <v>3.0010614686866832E-2</v>
      </c>
      <c r="J69" s="85"/>
      <c r="K69" s="85"/>
    </row>
    <row r="70" spans="1:11" ht="15.6">
      <c r="A70" s="148">
        <v>40983</v>
      </c>
      <c r="B70" s="88">
        <v>5.21</v>
      </c>
      <c r="G70" s="90">
        <v>40985</v>
      </c>
      <c r="H70" s="91">
        <v>215.89</v>
      </c>
      <c r="I70" s="93">
        <f t="shared" si="0"/>
        <v>1.1289113734307632E-2</v>
      </c>
      <c r="J70" s="85"/>
      <c r="K70" s="85"/>
    </row>
    <row r="71" spans="1:11" ht="15.6">
      <c r="A71" s="148">
        <v>40984</v>
      </c>
      <c r="B71" s="88">
        <v>5.09</v>
      </c>
      <c r="G71" s="90">
        <v>40988</v>
      </c>
      <c r="H71" s="91">
        <v>216.79</v>
      </c>
      <c r="I71" s="93">
        <f t="shared" si="0"/>
        <v>4.1687896614017728E-3</v>
      </c>
      <c r="J71" s="85"/>
      <c r="K71" s="85"/>
    </row>
    <row r="72" spans="1:11" ht="15.6">
      <c r="A72" s="148">
        <v>40985</v>
      </c>
      <c r="B72" s="88">
        <v>5.0199999999999996</v>
      </c>
      <c r="G72" s="90">
        <v>40989</v>
      </c>
      <c r="H72" s="91">
        <v>216.74</v>
      </c>
      <c r="I72" s="93">
        <f t="shared" si="0"/>
        <v>-2.306379445545792E-4</v>
      </c>
      <c r="J72" s="85"/>
      <c r="K72" s="85"/>
    </row>
    <row r="73" spans="1:11" ht="15.6">
      <c r="A73" s="148">
        <v>40988</v>
      </c>
      <c r="B73" s="88">
        <v>5.0199999999999996</v>
      </c>
      <c r="G73" s="90">
        <v>40990</v>
      </c>
      <c r="H73" s="91">
        <v>214.51</v>
      </c>
      <c r="I73" s="93">
        <f t="shared" si="0"/>
        <v>-1.0288825320660777E-2</v>
      </c>
      <c r="J73" s="85"/>
      <c r="K73" s="85"/>
    </row>
    <row r="74" spans="1:11" ht="15.6">
      <c r="A74" s="148">
        <v>40989</v>
      </c>
      <c r="B74" s="88">
        <v>5.0199999999999996</v>
      </c>
      <c r="G74" s="90">
        <v>40991</v>
      </c>
      <c r="H74" s="91">
        <v>212.6</v>
      </c>
      <c r="I74" s="93">
        <f t="shared" si="0"/>
        <v>-8.9040137988904977E-3</v>
      </c>
      <c r="J74" s="85"/>
      <c r="K74" s="85"/>
    </row>
    <row r="75" spans="1:11" ht="15.6">
      <c r="A75" s="148">
        <v>40990</v>
      </c>
      <c r="B75" s="88">
        <v>5.04</v>
      </c>
      <c r="G75" s="90">
        <v>40992</v>
      </c>
      <c r="H75" s="91">
        <v>212.37</v>
      </c>
      <c r="I75" s="93">
        <f t="shared" si="0"/>
        <v>-1.0818438381937634E-3</v>
      </c>
      <c r="J75" s="85"/>
      <c r="K75" s="85"/>
    </row>
    <row r="76" spans="1:11" ht="15.6">
      <c r="A76" s="148">
        <v>40991</v>
      </c>
      <c r="B76" s="88">
        <v>5.08</v>
      </c>
      <c r="G76" s="90">
        <v>40995</v>
      </c>
      <c r="H76" s="91">
        <v>212.36</v>
      </c>
      <c r="I76" s="93">
        <f t="shared" si="0"/>
        <v>-4.7087630079545306E-5</v>
      </c>
      <c r="J76" s="85"/>
      <c r="K76" s="85"/>
    </row>
    <row r="77" spans="1:11" ht="15.6">
      <c r="A77" s="148">
        <v>40992</v>
      </c>
      <c r="B77" s="179">
        <v>5.08</v>
      </c>
      <c r="G77" s="90">
        <v>40996</v>
      </c>
      <c r="H77" s="91">
        <v>212.54</v>
      </c>
      <c r="I77" s="93">
        <f t="shared" si="0"/>
        <v>8.4761725371995666E-4</v>
      </c>
      <c r="J77" s="85"/>
      <c r="K77" s="85"/>
    </row>
    <row r="78" spans="1:11" ht="15.6">
      <c r="A78" s="148">
        <v>40995</v>
      </c>
      <c r="B78" s="88">
        <v>5.08</v>
      </c>
      <c r="G78" s="90">
        <v>40997</v>
      </c>
      <c r="H78" s="91">
        <v>217.53</v>
      </c>
      <c r="I78" s="93">
        <f t="shared" si="0"/>
        <v>2.3477933565446474E-2</v>
      </c>
      <c r="J78" s="85"/>
      <c r="K78" s="85"/>
    </row>
    <row r="79" spans="1:11" ht="15.6">
      <c r="A79" s="148">
        <v>40996</v>
      </c>
      <c r="B79" s="88">
        <v>5.0599999999999996</v>
      </c>
      <c r="G79" s="90">
        <v>40998</v>
      </c>
      <c r="H79" s="91">
        <v>218.34</v>
      </c>
      <c r="I79" s="93">
        <f t="shared" ref="I79:I142" si="1">H79/H78-1</f>
        <v>3.7236243276790315E-3</v>
      </c>
      <c r="J79" s="85"/>
      <c r="K79" s="85"/>
    </row>
    <row r="80" spans="1:11" ht="15.6">
      <c r="A80" s="148">
        <v>40997</v>
      </c>
      <c r="B80" s="88">
        <v>4.9800000000000004</v>
      </c>
      <c r="G80" s="90">
        <v>40999</v>
      </c>
      <c r="H80" s="91">
        <v>216.41</v>
      </c>
      <c r="I80" s="93">
        <f t="shared" si="1"/>
        <v>-8.8394247503893464E-3</v>
      </c>
      <c r="J80" s="85"/>
      <c r="K80" s="85"/>
    </row>
    <row r="81" spans="1:11" ht="15.6">
      <c r="A81" s="148">
        <v>40998</v>
      </c>
      <c r="B81" s="88">
        <v>4.96</v>
      </c>
      <c r="G81" s="90">
        <v>41002</v>
      </c>
      <c r="H81" s="91">
        <v>216.2</v>
      </c>
      <c r="I81" s="93">
        <f t="shared" si="1"/>
        <v>-9.7038029665919012E-4</v>
      </c>
      <c r="J81" s="85"/>
      <c r="K81" s="85"/>
    </row>
    <row r="82" spans="1:11" ht="15.6">
      <c r="A82" s="148">
        <v>40999</v>
      </c>
      <c r="B82" s="88">
        <v>4.9800000000000004</v>
      </c>
      <c r="G82" s="90">
        <v>41003</v>
      </c>
      <c r="H82" s="91">
        <v>213</v>
      </c>
      <c r="I82" s="93">
        <f t="shared" si="1"/>
        <v>-1.4801110083256241E-2</v>
      </c>
      <c r="J82" s="85"/>
      <c r="K82" s="85"/>
    </row>
    <row r="83" spans="1:11" ht="15.6">
      <c r="A83" s="148">
        <v>41002</v>
      </c>
      <c r="B83" s="88">
        <v>4.97</v>
      </c>
      <c r="G83" s="90">
        <v>41004</v>
      </c>
      <c r="H83" s="91">
        <v>212.04</v>
      </c>
      <c r="I83" s="93">
        <f t="shared" si="1"/>
        <v>-4.5070422535211652E-3</v>
      </c>
      <c r="J83" s="85"/>
      <c r="K83" s="85"/>
    </row>
    <row r="84" spans="1:11" ht="15.6">
      <c r="A84" s="148">
        <v>41003</v>
      </c>
      <c r="B84" s="88">
        <v>5</v>
      </c>
      <c r="G84" s="90">
        <v>41005</v>
      </c>
      <c r="H84" s="91">
        <v>211.81</v>
      </c>
      <c r="I84" s="93">
        <f t="shared" si="1"/>
        <v>-1.0847009998112833E-3</v>
      </c>
      <c r="J84" s="85"/>
      <c r="K84" s="85"/>
    </row>
    <row r="85" spans="1:11" ht="15.6">
      <c r="A85" s="148">
        <v>41004</v>
      </c>
      <c r="B85" s="88">
        <v>4.99</v>
      </c>
      <c r="G85" s="90">
        <v>41006</v>
      </c>
      <c r="H85" s="91">
        <v>214.06</v>
      </c>
      <c r="I85" s="93">
        <f t="shared" si="1"/>
        <v>1.0622727916528962E-2</v>
      </c>
      <c r="J85" s="85"/>
      <c r="K85" s="85"/>
    </row>
    <row r="86" spans="1:11" ht="15.6">
      <c r="A86" s="148">
        <v>41005</v>
      </c>
      <c r="B86" s="88">
        <v>4.99</v>
      </c>
      <c r="G86" s="90">
        <v>41009</v>
      </c>
      <c r="H86" s="91">
        <v>216.04</v>
      </c>
      <c r="I86" s="93">
        <f t="shared" si="1"/>
        <v>9.2497430626925503E-3</v>
      </c>
      <c r="J86" s="85"/>
      <c r="K86" s="85"/>
    </row>
    <row r="87" spans="1:11" ht="15.6">
      <c r="A87" s="148">
        <v>41006</v>
      </c>
      <c r="B87" s="88">
        <v>4.97</v>
      </c>
      <c r="G87" s="90">
        <v>41010</v>
      </c>
      <c r="H87" s="91">
        <v>217.63</v>
      </c>
      <c r="I87" s="93">
        <f t="shared" si="1"/>
        <v>7.3597481947786925E-3</v>
      </c>
      <c r="J87" s="85"/>
      <c r="K87" s="85"/>
    </row>
    <row r="88" spans="1:11" ht="15.6">
      <c r="A88" s="148">
        <v>41009</v>
      </c>
      <c r="B88" s="88">
        <v>4.92</v>
      </c>
      <c r="G88" s="90">
        <v>41011</v>
      </c>
      <c r="H88" s="91">
        <v>221.53</v>
      </c>
      <c r="I88" s="93">
        <f t="shared" si="1"/>
        <v>1.792032348481376E-2</v>
      </c>
      <c r="J88" s="85"/>
      <c r="K88" s="85"/>
    </row>
    <row r="89" spans="1:11" ht="15.6">
      <c r="A89" s="148">
        <v>41010</v>
      </c>
      <c r="B89" s="88">
        <v>4.9000000000000004</v>
      </c>
      <c r="G89" s="90">
        <v>41012</v>
      </c>
      <c r="H89" s="91">
        <v>221.62</v>
      </c>
      <c r="I89" s="93">
        <f t="shared" si="1"/>
        <v>4.0626551708577985E-4</v>
      </c>
      <c r="J89" s="85"/>
      <c r="K89" s="85"/>
    </row>
    <row r="90" spans="1:11" ht="15.6">
      <c r="A90" s="148">
        <v>41011</v>
      </c>
      <c r="B90" s="88">
        <v>4.84</v>
      </c>
      <c r="G90" s="90">
        <v>41013</v>
      </c>
      <c r="H90" s="91">
        <v>221.58</v>
      </c>
      <c r="I90" s="93">
        <f t="shared" si="1"/>
        <v>-1.8048912553014773E-4</v>
      </c>
      <c r="J90" s="85"/>
      <c r="K90" s="85"/>
    </row>
    <row r="91" spans="1:11" ht="15.6">
      <c r="A91" s="148">
        <v>41012</v>
      </c>
      <c r="B91" s="88">
        <v>4.8</v>
      </c>
      <c r="G91" s="90">
        <v>41016</v>
      </c>
      <c r="H91" s="91">
        <v>221.01</v>
      </c>
      <c r="I91" s="93">
        <f t="shared" si="1"/>
        <v>-2.5724343352289125E-3</v>
      </c>
      <c r="J91" s="85"/>
      <c r="K91" s="85"/>
    </row>
    <row r="92" spans="1:11" ht="15.6">
      <c r="A92" s="148">
        <v>41013</v>
      </c>
      <c r="B92" s="88">
        <v>4.8</v>
      </c>
      <c r="G92" s="90">
        <v>41017</v>
      </c>
      <c r="H92" s="91">
        <v>223.24</v>
      </c>
      <c r="I92" s="93">
        <f t="shared" si="1"/>
        <v>1.0090041174607656E-2</v>
      </c>
      <c r="J92" s="85"/>
      <c r="K92" s="85"/>
    </row>
    <row r="93" spans="1:11" ht="15.6">
      <c r="A93" s="148">
        <v>41016</v>
      </c>
      <c r="B93" s="88">
        <v>4.82</v>
      </c>
      <c r="G93" s="90">
        <v>41018</v>
      </c>
      <c r="H93" s="91">
        <v>222.57</v>
      </c>
      <c r="I93" s="93">
        <f t="shared" si="1"/>
        <v>-3.0012542555097887E-3</v>
      </c>
      <c r="J93" s="85"/>
      <c r="K93" s="85"/>
    </row>
    <row r="94" spans="1:11" ht="15.6">
      <c r="A94" s="148">
        <v>41017</v>
      </c>
      <c r="B94" s="88">
        <v>4.7699999999999996</v>
      </c>
      <c r="G94" s="90">
        <v>41019</v>
      </c>
      <c r="H94" s="91">
        <v>223.1</v>
      </c>
      <c r="I94" s="93">
        <f t="shared" si="1"/>
        <v>2.3812733072741121E-3</v>
      </c>
      <c r="J94" s="85"/>
      <c r="K94" s="85"/>
    </row>
    <row r="95" spans="1:11" ht="15.6">
      <c r="A95" s="148">
        <v>41018</v>
      </c>
      <c r="B95" s="88">
        <v>4.76</v>
      </c>
      <c r="G95" s="90">
        <v>41020</v>
      </c>
      <c r="H95" s="91">
        <v>221.16</v>
      </c>
      <c r="I95" s="93">
        <f t="shared" si="1"/>
        <v>-8.6956521739129933E-3</v>
      </c>
      <c r="J95" s="85"/>
      <c r="K95" s="85"/>
    </row>
    <row r="96" spans="1:11" ht="15.6">
      <c r="A96" s="148">
        <v>41019</v>
      </c>
      <c r="B96" s="88">
        <v>4.7699999999999996</v>
      </c>
      <c r="G96" s="90">
        <v>41023</v>
      </c>
      <c r="H96" s="91">
        <v>219.54</v>
      </c>
      <c r="I96" s="93">
        <f t="shared" si="1"/>
        <v>-7.3250135648399439E-3</v>
      </c>
      <c r="J96" s="85"/>
      <c r="K96" s="85"/>
    </row>
    <row r="97" spans="1:11" ht="15.6">
      <c r="A97" s="148">
        <v>41020</v>
      </c>
      <c r="B97" s="88">
        <v>4.79</v>
      </c>
      <c r="G97" s="90">
        <v>41024</v>
      </c>
      <c r="H97" s="91">
        <v>220.47</v>
      </c>
      <c r="I97" s="93">
        <f t="shared" si="1"/>
        <v>4.2361300901885279E-3</v>
      </c>
      <c r="J97" s="85"/>
      <c r="K97" s="85"/>
    </row>
    <row r="98" spans="1:11" ht="15.6">
      <c r="A98" s="148">
        <v>41023</v>
      </c>
      <c r="B98" s="88">
        <v>4.82</v>
      </c>
      <c r="G98" s="90">
        <v>41025</v>
      </c>
      <c r="H98" s="91">
        <v>220.54</v>
      </c>
      <c r="I98" s="93">
        <f t="shared" si="1"/>
        <v>3.1750351521742104E-4</v>
      </c>
      <c r="J98" s="85"/>
      <c r="K98" s="85"/>
    </row>
    <row r="99" spans="1:11" ht="15.6">
      <c r="A99" s="148">
        <v>41024</v>
      </c>
      <c r="B99" s="88">
        <v>4.83</v>
      </c>
      <c r="G99" s="90">
        <v>41026</v>
      </c>
      <c r="H99" s="91">
        <v>220.91</v>
      </c>
      <c r="I99" s="93">
        <f t="shared" si="1"/>
        <v>1.6777001904415556E-3</v>
      </c>
      <c r="J99" s="85"/>
      <c r="K99" s="85"/>
    </row>
    <row r="100" spans="1:11" ht="15.6">
      <c r="A100" s="148">
        <v>41025</v>
      </c>
      <c r="B100" s="88">
        <v>4.8</v>
      </c>
      <c r="G100" s="90">
        <v>41027</v>
      </c>
      <c r="H100" s="91">
        <v>220.23</v>
      </c>
      <c r="I100" s="93">
        <f t="shared" si="1"/>
        <v>-3.0781766330180149E-3</v>
      </c>
      <c r="J100" s="85"/>
      <c r="K100" s="85"/>
    </row>
    <row r="101" spans="1:11" ht="15.6">
      <c r="A101" s="148">
        <v>41026</v>
      </c>
      <c r="B101" s="88">
        <v>4.7300000000000004</v>
      </c>
      <c r="G101" s="90">
        <v>41030</v>
      </c>
      <c r="H101" s="91">
        <v>219.03</v>
      </c>
      <c r="I101" s="93">
        <f t="shared" si="1"/>
        <v>-5.4488489306633303E-3</v>
      </c>
      <c r="J101" s="85"/>
      <c r="K101" s="85"/>
    </row>
    <row r="102" spans="1:11" ht="15.6">
      <c r="A102" s="148">
        <v>41027</v>
      </c>
      <c r="B102" s="88">
        <v>4.71</v>
      </c>
      <c r="G102" s="90">
        <v>41031</v>
      </c>
      <c r="H102" s="91">
        <v>214.98</v>
      </c>
      <c r="I102" s="93">
        <f t="shared" si="1"/>
        <v>-1.8490617723599612E-2</v>
      </c>
      <c r="J102" s="85"/>
      <c r="K102" s="85"/>
    </row>
    <row r="103" spans="1:11" ht="15.6">
      <c r="A103" s="148">
        <v>41028</v>
      </c>
      <c r="B103" s="88">
        <v>4.54</v>
      </c>
      <c r="G103" s="90">
        <v>41032</v>
      </c>
      <c r="H103" s="91">
        <v>213.19</v>
      </c>
      <c r="I103" s="93">
        <f t="shared" si="1"/>
        <v>-8.3263559400874598E-3</v>
      </c>
      <c r="J103" s="85"/>
      <c r="K103" s="85"/>
    </row>
    <row r="104" spans="1:11" ht="15.6">
      <c r="A104" s="148">
        <v>41030</v>
      </c>
      <c r="B104" s="88">
        <v>4.5199999999999996</v>
      </c>
      <c r="G104" s="90">
        <v>41033</v>
      </c>
      <c r="H104" s="91">
        <v>212.2</v>
      </c>
      <c r="I104" s="93">
        <f t="shared" si="1"/>
        <v>-4.6437450161828098E-3</v>
      </c>
      <c r="J104" s="85"/>
      <c r="K104" s="85"/>
    </row>
    <row r="105" spans="1:11" ht="15.6">
      <c r="A105" s="148">
        <v>41031</v>
      </c>
      <c r="B105" s="88">
        <v>4.54</v>
      </c>
      <c r="G105" s="90">
        <v>41034</v>
      </c>
      <c r="H105" s="91">
        <v>210.96</v>
      </c>
      <c r="I105" s="93">
        <f t="shared" si="1"/>
        <v>-5.84354382657859E-3</v>
      </c>
      <c r="J105" s="85"/>
      <c r="K105" s="85"/>
    </row>
    <row r="106" spans="1:11" ht="15.6">
      <c r="A106" s="148">
        <v>41032</v>
      </c>
      <c r="B106" s="88">
        <v>4.55</v>
      </c>
      <c r="G106" s="90">
        <v>41037</v>
      </c>
      <c r="H106" s="91">
        <v>209.95</v>
      </c>
      <c r="I106" s="93">
        <f t="shared" si="1"/>
        <v>-4.7876374668184285E-3</v>
      </c>
      <c r="J106" s="85"/>
      <c r="K106" s="85"/>
    </row>
    <row r="107" spans="1:11" ht="15.6">
      <c r="A107" s="148">
        <v>41033</v>
      </c>
      <c r="B107" s="88">
        <v>4.53</v>
      </c>
      <c r="G107" s="90">
        <v>41038</v>
      </c>
      <c r="H107" s="91">
        <v>211.63</v>
      </c>
      <c r="I107" s="93">
        <f t="shared" si="1"/>
        <v>8.0019052155275716E-3</v>
      </c>
      <c r="J107" s="85"/>
      <c r="K107" s="85"/>
    </row>
    <row r="108" spans="1:11" ht="15.6">
      <c r="A108" s="148">
        <v>41034</v>
      </c>
      <c r="B108" s="88">
        <v>4.5199999999999996</v>
      </c>
      <c r="G108" s="90">
        <v>41039</v>
      </c>
      <c r="H108" s="91">
        <v>211.86</v>
      </c>
      <c r="I108" s="93">
        <f t="shared" si="1"/>
        <v>1.0868024382177932E-3</v>
      </c>
      <c r="J108" s="85"/>
      <c r="K108" s="85"/>
    </row>
    <row r="109" spans="1:11" ht="15.6">
      <c r="A109" s="148">
        <v>41037</v>
      </c>
      <c r="B109" s="88">
        <v>4.53</v>
      </c>
      <c r="G109" s="90">
        <v>41040</v>
      </c>
      <c r="H109" s="91">
        <v>211.32</v>
      </c>
      <c r="I109" s="93">
        <f t="shared" si="1"/>
        <v>-2.5488530161428269E-3</v>
      </c>
      <c r="J109" s="85"/>
      <c r="K109" s="85"/>
    </row>
    <row r="110" spans="1:11" ht="15.6">
      <c r="A110" s="148">
        <v>41038</v>
      </c>
      <c r="B110" s="88">
        <v>4.51</v>
      </c>
      <c r="G110" s="90">
        <v>41041</v>
      </c>
      <c r="H110" s="91">
        <v>208.95</v>
      </c>
      <c r="I110" s="93">
        <f t="shared" si="1"/>
        <v>-1.1215218625780787E-2</v>
      </c>
      <c r="J110" s="85"/>
      <c r="K110" s="85"/>
    </row>
    <row r="111" spans="1:11" ht="15.6">
      <c r="A111" s="148">
        <v>41039</v>
      </c>
      <c r="B111" s="88">
        <v>4.4800000000000004</v>
      </c>
      <c r="G111" s="90">
        <v>41044</v>
      </c>
      <c r="H111" s="91">
        <v>209.72</v>
      </c>
      <c r="I111" s="93">
        <f t="shared" si="1"/>
        <v>3.68509212730328E-3</v>
      </c>
      <c r="J111" s="85"/>
      <c r="K111" s="85"/>
    </row>
    <row r="112" spans="1:11" ht="15.6">
      <c r="A112" s="148">
        <v>41040</v>
      </c>
      <c r="B112" s="88">
        <v>4.46</v>
      </c>
      <c r="G112" s="90">
        <v>41045</v>
      </c>
      <c r="H112" s="91">
        <v>210.66</v>
      </c>
      <c r="I112" s="93">
        <f t="shared" si="1"/>
        <v>4.4821666984551367E-3</v>
      </c>
      <c r="J112" s="85"/>
      <c r="K112" s="85"/>
    </row>
    <row r="113" spans="1:11" ht="15.6">
      <c r="A113" s="148">
        <v>41041</v>
      </c>
      <c r="B113" s="88">
        <v>4.43</v>
      </c>
      <c r="G113" s="90">
        <v>41046</v>
      </c>
      <c r="H113" s="91">
        <v>208.99</v>
      </c>
      <c r="I113" s="93">
        <f t="shared" si="1"/>
        <v>-7.9274660590524793E-3</v>
      </c>
      <c r="J113" s="85"/>
      <c r="K113" s="85"/>
    </row>
    <row r="114" spans="1:11" ht="15.6">
      <c r="A114" s="148">
        <v>41044</v>
      </c>
      <c r="B114" s="88">
        <v>4.42</v>
      </c>
      <c r="G114" s="90">
        <v>41047</v>
      </c>
      <c r="H114" s="91">
        <v>205.68</v>
      </c>
      <c r="I114" s="93">
        <f t="shared" si="1"/>
        <v>-1.5838078376955833E-2</v>
      </c>
      <c r="J114" s="85"/>
      <c r="K114" s="85"/>
    </row>
    <row r="115" spans="1:11" ht="15.6">
      <c r="A115" s="148">
        <v>41045</v>
      </c>
      <c r="B115" s="88">
        <v>4.4000000000000004</v>
      </c>
      <c r="G115" s="90">
        <v>41048</v>
      </c>
      <c r="H115" s="91">
        <v>206.74</v>
      </c>
      <c r="I115" s="93">
        <f t="shared" si="1"/>
        <v>5.1536367172306807E-3</v>
      </c>
      <c r="J115" s="85"/>
      <c r="K115" s="85"/>
    </row>
    <row r="116" spans="1:11" ht="15.6">
      <c r="A116" s="148">
        <v>41046</v>
      </c>
      <c r="B116" s="88">
        <v>4.4400000000000004</v>
      </c>
      <c r="G116" s="90">
        <v>41051</v>
      </c>
      <c r="H116" s="91">
        <v>207.18</v>
      </c>
      <c r="I116" s="93">
        <f t="shared" si="1"/>
        <v>2.1282770629775793E-3</v>
      </c>
      <c r="J116" s="85"/>
      <c r="K116" s="85"/>
    </row>
    <row r="117" spans="1:11" ht="15.6">
      <c r="A117" s="148">
        <v>41047</v>
      </c>
      <c r="B117" s="88">
        <v>4.51</v>
      </c>
      <c r="G117" s="90">
        <v>41052</v>
      </c>
      <c r="H117" s="91">
        <v>207.79</v>
      </c>
      <c r="I117" s="93">
        <f t="shared" si="1"/>
        <v>2.944299642822612E-3</v>
      </c>
      <c r="J117" s="85"/>
      <c r="K117" s="85"/>
    </row>
    <row r="118" spans="1:11" ht="15.6">
      <c r="A118" s="148">
        <v>41048</v>
      </c>
      <c r="B118" s="88">
        <v>4.49</v>
      </c>
      <c r="G118" s="90">
        <v>41053</v>
      </c>
      <c r="H118" s="91">
        <v>209.96</v>
      </c>
      <c r="I118" s="93">
        <f t="shared" si="1"/>
        <v>1.0443235959382235E-2</v>
      </c>
      <c r="J118" s="85"/>
      <c r="K118" s="85"/>
    </row>
    <row r="119" spans="1:11" ht="15.6">
      <c r="A119" s="148">
        <v>41051</v>
      </c>
      <c r="B119" s="88">
        <v>4.49</v>
      </c>
      <c r="G119" s="90">
        <v>41054</v>
      </c>
      <c r="H119" s="91">
        <v>211.06</v>
      </c>
      <c r="I119" s="93">
        <f t="shared" si="1"/>
        <v>5.2390931606018931E-3</v>
      </c>
      <c r="J119" s="85"/>
      <c r="K119" s="85"/>
    </row>
    <row r="120" spans="1:11" ht="15.6">
      <c r="A120" s="148">
        <v>41052</v>
      </c>
      <c r="B120" s="88">
        <v>4.4800000000000004</v>
      </c>
      <c r="G120" s="90">
        <v>41055</v>
      </c>
      <c r="H120" s="91">
        <v>212.58</v>
      </c>
      <c r="I120" s="93">
        <f t="shared" si="1"/>
        <v>7.2017435800246776E-3</v>
      </c>
      <c r="J120" s="85"/>
      <c r="K120" s="85"/>
    </row>
    <row r="121" spans="1:11" ht="15.6">
      <c r="A121" s="148">
        <v>41053</v>
      </c>
      <c r="B121" s="88">
        <v>4.47</v>
      </c>
      <c r="G121" s="90">
        <v>41058</v>
      </c>
      <c r="H121" s="91">
        <v>212.77</v>
      </c>
      <c r="I121" s="93">
        <f t="shared" si="1"/>
        <v>8.9378116473803892E-4</v>
      </c>
      <c r="J121" s="85"/>
      <c r="K121" s="85"/>
    </row>
    <row r="122" spans="1:11" ht="15.6">
      <c r="A122" s="148">
        <v>41054</v>
      </c>
      <c r="B122" s="88">
        <v>4.47</v>
      </c>
      <c r="G122" s="90">
        <v>41059</v>
      </c>
      <c r="H122" s="91">
        <v>212.6</v>
      </c>
      <c r="I122" s="93">
        <f t="shared" si="1"/>
        <v>-7.9898481928852849E-4</v>
      </c>
      <c r="J122" s="85"/>
      <c r="K122" s="85"/>
    </row>
    <row r="123" spans="1:11" ht="15.6">
      <c r="A123" s="148">
        <v>41055</v>
      </c>
      <c r="B123" s="88">
        <v>4.46</v>
      </c>
      <c r="G123" s="90">
        <v>41060</v>
      </c>
      <c r="H123" s="91">
        <v>212.49</v>
      </c>
      <c r="I123" s="93">
        <f t="shared" si="1"/>
        <v>-5.1740357478824439E-4</v>
      </c>
      <c r="J123" s="85"/>
      <c r="K123" s="85"/>
    </row>
    <row r="124" spans="1:11" ht="15.6">
      <c r="A124" s="148">
        <v>41058</v>
      </c>
      <c r="B124" s="88">
        <v>4.46</v>
      </c>
      <c r="G124" s="90">
        <v>41061</v>
      </c>
      <c r="H124" s="91">
        <v>212.85</v>
      </c>
      <c r="I124" s="93">
        <f t="shared" si="1"/>
        <v>1.6941973739938998E-3</v>
      </c>
      <c r="J124" s="85"/>
      <c r="K124" s="85"/>
    </row>
    <row r="125" spans="1:11" ht="15.6">
      <c r="A125" s="148">
        <v>41059</v>
      </c>
      <c r="B125" s="88">
        <v>4.54</v>
      </c>
      <c r="G125" s="90">
        <v>41062</v>
      </c>
      <c r="H125" s="91">
        <v>214.8</v>
      </c>
      <c r="I125" s="93">
        <f t="shared" si="1"/>
        <v>9.161381254404688E-3</v>
      </c>
      <c r="J125" s="85"/>
      <c r="K125" s="85"/>
    </row>
    <row r="126" spans="1:11" ht="15.6">
      <c r="A126" s="148">
        <v>41060</v>
      </c>
      <c r="B126" s="88">
        <v>4.54</v>
      </c>
      <c r="G126" s="90">
        <v>41065</v>
      </c>
      <c r="H126" s="91">
        <v>216.91</v>
      </c>
      <c r="I126" s="93">
        <f t="shared" si="1"/>
        <v>9.8230912476722221E-3</v>
      </c>
      <c r="J126" s="85"/>
      <c r="K126" s="85"/>
    </row>
    <row r="127" spans="1:11" ht="15.6">
      <c r="A127" s="148">
        <v>41061</v>
      </c>
      <c r="B127" s="88">
        <v>4.5</v>
      </c>
      <c r="G127" s="90">
        <v>41066</v>
      </c>
      <c r="H127" s="91">
        <v>219.43</v>
      </c>
      <c r="I127" s="93">
        <f t="shared" si="1"/>
        <v>1.1617721635701406E-2</v>
      </c>
      <c r="J127" s="85"/>
      <c r="K127" s="85"/>
    </row>
    <row r="128" spans="1:11" ht="15.6">
      <c r="A128" s="148">
        <v>41062</v>
      </c>
      <c r="B128" s="88">
        <v>4.42</v>
      </c>
      <c r="G128" s="90">
        <v>41067</v>
      </c>
      <c r="H128" s="91">
        <v>220.82</v>
      </c>
      <c r="I128" s="93">
        <f t="shared" si="1"/>
        <v>6.3345941758190527E-3</v>
      </c>
      <c r="J128" s="85"/>
      <c r="K128" s="85"/>
    </row>
    <row r="129" spans="1:11" ht="15.6">
      <c r="A129" s="148">
        <v>41065</v>
      </c>
      <c r="B129" s="88">
        <v>4.37</v>
      </c>
      <c r="G129" s="90">
        <v>41068</v>
      </c>
      <c r="H129" s="91">
        <v>219.37</v>
      </c>
      <c r="I129" s="93">
        <f t="shared" si="1"/>
        <v>-6.5664341998007414E-3</v>
      </c>
      <c r="J129" s="85"/>
      <c r="K129" s="85"/>
    </row>
    <row r="130" spans="1:11" ht="15.6">
      <c r="A130" s="148">
        <v>41066</v>
      </c>
      <c r="B130" s="88">
        <v>4.33</v>
      </c>
      <c r="G130" s="90">
        <v>41069</v>
      </c>
      <c r="H130" s="91">
        <v>216.03</v>
      </c>
      <c r="I130" s="93">
        <f t="shared" si="1"/>
        <v>-1.5225418243150823E-2</v>
      </c>
      <c r="J130" s="85"/>
      <c r="K130" s="85"/>
    </row>
    <row r="131" spans="1:11" ht="15.6">
      <c r="A131" s="148">
        <v>41067</v>
      </c>
      <c r="B131" s="88">
        <v>4.29</v>
      </c>
      <c r="G131" s="90">
        <v>41072</v>
      </c>
      <c r="H131" s="91">
        <v>212.74</v>
      </c>
      <c r="I131" s="93">
        <f t="shared" si="1"/>
        <v>-1.5229366291718671E-2</v>
      </c>
      <c r="J131" s="85"/>
      <c r="K131" s="85"/>
    </row>
    <row r="132" spans="1:11" ht="15.6">
      <c r="A132" s="148">
        <v>41068</v>
      </c>
      <c r="B132" s="88">
        <v>4.3</v>
      </c>
      <c r="G132" s="90">
        <v>41073</v>
      </c>
      <c r="H132" s="91">
        <v>211.05</v>
      </c>
      <c r="I132" s="93">
        <f t="shared" si="1"/>
        <v>-7.9439691642380073E-3</v>
      </c>
      <c r="J132" s="85"/>
      <c r="K132" s="85"/>
    </row>
    <row r="133" spans="1:11" ht="15.6">
      <c r="A133" s="148">
        <v>41069</v>
      </c>
      <c r="B133" s="88">
        <v>4.32</v>
      </c>
      <c r="G133" s="90">
        <v>41074</v>
      </c>
      <c r="H133" s="91">
        <v>212.59</v>
      </c>
      <c r="I133" s="93">
        <f t="shared" si="1"/>
        <v>7.296849087893742E-3</v>
      </c>
      <c r="J133" s="85"/>
      <c r="K133" s="85"/>
    </row>
    <row r="134" spans="1:11" ht="15.6">
      <c r="A134" s="148">
        <v>41072</v>
      </c>
      <c r="B134" s="88">
        <v>4.34</v>
      </c>
      <c r="G134" s="90">
        <v>41075</v>
      </c>
      <c r="H134" s="91">
        <v>210.36</v>
      </c>
      <c r="I134" s="93">
        <f t="shared" si="1"/>
        <v>-1.0489674961192907E-2</v>
      </c>
      <c r="J134" s="85"/>
      <c r="K134" s="85"/>
    </row>
    <row r="135" spans="1:11" ht="15.6">
      <c r="A135" s="148">
        <v>41073</v>
      </c>
      <c r="B135" s="88">
        <v>4.3899999999999997</v>
      </c>
      <c r="G135" s="90">
        <v>41076</v>
      </c>
      <c r="H135" s="91">
        <v>212.22</v>
      </c>
      <c r="I135" s="93">
        <f t="shared" si="1"/>
        <v>8.8419851682828288E-3</v>
      </c>
      <c r="J135" s="85"/>
      <c r="K135" s="85"/>
    </row>
    <row r="136" spans="1:11" ht="15.6">
      <c r="A136" s="148">
        <v>41074</v>
      </c>
      <c r="B136" s="88">
        <v>4.38</v>
      </c>
      <c r="G136" s="90">
        <v>41079</v>
      </c>
      <c r="H136" s="91">
        <v>215.62</v>
      </c>
      <c r="I136" s="93">
        <f t="shared" si="1"/>
        <v>1.6021110168692898E-2</v>
      </c>
      <c r="J136" s="85"/>
      <c r="K136" s="85"/>
    </row>
    <row r="137" spans="1:11" ht="15.6">
      <c r="A137" s="148">
        <v>41075</v>
      </c>
      <c r="B137" s="88">
        <v>4.3600000000000003</v>
      </c>
      <c r="G137" s="90">
        <v>41080</v>
      </c>
      <c r="H137" s="91">
        <v>216.57</v>
      </c>
      <c r="I137" s="93">
        <f t="shared" si="1"/>
        <v>4.4058992672293407E-3</v>
      </c>
      <c r="J137" s="85"/>
      <c r="K137" s="85"/>
    </row>
    <row r="138" spans="1:11" ht="15.6">
      <c r="A138" s="148">
        <v>41076</v>
      </c>
      <c r="B138" s="88">
        <v>4.3499999999999996</v>
      </c>
      <c r="G138" s="90">
        <v>41081</v>
      </c>
      <c r="H138" s="91">
        <v>217.35</v>
      </c>
      <c r="I138" s="93">
        <f t="shared" si="1"/>
        <v>3.6016068707578341E-3</v>
      </c>
      <c r="J138" s="85"/>
      <c r="K138" s="85"/>
    </row>
    <row r="139" spans="1:11" ht="15.6">
      <c r="A139" s="148">
        <v>41079</v>
      </c>
      <c r="B139" s="88">
        <v>4.33</v>
      </c>
      <c r="G139" s="90">
        <v>41082</v>
      </c>
      <c r="H139" s="91">
        <v>219.1</v>
      </c>
      <c r="I139" s="93">
        <f t="shared" si="1"/>
        <v>8.0515297906602612E-3</v>
      </c>
      <c r="J139" s="85"/>
      <c r="K139" s="85"/>
    </row>
    <row r="140" spans="1:11" ht="15.6">
      <c r="A140" s="148">
        <v>41080</v>
      </c>
      <c r="B140" s="88">
        <v>4.33</v>
      </c>
      <c r="G140" s="90">
        <v>41083</v>
      </c>
      <c r="H140" s="91">
        <v>212.22</v>
      </c>
      <c r="I140" s="93">
        <f t="shared" si="1"/>
        <v>-3.1401186672752157E-2</v>
      </c>
      <c r="J140" s="85"/>
      <c r="K140" s="85"/>
    </row>
    <row r="141" spans="1:11" ht="15.6">
      <c r="A141" s="148">
        <v>41081</v>
      </c>
      <c r="B141" s="88">
        <v>4.3099999999999996</v>
      </c>
      <c r="G141" s="90">
        <v>41086</v>
      </c>
      <c r="H141" s="91">
        <v>209.46</v>
      </c>
      <c r="I141" s="93">
        <f t="shared" si="1"/>
        <v>-1.3005371783997743E-2</v>
      </c>
      <c r="J141" s="85"/>
      <c r="K141" s="85"/>
    </row>
    <row r="142" spans="1:11" ht="15.6">
      <c r="A142" s="148">
        <v>41082</v>
      </c>
      <c r="B142" s="88">
        <v>4.28</v>
      </c>
      <c r="G142" s="90">
        <v>41087</v>
      </c>
      <c r="H142" s="91">
        <v>212.22</v>
      </c>
      <c r="I142" s="93">
        <f t="shared" si="1"/>
        <v>1.3176740189057456E-2</v>
      </c>
      <c r="J142" s="85"/>
      <c r="K142" s="85"/>
    </row>
    <row r="143" spans="1:11" ht="15.6">
      <c r="A143" s="148">
        <v>41083</v>
      </c>
      <c r="B143" s="88">
        <v>4.29</v>
      </c>
      <c r="G143" s="90">
        <v>41088</v>
      </c>
      <c r="H143" s="91">
        <v>216.38</v>
      </c>
      <c r="I143" s="93">
        <f t="shared" ref="I143:I206" si="2">H143/H142-1</f>
        <v>1.9602299500518283E-2</v>
      </c>
      <c r="J143" s="85"/>
      <c r="K143" s="85"/>
    </row>
    <row r="144" spans="1:11" ht="15.6">
      <c r="A144" s="148">
        <v>41086</v>
      </c>
      <c r="B144" s="88">
        <v>4.3</v>
      </c>
      <c r="G144" s="90">
        <v>41089</v>
      </c>
      <c r="H144" s="91">
        <v>219.27</v>
      </c>
      <c r="I144" s="93">
        <f t="shared" si="2"/>
        <v>1.335613272945757E-2</v>
      </c>
      <c r="J144" s="85"/>
      <c r="K144" s="85"/>
    </row>
    <row r="145" spans="1:11" ht="15.6">
      <c r="A145" s="148">
        <v>41087</v>
      </c>
      <c r="B145" s="88">
        <v>4.2699999999999996</v>
      </c>
      <c r="G145" s="90">
        <v>41090</v>
      </c>
      <c r="H145" s="91">
        <v>220.19</v>
      </c>
      <c r="I145" s="93">
        <f t="shared" si="2"/>
        <v>4.1957404113648344E-3</v>
      </c>
      <c r="J145" s="85"/>
      <c r="K145" s="85"/>
    </row>
    <row r="146" spans="1:11" ht="15.6">
      <c r="A146" s="148">
        <v>41088</v>
      </c>
      <c r="B146" s="88">
        <v>4.1900000000000004</v>
      </c>
      <c r="G146" s="90">
        <v>41093</v>
      </c>
      <c r="H146" s="91">
        <v>221.38</v>
      </c>
      <c r="I146" s="93">
        <f t="shared" si="2"/>
        <v>5.4044234524728285E-3</v>
      </c>
      <c r="J146" s="85"/>
      <c r="K146" s="85"/>
    </row>
    <row r="147" spans="1:11" ht="15.6">
      <c r="A147" s="148">
        <v>41089</v>
      </c>
      <c r="B147" s="88">
        <v>4.18</v>
      </c>
      <c r="G147" s="90">
        <v>41094</v>
      </c>
      <c r="H147" s="91">
        <v>218.54</v>
      </c>
      <c r="I147" s="93">
        <f t="shared" si="2"/>
        <v>-1.2828620471587282E-2</v>
      </c>
      <c r="J147" s="85"/>
      <c r="K147" s="85"/>
    </row>
    <row r="148" spans="1:11" ht="15.6">
      <c r="A148" s="148">
        <v>41090</v>
      </c>
      <c r="B148" s="88">
        <v>4.09</v>
      </c>
      <c r="G148" s="90">
        <v>41095</v>
      </c>
      <c r="H148" s="91">
        <v>216.21</v>
      </c>
      <c r="I148" s="93">
        <f t="shared" si="2"/>
        <v>-1.0661663768646412E-2</v>
      </c>
      <c r="J148" s="85"/>
      <c r="K148" s="85"/>
    </row>
    <row r="149" spans="1:11" ht="15.6">
      <c r="A149" s="148">
        <v>41093</v>
      </c>
      <c r="B149" s="88">
        <v>4.09</v>
      </c>
      <c r="G149" s="90">
        <v>41096</v>
      </c>
      <c r="H149" s="91">
        <v>217.66</v>
      </c>
      <c r="I149" s="93">
        <f t="shared" si="2"/>
        <v>6.706442810230806E-3</v>
      </c>
      <c r="J149" s="85"/>
      <c r="K149" s="85"/>
    </row>
    <row r="150" spans="1:11" ht="15.6">
      <c r="A150" s="148">
        <v>41094</v>
      </c>
      <c r="B150" s="88">
        <v>4.0599999999999996</v>
      </c>
      <c r="G150" s="90">
        <v>41097</v>
      </c>
      <c r="H150" s="91">
        <v>218.53</v>
      </c>
      <c r="I150" s="93">
        <f t="shared" si="2"/>
        <v>3.9970596342919773E-3</v>
      </c>
      <c r="J150" s="85"/>
      <c r="K150" s="85"/>
    </row>
    <row r="151" spans="1:11" ht="15.6">
      <c r="A151" s="148">
        <v>41095</v>
      </c>
      <c r="B151" s="88">
        <v>4.0599999999999996</v>
      </c>
      <c r="G151" s="90">
        <v>41100</v>
      </c>
      <c r="H151" s="91">
        <v>222.59</v>
      </c>
      <c r="I151" s="93">
        <f t="shared" si="2"/>
        <v>1.8578684848762128E-2</v>
      </c>
      <c r="J151" s="85"/>
      <c r="K151" s="85"/>
    </row>
    <row r="152" spans="1:11" ht="15.6">
      <c r="A152" s="148">
        <v>41096</v>
      </c>
      <c r="B152" s="88">
        <v>4.05</v>
      </c>
      <c r="G152" s="90">
        <v>41101</v>
      </c>
      <c r="H152" s="91">
        <v>224.74</v>
      </c>
      <c r="I152" s="93">
        <f t="shared" si="2"/>
        <v>9.6590143312818011E-3</v>
      </c>
      <c r="J152" s="85"/>
      <c r="K152" s="85"/>
    </row>
    <row r="153" spans="1:11" ht="15.6">
      <c r="A153" s="148">
        <v>41097</v>
      </c>
      <c r="B153" s="88">
        <v>4.03</v>
      </c>
      <c r="G153" s="90">
        <v>41102</v>
      </c>
      <c r="H153" s="91">
        <v>225.06</v>
      </c>
      <c r="I153" s="93">
        <f t="shared" si="2"/>
        <v>1.4238675803150969E-3</v>
      </c>
      <c r="J153" s="85"/>
      <c r="K153" s="85"/>
    </row>
    <row r="154" spans="1:11" ht="15.6">
      <c r="A154" s="148">
        <v>41100</v>
      </c>
      <c r="B154" s="88">
        <v>3.99</v>
      </c>
      <c r="G154" s="90">
        <v>41103</v>
      </c>
      <c r="H154" s="91">
        <v>227.41</v>
      </c>
      <c r="I154" s="93">
        <f t="shared" si="2"/>
        <v>1.0441660001777375E-2</v>
      </c>
      <c r="J154" s="85"/>
      <c r="K154" s="85"/>
    </row>
    <row r="155" spans="1:11" ht="15.6">
      <c r="A155" s="148">
        <v>41101</v>
      </c>
      <c r="B155" s="88">
        <v>4.01</v>
      </c>
      <c r="G155" s="90">
        <v>41104</v>
      </c>
      <c r="H155" s="91">
        <v>227.5</v>
      </c>
      <c r="I155" s="93">
        <f t="shared" si="2"/>
        <v>3.95760960379965E-4</v>
      </c>
      <c r="J155" s="85"/>
      <c r="K155" s="85"/>
    </row>
    <row r="156" spans="1:11" ht="15.6">
      <c r="A156" s="148">
        <v>41102</v>
      </c>
      <c r="B156" s="88">
        <v>3.99</v>
      </c>
      <c r="G156" s="90">
        <v>41107</v>
      </c>
      <c r="H156" s="91">
        <v>228.12</v>
      </c>
      <c r="I156" s="93">
        <f t="shared" si="2"/>
        <v>2.7252747252748399E-3</v>
      </c>
      <c r="J156" s="85"/>
      <c r="K156" s="85"/>
    </row>
    <row r="157" spans="1:11" ht="15.6">
      <c r="A157" s="148">
        <v>41103</v>
      </c>
      <c r="B157" s="88">
        <v>4</v>
      </c>
      <c r="G157" s="90">
        <v>41108</v>
      </c>
      <c r="H157" s="91">
        <v>227.57</v>
      </c>
      <c r="I157" s="93">
        <f t="shared" si="2"/>
        <v>-2.411011748202796E-3</v>
      </c>
      <c r="J157" s="85"/>
      <c r="K157" s="85"/>
    </row>
    <row r="158" spans="1:11" ht="15.6">
      <c r="A158" s="148">
        <v>41104</v>
      </c>
      <c r="B158" s="88">
        <v>4.01</v>
      </c>
      <c r="G158" s="90">
        <v>41109</v>
      </c>
      <c r="H158" s="91">
        <v>228.56</v>
      </c>
      <c r="I158" s="93">
        <f t="shared" si="2"/>
        <v>4.3503097947885649E-3</v>
      </c>
      <c r="J158" s="85"/>
      <c r="K158" s="85"/>
    </row>
    <row r="159" spans="1:11" ht="15.6">
      <c r="A159" s="148">
        <v>41107</v>
      </c>
      <c r="B159" s="88">
        <v>4.0199999999999996</v>
      </c>
      <c r="G159" s="90">
        <v>41110</v>
      </c>
      <c r="H159" s="91">
        <v>228.56</v>
      </c>
      <c r="I159" s="93">
        <f t="shared" si="2"/>
        <v>0</v>
      </c>
      <c r="J159" s="85"/>
      <c r="K159" s="85"/>
    </row>
    <row r="160" spans="1:11" ht="15.6">
      <c r="A160" s="148">
        <v>41108</v>
      </c>
      <c r="B160" s="88">
        <v>3.99</v>
      </c>
      <c r="G160" s="90">
        <v>41111</v>
      </c>
      <c r="H160" s="91">
        <v>228.24</v>
      </c>
      <c r="I160" s="93">
        <f t="shared" si="2"/>
        <v>-1.4000700035001756E-3</v>
      </c>
      <c r="J160" s="85"/>
      <c r="K160" s="85"/>
    </row>
    <row r="161" spans="1:11" ht="15.6">
      <c r="A161" s="148">
        <v>41109</v>
      </c>
      <c r="B161" s="88">
        <v>4</v>
      </c>
      <c r="G161" s="90">
        <v>41114</v>
      </c>
      <c r="H161" s="91">
        <v>228.12</v>
      </c>
      <c r="I161" s="93">
        <f t="shared" si="2"/>
        <v>-5.2576235541534899E-4</v>
      </c>
      <c r="J161" s="85"/>
      <c r="K161" s="85"/>
    </row>
    <row r="162" spans="1:11" ht="15.6">
      <c r="A162" s="148">
        <v>41110</v>
      </c>
      <c r="B162" s="88">
        <v>4.01</v>
      </c>
      <c r="G162" s="90">
        <v>41115</v>
      </c>
      <c r="H162" s="91">
        <v>228.2</v>
      </c>
      <c r="I162" s="93">
        <f t="shared" si="2"/>
        <v>3.5069261792042283E-4</v>
      </c>
      <c r="J162" s="85"/>
      <c r="K162" s="85"/>
    </row>
    <row r="163" spans="1:11" ht="15.6">
      <c r="A163" s="148">
        <v>41111</v>
      </c>
      <c r="B163" s="88">
        <v>3.99</v>
      </c>
      <c r="G163" s="90">
        <v>41116</v>
      </c>
      <c r="H163" s="91">
        <v>229.14</v>
      </c>
      <c r="I163" s="93">
        <f t="shared" si="2"/>
        <v>4.1191936897457815E-3</v>
      </c>
      <c r="J163" s="85"/>
      <c r="K163" s="85"/>
    </row>
    <row r="164" spans="1:11" ht="15.6">
      <c r="A164" s="148">
        <v>41114</v>
      </c>
      <c r="B164" s="88">
        <v>3.99</v>
      </c>
      <c r="G164" s="90">
        <v>41117</v>
      </c>
      <c r="H164" s="91">
        <v>229.4</v>
      </c>
      <c r="I164" s="93">
        <f t="shared" si="2"/>
        <v>1.1346774897442735E-3</v>
      </c>
      <c r="J164" s="85"/>
      <c r="K164" s="85"/>
    </row>
    <row r="165" spans="1:11" ht="15.6">
      <c r="A165" s="148">
        <v>41115</v>
      </c>
      <c r="B165" s="88">
        <v>4.01</v>
      </c>
      <c r="G165" s="90">
        <v>41118</v>
      </c>
      <c r="H165" s="91">
        <v>228.89</v>
      </c>
      <c r="I165" s="93">
        <f t="shared" si="2"/>
        <v>-2.2231909328684907E-3</v>
      </c>
      <c r="J165" s="85"/>
      <c r="K165" s="85"/>
    </row>
    <row r="166" spans="1:11" ht="15.6">
      <c r="A166" s="148">
        <v>41116</v>
      </c>
      <c r="B166" s="88">
        <v>4</v>
      </c>
      <c r="G166" s="90">
        <v>41121</v>
      </c>
      <c r="H166" s="91">
        <v>230.66</v>
      </c>
      <c r="I166" s="93">
        <f t="shared" si="2"/>
        <v>7.7329721700380993E-3</v>
      </c>
      <c r="J166" s="85"/>
      <c r="K166" s="85"/>
    </row>
    <row r="167" spans="1:11" ht="15.6">
      <c r="A167" s="148">
        <v>41117</v>
      </c>
      <c r="B167" s="88">
        <v>3.99</v>
      </c>
      <c r="G167" s="90">
        <v>41122</v>
      </c>
      <c r="H167" s="91">
        <v>229.48</v>
      </c>
      <c r="I167" s="93">
        <f t="shared" si="2"/>
        <v>-5.1157547906008904E-3</v>
      </c>
      <c r="J167" s="85"/>
      <c r="K167" s="85"/>
    </row>
    <row r="168" spans="1:11" ht="15.6">
      <c r="A168" s="148">
        <v>41118</v>
      </c>
      <c r="B168" s="88">
        <v>3.97</v>
      </c>
      <c r="G168" s="90">
        <v>41123</v>
      </c>
      <c r="H168" s="91">
        <v>227.86</v>
      </c>
      <c r="I168" s="93">
        <f t="shared" si="2"/>
        <v>-7.0594387310439766E-3</v>
      </c>
      <c r="J168" s="85"/>
      <c r="K168" s="85"/>
    </row>
    <row r="169" spans="1:11" ht="15.6">
      <c r="A169" s="148">
        <v>41120</v>
      </c>
      <c r="B169" s="88">
        <v>4.01</v>
      </c>
      <c r="G169" s="90">
        <v>41124</v>
      </c>
      <c r="H169" s="91">
        <v>229.77</v>
      </c>
      <c r="I169" s="93">
        <f t="shared" si="2"/>
        <v>8.3823400333538078E-3</v>
      </c>
      <c r="J169" s="85"/>
      <c r="K169" s="85"/>
    </row>
    <row r="170" spans="1:11" ht="15.6">
      <c r="A170" s="148">
        <v>41121</v>
      </c>
      <c r="B170" s="88">
        <v>4</v>
      </c>
      <c r="G170" s="90">
        <v>41125</v>
      </c>
      <c r="H170" s="91">
        <v>232.05</v>
      </c>
      <c r="I170" s="93">
        <f t="shared" si="2"/>
        <v>9.9229664447055832E-3</v>
      </c>
      <c r="J170" s="85"/>
      <c r="K170" s="85"/>
    </row>
    <row r="171" spans="1:11" ht="15.6">
      <c r="A171" s="148">
        <v>41122</v>
      </c>
      <c r="B171" s="88">
        <v>4.03</v>
      </c>
      <c r="G171" s="90">
        <v>41128</v>
      </c>
      <c r="H171" s="91">
        <v>234.5</v>
      </c>
      <c r="I171" s="93">
        <f t="shared" si="2"/>
        <v>1.0558069381598756E-2</v>
      </c>
      <c r="J171" s="85"/>
      <c r="K171" s="85"/>
    </row>
    <row r="172" spans="1:11" ht="15.6">
      <c r="A172" s="148">
        <v>41123</v>
      </c>
      <c r="B172" s="88">
        <v>4.0599999999999996</v>
      </c>
      <c r="G172" s="90">
        <v>41129</v>
      </c>
      <c r="H172" s="91">
        <v>235.44</v>
      </c>
      <c r="I172" s="93">
        <f t="shared" si="2"/>
        <v>4.0085287846480799E-3</v>
      </c>
      <c r="J172" s="85"/>
      <c r="K172" s="85"/>
    </row>
    <row r="173" spans="1:11" ht="15.6">
      <c r="A173" s="148">
        <v>41124</v>
      </c>
      <c r="B173" s="88">
        <v>4.01</v>
      </c>
      <c r="G173" s="90">
        <v>41130</v>
      </c>
      <c r="H173" s="91">
        <v>235.96</v>
      </c>
      <c r="I173" s="93">
        <f t="shared" si="2"/>
        <v>2.2086306489976781E-3</v>
      </c>
      <c r="J173" s="85"/>
      <c r="K173" s="85"/>
    </row>
    <row r="174" spans="1:11" ht="15.6">
      <c r="A174" s="148">
        <v>41125</v>
      </c>
      <c r="B174" s="88">
        <v>3.98</v>
      </c>
      <c r="G174" s="90">
        <v>41131</v>
      </c>
      <c r="H174" s="91">
        <v>237.29</v>
      </c>
      <c r="I174" s="93">
        <f t="shared" si="2"/>
        <v>5.6365485675538007E-3</v>
      </c>
      <c r="J174" s="85"/>
      <c r="K174" s="85"/>
    </row>
    <row r="175" spans="1:11" ht="15.6">
      <c r="A175" s="148">
        <v>41128</v>
      </c>
      <c r="B175" s="88">
        <v>3.96</v>
      </c>
      <c r="G175" s="90">
        <v>41132</v>
      </c>
      <c r="H175" s="91">
        <v>238.1</v>
      </c>
      <c r="I175" s="93">
        <f t="shared" si="2"/>
        <v>3.4135446078638054E-3</v>
      </c>
      <c r="J175" s="85"/>
      <c r="K175" s="85"/>
    </row>
    <row r="176" spans="1:11" ht="15.6">
      <c r="A176" s="148">
        <v>41129</v>
      </c>
      <c r="B176" s="88">
        <v>3.94</v>
      </c>
      <c r="G176" s="90">
        <v>41135</v>
      </c>
      <c r="H176" s="91">
        <v>239.76</v>
      </c>
      <c r="I176" s="93">
        <f t="shared" si="2"/>
        <v>6.9718605627886454E-3</v>
      </c>
      <c r="J176" s="85"/>
      <c r="K176" s="85"/>
    </row>
    <row r="177" spans="1:11" ht="15.6">
      <c r="A177" s="148">
        <v>41130</v>
      </c>
      <c r="B177" s="88">
        <v>3.89</v>
      </c>
      <c r="G177" s="90">
        <v>41136</v>
      </c>
      <c r="H177" s="91">
        <v>239.46</v>
      </c>
      <c r="I177" s="93">
        <f t="shared" si="2"/>
        <v>-1.2512512512511398E-3</v>
      </c>
      <c r="J177" s="85"/>
      <c r="K177" s="85"/>
    </row>
    <row r="178" spans="1:11" ht="15.6">
      <c r="A178" s="148">
        <v>41131</v>
      </c>
      <c r="B178" s="88">
        <v>3.89</v>
      </c>
      <c r="G178" s="90">
        <v>41137</v>
      </c>
      <c r="H178" s="91">
        <v>238.31</v>
      </c>
      <c r="I178" s="93">
        <f t="shared" si="2"/>
        <v>-4.8024722291823974E-3</v>
      </c>
      <c r="J178" s="85"/>
      <c r="K178" s="85"/>
    </row>
    <row r="179" spans="1:11" ht="15.6">
      <c r="A179" s="148">
        <v>41132</v>
      </c>
      <c r="B179" s="88">
        <v>3.88</v>
      </c>
      <c r="G179" s="90">
        <v>41138</v>
      </c>
      <c r="H179" s="91">
        <v>239.96</v>
      </c>
      <c r="I179" s="93">
        <f t="shared" si="2"/>
        <v>6.9237547731946236E-3</v>
      </c>
      <c r="J179" s="85"/>
      <c r="K179" s="85"/>
    </row>
    <row r="180" spans="1:11" ht="15.6">
      <c r="A180" s="148">
        <v>41135</v>
      </c>
      <c r="B180" s="88">
        <v>3.85</v>
      </c>
      <c r="G180" s="90">
        <v>41139</v>
      </c>
      <c r="H180" s="91">
        <v>238.43</v>
      </c>
      <c r="I180" s="93">
        <f t="shared" si="2"/>
        <v>-6.3760626771128814E-3</v>
      </c>
      <c r="J180" s="85"/>
      <c r="K180" s="85"/>
    </row>
    <row r="181" spans="1:11" ht="15.6">
      <c r="A181" s="148">
        <v>41136</v>
      </c>
      <c r="B181" s="88">
        <v>3.83</v>
      </c>
      <c r="G181" s="90">
        <v>41142</v>
      </c>
      <c r="H181" s="91">
        <v>237.05</v>
      </c>
      <c r="I181" s="93">
        <f t="shared" si="2"/>
        <v>-5.7878622656544199E-3</v>
      </c>
      <c r="J181" s="85"/>
      <c r="K181" s="85"/>
    </row>
    <row r="182" spans="1:11" ht="15.6">
      <c r="A182" s="148">
        <v>41137</v>
      </c>
      <c r="B182" s="88">
        <v>3.85</v>
      </c>
      <c r="G182" s="90">
        <v>41143</v>
      </c>
      <c r="H182" s="91">
        <v>237.16</v>
      </c>
      <c r="I182" s="93">
        <f t="shared" si="2"/>
        <v>4.6403712296982924E-4</v>
      </c>
      <c r="J182" s="85"/>
      <c r="K182" s="85"/>
    </row>
    <row r="183" spans="1:11" ht="15.6">
      <c r="A183" s="148">
        <v>41138</v>
      </c>
      <c r="B183" s="88">
        <v>3.81</v>
      </c>
      <c r="G183" s="90">
        <v>41144</v>
      </c>
      <c r="H183" s="91">
        <v>234.93</v>
      </c>
      <c r="I183" s="93">
        <f t="shared" si="2"/>
        <v>-9.4029347276100017E-3</v>
      </c>
      <c r="J183" s="85"/>
      <c r="K183" s="85"/>
    </row>
    <row r="184" spans="1:11" ht="15.6">
      <c r="A184" s="148">
        <v>41139</v>
      </c>
      <c r="B184" s="88">
        <v>3.82</v>
      </c>
      <c r="G184" s="90">
        <v>41145</v>
      </c>
      <c r="H184" s="91">
        <v>235.14</v>
      </c>
      <c r="I184" s="93">
        <f t="shared" si="2"/>
        <v>8.9388328438255726E-4</v>
      </c>
      <c r="J184" s="85"/>
      <c r="K184" s="85"/>
    </row>
    <row r="185" spans="1:11" ht="15.6">
      <c r="A185" s="148">
        <v>41142</v>
      </c>
      <c r="B185" s="88">
        <v>3.84</v>
      </c>
      <c r="G185" s="90">
        <v>41146</v>
      </c>
      <c r="H185" s="91">
        <v>236.28</v>
      </c>
      <c r="I185" s="93">
        <f t="shared" si="2"/>
        <v>4.8481755549885097E-3</v>
      </c>
      <c r="J185" s="85"/>
      <c r="K185" s="85"/>
    </row>
    <row r="186" spans="1:11" ht="15.6">
      <c r="A186" s="148">
        <v>41143</v>
      </c>
      <c r="B186" s="88">
        <v>3.83</v>
      </c>
      <c r="G186" s="90">
        <v>41149</v>
      </c>
      <c r="H186" s="91">
        <v>234.94</v>
      </c>
      <c r="I186" s="93">
        <f t="shared" si="2"/>
        <v>-5.6712375148129102E-3</v>
      </c>
      <c r="J186" s="85"/>
      <c r="K186" s="85"/>
    </row>
    <row r="187" spans="1:11" ht="15.6">
      <c r="A187" s="148">
        <v>41144</v>
      </c>
      <c r="B187" s="88">
        <v>3.84</v>
      </c>
      <c r="G187" s="90">
        <v>41150</v>
      </c>
      <c r="H187" s="91">
        <v>235.7</v>
      </c>
      <c r="I187" s="93">
        <f t="shared" si="2"/>
        <v>3.2348684770580061E-3</v>
      </c>
      <c r="J187" s="85"/>
      <c r="K187" s="85"/>
    </row>
    <row r="188" spans="1:11" ht="15.6">
      <c r="A188" s="148">
        <v>41145</v>
      </c>
      <c r="B188" s="88">
        <v>3.86</v>
      </c>
      <c r="G188" s="90">
        <v>41151</v>
      </c>
      <c r="H188" s="91">
        <v>234.35</v>
      </c>
      <c r="I188" s="93">
        <f t="shared" si="2"/>
        <v>-5.7276198557487668E-3</v>
      </c>
      <c r="J188" s="85"/>
      <c r="K188" s="85"/>
    </row>
    <row r="189" spans="1:11" ht="15.6">
      <c r="A189" s="148">
        <v>41146</v>
      </c>
      <c r="B189" s="88">
        <v>3.86</v>
      </c>
      <c r="G189" s="90">
        <v>41152</v>
      </c>
      <c r="H189" s="91">
        <v>233.94</v>
      </c>
      <c r="I189" s="93">
        <f t="shared" si="2"/>
        <v>-1.7495199487945756E-3</v>
      </c>
      <c r="J189" s="85"/>
      <c r="K189" s="85"/>
    </row>
    <row r="190" spans="1:11" ht="15.6">
      <c r="A190" s="148">
        <v>41149</v>
      </c>
      <c r="B190" s="88">
        <v>3.87</v>
      </c>
      <c r="G190" s="90">
        <v>41153</v>
      </c>
      <c r="H190" s="91">
        <v>236.09</v>
      </c>
      <c r="I190" s="93">
        <f t="shared" si="2"/>
        <v>9.1903906984696082E-3</v>
      </c>
      <c r="J190" s="85"/>
      <c r="K190" s="85"/>
    </row>
    <row r="191" spans="1:11" ht="15.6">
      <c r="A191" s="148">
        <v>41150</v>
      </c>
      <c r="B191" s="88">
        <v>3.85</v>
      </c>
      <c r="G191" s="90">
        <v>41156</v>
      </c>
      <c r="H191" s="91">
        <v>238.02</v>
      </c>
      <c r="I191" s="93">
        <f t="shared" si="2"/>
        <v>8.1748485746961919E-3</v>
      </c>
      <c r="J191" s="85"/>
      <c r="K191" s="85"/>
    </row>
    <row r="192" spans="1:11" ht="15.6">
      <c r="A192" s="148">
        <v>41151</v>
      </c>
      <c r="B192" s="88">
        <v>3.89</v>
      </c>
      <c r="G192" s="90">
        <v>41157</v>
      </c>
      <c r="H192" s="91">
        <v>241.75</v>
      </c>
      <c r="I192" s="93">
        <f t="shared" si="2"/>
        <v>1.5670952020838458E-2</v>
      </c>
      <c r="J192" s="85"/>
      <c r="K192" s="85"/>
    </row>
    <row r="193" spans="1:11" ht="15.6">
      <c r="A193" s="148">
        <v>41152</v>
      </c>
      <c r="B193" s="88">
        <v>3.91</v>
      </c>
      <c r="G193" s="90">
        <v>41158</v>
      </c>
      <c r="H193" s="91">
        <v>242.19</v>
      </c>
      <c r="I193" s="93">
        <f t="shared" si="2"/>
        <v>1.8200620475699036E-3</v>
      </c>
      <c r="J193" s="85"/>
      <c r="K193" s="85"/>
    </row>
    <row r="194" spans="1:11" ht="15.6">
      <c r="A194" s="148">
        <v>41153</v>
      </c>
      <c r="B194" s="88">
        <v>3.9</v>
      </c>
      <c r="G194" s="90">
        <v>41159</v>
      </c>
      <c r="H194" s="91">
        <v>242.58</v>
      </c>
      <c r="I194" s="93">
        <f t="shared" si="2"/>
        <v>1.6103059581320522E-3</v>
      </c>
      <c r="J194" s="85"/>
      <c r="K194" s="85"/>
    </row>
    <row r="195" spans="1:11" ht="15.6">
      <c r="A195" s="148">
        <v>41156</v>
      </c>
      <c r="B195" s="88">
        <v>3.9</v>
      </c>
      <c r="G195" s="90">
        <v>41160</v>
      </c>
      <c r="H195" s="91">
        <v>238.36</v>
      </c>
      <c r="I195" s="93">
        <f t="shared" si="2"/>
        <v>-1.7396322862560765E-2</v>
      </c>
      <c r="J195" s="85"/>
      <c r="K195" s="85"/>
    </row>
    <row r="196" spans="1:11" ht="15.6">
      <c r="A196" s="148">
        <v>41157</v>
      </c>
      <c r="B196" s="88">
        <v>3.86</v>
      </c>
      <c r="G196" s="90">
        <v>41163</v>
      </c>
      <c r="H196" s="91">
        <v>234.01</v>
      </c>
      <c r="I196" s="93">
        <f t="shared" si="2"/>
        <v>-1.8249706326564974E-2</v>
      </c>
      <c r="J196" s="85"/>
      <c r="K196" s="85"/>
    </row>
    <row r="197" spans="1:11" ht="15.6">
      <c r="A197" s="148">
        <v>41158</v>
      </c>
      <c r="B197" s="88">
        <v>3.8</v>
      </c>
      <c r="G197" s="90">
        <v>41164</v>
      </c>
      <c r="H197" s="91">
        <v>232.77</v>
      </c>
      <c r="I197" s="93">
        <f t="shared" si="2"/>
        <v>-5.2989188496217476E-3</v>
      </c>
      <c r="J197" s="85"/>
      <c r="K197" s="85"/>
    </row>
    <row r="198" spans="1:11" ht="15.6">
      <c r="A198" s="148">
        <v>41159</v>
      </c>
      <c r="B198" s="88">
        <v>3.8</v>
      </c>
      <c r="G198" s="90">
        <v>41165</v>
      </c>
      <c r="H198" s="91">
        <v>232.67</v>
      </c>
      <c r="I198" s="93">
        <f t="shared" si="2"/>
        <v>-4.2960862654128906E-4</v>
      </c>
      <c r="J198" s="85"/>
      <c r="K198" s="85"/>
    </row>
    <row r="199" spans="1:11" ht="15.6">
      <c r="A199" s="148">
        <v>41160</v>
      </c>
      <c r="B199" s="88">
        <v>3.87</v>
      </c>
      <c r="G199" s="90">
        <v>41166</v>
      </c>
      <c r="H199" s="91">
        <v>233.88</v>
      </c>
      <c r="I199" s="93">
        <f t="shared" si="2"/>
        <v>5.2004985601925569E-3</v>
      </c>
      <c r="J199" s="85"/>
      <c r="K199" s="85"/>
    </row>
    <row r="200" spans="1:11" ht="15.6">
      <c r="A200" s="148">
        <v>41163</v>
      </c>
      <c r="B200" s="88">
        <v>3.94</v>
      </c>
      <c r="G200" s="90">
        <v>41167</v>
      </c>
      <c r="H200" s="91">
        <v>232.97</v>
      </c>
      <c r="I200" s="93">
        <f t="shared" si="2"/>
        <v>-3.8908842141268662E-3</v>
      </c>
      <c r="J200" s="85"/>
      <c r="K200" s="85"/>
    </row>
    <row r="201" spans="1:11" ht="15.6">
      <c r="A201" s="148">
        <v>41164</v>
      </c>
      <c r="B201" s="88">
        <v>3.93</v>
      </c>
      <c r="G201" s="90">
        <v>41170</v>
      </c>
      <c r="H201" s="91">
        <v>235.91</v>
      </c>
      <c r="I201" s="93">
        <f t="shared" si="2"/>
        <v>1.2619650598789445E-2</v>
      </c>
      <c r="J201" s="85"/>
      <c r="K201" s="85"/>
    </row>
    <row r="202" spans="1:11" ht="15.6">
      <c r="A202" s="148">
        <v>41165</v>
      </c>
      <c r="B202" s="88">
        <v>3.96</v>
      </c>
      <c r="G202" s="90">
        <v>41171</v>
      </c>
      <c r="H202" s="91">
        <v>236.04</v>
      </c>
      <c r="I202" s="93">
        <f t="shared" si="2"/>
        <v>5.510576067144779E-4</v>
      </c>
      <c r="J202" s="85"/>
      <c r="K202" s="85"/>
    </row>
    <row r="203" spans="1:11" ht="15.6">
      <c r="A203" s="148">
        <v>41166</v>
      </c>
      <c r="B203" s="88">
        <v>3.96</v>
      </c>
      <c r="G203" s="90">
        <v>41172</v>
      </c>
      <c r="H203" s="91">
        <v>237.78</v>
      </c>
      <c r="I203" s="93">
        <f t="shared" si="2"/>
        <v>7.3716319267920216E-3</v>
      </c>
      <c r="J203" s="85"/>
      <c r="K203" s="85"/>
    </row>
    <row r="204" spans="1:11" ht="15.6">
      <c r="A204" s="148">
        <v>41167</v>
      </c>
      <c r="B204" s="88">
        <v>3.96</v>
      </c>
      <c r="G204" s="90">
        <v>41173</v>
      </c>
      <c r="H204" s="91">
        <v>241.26</v>
      </c>
      <c r="I204" s="93">
        <f t="shared" si="2"/>
        <v>1.4635377239464953E-2</v>
      </c>
      <c r="J204" s="85"/>
      <c r="K204" s="85"/>
    </row>
    <row r="205" spans="1:11" ht="15.6">
      <c r="A205" s="148">
        <v>41170</v>
      </c>
      <c r="B205" s="88">
        <v>3.96</v>
      </c>
      <c r="G205" s="90">
        <v>41174</v>
      </c>
      <c r="H205" s="91">
        <v>240.34</v>
      </c>
      <c r="I205" s="93">
        <f t="shared" si="2"/>
        <v>-3.8133134377849043E-3</v>
      </c>
      <c r="J205" s="85"/>
      <c r="K205" s="85"/>
    </row>
    <row r="206" spans="1:11" ht="15.6">
      <c r="A206" s="148">
        <v>41171</v>
      </c>
      <c r="B206" s="88">
        <v>3.94</v>
      </c>
      <c r="G206" s="90">
        <v>41177</v>
      </c>
      <c r="H206" s="91">
        <v>237.22</v>
      </c>
      <c r="I206" s="93">
        <f t="shared" si="2"/>
        <v>-1.2981609386702231E-2</v>
      </c>
      <c r="J206" s="85"/>
      <c r="K206" s="85"/>
    </row>
    <row r="207" spans="1:11" ht="15.6">
      <c r="A207" s="148">
        <v>41172</v>
      </c>
      <c r="B207" s="88">
        <v>3.91</v>
      </c>
      <c r="G207" s="90">
        <v>41178</v>
      </c>
      <c r="H207" s="91">
        <v>238.18</v>
      </c>
      <c r="I207" s="93">
        <f t="shared" ref="I207:I270" si="3">H207/H206-1</f>
        <v>4.0468763173426847E-3</v>
      </c>
      <c r="J207" s="85"/>
      <c r="K207" s="85"/>
    </row>
    <row r="208" spans="1:11" ht="15.6">
      <c r="A208" s="148">
        <v>41173</v>
      </c>
      <c r="B208" s="88">
        <v>3.83</v>
      </c>
      <c r="G208" s="90">
        <v>41179</v>
      </c>
      <c r="H208" s="91">
        <v>238.74</v>
      </c>
      <c r="I208" s="93">
        <f t="shared" si="3"/>
        <v>2.351162985976929E-3</v>
      </c>
      <c r="J208" s="85"/>
      <c r="K208" s="85"/>
    </row>
    <row r="209" spans="1:11" ht="15.6">
      <c r="A209" s="148">
        <v>41174</v>
      </c>
      <c r="B209" s="88">
        <v>3.84</v>
      </c>
      <c r="G209" s="90">
        <v>41180</v>
      </c>
      <c r="H209" s="91">
        <v>238.49</v>
      </c>
      <c r="I209" s="93">
        <f t="shared" si="3"/>
        <v>-1.0471642791320956E-3</v>
      </c>
      <c r="J209" s="85"/>
      <c r="K209" s="85"/>
    </row>
    <row r="210" spans="1:11" ht="15.6">
      <c r="A210" s="148">
        <v>41177</v>
      </c>
      <c r="B210" s="88">
        <v>3.86</v>
      </c>
      <c r="G210" s="90">
        <v>41181</v>
      </c>
      <c r="H210" s="91">
        <v>236.49</v>
      </c>
      <c r="I210" s="93">
        <f t="shared" si="3"/>
        <v>-8.3860958530755925E-3</v>
      </c>
      <c r="J210" s="85"/>
      <c r="K210" s="85"/>
    </row>
    <row r="211" spans="1:11" ht="15.6">
      <c r="A211" s="148">
        <v>41178</v>
      </c>
      <c r="B211" s="88">
        <v>3.84</v>
      </c>
      <c r="G211" s="90">
        <v>41184</v>
      </c>
      <c r="H211" s="91">
        <v>238.96</v>
      </c>
      <c r="I211" s="93">
        <f t="shared" si="3"/>
        <v>1.0444416254387079E-2</v>
      </c>
      <c r="J211" s="85"/>
      <c r="K211" s="85"/>
    </row>
    <row r="212" spans="1:11" ht="15.6">
      <c r="A212" s="148">
        <v>41179</v>
      </c>
      <c r="B212" s="88">
        <v>3.83</v>
      </c>
      <c r="G212" s="90">
        <v>41185</v>
      </c>
      <c r="H212" s="91">
        <v>240.08</v>
      </c>
      <c r="I212" s="93">
        <f t="shared" si="3"/>
        <v>4.6869768998996086E-3</v>
      </c>
      <c r="J212" s="85"/>
      <c r="K212" s="85"/>
    </row>
    <row r="213" spans="1:11" ht="15.6">
      <c r="A213" s="148">
        <v>41180</v>
      </c>
      <c r="B213" s="88">
        <v>3.81</v>
      </c>
      <c r="G213" s="90">
        <v>41186</v>
      </c>
      <c r="H213" s="91">
        <v>240.2</v>
      </c>
      <c r="I213" s="93">
        <f t="shared" si="3"/>
        <v>4.9983338887038542E-4</v>
      </c>
      <c r="J213" s="85"/>
      <c r="K213" s="85"/>
    </row>
    <row r="214" spans="1:11" ht="15.6">
      <c r="A214" s="148">
        <v>41181</v>
      </c>
      <c r="B214" s="88">
        <v>3.82</v>
      </c>
      <c r="G214" s="90">
        <v>41187</v>
      </c>
      <c r="H214" s="91">
        <v>240.29</v>
      </c>
      <c r="I214" s="93">
        <f t="shared" si="3"/>
        <v>3.7468776019977668E-4</v>
      </c>
      <c r="J214" s="85"/>
      <c r="K214" s="85"/>
    </row>
    <row r="215" spans="1:11" ht="15.6">
      <c r="A215" s="148">
        <v>41184</v>
      </c>
      <c r="B215" s="88">
        <v>3.83</v>
      </c>
      <c r="G215" s="90">
        <v>41188</v>
      </c>
      <c r="H215" s="91">
        <v>239.8</v>
      </c>
      <c r="I215" s="93">
        <f t="shared" si="3"/>
        <v>-2.0392026301551125E-3</v>
      </c>
      <c r="J215" s="85"/>
      <c r="K215" s="85"/>
    </row>
    <row r="216" spans="1:11" ht="15.6">
      <c r="A216" s="148">
        <v>41185</v>
      </c>
      <c r="B216" s="88">
        <v>3.84</v>
      </c>
      <c r="G216" s="90">
        <v>41191</v>
      </c>
      <c r="H216" s="91">
        <v>240.58</v>
      </c>
      <c r="I216" s="93">
        <f t="shared" si="3"/>
        <v>3.2527105921600352E-3</v>
      </c>
      <c r="J216" s="85"/>
      <c r="K216" s="85"/>
    </row>
    <row r="217" spans="1:11" ht="15.6">
      <c r="A217" s="148">
        <v>41186</v>
      </c>
      <c r="B217" s="88">
        <v>3.86</v>
      </c>
      <c r="G217" s="90">
        <v>41192</v>
      </c>
      <c r="H217" s="91">
        <v>237.9</v>
      </c>
      <c r="I217" s="93">
        <f t="shared" si="3"/>
        <v>-1.1139745614764385E-2</v>
      </c>
      <c r="J217" s="85"/>
      <c r="K217" s="85"/>
    </row>
    <row r="218" spans="1:11" ht="15.6">
      <c r="A218" s="148">
        <v>41187</v>
      </c>
      <c r="B218" s="88">
        <v>3.87</v>
      </c>
      <c r="G218" s="90">
        <v>41193</v>
      </c>
      <c r="H218" s="91">
        <v>237.05</v>
      </c>
      <c r="I218" s="93">
        <f t="shared" si="3"/>
        <v>-3.5729298024379519E-3</v>
      </c>
      <c r="J218" s="85"/>
      <c r="K218" s="85"/>
    </row>
    <row r="219" spans="1:11" ht="15.6">
      <c r="A219" s="148">
        <v>41188</v>
      </c>
      <c r="B219" s="88">
        <v>3.88</v>
      </c>
      <c r="G219" s="90">
        <v>41194</v>
      </c>
      <c r="H219" s="91">
        <v>234.2</v>
      </c>
      <c r="I219" s="93">
        <f t="shared" si="3"/>
        <v>-1.2022780004218636E-2</v>
      </c>
      <c r="J219" s="85"/>
      <c r="K219" s="85"/>
    </row>
    <row r="220" spans="1:11" ht="15.6">
      <c r="A220" s="148">
        <v>41191</v>
      </c>
      <c r="B220" s="88">
        <v>3.88</v>
      </c>
      <c r="G220" s="90">
        <v>41195</v>
      </c>
      <c r="H220" s="91">
        <v>235.91</v>
      </c>
      <c r="I220" s="93">
        <f t="shared" si="3"/>
        <v>7.301451750640453E-3</v>
      </c>
      <c r="J220" s="85"/>
      <c r="K220" s="85"/>
    </row>
    <row r="221" spans="1:11" ht="15.6">
      <c r="A221" s="148">
        <v>41192</v>
      </c>
      <c r="B221" s="88">
        <v>3.89</v>
      </c>
      <c r="G221" s="90">
        <v>41198</v>
      </c>
      <c r="H221" s="91">
        <v>235.15</v>
      </c>
      <c r="I221" s="93">
        <f t="shared" si="3"/>
        <v>-3.2215675469458027E-3</v>
      </c>
      <c r="J221" s="85"/>
      <c r="K221" s="85"/>
    </row>
    <row r="222" spans="1:11" ht="15.6">
      <c r="A222" s="148">
        <v>41193</v>
      </c>
      <c r="B222" s="88">
        <v>3.9</v>
      </c>
      <c r="G222" s="90">
        <v>41199</v>
      </c>
      <c r="H222" s="91">
        <v>238.66</v>
      </c>
      <c r="I222" s="93">
        <f t="shared" si="3"/>
        <v>1.4926642568573234E-2</v>
      </c>
      <c r="J222" s="85"/>
      <c r="K222" s="85"/>
    </row>
    <row r="223" spans="1:11" ht="15.6">
      <c r="A223" s="148">
        <v>41194</v>
      </c>
      <c r="B223" s="88">
        <v>3.89</v>
      </c>
      <c r="G223" s="90">
        <v>41200</v>
      </c>
      <c r="H223" s="91">
        <v>239.76</v>
      </c>
      <c r="I223" s="93">
        <f t="shared" si="3"/>
        <v>4.6090672923824183E-3</v>
      </c>
      <c r="J223" s="85"/>
      <c r="K223" s="85"/>
    </row>
    <row r="224" spans="1:11" ht="15.6">
      <c r="A224" s="148">
        <v>41195</v>
      </c>
      <c r="B224" s="88">
        <v>3.89</v>
      </c>
      <c r="G224" s="90">
        <v>41201</v>
      </c>
      <c r="H224" s="91">
        <v>239.9</v>
      </c>
      <c r="I224" s="93">
        <f t="shared" si="3"/>
        <v>5.8391725058393185E-4</v>
      </c>
      <c r="J224" s="85"/>
      <c r="K224" s="85"/>
    </row>
    <row r="225" spans="1:11" ht="15.6">
      <c r="A225" s="148">
        <v>41198</v>
      </c>
      <c r="B225" s="88">
        <v>3.91</v>
      </c>
      <c r="G225" s="90">
        <v>41202</v>
      </c>
      <c r="H225" s="91">
        <v>239.8</v>
      </c>
      <c r="I225" s="93">
        <f t="shared" si="3"/>
        <v>-4.1684035014588616E-4</v>
      </c>
      <c r="J225" s="85"/>
      <c r="K225" s="85"/>
    </row>
    <row r="226" spans="1:11" ht="15.6">
      <c r="A226" s="148">
        <v>41199</v>
      </c>
      <c r="B226" s="88">
        <v>3.91</v>
      </c>
      <c r="G226" s="90">
        <v>41205</v>
      </c>
      <c r="H226" s="91">
        <v>241.39</v>
      </c>
      <c r="I226" s="93">
        <f t="shared" si="3"/>
        <v>6.6305254378646872E-3</v>
      </c>
      <c r="J226" s="85"/>
      <c r="K226" s="85"/>
    </row>
    <row r="227" spans="1:11" ht="15.6">
      <c r="A227" s="148">
        <v>41200</v>
      </c>
      <c r="B227" s="88">
        <v>3.89</v>
      </c>
      <c r="G227" s="90">
        <v>41206</v>
      </c>
      <c r="H227" s="91">
        <v>241.56</v>
      </c>
      <c r="I227" s="93">
        <f t="shared" si="3"/>
        <v>7.0425452587108417E-4</v>
      </c>
      <c r="J227" s="85"/>
      <c r="K227" s="85"/>
    </row>
    <row r="228" spans="1:11" ht="15.6">
      <c r="A228" s="148">
        <v>41201</v>
      </c>
      <c r="B228" s="88">
        <v>3.88</v>
      </c>
      <c r="G228" s="90">
        <v>41207</v>
      </c>
      <c r="H228" s="91">
        <v>239.82</v>
      </c>
      <c r="I228" s="93">
        <f t="shared" si="3"/>
        <v>-7.2031793343269035E-3</v>
      </c>
      <c r="J228" s="85"/>
      <c r="K228" s="85"/>
    </row>
    <row r="229" spans="1:11" ht="15.6">
      <c r="A229" s="148">
        <v>41202</v>
      </c>
      <c r="B229" s="88">
        <v>3.88</v>
      </c>
      <c r="G229" s="90">
        <v>41208</v>
      </c>
      <c r="H229" s="91">
        <v>238.52</v>
      </c>
      <c r="I229" s="93">
        <f t="shared" si="3"/>
        <v>-5.4207322158285054E-3</v>
      </c>
      <c r="J229" s="85"/>
      <c r="K229" s="85"/>
    </row>
    <row r="230" spans="1:11" ht="15.6">
      <c r="A230" s="148">
        <v>41205</v>
      </c>
      <c r="B230" s="88">
        <v>3.85</v>
      </c>
      <c r="G230" s="90">
        <v>41209</v>
      </c>
      <c r="H230" s="91">
        <v>237.98</v>
      </c>
      <c r="I230" s="93">
        <f t="shared" si="3"/>
        <v>-2.2639610934094279E-3</v>
      </c>
      <c r="J230" s="85"/>
      <c r="K230" s="85"/>
    </row>
    <row r="231" spans="1:11" ht="15.6">
      <c r="A231" s="148">
        <v>41206</v>
      </c>
      <c r="B231" s="88">
        <v>3.85</v>
      </c>
      <c r="G231" s="90">
        <v>41212</v>
      </c>
      <c r="H231" s="91">
        <v>238.46</v>
      </c>
      <c r="I231" s="93">
        <f t="shared" si="3"/>
        <v>2.016976216488775E-3</v>
      </c>
      <c r="J231" s="85"/>
      <c r="K231" s="85"/>
    </row>
    <row r="232" spans="1:11" ht="15.6">
      <c r="A232" s="148">
        <v>41207</v>
      </c>
      <c r="B232" s="88">
        <v>3.92</v>
      </c>
      <c r="G232" s="90">
        <v>41213</v>
      </c>
      <c r="H232" s="91">
        <v>237.63</v>
      </c>
      <c r="I232" s="93">
        <f t="shared" si="3"/>
        <v>-3.4806676172104423E-3</v>
      </c>
      <c r="J232" s="85"/>
      <c r="K232" s="85"/>
    </row>
    <row r="233" spans="1:11" ht="15.6">
      <c r="A233" s="148">
        <v>41208</v>
      </c>
      <c r="B233" s="88">
        <v>3.93</v>
      </c>
      <c r="G233" s="90">
        <v>41214</v>
      </c>
      <c r="H233" s="91">
        <v>234.63</v>
      </c>
      <c r="I233" s="93">
        <f t="shared" si="3"/>
        <v>-1.2624668602449152E-2</v>
      </c>
      <c r="J233" s="85"/>
      <c r="K233" s="85"/>
    </row>
    <row r="234" spans="1:11" ht="15.6">
      <c r="A234" s="148">
        <v>41209</v>
      </c>
      <c r="B234" s="88">
        <v>3.94</v>
      </c>
      <c r="G234" s="90">
        <v>41215</v>
      </c>
      <c r="H234" s="91">
        <v>232.78</v>
      </c>
      <c r="I234" s="93">
        <f t="shared" si="3"/>
        <v>-7.8847547201977841E-3</v>
      </c>
      <c r="J234" s="85"/>
      <c r="K234" s="85"/>
    </row>
    <row r="235" spans="1:11" ht="15.6">
      <c r="A235" s="148">
        <v>41212</v>
      </c>
      <c r="B235" s="88">
        <v>3.95</v>
      </c>
      <c r="G235" s="90">
        <v>41216</v>
      </c>
      <c r="H235" s="91">
        <v>231.48</v>
      </c>
      <c r="I235" s="93">
        <f t="shared" si="3"/>
        <v>-5.5846722226995382E-3</v>
      </c>
      <c r="J235" s="85"/>
      <c r="K235" s="85"/>
    </row>
    <row r="236" spans="1:11" ht="15.6">
      <c r="A236" s="148">
        <v>41213</v>
      </c>
      <c r="B236" s="88">
        <v>4</v>
      </c>
      <c r="G236" s="90">
        <v>41219</v>
      </c>
      <c r="H236" s="91">
        <v>235.28</v>
      </c>
      <c r="I236" s="93">
        <f t="shared" si="3"/>
        <v>1.641610506307245E-2</v>
      </c>
      <c r="J236" s="85"/>
      <c r="K236" s="85"/>
    </row>
    <row r="237" spans="1:11" ht="15.6">
      <c r="A237" s="148">
        <v>41214</v>
      </c>
      <c r="B237" s="88">
        <v>4.01</v>
      </c>
      <c r="G237" s="90">
        <v>41220</v>
      </c>
      <c r="H237" s="91">
        <v>236.97</v>
      </c>
      <c r="I237" s="93">
        <f t="shared" si="3"/>
        <v>7.1829309758586479E-3</v>
      </c>
      <c r="J237" s="85"/>
      <c r="K237" s="85"/>
    </row>
    <row r="238" spans="1:11" ht="15.6">
      <c r="A238" s="148">
        <v>41215</v>
      </c>
      <c r="B238" s="88">
        <v>4</v>
      </c>
      <c r="G238" s="90">
        <v>41221</v>
      </c>
      <c r="H238" s="91">
        <v>231.89</v>
      </c>
      <c r="I238" s="93">
        <f t="shared" si="3"/>
        <v>-2.1437312740009373E-2</v>
      </c>
      <c r="J238" s="85"/>
      <c r="K238" s="85"/>
    </row>
    <row r="239" spans="1:11" ht="15.6">
      <c r="A239" s="148">
        <v>41216</v>
      </c>
      <c r="B239" s="88">
        <v>4.01</v>
      </c>
      <c r="G239" s="90">
        <v>41222</v>
      </c>
      <c r="H239" s="91">
        <v>230.4</v>
      </c>
      <c r="I239" s="93">
        <f t="shared" si="3"/>
        <v>-6.4254603475785155E-3</v>
      </c>
      <c r="J239" s="85"/>
      <c r="K239" s="85"/>
    </row>
    <row r="240" spans="1:11" ht="15.6">
      <c r="A240" s="148">
        <v>41219</v>
      </c>
      <c r="B240" s="88">
        <v>3.99</v>
      </c>
      <c r="G240" s="90">
        <v>41223</v>
      </c>
      <c r="H240" s="91">
        <v>223.81</v>
      </c>
      <c r="I240" s="93">
        <f t="shared" si="3"/>
        <v>-2.8602430555555558E-2</v>
      </c>
      <c r="J240" s="85"/>
      <c r="K240" s="85"/>
    </row>
    <row r="241" spans="1:11" ht="15.6">
      <c r="A241" s="148">
        <v>41220</v>
      </c>
      <c r="B241" s="88">
        <v>3.97</v>
      </c>
      <c r="G241" s="90">
        <v>41226</v>
      </c>
      <c r="H241" s="91">
        <v>221.58</v>
      </c>
      <c r="I241" s="93">
        <f t="shared" si="3"/>
        <v>-9.9638085876412319E-3</v>
      </c>
      <c r="J241" s="85"/>
      <c r="K241" s="85"/>
    </row>
    <row r="242" spans="1:11" ht="15.6">
      <c r="A242" s="148">
        <v>41221</v>
      </c>
      <c r="B242" s="88">
        <v>4.0599999999999996</v>
      </c>
      <c r="G242" s="90">
        <v>41227</v>
      </c>
      <c r="H242" s="91">
        <v>222.12</v>
      </c>
      <c r="I242" s="93">
        <f t="shared" si="3"/>
        <v>2.4370430544271571E-3</v>
      </c>
      <c r="J242" s="85"/>
      <c r="K242" s="85"/>
    </row>
    <row r="243" spans="1:11" ht="15.6">
      <c r="A243" s="148">
        <v>41222</v>
      </c>
      <c r="B243" s="88">
        <v>4.1900000000000004</v>
      </c>
      <c r="G243" s="90">
        <v>41228</v>
      </c>
      <c r="H243" s="91">
        <v>223.39</v>
      </c>
      <c r="I243" s="93">
        <f t="shared" si="3"/>
        <v>5.7176301098504911E-3</v>
      </c>
      <c r="J243" s="85"/>
      <c r="K243" s="85"/>
    </row>
    <row r="244" spans="1:11" ht="15.6">
      <c r="A244" s="148">
        <v>41223</v>
      </c>
      <c r="B244" s="88">
        <v>4.2</v>
      </c>
      <c r="G244" s="90">
        <v>41229</v>
      </c>
      <c r="H244" s="91">
        <v>223.45</v>
      </c>
      <c r="I244" s="93">
        <f t="shared" si="3"/>
        <v>2.6858856707989709E-4</v>
      </c>
      <c r="J244" s="85"/>
      <c r="K244" s="85"/>
    </row>
    <row r="245" spans="1:11" ht="15.6">
      <c r="A245" s="148">
        <v>41226</v>
      </c>
      <c r="B245" s="88">
        <v>4.47</v>
      </c>
      <c r="G245" s="90">
        <v>41230</v>
      </c>
      <c r="H245" s="91">
        <v>222.88</v>
      </c>
      <c r="I245" s="93">
        <f t="shared" si="3"/>
        <v>-2.5509062430073559E-3</v>
      </c>
      <c r="J245" s="85"/>
      <c r="K245" s="85"/>
    </row>
    <row r="246" spans="1:11" ht="15.6">
      <c r="A246" s="148">
        <v>41227</v>
      </c>
      <c r="B246" s="88">
        <v>4.3899999999999997</v>
      </c>
      <c r="G246" s="90">
        <v>41233</v>
      </c>
      <c r="H246" s="91">
        <v>223.7</v>
      </c>
      <c r="I246" s="93">
        <f t="shared" si="3"/>
        <v>3.6791098348887274E-3</v>
      </c>
      <c r="J246" s="85"/>
      <c r="K246" s="85"/>
    </row>
    <row r="247" spans="1:11" ht="15.6">
      <c r="A247" s="148">
        <v>41228</v>
      </c>
      <c r="B247" s="88">
        <v>4.3899999999999997</v>
      </c>
      <c r="G247" s="90">
        <v>41234</v>
      </c>
      <c r="H247" s="91">
        <v>225.76</v>
      </c>
      <c r="I247" s="93">
        <f t="shared" si="3"/>
        <v>9.2087617344658312E-3</v>
      </c>
      <c r="J247" s="85"/>
      <c r="K247" s="85"/>
    </row>
    <row r="248" spans="1:11" ht="15.6">
      <c r="A248" s="148">
        <v>41229</v>
      </c>
      <c r="B248" s="88">
        <v>4.37</v>
      </c>
      <c r="G248" s="90">
        <v>41235</v>
      </c>
      <c r="H248" s="91">
        <v>225.09</v>
      </c>
      <c r="I248" s="93">
        <f t="shared" si="3"/>
        <v>-2.9677533664067557E-3</v>
      </c>
      <c r="J248" s="85"/>
      <c r="K248" s="85"/>
    </row>
    <row r="249" spans="1:11" ht="15.6">
      <c r="A249" s="148">
        <v>41230</v>
      </c>
      <c r="B249" s="88">
        <v>4.45</v>
      </c>
      <c r="G249" s="90">
        <v>41236</v>
      </c>
      <c r="H249" s="91">
        <v>224.34</v>
      </c>
      <c r="I249" s="93">
        <f t="shared" si="3"/>
        <v>-3.3320005331201052E-3</v>
      </c>
      <c r="J249" s="85"/>
      <c r="K249" s="85"/>
    </row>
    <row r="250" spans="1:11" ht="15.6">
      <c r="A250" s="148">
        <v>41233</v>
      </c>
      <c r="B250" s="88">
        <v>4.45</v>
      </c>
      <c r="G250" s="90">
        <v>41237</v>
      </c>
      <c r="H250" s="91">
        <v>225.39</v>
      </c>
      <c r="I250" s="93">
        <f t="shared" si="3"/>
        <v>4.6803958277612523E-3</v>
      </c>
      <c r="J250" s="85"/>
      <c r="K250" s="85"/>
    </row>
    <row r="251" spans="1:11" ht="15.6">
      <c r="A251" s="148">
        <v>41234</v>
      </c>
      <c r="B251" s="88">
        <v>4.43</v>
      </c>
      <c r="G251" s="90">
        <v>41240</v>
      </c>
      <c r="H251" s="91">
        <v>227.09</v>
      </c>
      <c r="I251" s="93">
        <f t="shared" si="3"/>
        <v>7.5424819202272175E-3</v>
      </c>
      <c r="J251" s="85"/>
      <c r="K251" s="85"/>
    </row>
    <row r="252" spans="1:11" ht="15.6">
      <c r="A252" s="148">
        <v>41235</v>
      </c>
      <c r="B252" s="88">
        <v>4.45</v>
      </c>
      <c r="G252" s="90">
        <v>41241</v>
      </c>
      <c r="H252" s="91">
        <v>225.93</v>
      </c>
      <c r="I252" s="93">
        <f t="shared" si="3"/>
        <v>-5.1081069179620409E-3</v>
      </c>
      <c r="J252" s="85"/>
      <c r="K252" s="85"/>
    </row>
    <row r="253" spans="1:11" ht="15.6">
      <c r="A253" s="148">
        <v>41236</v>
      </c>
      <c r="B253" s="88">
        <v>4.45</v>
      </c>
      <c r="G253" s="90">
        <v>41242</v>
      </c>
      <c r="H253" s="91">
        <v>226.96</v>
      </c>
      <c r="I253" s="93">
        <f t="shared" si="3"/>
        <v>4.5589341831540064E-3</v>
      </c>
      <c r="J253" s="85"/>
      <c r="K253" s="85"/>
    </row>
    <row r="254" spans="1:11" ht="15.6">
      <c r="A254" s="148">
        <v>41237</v>
      </c>
      <c r="B254" s="88">
        <v>4.4800000000000004</v>
      </c>
      <c r="G254" s="90">
        <v>41243</v>
      </c>
      <c r="H254" s="91">
        <v>225.51</v>
      </c>
      <c r="I254" s="93">
        <f t="shared" si="3"/>
        <v>-6.3887909763835626E-3</v>
      </c>
      <c r="J254" s="85"/>
      <c r="K254" s="85"/>
    </row>
    <row r="255" spans="1:11" ht="15.6">
      <c r="A255" s="148">
        <v>41240</v>
      </c>
      <c r="B255" s="88">
        <v>4.47</v>
      </c>
      <c r="G255" s="90">
        <v>41244</v>
      </c>
      <c r="H255" s="91">
        <v>224.41</v>
      </c>
      <c r="I255" s="93">
        <f t="shared" si="3"/>
        <v>-4.8778324686266084E-3</v>
      </c>
      <c r="J255" s="85"/>
      <c r="K255" s="85"/>
    </row>
    <row r="256" spans="1:11" ht="15.6">
      <c r="A256" s="148">
        <v>41241</v>
      </c>
      <c r="B256" s="88">
        <v>4.46</v>
      </c>
      <c r="G256" s="90">
        <v>41247</v>
      </c>
      <c r="H256" s="91">
        <v>224.81</v>
      </c>
      <c r="I256" s="93">
        <f t="shared" si="3"/>
        <v>1.7824517623992175E-3</v>
      </c>
      <c r="J256" s="85"/>
      <c r="K256" s="85"/>
    </row>
    <row r="257" spans="1:11" ht="15.6">
      <c r="A257" s="148">
        <v>41242</v>
      </c>
      <c r="B257" s="88">
        <v>4.3899999999999997</v>
      </c>
      <c r="G257" s="90">
        <v>41248</v>
      </c>
      <c r="H257" s="91">
        <v>226.43</v>
      </c>
      <c r="I257" s="93">
        <f t="shared" si="3"/>
        <v>7.2060851385615798E-3</v>
      </c>
      <c r="J257" s="85"/>
      <c r="K257" s="85"/>
    </row>
    <row r="258" spans="1:11" ht="15.6">
      <c r="A258" s="148">
        <v>41243</v>
      </c>
      <c r="B258" s="88">
        <v>4.4400000000000004</v>
      </c>
      <c r="G258" s="90">
        <v>41249</v>
      </c>
      <c r="H258" s="91">
        <v>228.06</v>
      </c>
      <c r="I258" s="93">
        <f t="shared" si="3"/>
        <v>7.1986927527269984E-3</v>
      </c>
      <c r="J258" s="85"/>
      <c r="K258" s="85"/>
    </row>
    <row r="259" spans="1:11" ht="15.6">
      <c r="A259" s="148">
        <v>41244</v>
      </c>
      <c r="B259" s="88">
        <v>4.45</v>
      </c>
      <c r="G259" s="90">
        <v>41250</v>
      </c>
      <c r="H259" s="91">
        <v>230.37</v>
      </c>
      <c r="I259" s="93">
        <f t="shared" si="3"/>
        <v>1.012891344383049E-2</v>
      </c>
      <c r="J259" s="85"/>
      <c r="K259" s="85"/>
    </row>
    <row r="260" spans="1:11" ht="15.6">
      <c r="A260" s="148">
        <v>41247</v>
      </c>
      <c r="B260" s="88">
        <v>4.42</v>
      </c>
      <c r="G260" s="90">
        <v>41251</v>
      </c>
      <c r="H260" s="91">
        <v>230.29</v>
      </c>
      <c r="I260" s="93">
        <f t="shared" si="3"/>
        <v>-3.4726743933677362E-4</v>
      </c>
      <c r="J260" s="85"/>
      <c r="K260" s="85"/>
    </row>
    <row r="261" spans="1:11" ht="15.6">
      <c r="A261" s="148">
        <v>41248</v>
      </c>
      <c r="B261" s="88">
        <v>4.37</v>
      </c>
      <c r="G261" s="90">
        <v>41254</v>
      </c>
      <c r="H261" s="91">
        <v>228.75</v>
      </c>
      <c r="I261" s="93">
        <f t="shared" si="3"/>
        <v>-6.6872204611576613E-3</v>
      </c>
      <c r="J261" s="85"/>
      <c r="K261" s="85"/>
    </row>
    <row r="262" spans="1:11" ht="15.6">
      <c r="A262" s="148">
        <v>41249</v>
      </c>
      <c r="B262" s="88">
        <v>4.34</v>
      </c>
      <c r="G262" s="90">
        <v>41255</v>
      </c>
      <c r="H262" s="91">
        <v>229.97</v>
      </c>
      <c r="I262" s="93">
        <f t="shared" si="3"/>
        <v>5.3333333333334121E-3</v>
      </c>
      <c r="J262" s="85"/>
      <c r="K262" s="85"/>
    </row>
    <row r="263" spans="1:11" ht="15.6">
      <c r="A263" s="148">
        <v>41250</v>
      </c>
      <c r="B263" s="88">
        <v>4.34</v>
      </c>
      <c r="G263" s="90">
        <v>41256</v>
      </c>
      <c r="H263" s="91">
        <v>228.72</v>
      </c>
      <c r="I263" s="93">
        <f t="shared" si="3"/>
        <v>-5.435491585858987E-3</v>
      </c>
      <c r="J263" s="85"/>
      <c r="K263" s="85"/>
    </row>
    <row r="264" spans="1:11" ht="15.6">
      <c r="A264" s="148">
        <v>41251</v>
      </c>
      <c r="B264" s="88">
        <v>4.3499999999999996</v>
      </c>
      <c r="G264" s="90">
        <v>41257</v>
      </c>
      <c r="H264" s="91">
        <v>225.15</v>
      </c>
      <c r="I264" s="93">
        <f t="shared" si="3"/>
        <v>-1.5608604407135296E-2</v>
      </c>
      <c r="J264" s="85"/>
      <c r="K264" s="85"/>
    </row>
    <row r="265" spans="1:11" ht="15.6">
      <c r="A265" s="148">
        <v>41254</v>
      </c>
      <c r="B265" s="88">
        <v>4.3899999999999997</v>
      </c>
      <c r="G265" s="90">
        <v>41258</v>
      </c>
      <c r="H265" s="91">
        <v>224.59</v>
      </c>
      <c r="I265" s="93">
        <f t="shared" si="3"/>
        <v>-2.4872307350655154E-3</v>
      </c>
      <c r="J265" s="85"/>
      <c r="K265" s="85"/>
    </row>
    <row r="266" spans="1:11" ht="15.6">
      <c r="A266" s="148">
        <v>41255</v>
      </c>
      <c r="B266" s="88">
        <v>4.3499999999999996</v>
      </c>
      <c r="G266" s="90">
        <v>41261</v>
      </c>
      <c r="H266" s="91">
        <v>223.14</v>
      </c>
      <c r="I266" s="93">
        <f t="shared" si="3"/>
        <v>-6.4562090921235216E-3</v>
      </c>
      <c r="J266" s="85"/>
      <c r="K266" s="85"/>
    </row>
    <row r="267" spans="1:11" ht="15.6">
      <c r="A267" s="148">
        <v>41256</v>
      </c>
      <c r="B267" s="88">
        <v>4.34</v>
      </c>
      <c r="G267" s="90">
        <v>41262</v>
      </c>
      <c r="H267" s="91">
        <v>223.06</v>
      </c>
      <c r="I267" s="93">
        <f t="shared" si="3"/>
        <v>-3.5851931522801195E-4</v>
      </c>
      <c r="J267" s="85"/>
      <c r="K267" s="85"/>
    </row>
    <row r="268" spans="1:11" ht="15.6">
      <c r="A268" s="148">
        <v>41257</v>
      </c>
      <c r="B268" s="88">
        <v>4.45</v>
      </c>
      <c r="G268" s="90">
        <v>41263</v>
      </c>
      <c r="H268" s="91">
        <v>223.36</v>
      </c>
      <c r="I268" s="93">
        <f t="shared" si="3"/>
        <v>1.3449296153502655E-3</v>
      </c>
      <c r="J268" s="85"/>
      <c r="K268" s="85"/>
    </row>
    <row r="269" spans="1:11" ht="15.6">
      <c r="A269" s="148">
        <v>41258</v>
      </c>
      <c r="B269" s="88">
        <v>4.43</v>
      </c>
      <c r="G269" s="90">
        <v>41264</v>
      </c>
      <c r="H269" s="91">
        <v>221.07</v>
      </c>
      <c r="I269" s="93">
        <f t="shared" si="3"/>
        <v>-1.0252507163323821E-2</v>
      </c>
      <c r="J269" s="85"/>
      <c r="K269" s="85"/>
    </row>
    <row r="270" spans="1:11" ht="15.6">
      <c r="A270" s="148">
        <v>41261</v>
      </c>
      <c r="B270" s="88">
        <v>4.43</v>
      </c>
      <c r="G270" s="90">
        <v>41265</v>
      </c>
      <c r="H270" s="91">
        <v>221.09</v>
      </c>
      <c r="I270" s="93">
        <f t="shared" si="3"/>
        <v>9.0469082191235728E-5</v>
      </c>
      <c r="J270" s="85"/>
      <c r="K270" s="85"/>
    </row>
    <row r="271" spans="1:11" ht="15.6">
      <c r="A271" s="148">
        <v>41262</v>
      </c>
      <c r="B271" s="88">
        <v>4.4000000000000004</v>
      </c>
      <c r="G271" s="90">
        <v>41268</v>
      </c>
      <c r="H271" s="91">
        <v>221.09</v>
      </c>
      <c r="I271" s="93">
        <f t="shared" ref="I271:I334" si="4">H271/H270-1</f>
        <v>0</v>
      </c>
      <c r="J271" s="85"/>
      <c r="K271" s="85"/>
    </row>
    <row r="272" spans="1:11" ht="15.6">
      <c r="A272" s="148">
        <v>41263</v>
      </c>
      <c r="B272" s="88">
        <v>4.37</v>
      </c>
      <c r="G272" s="90">
        <v>41269</v>
      </c>
      <c r="H272" s="91">
        <v>221.76</v>
      </c>
      <c r="I272" s="93">
        <f t="shared" si="4"/>
        <v>3.0304400922700481E-3</v>
      </c>
      <c r="J272" s="85"/>
      <c r="K272" s="85"/>
    </row>
    <row r="273" spans="1:11" ht="15.6">
      <c r="A273" s="148">
        <v>41264</v>
      </c>
      <c r="B273" s="88">
        <v>4.3600000000000003</v>
      </c>
      <c r="G273" s="90">
        <v>41270</v>
      </c>
      <c r="H273" s="91">
        <v>223.94</v>
      </c>
      <c r="I273" s="93">
        <f t="shared" si="4"/>
        <v>9.8304473304473561E-3</v>
      </c>
      <c r="J273" s="85"/>
      <c r="K273" s="85"/>
    </row>
    <row r="274" spans="1:11" ht="15.6">
      <c r="A274" s="148">
        <v>41265</v>
      </c>
      <c r="B274" s="88">
        <v>4.37</v>
      </c>
      <c r="G274" s="90">
        <v>41271</v>
      </c>
      <c r="H274" s="91">
        <v>225.88</v>
      </c>
      <c r="I274" s="93">
        <f t="shared" si="4"/>
        <v>8.6630347414486941E-3</v>
      </c>
      <c r="J274" s="85"/>
      <c r="K274" s="85"/>
    </row>
    <row r="275" spans="1:11" ht="15.6">
      <c r="A275" s="148">
        <v>41268</v>
      </c>
      <c r="B275" s="179">
        <v>4.37</v>
      </c>
      <c r="G275" s="90">
        <v>41272</v>
      </c>
      <c r="H275" s="91">
        <v>227.2</v>
      </c>
      <c r="I275" s="93">
        <f t="shared" si="4"/>
        <v>5.8438108730298755E-3</v>
      </c>
      <c r="J275" s="85"/>
      <c r="K275" s="85"/>
    </row>
    <row r="276" spans="1:11" ht="15.6">
      <c r="A276" s="148">
        <v>41269</v>
      </c>
      <c r="B276" s="88">
        <v>4.37</v>
      </c>
      <c r="G276" s="90">
        <v>41275</v>
      </c>
      <c r="H276" s="91">
        <v>227.1</v>
      </c>
      <c r="I276" s="93">
        <f t="shared" si="4"/>
        <v>-4.4014084507038032E-4</v>
      </c>
      <c r="J276" s="85"/>
      <c r="K276" s="85"/>
    </row>
    <row r="277" spans="1:11" ht="15.6">
      <c r="A277" s="148">
        <v>41270</v>
      </c>
      <c r="B277" s="88">
        <v>4.3600000000000003</v>
      </c>
      <c r="G277" s="90">
        <v>41276</v>
      </c>
      <c r="H277" s="91">
        <v>228.36</v>
      </c>
      <c r="I277" s="93">
        <f t="shared" si="4"/>
        <v>5.5482166446501058E-3</v>
      </c>
      <c r="J277" s="85"/>
      <c r="K277" s="85"/>
    </row>
    <row r="278" spans="1:11" ht="15.6">
      <c r="A278" s="148">
        <v>41271</v>
      </c>
      <c r="B278" s="88">
        <v>4.34</v>
      </c>
      <c r="G278" s="90">
        <v>41277</v>
      </c>
      <c r="H278" s="91">
        <v>229.35</v>
      </c>
      <c r="I278" s="93">
        <f t="shared" si="4"/>
        <v>4.3352601156068094E-3</v>
      </c>
      <c r="J278" s="85"/>
      <c r="K278" s="85"/>
    </row>
    <row r="279" spans="1:11" ht="15.6">
      <c r="A279" s="148">
        <v>41272</v>
      </c>
      <c r="B279" s="88">
        <v>4.32</v>
      </c>
      <c r="G279" s="90">
        <v>41278</v>
      </c>
      <c r="H279" s="91">
        <v>232.01</v>
      </c>
      <c r="I279" s="93">
        <f t="shared" si="4"/>
        <v>1.1597994331807193E-2</v>
      </c>
      <c r="J279" s="85"/>
      <c r="K279" s="85"/>
    </row>
    <row r="280" spans="1:11" ht="15.6">
      <c r="A280" s="148">
        <v>41273</v>
      </c>
      <c r="B280" s="88">
        <v>4.33</v>
      </c>
      <c r="G280" s="90">
        <v>41279</v>
      </c>
      <c r="H280" s="91">
        <v>231.8</v>
      </c>
      <c r="I280" s="93">
        <f t="shared" si="4"/>
        <v>-9.0513339942233095E-4</v>
      </c>
      <c r="J280" s="85"/>
      <c r="K280" s="85"/>
    </row>
    <row r="281" spans="1:11" ht="15.6">
      <c r="A281" s="148">
        <v>41275</v>
      </c>
      <c r="B281" s="179">
        <v>4.33</v>
      </c>
      <c r="G281" s="90">
        <v>41282</v>
      </c>
      <c r="H281" s="91">
        <v>231.25</v>
      </c>
      <c r="I281" s="93">
        <f t="shared" si="4"/>
        <v>-2.3727351164797295E-3</v>
      </c>
      <c r="J281" s="85"/>
      <c r="K281" s="85"/>
    </row>
    <row r="282" spans="1:11" ht="15.6">
      <c r="A282" s="148">
        <v>41276</v>
      </c>
      <c r="B282" s="88">
        <v>4.3099999999999996</v>
      </c>
      <c r="G282" s="90">
        <v>41283</v>
      </c>
      <c r="H282" s="91">
        <v>233</v>
      </c>
      <c r="I282" s="93">
        <f t="shared" si="4"/>
        <v>7.5675675675674903E-3</v>
      </c>
      <c r="J282" s="85"/>
      <c r="K282" s="85"/>
    </row>
    <row r="283" spans="1:11" ht="15.6">
      <c r="A283" s="148">
        <v>41277</v>
      </c>
      <c r="B283" s="88">
        <v>4.28</v>
      </c>
      <c r="G283" s="90">
        <v>41284</v>
      </c>
      <c r="H283" s="91">
        <v>232.79</v>
      </c>
      <c r="I283" s="93">
        <f t="shared" si="4"/>
        <v>-9.0128755364815571E-4</v>
      </c>
      <c r="J283" s="85"/>
      <c r="K283" s="85"/>
    </row>
    <row r="284" spans="1:11" ht="15.6">
      <c r="A284" s="148">
        <v>41278</v>
      </c>
      <c r="B284" s="88">
        <v>4.2300000000000004</v>
      </c>
      <c r="G284" s="90">
        <v>41285</v>
      </c>
      <c r="H284" s="91">
        <v>235.15</v>
      </c>
      <c r="I284" s="93">
        <f t="shared" si="4"/>
        <v>1.0137892521156378E-2</v>
      </c>
      <c r="J284" s="85"/>
      <c r="K284" s="85"/>
    </row>
    <row r="285" spans="1:11" ht="15.6">
      <c r="A285" s="148">
        <v>41279</v>
      </c>
      <c r="B285" s="88">
        <v>4.21</v>
      </c>
      <c r="G285" s="90">
        <v>41286</v>
      </c>
      <c r="H285" s="91">
        <v>235.01</v>
      </c>
      <c r="I285" s="93">
        <f t="shared" si="4"/>
        <v>-5.9536466085485795E-4</v>
      </c>
      <c r="J285" s="85"/>
      <c r="K285" s="85"/>
    </row>
    <row r="286" spans="1:11" ht="15.6">
      <c r="A286" s="148">
        <v>41282</v>
      </c>
      <c r="B286" s="88">
        <v>4.22</v>
      </c>
      <c r="G286" s="90">
        <v>41289</v>
      </c>
      <c r="H286" s="91">
        <v>233.55</v>
      </c>
      <c r="I286" s="93">
        <f t="shared" si="4"/>
        <v>-6.2125015956766561E-3</v>
      </c>
      <c r="J286" s="85"/>
      <c r="K286" s="85"/>
    </row>
    <row r="287" spans="1:11" ht="15.6">
      <c r="A287" s="148">
        <v>41283</v>
      </c>
      <c r="B287" s="88">
        <v>4.1900000000000004</v>
      </c>
      <c r="G287" s="90">
        <v>41290</v>
      </c>
      <c r="H287" s="91">
        <v>234.81</v>
      </c>
      <c r="I287" s="93">
        <f t="shared" si="4"/>
        <v>5.3949903660885923E-3</v>
      </c>
      <c r="J287" s="85"/>
      <c r="K287" s="85"/>
    </row>
    <row r="288" spans="1:11" ht="15.6">
      <c r="A288" s="148">
        <v>41284</v>
      </c>
      <c r="B288" s="88">
        <v>4.22</v>
      </c>
      <c r="G288" s="90">
        <v>41291</v>
      </c>
      <c r="H288" s="91">
        <v>235.52</v>
      </c>
      <c r="I288" s="93">
        <f t="shared" si="4"/>
        <v>3.023721306588234E-3</v>
      </c>
      <c r="J288" s="85"/>
      <c r="K288" s="85"/>
    </row>
    <row r="289" spans="1:11" ht="15.6">
      <c r="A289" s="148">
        <v>41285</v>
      </c>
      <c r="B289" s="88">
        <v>4.17</v>
      </c>
      <c r="G289" s="90">
        <v>41292</v>
      </c>
      <c r="H289" s="91">
        <v>234.76</v>
      </c>
      <c r="I289" s="93">
        <f t="shared" si="4"/>
        <v>-3.2269021739130821E-3</v>
      </c>
      <c r="J289" s="85"/>
      <c r="K289" s="85"/>
    </row>
    <row r="290" spans="1:11" ht="15.6">
      <c r="A290" s="148">
        <v>41286</v>
      </c>
      <c r="B290" s="88">
        <v>4.17</v>
      </c>
      <c r="G290" s="90">
        <v>41293</v>
      </c>
      <c r="H290" s="91">
        <v>234.4</v>
      </c>
      <c r="I290" s="93">
        <f t="shared" si="4"/>
        <v>-1.5334810018742262E-3</v>
      </c>
      <c r="J290" s="85"/>
      <c r="K290" s="85"/>
    </row>
    <row r="291" spans="1:11" ht="15.6">
      <c r="A291" s="148">
        <v>41289</v>
      </c>
      <c r="B291" s="88">
        <v>4.17</v>
      </c>
      <c r="G291" s="90">
        <v>41296</v>
      </c>
      <c r="H291" s="91">
        <v>236.72</v>
      </c>
      <c r="I291" s="93">
        <f t="shared" si="4"/>
        <v>9.8976109215016539E-3</v>
      </c>
      <c r="J291" s="85"/>
      <c r="K291" s="85"/>
    </row>
    <row r="292" spans="1:11" ht="15.6">
      <c r="A292" s="148">
        <v>41290</v>
      </c>
      <c r="B292" s="88">
        <v>4.13</v>
      </c>
      <c r="G292" s="90">
        <v>41297</v>
      </c>
      <c r="H292" s="91">
        <v>238.67</v>
      </c>
      <c r="I292" s="93">
        <f t="shared" si="4"/>
        <v>8.2375802636025508E-3</v>
      </c>
      <c r="J292" s="85"/>
      <c r="K292" s="85"/>
    </row>
    <row r="293" spans="1:11" ht="15.6">
      <c r="A293" s="148">
        <v>41291</v>
      </c>
      <c r="B293" s="88">
        <v>4.1399999999999997</v>
      </c>
      <c r="G293" s="90">
        <v>41298</v>
      </c>
      <c r="H293" s="91">
        <v>239.48</v>
      </c>
      <c r="I293" s="93">
        <f t="shared" si="4"/>
        <v>3.3938073490593634E-3</v>
      </c>
      <c r="J293" s="85"/>
      <c r="K293" s="85"/>
    </row>
    <row r="294" spans="1:11" ht="15.6">
      <c r="A294" s="148">
        <v>41292</v>
      </c>
      <c r="B294" s="88">
        <v>4.2</v>
      </c>
      <c r="G294" s="90">
        <v>41299</v>
      </c>
      <c r="H294" s="91">
        <v>240.14</v>
      </c>
      <c r="I294" s="93">
        <f t="shared" si="4"/>
        <v>2.7559712710873985E-3</v>
      </c>
      <c r="J294" s="85"/>
      <c r="K294" s="85"/>
    </row>
    <row r="295" spans="1:11" ht="15.6">
      <c r="A295" s="148">
        <v>41293</v>
      </c>
      <c r="B295" s="88">
        <v>4.21</v>
      </c>
      <c r="G295" s="90">
        <v>41300</v>
      </c>
      <c r="H295" s="91">
        <v>240.07</v>
      </c>
      <c r="I295" s="93">
        <f t="shared" si="4"/>
        <v>-2.9149662696759115E-4</v>
      </c>
      <c r="J295" s="85"/>
      <c r="K295" s="85"/>
    </row>
    <row r="296" spans="1:11" ht="15.6">
      <c r="A296" s="148">
        <v>41296</v>
      </c>
      <c r="B296" s="88">
        <v>4.17</v>
      </c>
      <c r="G296" s="90">
        <v>41303</v>
      </c>
      <c r="H296" s="91">
        <v>239.29</v>
      </c>
      <c r="I296" s="93">
        <f t="shared" si="4"/>
        <v>-3.2490523597283882E-3</v>
      </c>
      <c r="J296" s="85"/>
      <c r="K296" s="85"/>
    </row>
    <row r="297" spans="1:11" ht="15.6">
      <c r="A297" s="148">
        <v>41297</v>
      </c>
      <c r="B297" s="88">
        <v>4.1500000000000004</v>
      </c>
      <c r="G297" s="90">
        <v>41304</v>
      </c>
      <c r="H297" s="91">
        <v>238.78</v>
      </c>
      <c r="I297" s="93">
        <f t="shared" si="4"/>
        <v>-2.1313051109531633E-3</v>
      </c>
      <c r="J297" s="85"/>
      <c r="K297" s="85"/>
    </row>
    <row r="298" spans="1:11" ht="15.6">
      <c r="A298" s="148">
        <v>41298</v>
      </c>
      <c r="B298" s="88">
        <v>4.18</v>
      </c>
      <c r="G298" s="90">
        <v>41305</v>
      </c>
      <c r="H298" s="91">
        <v>239.76</v>
      </c>
      <c r="I298" s="93">
        <f t="shared" si="4"/>
        <v>4.1041963313510621E-3</v>
      </c>
      <c r="J298" s="85"/>
      <c r="K298" s="85"/>
    </row>
    <row r="299" spans="1:11" ht="15.6">
      <c r="A299" s="148">
        <v>41299</v>
      </c>
      <c r="B299" s="88">
        <v>4.18</v>
      </c>
      <c r="G299" s="90">
        <v>41306</v>
      </c>
      <c r="H299" s="91">
        <v>240.41</v>
      </c>
      <c r="I299" s="93">
        <f t="shared" si="4"/>
        <v>2.7110443777109694E-3</v>
      </c>
      <c r="J299" s="85"/>
      <c r="K299" s="85"/>
    </row>
    <row r="300" spans="1:11" ht="15.6">
      <c r="A300" s="148">
        <v>41300</v>
      </c>
      <c r="B300" s="88">
        <v>4.16</v>
      </c>
      <c r="G300" s="90">
        <v>41307</v>
      </c>
      <c r="H300" s="91">
        <v>241.59</v>
      </c>
      <c r="I300" s="93">
        <f t="shared" si="4"/>
        <v>4.9082816854539857E-3</v>
      </c>
      <c r="J300" s="85"/>
      <c r="K300" s="85"/>
    </row>
    <row r="301" spans="1:11" ht="15.6">
      <c r="A301" s="148">
        <v>41303</v>
      </c>
      <c r="B301" s="88">
        <v>4.1500000000000004</v>
      </c>
      <c r="G301" s="90">
        <v>41310</v>
      </c>
      <c r="H301" s="91">
        <v>242.39</v>
      </c>
      <c r="I301" s="93">
        <f t="shared" si="4"/>
        <v>3.3113953392109874E-3</v>
      </c>
      <c r="J301" s="85"/>
      <c r="K301" s="85"/>
    </row>
    <row r="302" spans="1:11" ht="15.6">
      <c r="A302" s="148">
        <v>41304</v>
      </c>
      <c r="B302" s="88">
        <v>4.17</v>
      </c>
      <c r="G302" s="90">
        <v>41311</v>
      </c>
      <c r="H302" s="91">
        <v>241.88</v>
      </c>
      <c r="I302" s="93">
        <f t="shared" si="4"/>
        <v>-2.1040471966664587E-3</v>
      </c>
      <c r="J302" s="85"/>
      <c r="K302" s="85"/>
    </row>
    <row r="303" spans="1:11" ht="15.6">
      <c r="A303" s="148">
        <v>41305</v>
      </c>
      <c r="B303" s="88">
        <v>4.16</v>
      </c>
      <c r="G303" s="90">
        <v>41312</v>
      </c>
      <c r="H303" s="91">
        <v>242.82</v>
      </c>
      <c r="I303" s="93">
        <f t="shared" si="4"/>
        <v>3.8862245741690948E-3</v>
      </c>
      <c r="J303" s="85"/>
      <c r="K303" s="85"/>
    </row>
    <row r="304" spans="1:11" ht="15.6">
      <c r="A304" s="148">
        <v>41306</v>
      </c>
      <c r="B304" s="88">
        <v>4.1399999999999997</v>
      </c>
      <c r="G304" s="90">
        <v>41313</v>
      </c>
      <c r="H304" s="91">
        <v>244.01</v>
      </c>
      <c r="I304" s="93">
        <f t="shared" si="4"/>
        <v>4.9007495263981848E-3</v>
      </c>
      <c r="J304" s="85"/>
      <c r="K304" s="85"/>
    </row>
    <row r="305" spans="1:11" ht="15.6">
      <c r="A305" s="148">
        <v>41307</v>
      </c>
      <c r="B305" s="88">
        <v>4.13</v>
      </c>
      <c r="G305" s="90">
        <v>41314</v>
      </c>
      <c r="H305" s="91">
        <v>245.32</v>
      </c>
      <c r="I305" s="93">
        <f t="shared" si="4"/>
        <v>5.3686324330970425E-3</v>
      </c>
      <c r="J305" s="85"/>
      <c r="K305" s="85"/>
    </row>
    <row r="306" spans="1:11" ht="15.6">
      <c r="A306" s="148">
        <v>41310</v>
      </c>
      <c r="B306" s="88">
        <v>4.0999999999999996</v>
      </c>
      <c r="G306" s="90">
        <v>41317</v>
      </c>
      <c r="H306" s="91">
        <v>246.93</v>
      </c>
      <c r="I306" s="93">
        <f t="shared" si="4"/>
        <v>6.5628566769933006E-3</v>
      </c>
      <c r="J306" s="85"/>
      <c r="K306" s="85"/>
    </row>
    <row r="307" spans="1:11" ht="15.6">
      <c r="A307" s="148">
        <v>41311</v>
      </c>
      <c r="B307" s="88">
        <v>4.09</v>
      </c>
      <c r="G307" s="90">
        <v>41318</v>
      </c>
      <c r="H307" s="91">
        <v>246.33</v>
      </c>
      <c r="I307" s="93">
        <f t="shared" si="4"/>
        <v>-2.429838415745289E-3</v>
      </c>
      <c r="J307" s="85"/>
      <c r="K307" s="85"/>
    </row>
    <row r="308" spans="1:11" ht="15.6">
      <c r="A308" s="148">
        <v>41312</v>
      </c>
      <c r="B308" s="88">
        <v>4.08</v>
      </c>
      <c r="G308" s="90">
        <v>41319</v>
      </c>
      <c r="H308" s="91">
        <v>248.43</v>
      </c>
      <c r="I308" s="93">
        <f t="shared" si="4"/>
        <v>8.5251491901108256E-3</v>
      </c>
      <c r="J308" s="85"/>
      <c r="K308" s="85"/>
    </row>
    <row r="309" spans="1:11" ht="15.6">
      <c r="A309" s="148">
        <v>41313</v>
      </c>
      <c r="B309" s="88">
        <v>4.07</v>
      </c>
      <c r="G309" s="90">
        <v>41320</v>
      </c>
      <c r="H309" s="91">
        <v>249.45</v>
      </c>
      <c r="I309" s="93">
        <f t="shared" si="4"/>
        <v>4.105784325564521E-3</v>
      </c>
      <c r="J309" s="85"/>
      <c r="K309" s="85"/>
    </row>
    <row r="310" spans="1:11" ht="15.6">
      <c r="A310" s="148">
        <v>41314</v>
      </c>
      <c r="B310" s="88">
        <v>4.07</v>
      </c>
      <c r="G310" s="90">
        <v>41321</v>
      </c>
      <c r="H310" s="91">
        <v>247.88</v>
      </c>
      <c r="I310" s="93">
        <f t="shared" si="4"/>
        <v>-6.2938464622168677E-3</v>
      </c>
      <c r="J310" s="85"/>
      <c r="K310" s="85"/>
    </row>
    <row r="311" spans="1:11" ht="15.6">
      <c r="A311" s="148">
        <v>41317</v>
      </c>
      <c r="B311" s="88">
        <v>4.07</v>
      </c>
      <c r="G311" s="90">
        <v>41324</v>
      </c>
      <c r="H311" s="91">
        <v>249.14</v>
      </c>
      <c r="I311" s="93">
        <f t="shared" si="4"/>
        <v>5.0831047280941455E-3</v>
      </c>
      <c r="J311" s="85"/>
      <c r="K311" s="85"/>
    </row>
    <row r="312" spans="1:11" ht="15.6">
      <c r="A312" s="148">
        <v>41318</v>
      </c>
      <c r="B312" s="88">
        <v>4.0599999999999996</v>
      </c>
      <c r="G312" s="90">
        <v>41325</v>
      </c>
      <c r="H312" s="91">
        <v>249.31</v>
      </c>
      <c r="I312" s="93">
        <f t="shared" si="4"/>
        <v>6.8234727462468392E-4</v>
      </c>
      <c r="J312" s="85"/>
      <c r="K312" s="85"/>
    </row>
    <row r="313" spans="1:11" ht="15.6">
      <c r="A313" s="148">
        <v>41319</v>
      </c>
      <c r="B313" s="88">
        <v>4.08</v>
      </c>
      <c r="G313" s="90">
        <v>41326</v>
      </c>
      <c r="H313" s="91">
        <v>250.61</v>
      </c>
      <c r="I313" s="93">
        <f t="shared" si="4"/>
        <v>5.2143917211504576E-3</v>
      </c>
      <c r="J313" s="85"/>
      <c r="K313" s="85"/>
    </row>
    <row r="314" spans="1:11" ht="15.6">
      <c r="A314" s="148">
        <v>41320</v>
      </c>
      <c r="B314" s="88">
        <v>4.07</v>
      </c>
      <c r="G314" s="90">
        <v>41327</v>
      </c>
      <c r="H314" s="91">
        <v>250.88</v>
      </c>
      <c r="I314" s="93">
        <f t="shared" si="4"/>
        <v>1.0773712142371217E-3</v>
      </c>
      <c r="J314" s="85"/>
      <c r="K314" s="85"/>
    </row>
    <row r="315" spans="1:11" ht="15.6">
      <c r="A315" s="148">
        <v>41321</v>
      </c>
      <c r="B315" s="88">
        <v>4.0599999999999996</v>
      </c>
      <c r="G315" s="90">
        <v>41328</v>
      </c>
      <c r="H315" s="91">
        <v>248.65</v>
      </c>
      <c r="I315" s="93">
        <f t="shared" si="4"/>
        <v>-8.8887117346938549E-3</v>
      </c>
      <c r="J315" s="85"/>
      <c r="K315" s="85"/>
    </row>
    <row r="316" spans="1:11" ht="15.6">
      <c r="A316" s="148">
        <v>41324</v>
      </c>
      <c r="B316" s="88">
        <v>4.0599999999999996</v>
      </c>
      <c r="G316" s="90">
        <v>41331</v>
      </c>
      <c r="H316" s="91">
        <v>248.09</v>
      </c>
      <c r="I316" s="93">
        <f t="shared" si="4"/>
        <v>-2.2521616730344363E-3</v>
      </c>
      <c r="J316" s="85"/>
      <c r="K316" s="85"/>
    </row>
    <row r="317" spans="1:11" ht="15.6">
      <c r="A317" s="148">
        <v>41325</v>
      </c>
      <c r="B317" s="88">
        <v>4.04</v>
      </c>
      <c r="G317" s="90">
        <v>41332</v>
      </c>
      <c r="H317" s="91">
        <v>246.83</v>
      </c>
      <c r="I317" s="93">
        <f t="shared" si="4"/>
        <v>-5.0788020476439932E-3</v>
      </c>
      <c r="J317" s="85"/>
      <c r="K317" s="85"/>
    </row>
    <row r="318" spans="1:11" ht="15.6">
      <c r="A318" s="148">
        <v>41326</v>
      </c>
      <c r="B318" s="88">
        <v>4.0199999999999996</v>
      </c>
      <c r="G318" s="90">
        <v>41333</v>
      </c>
      <c r="H318" s="91">
        <v>247.47</v>
      </c>
      <c r="I318" s="93">
        <f t="shared" si="4"/>
        <v>2.5928776890977723E-3</v>
      </c>
      <c r="J318" s="85"/>
      <c r="K318" s="85"/>
    </row>
    <row r="319" spans="1:11" ht="15.6">
      <c r="A319" s="148">
        <v>41327</v>
      </c>
      <c r="B319" s="88">
        <v>3.99</v>
      </c>
      <c r="G319" s="90">
        <v>41334</v>
      </c>
      <c r="H319" s="91">
        <v>246.65</v>
      </c>
      <c r="I319" s="93">
        <f t="shared" si="4"/>
        <v>-3.3135329534892399E-3</v>
      </c>
      <c r="J319" s="85"/>
      <c r="K319" s="85"/>
    </row>
    <row r="320" spans="1:11" ht="15.6">
      <c r="A320" s="148">
        <v>41328</v>
      </c>
      <c r="B320" s="88">
        <v>3.98</v>
      </c>
      <c r="G320" s="90">
        <v>41335</v>
      </c>
      <c r="H320" s="91">
        <v>246.06</v>
      </c>
      <c r="I320" s="93">
        <f t="shared" si="4"/>
        <v>-2.3920535171295665E-3</v>
      </c>
      <c r="J320" s="85"/>
      <c r="K320" s="85"/>
    </row>
    <row r="321" spans="1:11" ht="15.6">
      <c r="A321" s="148">
        <v>41331</v>
      </c>
      <c r="B321" s="88">
        <v>3.98</v>
      </c>
      <c r="G321" s="90">
        <v>41338</v>
      </c>
      <c r="H321" s="91">
        <v>247.03</v>
      </c>
      <c r="I321" s="93">
        <f t="shared" si="4"/>
        <v>3.9421279362756856E-3</v>
      </c>
      <c r="J321" s="85"/>
      <c r="K321" s="85"/>
    </row>
    <row r="322" spans="1:11" ht="15.6">
      <c r="A322" s="148">
        <v>41332</v>
      </c>
      <c r="B322" s="88">
        <v>4.01</v>
      </c>
      <c r="G322" s="90">
        <v>41339</v>
      </c>
      <c r="H322" s="91">
        <v>247.14</v>
      </c>
      <c r="I322" s="93">
        <f t="shared" si="4"/>
        <v>4.4529004574345166E-4</v>
      </c>
      <c r="J322" s="85"/>
      <c r="K322" s="85"/>
    </row>
    <row r="323" spans="1:11" ht="15.6">
      <c r="A323" s="148">
        <v>41333</v>
      </c>
      <c r="B323" s="88">
        <v>4.0599999999999996</v>
      </c>
      <c r="G323" s="90">
        <v>41340</v>
      </c>
      <c r="H323" s="91">
        <v>246.48</v>
      </c>
      <c r="I323" s="93">
        <f t="shared" si="4"/>
        <v>-2.6705511046369868E-3</v>
      </c>
      <c r="J323" s="85"/>
      <c r="K323" s="85"/>
    </row>
    <row r="324" spans="1:11" ht="15.6">
      <c r="A324" s="148">
        <v>41334</v>
      </c>
      <c r="B324" s="88">
        <v>4.09</v>
      </c>
      <c r="G324" s="90">
        <v>41341</v>
      </c>
      <c r="H324" s="91">
        <v>243.6</v>
      </c>
      <c r="I324" s="93">
        <f t="shared" si="4"/>
        <v>-1.1684518013631906E-2</v>
      </c>
      <c r="J324" s="85"/>
      <c r="K324" s="85"/>
    </row>
    <row r="325" spans="1:11" ht="15.6">
      <c r="A325" s="148">
        <v>41335</v>
      </c>
      <c r="B325" s="88">
        <v>4.09</v>
      </c>
      <c r="G325" s="90">
        <v>41342</v>
      </c>
      <c r="H325" s="91">
        <v>244.26</v>
      </c>
      <c r="I325" s="93">
        <f t="shared" si="4"/>
        <v>2.7093596059113434E-3</v>
      </c>
      <c r="J325" s="85"/>
      <c r="K325" s="85"/>
    </row>
    <row r="326" spans="1:11" ht="15.6">
      <c r="A326" s="148">
        <v>41338</v>
      </c>
      <c r="B326" s="88">
        <v>4.08</v>
      </c>
      <c r="G326" s="90">
        <v>41345</v>
      </c>
      <c r="H326" s="91">
        <v>246.84</v>
      </c>
      <c r="I326" s="93">
        <f t="shared" si="4"/>
        <v>1.0562515352493307E-2</v>
      </c>
      <c r="J326" s="85"/>
      <c r="K326" s="85"/>
    </row>
    <row r="327" spans="1:11" ht="15.6">
      <c r="A327" s="148">
        <v>41339</v>
      </c>
      <c r="B327" s="88">
        <v>4.09</v>
      </c>
      <c r="G327" s="90">
        <v>41346</v>
      </c>
      <c r="H327" s="91">
        <v>247.2</v>
      </c>
      <c r="I327" s="93">
        <f t="shared" si="4"/>
        <v>1.4584346135146919E-3</v>
      </c>
      <c r="J327" s="85"/>
      <c r="K327" s="85"/>
    </row>
    <row r="328" spans="1:11" ht="15.6">
      <c r="A328" s="148">
        <v>41340</v>
      </c>
      <c r="B328" s="88">
        <v>4.1399999999999997</v>
      </c>
      <c r="G328" s="90">
        <v>41347</v>
      </c>
      <c r="H328" s="91">
        <v>248.18</v>
      </c>
      <c r="I328" s="93">
        <f t="shared" si="4"/>
        <v>3.9644012944983764E-3</v>
      </c>
      <c r="J328" s="85"/>
      <c r="K328" s="85"/>
    </row>
    <row r="329" spans="1:11" ht="15.6">
      <c r="A329" s="148">
        <v>41341</v>
      </c>
      <c r="B329" s="88">
        <v>4.21</v>
      </c>
      <c r="G329" s="90">
        <v>41348</v>
      </c>
      <c r="H329" s="91">
        <v>253.13</v>
      </c>
      <c r="I329" s="93">
        <f t="shared" si="4"/>
        <v>1.9945201063743978E-2</v>
      </c>
      <c r="J329" s="85"/>
      <c r="K329" s="85"/>
    </row>
    <row r="330" spans="1:11" ht="15.6">
      <c r="A330" s="148">
        <v>41342</v>
      </c>
      <c r="B330" s="88">
        <v>4.2</v>
      </c>
      <c r="G330" s="90">
        <v>41349</v>
      </c>
      <c r="H330" s="91">
        <v>253.52</v>
      </c>
      <c r="I330" s="93">
        <f t="shared" si="4"/>
        <v>1.540710306956905E-3</v>
      </c>
      <c r="J330" s="85"/>
      <c r="K330" s="85"/>
    </row>
    <row r="331" spans="1:11" ht="15.6">
      <c r="A331" s="148">
        <v>41345</v>
      </c>
      <c r="B331" s="88">
        <v>4.2</v>
      </c>
      <c r="G331" s="90">
        <v>41352</v>
      </c>
      <c r="H331" s="91">
        <v>255.07</v>
      </c>
      <c r="I331" s="93">
        <f t="shared" si="4"/>
        <v>6.1139160618490784E-3</v>
      </c>
      <c r="J331" s="85"/>
      <c r="K331" s="85"/>
    </row>
    <row r="332" spans="1:11" ht="15.6">
      <c r="A332" s="148">
        <v>41346</v>
      </c>
      <c r="B332" s="88">
        <v>4.2300000000000004</v>
      </c>
      <c r="G332" s="90">
        <v>41353</v>
      </c>
      <c r="H332" s="91">
        <v>254.72</v>
      </c>
      <c r="I332" s="93">
        <f t="shared" si="4"/>
        <v>-1.372172344846545E-3</v>
      </c>
      <c r="J332" s="85"/>
      <c r="K332" s="85"/>
    </row>
    <row r="333" spans="1:11" ht="15.6">
      <c r="A333" s="148">
        <v>41347</v>
      </c>
      <c r="B333" s="88">
        <v>4.2</v>
      </c>
      <c r="G333" s="90">
        <v>41354</v>
      </c>
      <c r="H333" s="91">
        <v>253.22</v>
      </c>
      <c r="I333" s="93">
        <f t="shared" si="4"/>
        <v>-5.8888190954773378E-3</v>
      </c>
      <c r="J333" s="85"/>
      <c r="K333" s="85"/>
    </row>
    <row r="334" spans="1:11" ht="15.6">
      <c r="A334" s="148">
        <v>41348</v>
      </c>
      <c r="B334" s="88">
        <v>4.1399999999999997</v>
      </c>
      <c r="G334" s="90">
        <v>41355</v>
      </c>
      <c r="H334" s="91">
        <v>253.65</v>
      </c>
      <c r="I334" s="93">
        <f t="shared" si="4"/>
        <v>1.6981281099439638E-3</v>
      </c>
      <c r="J334" s="85"/>
      <c r="K334" s="85"/>
    </row>
    <row r="335" spans="1:11" ht="15.6">
      <c r="A335" s="148">
        <v>41349</v>
      </c>
      <c r="B335" s="88">
        <v>4.13</v>
      </c>
      <c r="G335" s="90">
        <v>41356</v>
      </c>
      <c r="H335" s="91">
        <v>254.15</v>
      </c>
      <c r="I335" s="93">
        <f t="shared" ref="I335:I398" si="5">H335/H334-1</f>
        <v>1.9712201852946087E-3</v>
      </c>
      <c r="J335" s="85"/>
      <c r="K335" s="85"/>
    </row>
    <row r="336" spans="1:11" ht="15.6">
      <c r="A336" s="148">
        <v>41352</v>
      </c>
      <c r="B336" s="88">
        <v>4.12</v>
      </c>
      <c r="G336" s="90">
        <v>41359</v>
      </c>
      <c r="H336" s="91">
        <v>252.92</v>
      </c>
      <c r="I336" s="93">
        <f t="shared" si="5"/>
        <v>-4.8396616171553219E-3</v>
      </c>
      <c r="J336" s="85"/>
      <c r="K336" s="85"/>
    </row>
    <row r="337" spans="1:11" ht="15.6">
      <c r="A337" s="148">
        <v>41353</v>
      </c>
      <c r="B337" s="88">
        <v>4.0999999999999996</v>
      </c>
      <c r="G337" s="90">
        <v>41360</v>
      </c>
      <c r="H337" s="91">
        <v>254.12</v>
      </c>
      <c r="I337" s="93">
        <f t="shared" si="5"/>
        <v>4.7445832674364308E-3</v>
      </c>
      <c r="J337" s="85"/>
      <c r="K337" s="85"/>
    </row>
    <row r="338" spans="1:11" ht="15.6">
      <c r="A338" s="148">
        <v>41354</v>
      </c>
      <c r="B338" s="88">
        <v>4.08</v>
      </c>
      <c r="G338" s="90">
        <v>41361</v>
      </c>
      <c r="H338" s="91">
        <v>254.5</v>
      </c>
      <c r="I338" s="93">
        <f t="shared" si="5"/>
        <v>1.495356524476632E-3</v>
      </c>
      <c r="J338" s="85"/>
      <c r="K338" s="85"/>
    </row>
    <row r="339" spans="1:11" ht="15.6">
      <c r="A339" s="148">
        <v>41355</v>
      </c>
      <c r="B339" s="88">
        <v>4.12</v>
      </c>
      <c r="G339" s="90">
        <v>41362</v>
      </c>
      <c r="H339" s="91">
        <v>254.18</v>
      </c>
      <c r="I339" s="93">
        <f t="shared" si="5"/>
        <v>-1.2573673870334146E-3</v>
      </c>
      <c r="J339" s="85"/>
      <c r="K339" s="85"/>
    </row>
    <row r="340" spans="1:11" ht="15.6">
      <c r="A340" s="148">
        <v>41356</v>
      </c>
      <c r="B340" s="88">
        <v>4.1100000000000003</v>
      </c>
      <c r="G340" s="90">
        <v>41363</v>
      </c>
      <c r="H340" s="91">
        <v>251.6</v>
      </c>
      <c r="I340" s="93">
        <f t="shared" si="5"/>
        <v>-1.0150287198048669E-2</v>
      </c>
      <c r="J340" s="85"/>
      <c r="K340" s="85"/>
    </row>
    <row r="341" spans="1:11" ht="15.6">
      <c r="A341" s="148">
        <v>41359</v>
      </c>
      <c r="B341" s="88">
        <v>4.08</v>
      </c>
      <c r="G341" s="90">
        <v>41366</v>
      </c>
      <c r="H341" s="91">
        <v>253.29</v>
      </c>
      <c r="I341" s="93">
        <f t="shared" si="5"/>
        <v>6.7170111287757628E-3</v>
      </c>
      <c r="J341" s="85"/>
      <c r="K341" s="85"/>
    </row>
    <row r="342" spans="1:11" ht="15.6">
      <c r="A342" s="148">
        <v>41360</v>
      </c>
      <c r="B342" s="88">
        <v>4.08</v>
      </c>
      <c r="G342" s="90">
        <v>41367</v>
      </c>
      <c r="H342" s="91">
        <v>253.62</v>
      </c>
      <c r="I342" s="93">
        <f t="shared" si="5"/>
        <v>1.3028544356272764E-3</v>
      </c>
      <c r="J342" s="85"/>
      <c r="K342" s="85"/>
    </row>
    <row r="343" spans="1:11" ht="15.6">
      <c r="A343" s="148">
        <v>41361</v>
      </c>
      <c r="B343" s="88">
        <v>4.08</v>
      </c>
      <c r="G343" s="90">
        <v>41368</v>
      </c>
      <c r="H343" s="91">
        <v>254.92</v>
      </c>
      <c r="I343" s="93">
        <f t="shared" si="5"/>
        <v>5.1257787240752695E-3</v>
      </c>
      <c r="J343" s="85"/>
      <c r="K343" s="85"/>
    </row>
    <row r="344" spans="1:11" ht="15.6">
      <c r="A344" s="148">
        <v>41362</v>
      </c>
      <c r="B344" s="88">
        <v>4.07</v>
      </c>
      <c r="G344" s="90">
        <v>41369</v>
      </c>
      <c r="H344" s="91">
        <v>253.83</v>
      </c>
      <c r="I344" s="93">
        <f t="shared" si="5"/>
        <v>-4.2758512474501131E-3</v>
      </c>
      <c r="J344" s="85"/>
      <c r="K344" s="85"/>
    </row>
    <row r="345" spans="1:11" ht="15.6">
      <c r="A345" s="148">
        <v>41363</v>
      </c>
      <c r="B345" s="88">
        <v>4.12</v>
      </c>
      <c r="G345" s="90">
        <v>41370</v>
      </c>
      <c r="H345" s="91">
        <v>253.47</v>
      </c>
      <c r="I345" s="93">
        <f t="shared" si="5"/>
        <v>-1.4182720718591835E-3</v>
      </c>
      <c r="J345" s="85"/>
      <c r="K345" s="85"/>
    </row>
    <row r="346" spans="1:11" ht="15.6">
      <c r="A346" s="148">
        <v>41366</v>
      </c>
      <c r="B346" s="88">
        <v>4.0999999999999996</v>
      </c>
      <c r="G346" s="90">
        <v>41373</v>
      </c>
      <c r="H346" s="91">
        <v>252.94</v>
      </c>
      <c r="I346" s="93">
        <f t="shared" si="5"/>
        <v>-2.0909772359648526E-3</v>
      </c>
      <c r="J346" s="85"/>
      <c r="K346" s="85"/>
    </row>
    <row r="347" spans="1:11" ht="15.6">
      <c r="A347" s="148">
        <v>41367</v>
      </c>
      <c r="B347" s="88">
        <v>4.08</v>
      </c>
      <c r="G347" s="90">
        <v>41374</v>
      </c>
      <c r="H347" s="91">
        <v>252.35</v>
      </c>
      <c r="I347" s="93">
        <f t="shared" si="5"/>
        <v>-2.3325689886929402E-3</v>
      </c>
      <c r="J347" s="85"/>
      <c r="K347" s="85"/>
    </row>
    <row r="348" spans="1:11" ht="15.6">
      <c r="A348" s="148">
        <v>41368</v>
      </c>
      <c r="B348" s="88">
        <v>4.08</v>
      </c>
      <c r="G348" s="90">
        <v>41375</v>
      </c>
      <c r="H348" s="91">
        <v>253.04</v>
      </c>
      <c r="I348" s="93">
        <f t="shared" si="5"/>
        <v>2.7342976025361843E-3</v>
      </c>
      <c r="J348" s="85"/>
      <c r="K348" s="85"/>
    </row>
    <row r="349" spans="1:11" ht="15.6">
      <c r="A349" s="148">
        <v>41369</v>
      </c>
      <c r="B349" s="88">
        <v>4.07</v>
      </c>
      <c r="G349" s="90">
        <v>41376</v>
      </c>
      <c r="H349" s="91">
        <v>253.64</v>
      </c>
      <c r="I349" s="93">
        <f t="shared" si="5"/>
        <v>2.3711666139740739E-3</v>
      </c>
      <c r="J349" s="85"/>
      <c r="K349" s="85"/>
    </row>
    <row r="350" spans="1:11" ht="15.6">
      <c r="A350" s="148">
        <v>41370</v>
      </c>
      <c r="B350" s="88">
        <v>4.07</v>
      </c>
      <c r="G350" s="90">
        <v>41377</v>
      </c>
      <c r="H350" s="91">
        <v>253.06</v>
      </c>
      <c r="I350" s="93">
        <f t="shared" si="5"/>
        <v>-2.286705566945213E-3</v>
      </c>
      <c r="J350" s="85"/>
      <c r="K350" s="85"/>
    </row>
    <row r="351" spans="1:11" ht="15.6">
      <c r="A351" s="148">
        <v>41373</v>
      </c>
      <c r="B351" s="88">
        <v>4.08</v>
      </c>
      <c r="G351" s="90">
        <v>41380</v>
      </c>
      <c r="H351" s="91">
        <v>253.89</v>
      </c>
      <c r="I351" s="93">
        <f t="shared" si="5"/>
        <v>3.2798545799415102E-3</v>
      </c>
      <c r="J351" s="85"/>
      <c r="K351" s="85"/>
    </row>
    <row r="352" spans="1:11" ht="15.6">
      <c r="A352" s="148">
        <v>41374</v>
      </c>
      <c r="B352" s="88">
        <v>4.0599999999999996</v>
      </c>
      <c r="G352" s="90">
        <v>41381</v>
      </c>
      <c r="H352" s="91">
        <v>252.55</v>
      </c>
      <c r="I352" s="93">
        <f t="shared" si="5"/>
        <v>-5.2778762456180406E-3</v>
      </c>
      <c r="J352" s="85"/>
      <c r="K352" s="85"/>
    </row>
    <row r="353" spans="1:11" ht="15.6">
      <c r="A353" s="148">
        <v>41375</v>
      </c>
      <c r="B353" s="88">
        <v>4.05</v>
      </c>
      <c r="G353" s="90">
        <v>41382</v>
      </c>
      <c r="H353" s="91">
        <v>251.38</v>
      </c>
      <c r="I353" s="93">
        <f t="shared" si="5"/>
        <v>-4.6327459908929169E-3</v>
      </c>
      <c r="J353" s="85"/>
      <c r="K353" s="85"/>
    </row>
    <row r="354" spans="1:11" ht="15.6">
      <c r="A354" s="148">
        <v>41376</v>
      </c>
      <c r="B354" s="88">
        <v>4.0199999999999996</v>
      </c>
      <c r="G354" s="90">
        <v>41383</v>
      </c>
      <c r="H354" s="91">
        <v>252.69</v>
      </c>
      <c r="I354" s="93">
        <f t="shared" si="5"/>
        <v>5.2112339883840786E-3</v>
      </c>
      <c r="J354" s="85"/>
      <c r="K354" s="85"/>
    </row>
    <row r="355" spans="1:11" ht="15.6">
      <c r="A355" s="148">
        <v>41377</v>
      </c>
      <c r="B355" s="179">
        <v>4.0199999999999996</v>
      </c>
      <c r="G355" s="90">
        <v>41384</v>
      </c>
      <c r="H355" s="91">
        <v>253.13</v>
      </c>
      <c r="I355" s="93">
        <f t="shared" si="5"/>
        <v>1.7412639993668044E-3</v>
      </c>
      <c r="J355" s="85"/>
      <c r="K355" s="85"/>
    </row>
    <row r="356" spans="1:11" ht="15.6">
      <c r="A356" s="148">
        <v>41380</v>
      </c>
      <c r="B356" s="88">
        <v>4</v>
      </c>
      <c r="G356" s="90">
        <v>41387</v>
      </c>
      <c r="H356" s="91">
        <v>255.3</v>
      </c>
      <c r="I356" s="93">
        <f t="shared" si="5"/>
        <v>8.5726701694781582E-3</v>
      </c>
      <c r="J356" s="85"/>
      <c r="K356" s="85"/>
    </row>
    <row r="357" spans="1:11" ht="15.6">
      <c r="A357" s="148">
        <v>41381</v>
      </c>
      <c r="B357" s="88">
        <v>4</v>
      </c>
      <c r="G357" s="90">
        <v>41388</v>
      </c>
      <c r="H357" s="91">
        <v>257.85000000000002</v>
      </c>
      <c r="I357" s="93">
        <f t="shared" si="5"/>
        <v>9.9882491186840117E-3</v>
      </c>
      <c r="J357" s="85"/>
      <c r="K357" s="85"/>
    </row>
    <row r="358" spans="1:11" ht="15.6">
      <c r="A358" s="148">
        <v>41382</v>
      </c>
      <c r="B358" s="88">
        <v>4.01</v>
      </c>
      <c r="G358" s="90">
        <v>41389</v>
      </c>
      <c r="H358" s="91">
        <v>257.64</v>
      </c>
      <c r="I358" s="93">
        <f t="shared" si="5"/>
        <v>-8.144269924376113E-4</v>
      </c>
      <c r="J358" s="85"/>
      <c r="K358" s="85"/>
    </row>
    <row r="359" spans="1:11" ht="15.6">
      <c r="A359" s="148">
        <v>41383</v>
      </c>
      <c r="B359" s="88">
        <v>4.0199999999999996</v>
      </c>
      <c r="G359" s="90">
        <v>41390</v>
      </c>
      <c r="H359" s="91">
        <v>256.94</v>
      </c>
      <c r="I359" s="93">
        <f t="shared" si="5"/>
        <v>-2.7169694146871315E-3</v>
      </c>
      <c r="J359" s="85"/>
      <c r="K359" s="85"/>
    </row>
    <row r="360" spans="1:11" ht="15.6">
      <c r="A360" s="148">
        <v>41384</v>
      </c>
      <c r="B360" s="88">
        <v>4</v>
      </c>
      <c r="G360" s="90">
        <v>41391</v>
      </c>
      <c r="H360" s="91">
        <v>256.82</v>
      </c>
      <c r="I360" s="93">
        <f t="shared" si="5"/>
        <v>-4.6703510547208005E-4</v>
      </c>
      <c r="J360" s="85"/>
      <c r="K360" s="85"/>
    </row>
    <row r="361" spans="1:11" ht="15.6">
      <c r="A361" s="148">
        <v>41387</v>
      </c>
      <c r="B361" s="88">
        <v>4.01</v>
      </c>
      <c r="G361" s="90">
        <v>41394</v>
      </c>
      <c r="H361" s="91">
        <v>257.31</v>
      </c>
      <c r="I361" s="93">
        <f t="shared" si="5"/>
        <v>1.9079510941515387E-3</v>
      </c>
      <c r="J361" s="85"/>
      <c r="K361" s="85"/>
    </row>
    <row r="362" spans="1:11" ht="15.6">
      <c r="A362" s="148">
        <v>41388</v>
      </c>
      <c r="B362" s="88">
        <v>4.01</v>
      </c>
      <c r="G362" s="90">
        <v>41395</v>
      </c>
      <c r="H362" s="91">
        <v>259.01</v>
      </c>
      <c r="I362" s="93">
        <f t="shared" si="5"/>
        <v>6.6068166802688566E-3</v>
      </c>
      <c r="J362" s="85"/>
      <c r="K362" s="85"/>
    </row>
    <row r="363" spans="1:11" ht="15.6">
      <c r="A363" s="148">
        <v>41389</v>
      </c>
      <c r="B363" s="88">
        <v>4.0199999999999996</v>
      </c>
      <c r="G363" s="90">
        <v>41396</v>
      </c>
      <c r="H363" s="91">
        <v>258.26</v>
      </c>
      <c r="I363" s="93">
        <f t="shared" si="5"/>
        <v>-2.8956410949384503E-3</v>
      </c>
      <c r="J363" s="85"/>
      <c r="K363" s="85"/>
    </row>
    <row r="364" spans="1:11" ht="15.6">
      <c r="A364" s="148">
        <v>41390</v>
      </c>
      <c r="B364" s="88">
        <v>4.01</v>
      </c>
      <c r="G364" s="90">
        <v>41397</v>
      </c>
      <c r="H364" s="91">
        <v>256.39999999999998</v>
      </c>
      <c r="I364" s="93">
        <f t="shared" si="5"/>
        <v>-7.2020444513282156E-3</v>
      </c>
      <c r="J364" s="85"/>
      <c r="K364" s="85"/>
    </row>
    <row r="365" spans="1:11" ht="15.6">
      <c r="A365" s="148">
        <v>41391</v>
      </c>
      <c r="B365" s="88">
        <v>4</v>
      </c>
      <c r="G365" s="90">
        <v>41398</v>
      </c>
      <c r="H365" s="91">
        <v>255.71</v>
      </c>
      <c r="I365" s="93">
        <f t="shared" si="5"/>
        <v>-2.6911076443056903E-3</v>
      </c>
      <c r="J365" s="85"/>
      <c r="K365" s="85"/>
    </row>
    <row r="366" spans="1:11" ht="15.6">
      <c r="A366" s="148">
        <v>41393</v>
      </c>
      <c r="B366" s="88">
        <v>4</v>
      </c>
      <c r="G366" s="90">
        <v>41401</v>
      </c>
      <c r="H366" s="91">
        <v>256.45</v>
      </c>
      <c r="I366" s="93">
        <f t="shared" si="5"/>
        <v>2.8939032497750095E-3</v>
      </c>
      <c r="J366" s="85"/>
      <c r="K366" s="85"/>
    </row>
    <row r="367" spans="1:11" ht="15.6">
      <c r="A367" s="148">
        <v>41394</v>
      </c>
      <c r="B367" s="88">
        <v>4.01</v>
      </c>
      <c r="G367" s="90">
        <v>41402</v>
      </c>
      <c r="H367" s="91">
        <v>257.70999999999998</v>
      </c>
      <c r="I367" s="93">
        <f t="shared" si="5"/>
        <v>4.9132384480405911E-3</v>
      </c>
      <c r="J367" s="85"/>
      <c r="K367" s="85"/>
    </row>
    <row r="368" spans="1:11" ht="15.6">
      <c r="A368" s="148">
        <v>41395</v>
      </c>
      <c r="B368" s="88">
        <v>4</v>
      </c>
      <c r="G368" s="90">
        <v>41403</v>
      </c>
      <c r="H368" s="91">
        <v>259.64999999999998</v>
      </c>
      <c r="I368" s="93">
        <f t="shared" si="5"/>
        <v>7.5278413720849535E-3</v>
      </c>
      <c r="J368" s="85"/>
      <c r="K368" s="85"/>
    </row>
    <row r="369" spans="1:11" ht="15.6">
      <c r="A369" s="148">
        <v>41396</v>
      </c>
      <c r="B369" s="88">
        <v>3.99</v>
      </c>
      <c r="G369" s="90">
        <v>41404</v>
      </c>
      <c r="H369" s="91">
        <v>260.27999999999997</v>
      </c>
      <c r="I369" s="93">
        <f t="shared" si="5"/>
        <v>2.4263431542461689E-3</v>
      </c>
      <c r="J369" s="85"/>
      <c r="K369" s="85"/>
    </row>
    <row r="370" spans="1:11" ht="15.6">
      <c r="A370" s="148">
        <v>41397</v>
      </c>
      <c r="B370" s="88">
        <v>4.01</v>
      </c>
      <c r="G370" s="90">
        <v>41405</v>
      </c>
      <c r="H370" s="91">
        <v>260.95</v>
      </c>
      <c r="I370" s="93">
        <f t="shared" si="5"/>
        <v>2.5741509143999419E-3</v>
      </c>
      <c r="J370" s="85"/>
      <c r="K370" s="85"/>
    </row>
    <row r="371" spans="1:11" ht="15.6">
      <c r="A371" s="148">
        <v>41398</v>
      </c>
      <c r="B371" s="88">
        <v>4.03</v>
      </c>
      <c r="G371" s="90">
        <v>41408</v>
      </c>
      <c r="H371" s="91">
        <v>263.10000000000002</v>
      </c>
      <c r="I371" s="93">
        <f t="shared" si="5"/>
        <v>8.2391262694003764E-3</v>
      </c>
      <c r="J371" s="85"/>
      <c r="K371" s="85"/>
    </row>
    <row r="372" spans="1:11" ht="15.6">
      <c r="A372" s="148">
        <v>41401</v>
      </c>
      <c r="B372" s="88">
        <v>4.0199999999999996</v>
      </c>
      <c r="G372" s="90">
        <v>41409</v>
      </c>
      <c r="H372" s="91">
        <v>264.05</v>
      </c>
      <c r="I372" s="93">
        <f t="shared" si="5"/>
        <v>3.610794374762305E-3</v>
      </c>
      <c r="J372" s="85"/>
      <c r="K372" s="85"/>
    </row>
    <row r="373" spans="1:11" ht="15.6">
      <c r="A373" s="148">
        <v>41402</v>
      </c>
      <c r="B373" s="88">
        <v>4.03</v>
      </c>
      <c r="G373" s="90">
        <v>41410</v>
      </c>
      <c r="H373" s="91">
        <v>262.31</v>
      </c>
      <c r="I373" s="93">
        <f t="shared" si="5"/>
        <v>-6.5896610490437935E-3</v>
      </c>
      <c r="J373" s="85"/>
      <c r="K373" s="85"/>
    </row>
    <row r="374" spans="1:11" ht="15.6">
      <c r="A374" s="148">
        <v>41403</v>
      </c>
      <c r="B374" s="88">
        <v>4.0199999999999996</v>
      </c>
      <c r="G374" s="90">
        <v>41411</v>
      </c>
      <c r="H374" s="91">
        <v>256.58</v>
      </c>
      <c r="I374" s="93">
        <f t="shared" si="5"/>
        <v>-2.184438260073962E-2</v>
      </c>
      <c r="J374" s="85"/>
      <c r="K374" s="85"/>
    </row>
    <row r="375" spans="1:11" ht="15.6">
      <c r="A375" s="148">
        <v>41404</v>
      </c>
      <c r="B375" s="88">
        <v>4.01</v>
      </c>
      <c r="G375" s="90">
        <v>41412</v>
      </c>
      <c r="H375" s="91">
        <v>258.86</v>
      </c>
      <c r="I375" s="93">
        <f t="shared" si="5"/>
        <v>8.8861173902876622E-3</v>
      </c>
      <c r="J375" s="85"/>
      <c r="K375" s="85"/>
    </row>
    <row r="376" spans="1:11" ht="15.6">
      <c r="A376" s="148">
        <v>41405</v>
      </c>
      <c r="B376" s="88">
        <v>3.98</v>
      </c>
      <c r="G376" s="90">
        <v>41415</v>
      </c>
      <c r="H376" s="91">
        <v>260.16000000000003</v>
      </c>
      <c r="I376" s="93">
        <f t="shared" si="5"/>
        <v>5.0220196245074344E-3</v>
      </c>
      <c r="J376" s="85"/>
      <c r="K376" s="85"/>
    </row>
    <row r="377" spans="1:11" ht="15.6">
      <c r="A377" s="148">
        <v>41408</v>
      </c>
      <c r="B377" s="88">
        <v>3.94</v>
      </c>
      <c r="G377" s="90">
        <v>41416</v>
      </c>
      <c r="H377" s="91">
        <v>260.23</v>
      </c>
      <c r="I377" s="93">
        <f t="shared" si="5"/>
        <v>2.6906519065184042E-4</v>
      </c>
      <c r="J377" s="85"/>
      <c r="K377" s="85"/>
    </row>
    <row r="378" spans="1:11" ht="15.6">
      <c r="A378" s="148">
        <v>41409</v>
      </c>
      <c r="B378" s="88">
        <v>3.93</v>
      </c>
      <c r="G378" s="90">
        <v>41417</v>
      </c>
      <c r="H378" s="91">
        <v>260.38</v>
      </c>
      <c r="I378" s="93">
        <f t="shared" si="5"/>
        <v>5.7641317296219796E-4</v>
      </c>
      <c r="J378" s="85"/>
      <c r="K378" s="85"/>
    </row>
    <row r="379" spans="1:11" ht="15.6">
      <c r="A379" s="148">
        <v>41410</v>
      </c>
      <c r="B379" s="88">
        <v>3.91</v>
      </c>
      <c r="G379" s="90">
        <v>41418</v>
      </c>
      <c r="H379" s="91">
        <v>262.36</v>
      </c>
      <c r="I379" s="93">
        <f t="shared" si="5"/>
        <v>7.6042706813119754E-3</v>
      </c>
      <c r="J379" s="85"/>
      <c r="K379" s="85"/>
    </row>
    <row r="380" spans="1:11" ht="15.6">
      <c r="A380" s="148">
        <v>41411</v>
      </c>
      <c r="B380" s="88">
        <v>3.97</v>
      </c>
      <c r="G380" s="90">
        <v>41419</v>
      </c>
      <c r="H380" s="91">
        <v>263.08999999999997</v>
      </c>
      <c r="I380" s="93">
        <f t="shared" si="5"/>
        <v>2.7824363470039248E-3</v>
      </c>
      <c r="J380" s="85"/>
      <c r="K380" s="85"/>
    </row>
    <row r="381" spans="1:11" ht="15.6">
      <c r="A381" s="148">
        <v>41412</v>
      </c>
      <c r="B381" s="88">
        <v>3.95</v>
      </c>
      <c r="G381" s="90">
        <v>41422</v>
      </c>
      <c r="H381" s="91">
        <v>262.58</v>
      </c>
      <c r="I381" s="93">
        <f t="shared" si="5"/>
        <v>-1.9385001330343155E-3</v>
      </c>
      <c r="J381" s="85"/>
      <c r="K381" s="85"/>
    </row>
    <row r="382" spans="1:11" ht="15.6">
      <c r="A382" s="148">
        <v>41415</v>
      </c>
      <c r="B382" s="88">
        <v>3.95</v>
      </c>
      <c r="G382" s="90">
        <v>41423</v>
      </c>
      <c r="H382" s="91">
        <v>262.13</v>
      </c>
      <c r="I382" s="93">
        <f t="shared" si="5"/>
        <v>-1.7137634244801525E-3</v>
      </c>
      <c r="J382" s="85"/>
      <c r="K382" s="85"/>
    </row>
    <row r="383" spans="1:11" ht="15.6">
      <c r="A383" s="148">
        <v>41416</v>
      </c>
      <c r="B383" s="88">
        <v>3.95</v>
      </c>
      <c r="G383" s="90">
        <v>41424</v>
      </c>
      <c r="H383" s="91">
        <v>260.52</v>
      </c>
      <c r="I383" s="93">
        <f t="shared" si="5"/>
        <v>-6.1419906153435955E-3</v>
      </c>
      <c r="J383" s="85"/>
      <c r="K383" s="85"/>
    </row>
    <row r="384" spans="1:11" ht="15.6">
      <c r="A384" s="148">
        <v>41417</v>
      </c>
      <c r="B384" s="88">
        <v>3.94</v>
      </c>
      <c r="G384" s="90">
        <v>41425</v>
      </c>
      <c r="H384" s="91">
        <v>261.45</v>
      </c>
      <c r="I384" s="93">
        <f t="shared" si="5"/>
        <v>3.5697835099033348E-3</v>
      </c>
      <c r="J384" s="85"/>
      <c r="K384" s="85"/>
    </row>
    <row r="385" spans="1:11" ht="15.6">
      <c r="A385" s="148">
        <v>41418</v>
      </c>
      <c r="B385" s="88">
        <v>3.92</v>
      </c>
      <c r="G385" s="90">
        <v>41426</v>
      </c>
      <c r="H385" s="91">
        <v>262.81</v>
      </c>
      <c r="I385" s="93">
        <f t="shared" si="5"/>
        <v>5.2017594186268834E-3</v>
      </c>
      <c r="J385" s="85"/>
      <c r="K385" s="85"/>
    </row>
    <row r="386" spans="1:11" ht="15.6">
      <c r="A386" s="148">
        <v>41419</v>
      </c>
      <c r="B386" s="88">
        <v>3.91</v>
      </c>
      <c r="G386" s="90">
        <v>41429</v>
      </c>
      <c r="H386" s="91">
        <v>263.39</v>
      </c>
      <c r="I386" s="93">
        <f t="shared" si="5"/>
        <v>2.2069175449943579E-3</v>
      </c>
      <c r="J386" s="85"/>
      <c r="K386" s="85"/>
    </row>
    <row r="387" spans="1:11" ht="15.6">
      <c r="A387" s="148">
        <v>41422</v>
      </c>
      <c r="B387" s="88">
        <v>3.91</v>
      </c>
      <c r="G387" s="90">
        <v>41430</v>
      </c>
      <c r="H387" s="91">
        <v>262.94</v>
      </c>
      <c r="I387" s="93">
        <f t="shared" si="5"/>
        <v>-1.7084931090777244E-3</v>
      </c>
      <c r="J387" s="85"/>
      <c r="K387" s="85"/>
    </row>
    <row r="388" spans="1:11" ht="15.6">
      <c r="A388" s="148">
        <v>41423</v>
      </c>
      <c r="B388" s="88">
        <v>3.9</v>
      </c>
      <c r="G388" s="90">
        <v>41431</v>
      </c>
      <c r="H388" s="91">
        <v>263.39999999999998</v>
      </c>
      <c r="I388" s="93">
        <f t="shared" si="5"/>
        <v>1.7494485433937612E-3</v>
      </c>
      <c r="J388" s="85"/>
      <c r="K388" s="85"/>
    </row>
    <row r="389" spans="1:11" ht="15.6">
      <c r="A389" s="148">
        <v>41424</v>
      </c>
      <c r="B389" s="88">
        <v>3.95</v>
      </c>
      <c r="G389" s="90">
        <v>41432</v>
      </c>
      <c r="H389" s="91">
        <v>264.14</v>
      </c>
      <c r="I389" s="93">
        <f t="shared" si="5"/>
        <v>2.8094153378892539E-3</v>
      </c>
      <c r="J389" s="85"/>
      <c r="K389" s="85"/>
    </row>
    <row r="390" spans="1:11" ht="15.6">
      <c r="A390" s="148">
        <v>41425</v>
      </c>
      <c r="B390" s="88">
        <v>3.94</v>
      </c>
      <c r="G390" s="90">
        <v>41433</v>
      </c>
      <c r="H390" s="91">
        <v>263.55</v>
      </c>
      <c r="I390" s="93">
        <f t="shared" si="5"/>
        <v>-2.2336639660784918E-3</v>
      </c>
      <c r="J390" s="85"/>
      <c r="K390" s="85"/>
    </row>
    <row r="391" spans="1:11" ht="15.6">
      <c r="A391" s="148">
        <v>41426</v>
      </c>
      <c r="B391" s="88">
        <v>3.92</v>
      </c>
      <c r="G391" s="90">
        <v>41436</v>
      </c>
      <c r="H391" s="91">
        <v>261.63</v>
      </c>
      <c r="I391" s="93">
        <f t="shared" si="5"/>
        <v>-7.2851451337507811E-3</v>
      </c>
      <c r="J391" s="85"/>
      <c r="K391" s="85"/>
    </row>
    <row r="392" spans="1:11" ht="15.6">
      <c r="A392" s="148">
        <v>41429</v>
      </c>
      <c r="B392" s="88">
        <v>3.91</v>
      </c>
      <c r="G392" s="90">
        <v>41437</v>
      </c>
      <c r="H392" s="91">
        <v>261.76</v>
      </c>
      <c r="I392" s="93">
        <f t="shared" si="5"/>
        <v>4.968849138096143E-4</v>
      </c>
      <c r="J392" s="85"/>
      <c r="K392" s="85"/>
    </row>
    <row r="393" spans="1:11" ht="15.6">
      <c r="A393" s="148">
        <v>41430</v>
      </c>
      <c r="B393" s="88">
        <v>3.9</v>
      </c>
      <c r="G393" s="90">
        <v>41438</v>
      </c>
      <c r="H393" s="91">
        <v>262.55</v>
      </c>
      <c r="I393" s="93">
        <f t="shared" si="5"/>
        <v>3.0180317848411686E-3</v>
      </c>
      <c r="J393" s="85"/>
      <c r="K393" s="85"/>
    </row>
    <row r="394" spans="1:11" ht="15.6">
      <c r="A394" s="148">
        <v>41431</v>
      </c>
      <c r="B394" s="88">
        <v>3.92</v>
      </c>
      <c r="G394" s="90">
        <v>41439</v>
      </c>
      <c r="H394" s="91">
        <v>259.94</v>
      </c>
      <c r="I394" s="93">
        <f t="shared" si="5"/>
        <v>-9.9409636259760736E-3</v>
      </c>
      <c r="J394" s="85"/>
      <c r="K394" s="85"/>
    </row>
    <row r="395" spans="1:11" ht="15.6">
      <c r="A395" s="148">
        <v>41432</v>
      </c>
      <c r="B395" s="88">
        <v>3.94</v>
      </c>
      <c r="G395" s="90">
        <v>41440</v>
      </c>
      <c r="H395" s="91">
        <v>260.2</v>
      </c>
      <c r="I395" s="93">
        <f t="shared" si="5"/>
        <v>1.0002308224974499E-3</v>
      </c>
      <c r="J395" s="85"/>
      <c r="K395" s="85"/>
    </row>
    <row r="396" spans="1:11" ht="15.6">
      <c r="A396" s="148">
        <v>41433</v>
      </c>
      <c r="B396" s="88">
        <v>3.95</v>
      </c>
      <c r="G396" s="90">
        <v>41443</v>
      </c>
      <c r="H396" s="91">
        <v>262.45</v>
      </c>
      <c r="I396" s="93">
        <f t="shared" si="5"/>
        <v>8.647194465795538E-3</v>
      </c>
      <c r="J396" s="85"/>
      <c r="K396" s="85"/>
    </row>
    <row r="397" spans="1:11" ht="15.6">
      <c r="A397" s="148">
        <v>41436</v>
      </c>
      <c r="B397" s="88">
        <v>3.96</v>
      </c>
      <c r="G397" s="90">
        <v>41444</v>
      </c>
      <c r="H397" s="91">
        <v>260.97000000000003</v>
      </c>
      <c r="I397" s="93">
        <f t="shared" si="5"/>
        <v>-5.6391693655932773E-3</v>
      </c>
      <c r="J397" s="85"/>
      <c r="K397" s="85"/>
    </row>
    <row r="398" spans="1:11" ht="15.6">
      <c r="A398" s="148">
        <v>41437</v>
      </c>
      <c r="B398" s="88">
        <v>3.96</v>
      </c>
      <c r="G398" s="90">
        <v>41445</v>
      </c>
      <c r="H398" s="91">
        <v>261.14999999999998</v>
      </c>
      <c r="I398" s="93">
        <f t="shared" si="5"/>
        <v>6.8973445223563523E-4</v>
      </c>
      <c r="J398" s="85"/>
      <c r="K398" s="85"/>
    </row>
    <row r="399" spans="1:11" ht="15.6">
      <c r="A399" s="148">
        <v>41438</v>
      </c>
      <c r="B399" s="88">
        <v>3.94</v>
      </c>
      <c r="G399" s="90">
        <v>41446</v>
      </c>
      <c r="H399" s="91">
        <v>261.29000000000002</v>
      </c>
      <c r="I399" s="93">
        <f t="shared" ref="I399:I462" si="6">H399/H398-1</f>
        <v>5.3609036951951516E-4</v>
      </c>
      <c r="J399" s="85"/>
      <c r="K399" s="85"/>
    </row>
    <row r="400" spans="1:11" ht="15.6">
      <c r="A400" s="148">
        <v>41439</v>
      </c>
      <c r="B400" s="88">
        <v>3.95</v>
      </c>
      <c r="G400" s="90">
        <v>41447</v>
      </c>
      <c r="H400" s="91">
        <v>261.83999999999997</v>
      </c>
      <c r="I400" s="93">
        <f t="shared" si="6"/>
        <v>2.1049408702971117E-3</v>
      </c>
      <c r="J400" s="85"/>
      <c r="K400" s="85"/>
    </row>
    <row r="401" spans="1:11" ht="15.6">
      <c r="A401" s="148">
        <v>41440</v>
      </c>
      <c r="B401" s="88">
        <v>3.96</v>
      </c>
      <c r="G401" s="90">
        <v>41450</v>
      </c>
      <c r="H401" s="91">
        <v>263.62</v>
      </c>
      <c r="I401" s="93">
        <f t="shared" si="6"/>
        <v>6.7980446073938605E-3</v>
      </c>
      <c r="J401" s="85"/>
      <c r="K401" s="85"/>
    </row>
    <row r="402" spans="1:11" ht="15.6">
      <c r="A402" s="148">
        <v>41443</v>
      </c>
      <c r="B402" s="88">
        <v>3.96</v>
      </c>
      <c r="G402" s="90">
        <v>41451</v>
      </c>
      <c r="H402" s="91">
        <v>262.77</v>
      </c>
      <c r="I402" s="93">
        <f t="shared" si="6"/>
        <v>-3.2243380623625528E-3</v>
      </c>
      <c r="J402" s="85"/>
      <c r="K402" s="85"/>
    </row>
    <row r="403" spans="1:11" ht="15.6">
      <c r="A403" s="148">
        <v>41444</v>
      </c>
      <c r="B403" s="88">
        <v>3.99</v>
      </c>
      <c r="G403" s="90">
        <v>41452</v>
      </c>
      <c r="H403" s="91">
        <v>261.95999999999998</v>
      </c>
      <c r="I403" s="93">
        <f t="shared" si="6"/>
        <v>-3.0825436693686648E-3</v>
      </c>
      <c r="J403" s="85"/>
      <c r="K403" s="85"/>
    </row>
    <row r="404" spans="1:11" ht="15.6">
      <c r="A404" s="148">
        <v>41445</v>
      </c>
      <c r="B404" s="88">
        <v>4.01</v>
      </c>
      <c r="G404" s="90">
        <v>41453</v>
      </c>
      <c r="H404" s="91">
        <v>262.23</v>
      </c>
      <c r="I404" s="93">
        <f t="shared" si="6"/>
        <v>1.0306917086579936E-3</v>
      </c>
      <c r="J404" s="85"/>
      <c r="K404" s="85"/>
    </row>
    <row r="405" spans="1:11" ht="15.6">
      <c r="A405" s="148">
        <v>41446</v>
      </c>
      <c r="B405" s="88">
        <v>4.01</v>
      </c>
      <c r="G405" s="90">
        <v>41454</v>
      </c>
      <c r="H405" s="91">
        <v>261.76</v>
      </c>
      <c r="I405" s="93">
        <f t="shared" si="6"/>
        <v>-1.7923197193304707E-3</v>
      </c>
      <c r="J405" s="85"/>
      <c r="K405" s="85"/>
    </row>
    <row r="406" spans="1:11" ht="15.6">
      <c r="A406" s="148">
        <v>41447</v>
      </c>
      <c r="B406" s="88">
        <v>4</v>
      </c>
      <c r="G406" s="90">
        <v>41457</v>
      </c>
      <c r="H406" s="91">
        <v>262.77</v>
      </c>
      <c r="I406" s="93">
        <f t="shared" si="6"/>
        <v>3.8584963325183352E-3</v>
      </c>
      <c r="J406" s="85"/>
      <c r="K406" s="85"/>
    </row>
    <row r="407" spans="1:11" ht="15.6">
      <c r="A407" s="148">
        <v>41450</v>
      </c>
      <c r="B407" s="88">
        <v>3.98</v>
      </c>
      <c r="G407" s="90">
        <v>41458</v>
      </c>
      <c r="H407" s="91">
        <v>261.25</v>
      </c>
      <c r="I407" s="93">
        <f t="shared" si="6"/>
        <v>-5.7845263919016343E-3</v>
      </c>
      <c r="J407" s="85"/>
      <c r="K407" s="85"/>
    </row>
    <row r="408" spans="1:11" ht="15.6">
      <c r="A408" s="148">
        <v>41451</v>
      </c>
      <c r="B408" s="88">
        <v>3.99</v>
      </c>
      <c r="G408" s="90">
        <v>41459</v>
      </c>
      <c r="H408" s="91">
        <v>261.86</v>
      </c>
      <c r="I408" s="93">
        <f t="shared" si="6"/>
        <v>2.3349282296651896E-3</v>
      </c>
      <c r="J408" s="85"/>
      <c r="K408" s="85"/>
    </row>
    <row r="409" spans="1:11" ht="15.6">
      <c r="A409" s="148">
        <v>41452</v>
      </c>
      <c r="B409" s="88">
        <v>4.01</v>
      </c>
      <c r="G409" s="90">
        <v>41460</v>
      </c>
      <c r="H409" s="91">
        <v>261.22000000000003</v>
      </c>
      <c r="I409" s="93">
        <f t="shared" si="6"/>
        <v>-2.444054074696389E-3</v>
      </c>
      <c r="J409" s="85"/>
      <c r="K409" s="85"/>
    </row>
    <row r="410" spans="1:11" ht="15.6">
      <c r="A410" s="148">
        <v>41453</v>
      </c>
      <c r="B410" s="88">
        <v>4.03</v>
      </c>
      <c r="G410" s="90">
        <v>41461</v>
      </c>
      <c r="H410" s="91">
        <v>260.44</v>
      </c>
      <c r="I410" s="93">
        <f t="shared" si="6"/>
        <v>-2.9859888216829944E-3</v>
      </c>
      <c r="J410" s="85"/>
      <c r="K410" s="85"/>
    </row>
    <row r="411" spans="1:11" ht="15.6">
      <c r="A411" s="148">
        <v>41454</v>
      </c>
      <c r="B411" s="88">
        <v>4.05</v>
      </c>
      <c r="G411" s="90">
        <v>41464</v>
      </c>
      <c r="H411" s="91">
        <v>261.99</v>
      </c>
      <c r="I411" s="93">
        <f t="shared" si="6"/>
        <v>5.9514667485793815E-3</v>
      </c>
      <c r="J411" s="85"/>
      <c r="K411" s="85"/>
    </row>
    <row r="412" spans="1:11" ht="15.6">
      <c r="A412" s="148">
        <v>41457</v>
      </c>
      <c r="B412" s="88">
        <v>4.07</v>
      </c>
      <c r="G412" s="90">
        <v>41465</v>
      </c>
      <c r="H412" s="91">
        <v>263.91000000000003</v>
      </c>
      <c r="I412" s="93">
        <f t="shared" si="6"/>
        <v>7.3285239894653742E-3</v>
      </c>
      <c r="J412" s="85"/>
      <c r="K412" s="85"/>
    </row>
    <row r="413" spans="1:11" ht="15.6">
      <c r="A413" s="148">
        <v>41458</v>
      </c>
      <c r="B413" s="88">
        <v>4.0599999999999996</v>
      </c>
      <c r="G413" s="90">
        <v>41466</v>
      </c>
      <c r="H413" s="91">
        <v>267.02</v>
      </c>
      <c r="I413" s="93">
        <f t="shared" si="6"/>
        <v>1.1784320412261629E-2</v>
      </c>
      <c r="J413" s="85"/>
      <c r="K413" s="85"/>
    </row>
    <row r="414" spans="1:11" ht="15.6">
      <c r="A414" s="148">
        <v>41459</v>
      </c>
      <c r="B414" s="88">
        <v>4.09</v>
      </c>
      <c r="G414" s="90">
        <v>41467</v>
      </c>
      <c r="H414" s="91">
        <v>269.3</v>
      </c>
      <c r="I414" s="93">
        <f t="shared" si="6"/>
        <v>8.5386862407310637E-3</v>
      </c>
      <c r="J414" s="85"/>
      <c r="K414" s="85"/>
    </row>
    <row r="415" spans="1:11" ht="15.6">
      <c r="A415" s="148">
        <v>41460</v>
      </c>
      <c r="B415" s="88">
        <v>4.1100000000000003</v>
      </c>
      <c r="G415" s="90">
        <v>41468</v>
      </c>
      <c r="H415" s="91">
        <v>270.89</v>
      </c>
      <c r="I415" s="93">
        <f t="shared" si="6"/>
        <v>5.9041960638692714E-3</v>
      </c>
      <c r="J415" s="85"/>
      <c r="K415" s="85"/>
    </row>
    <row r="416" spans="1:11" ht="15.6">
      <c r="A416" s="148">
        <v>41461</v>
      </c>
      <c r="B416" s="88">
        <v>4.13</v>
      </c>
      <c r="G416" s="90">
        <v>41471</v>
      </c>
      <c r="H416" s="91">
        <v>271.74</v>
      </c>
      <c r="I416" s="93">
        <f t="shared" si="6"/>
        <v>3.1378050131050106E-3</v>
      </c>
      <c r="J416" s="85"/>
      <c r="K416" s="85"/>
    </row>
    <row r="417" spans="1:11" ht="15.6">
      <c r="A417" s="148">
        <v>41464</v>
      </c>
      <c r="B417" s="88">
        <v>4.1100000000000003</v>
      </c>
      <c r="G417" s="90">
        <v>41472</v>
      </c>
      <c r="H417" s="91">
        <v>272.02</v>
      </c>
      <c r="I417" s="93">
        <f t="shared" si="6"/>
        <v>1.0303967027305294E-3</v>
      </c>
      <c r="J417" s="85"/>
      <c r="K417" s="85"/>
    </row>
    <row r="418" spans="1:11" ht="15.6">
      <c r="A418" s="148">
        <v>41465</v>
      </c>
      <c r="B418" s="88">
        <v>4.0999999999999996</v>
      </c>
      <c r="G418" s="90">
        <v>41473</v>
      </c>
      <c r="H418" s="91">
        <v>273.86</v>
      </c>
      <c r="I418" s="93">
        <f t="shared" si="6"/>
        <v>6.7642085140799946E-3</v>
      </c>
      <c r="J418" s="85"/>
      <c r="K418" s="85"/>
    </row>
    <row r="419" spans="1:11" ht="15.6">
      <c r="A419" s="148">
        <v>41466</v>
      </c>
      <c r="B419" s="88">
        <v>4.0599999999999996</v>
      </c>
      <c r="G419" s="90">
        <v>41474</v>
      </c>
      <c r="H419" s="91">
        <v>273.57</v>
      </c>
      <c r="I419" s="93">
        <f t="shared" si="6"/>
        <v>-1.0589352223764337E-3</v>
      </c>
      <c r="J419" s="85"/>
      <c r="K419" s="85"/>
    </row>
    <row r="420" spans="1:11" ht="15.6">
      <c r="A420" s="148">
        <v>41467</v>
      </c>
      <c r="B420" s="88">
        <v>4.05</v>
      </c>
      <c r="G420" s="90">
        <v>41475</v>
      </c>
      <c r="H420" s="91">
        <v>273.3</v>
      </c>
      <c r="I420" s="93">
        <f t="shared" si="6"/>
        <v>-9.8695032350026857E-4</v>
      </c>
      <c r="J420" s="85"/>
      <c r="K420" s="85"/>
    </row>
    <row r="421" spans="1:11" ht="15.6">
      <c r="A421" s="148">
        <v>41468</v>
      </c>
      <c r="B421" s="88">
        <v>4.04</v>
      </c>
      <c r="G421" s="90">
        <v>41478</v>
      </c>
      <c r="H421" s="91">
        <v>274.20999999999998</v>
      </c>
      <c r="I421" s="93">
        <f t="shared" si="6"/>
        <v>3.3296743505304427E-3</v>
      </c>
      <c r="J421" s="85"/>
      <c r="K421" s="85"/>
    </row>
    <row r="422" spans="1:11" ht="15.6">
      <c r="A422" s="148">
        <v>41471</v>
      </c>
      <c r="B422" s="88">
        <v>4.0199999999999996</v>
      </c>
      <c r="G422" s="90">
        <v>41479</v>
      </c>
      <c r="H422" s="91">
        <v>273.91000000000003</v>
      </c>
      <c r="I422" s="93">
        <f t="shared" si="6"/>
        <v>-1.0940520039384172E-3</v>
      </c>
      <c r="J422" s="85"/>
      <c r="K422" s="85"/>
    </row>
    <row r="423" spans="1:11" ht="15.6">
      <c r="A423" s="148">
        <v>41472</v>
      </c>
      <c r="B423" s="88">
        <v>4</v>
      </c>
      <c r="G423" s="90">
        <v>41480</v>
      </c>
      <c r="H423" s="91">
        <v>274.43</v>
      </c>
      <c r="I423" s="93">
        <f t="shared" si="6"/>
        <v>1.8984337921215122E-3</v>
      </c>
      <c r="J423" s="85"/>
      <c r="K423" s="85"/>
    </row>
    <row r="424" spans="1:11" ht="15.6">
      <c r="A424" s="148">
        <v>41473</v>
      </c>
      <c r="B424" s="88">
        <v>3.99</v>
      </c>
      <c r="G424" s="90">
        <v>41481</v>
      </c>
      <c r="H424" s="91">
        <v>275.86</v>
      </c>
      <c r="I424" s="93">
        <f t="shared" si="6"/>
        <v>5.2108005684510239E-3</v>
      </c>
      <c r="J424" s="85"/>
      <c r="K424" s="85"/>
    </row>
    <row r="425" spans="1:11" ht="15.6">
      <c r="A425" s="148">
        <v>41474</v>
      </c>
      <c r="B425" s="88">
        <v>3.98</v>
      </c>
      <c r="G425" s="90">
        <v>41482</v>
      </c>
      <c r="H425" s="91">
        <v>275.51</v>
      </c>
      <c r="I425" s="93">
        <f t="shared" si="6"/>
        <v>-1.2687595156964937E-3</v>
      </c>
      <c r="J425" s="85"/>
      <c r="K425" s="85"/>
    </row>
    <row r="426" spans="1:11" ht="15.6">
      <c r="A426" s="148">
        <v>41475</v>
      </c>
      <c r="B426" s="88">
        <v>3.96</v>
      </c>
      <c r="G426" s="90">
        <v>41485</v>
      </c>
      <c r="H426" s="91">
        <v>276.23</v>
      </c>
      <c r="I426" s="93">
        <f t="shared" si="6"/>
        <v>2.613335269137318E-3</v>
      </c>
      <c r="J426" s="85"/>
      <c r="K426" s="85"/>
    </row>
    <row r="427" spans="1:11" ht="15.6">
      <c r="A427" s="148">
        <v>41478</v>
      </c>
      <c r="B427" s="88">
        <v>3.97</v>
      </c>
      <c r="G427" s="90">
        <v>41486</v>
      </c>
      <c r="H427" s="91">
        <v>276.94</v>
      </c>
      <c r="I427" s="93">
        <f t="shared" si="6"/>
        <v>2.570321833254896E-3</v>
      </c>
      <c r="J427" s="85"/>
      <c r="K427" s="85"/>
    </row>
    <row r="428" spans="1:11" ht="15.6">
      <c r="A428" s="148">
        <v>41479</v>
      </c>
      <c r="B428" s="88">
        <v>3.98</v>
      </c>
      <c r="G428" s="90">
        <v>41487</v>
      </c>
      <c r="H428" s="91">
        <v>277.22000000000003</v>
      </c>
      <c r="I428" s="93">
        <f t="shared" si="6"/>
        <v>1.011049324763702E-3</v>
      </c>
      <c r="J428" s="85"/>
      <c r="K428" s="85"/>
    </row>
    <row r="429" spans="1:11" ht="15.6">
      <c r="A429" s="148">
        <v>41480</v>
      </c>
      <c r="B429" s="88">
        <v>3.97</v>
      </c>
      <c r="G429" s="90">
        <v>41488</v>
      </c>
      <c r="H429" s="91">
        <v>276.63</v>
      </c>
      <c r="I429" s="93">
        <f t="shared" si="6"/>
        <v>-2.1282735733353375E-3</v>
      </c>
      <c r="J429" s="85"/>
      <c r="K429" s="85"/>
    </row>
    <row r="430" spans="1:11" ht="15.6">
      <c r="A430" s="148">
        <v>41481</v>
      </c>
      <c r="B430" s="88">
        <v>3.96</v>
      </c>
      <c r="G430" s="90">
        <v>41489</v>
      </c>
      <c r="H430" s="91">
        <v>277.35000000000002</v>
      </c>
      <c r="I430" s="93">
        <f t="shared" si="6"/>
        <v>2.6027545819327091E-3</v>
      </c>
      <c r="J430" s="85"/>
      <c r="K430" s="85"/>
    </row>
    <row r="431" spans="1:11" ht="15.6">
      <c r="A431" s="148">
        <v>41482</v>
      </c>
      <c r="B431" s="88">
        <v>3.97</v>
      </c>
      <c r="G431" s="90">
        <v>41492</v>
      </c>
      <c r="H431" s="91">
        <v>279.56</v>
      </c>
      <c r="I431" s="93">
        <f t="shared" si="6"/>
        <v>7.968271137551719E-3</v>
      </c>
      <c r="J431" s="85"/>
      <c r="K431" s="85"/>
    </row>
    <row r="432" spans="1:11" ht="15.6">
      <c r="A432" s="148">
        <v>41485</v>
      </c>
      <c r="B432" s="88">
        <v>4</v>
      </c>
      <c r="G432" s="90">
        <v>41493</v>
      </c>
      <c r="H432" s="91">
        <v>280.20999999999998</v>
      </c>
      <c r="I432" s="93">
        <f t="shared" si="6"/>
        <v>2.3250822721418984E-3</v>
      </c>
      <c r="J432" s="85"/>
      <c r="K432" s="85"/>
    </row>
    <row r="433" spans="1:11" ht="15.6">
      <c r="A433" s="148">
        <v>41486</v>
      </c>
      <c r="B433" s="88">
        <v>4</v>
      </c>
      <c r="G433" s="90">
        <v>41494</v>
      </c>
      <c r="H433" s="91">
        <v>278.39999999999998</v>
      </c>
      <c r="I433" s="93">
        <f t="shared" si="6"/>
        <v>-6.4594411334356616E-3</v>
      </c>
      <c r="J433" s="85"/>
      <c r="K433" s="85"/>
    </row>
    <row r="434" spans="1:11" ht="15.6">
      <c r="A434" s="148">
        <v>41487</v>
      </c>
      <c r="B434" s="88">
        <v>3.99</v>
      </c>
      <c r="G434" s="90">
        <v>41495</v>
      </c>
      <c r="H434" s="91">
        <v>274.82</v>
      </c>
      <c r="I434" s="93">
        <f t="shared" si="6"/>
        <v>-1.285919540229874E-2</v>
      </c>
      <c r="J434" s="85"/>
      <c r="K434" s="85"/>
    </row>
    <row r="435" spans="1:11" ht="15.6">
      <c r="A435" s="148">
        <v>41488</v>
      </c>
      <c r="B435" s="88">
        <v>3.96</v>
      </c>
      <c r="G435" s="90">
        <v>41496</v>
      </c>
      <c r="H435" s="91">
        <v>271.97000000000003</v>
      </c>
      <c r="I435" s="93">
        <f t="shared" si="6"/>
        <v>-1.0370424277708956E-2</v>
      </c>
      <c r="J435" s="85"/>
      <c r="K435" s="85"/>
    </row>
    <row r="436" spans="1:11" ht="15.6">
      <c r="A436" s="148">
        <v>41489</v>
      </c>
      <c r="B436" s="88">
        <v>3.96</v>
      </c>
      <c r="G436" s="90">
        <v>41499</v>
      </c>
      <c r="H436" s="91">
        <v>274.45999999999998</v>
      </c>
      <c r="I436" s="93">
        <f t="shared" si="6"/>
        <v>9.1554215538476313E-3</v>
      </c>
      <c r="J436" s="85"/>
      <c r="K436" s="85"/>
    </row>
    <row r="437" spans="1:11" ht="15.6">
      <c r="A437" s="148">
        <v>41492</v>
      </c>
      <c r="B437" s="88">
        <v>3.96</v>
      </c>
      <c r="G437" s="90">
        <v>41500</v>
      </c>
      <c r="H437" s="91">
        <v>274.16000000000003</v>
      </c>
      <c r="I437" s="93">
        <f t="shared" si="6"/>
        <v>-1.0930554543465698E-3</v>
      </c>
      <c r="J437" s="85"/>
      <c r="K437" s="85"/>
    </row>
    <row r="438" spans="1:11" ht="15.6">
      <c r="A438" s="148">
        <v>41493</v>
      </c>
      <c r="B438" s="88">
        <v>3.96</v>
      </c>
      <c r="G438" s="90">
        <v>41501</v>
      </c>
      <c r="H438" s="91">
        <v>276.16000000000003</v>
      </c>
      <c r="I438" s="93">
        <f t="shared" si="6"/>
        <v>7.2950102130142636E-3</v>
      </c>
      <c r="J438" s="85"/>
      <c r="K438" s="85"/>
    </row>
    <row r="439" spans="1:11" ht="15.6">
      <c r="A439" s="148">
        <v>41494</v>
      </c>
      <c r="B439" s="88">
        <v>3.96</v>
      </c>
      <c r="G439" s="90">
        <v>41502</v>
      </c>
      <c r="H439" s="91">
        <v>276.57</v>
      </c>
      <c r="I439" s="93">
        <f t="shared" si="6"/>
        <v>1.4846465816915622E-3</v>
      </c>
      <c r="J439" s="85"/>
      <c r="K439" s="85"/>
    </row>
    <row r="440" spans="1:11" ht="15.6">
      <c r="A440" s="148">
        <v>41495</v>
      </c>
      <c r="B440" s="88">
        <v>3.97</v>
      </c>
      <c r="G440" s="90">
        <v>41503</v>
      </c>
      <c r="H440" s="91">
        <v>275.69</v>
      </c>
      <c r="I440" s="93">
        <f t="shared" si="6"/>
        <v>-3.1818346169143474E-3</v>
      </c>
      <c r="J440" s="85"/>
      <c r="K440" s="85"/>
    </row>
    <row r="441" spans="1:11" ht="15.6">
      <c r="A441" s="148">
        <v>41496</v>
      </c>
      <c r="B441" s="88">
        <v>3.97</v>
      </c>
      <c r="G441" s="90">
        <v>41506</v>
      </c>
      <c r="H441" s="91">
        <v>276.77999999999997</v>
      </c>
      <c r="I441" s="93">
        <f t="shared" si="6"/>
        <v>3.9537161304363799E-3</v>
      </c>
      <c r="J441" s="85"/>
      <c r="K441" s="85"/>
    </row>
    <row r="442" spans="1:11" ht="15.6">
      <c r="A442" s="148">
        <v>41499</v>
      </c>
      <c r="B442" s="88">
        <v>3.95</v>
      </c>
      <c r="G442" s="90">
        <v>41507</v>
      </c>
      <c r="H442" s="91">
        <v>278.81</v>
      </c>
      <c r="I442" s="93">
        <f t="shared" si="6"/>
        <v>7.3343449671219307E-3</v>
      </c>
      <c r="J442" s="85"/>
      <c r="K442" s="85"/>
    </row>
    <row r="443" spans="1:11" ht="15.6">
      <c r="A443" s="148">
        <v>41500</v>
      </c>
      <c r="B443" s="88">
        <v>3.96</v>
      </c>
      <c r="G443" s="90">
        <v>41508</v>
      </c>
      <c r="H443" s="91">
        <v>279.57</v>
      </c>
      <c r="I443" s="93">
        <f t="shared" si="6"/>
        <v>2.7258706646102748E-3</v>
      </c>
      <c r="J443" s="85"/>
      <c r="K443" s="85"/>
    </row>
    <row r="444" spans="1:11" ht="15.6">
      <c r="A444" s="148">
        <v>41501</v>
      </c>
      <c r="B444" s="88">
        <v>3.97</v>
      </c>
      <c r="G444" s="90">
        <v>41509</v>
      </c>
      <c r="H444" s="91">
        <v>281.25</v>
      </c>
      <c r="I444" s="93">
        <f t="shared" si="6"/>
        <v>6.0092284579891242E-3</v>
      </c>
      <c r="J444" s="85"/>
      <c r="K444" s="85"/>
    </row>
    <row r="445" spans="1:11" ht="15.6">
      <c r="A445" s="148">
        <v>41502</v>
      </c>
      <c r="B445" s="88">
        <v>3.93</v>
      </c>
      <c r="G445" s="90">
        <v>41510</v>
      </c>
      <c r="H445" s="91">
        <v>282.22000000000003</v>
      </c>
      <c r="I445" s="93">
        <f t="shared" si="6"/>
        <v>3.4488888888890568E-3</v>
      </c>
      <c r="J445" s="85"/>
      <c r="K445" s="85"/>
    </row>
    <row r="446" spans="1:11" ht="15.6">
      <c r="A446" s="148">
        <v>41503</v>
      </c>
      <c r="B446" s="88">
        <v>3.92</v>
      </c>
      <c r="G446" s="90">
        <v>41513</v>
      </c>
      <c r="H446" s="91">
        <v>282.35000000000002</v>
      </c>
      <c r="I446" s="93">
        <f t="shared" si="6"/>
        <v>4.6063354829573022E-4</v>
      </c>
      <c r="J446" s="85"/>
      <c r="K446" s="85"/>
    </row>
    <row r="447" spans="1:11" ht="15.6">
      <c r="A447" s="148">
        <v>41506</v>
      </c>
      <c r="B447" s="88">
        <v>3.9</v>
      </c>
      <c r="G447" s="90">
        <v>41514</v>
      </c>
      <c r="H447" s="91">
        <v>281.45999999999998</v>
      </c>
      <c r="I447" s="93">
        <f t="shared" si="6"/>
        <v>-3.1521161678769172E-3</v>
      </c>
      <c r="J447" s="85"/>
      <c r="K447" s="85"/>
    </row>
    <row r="448" spans="1:11" ht="15.6">
      <c r="A448" s="148">
        <v>41507</v>
      </c>
      <c r="B448" s="88">
        <v>3.91</v>
      </c>
      <c r="G448" s="90">
        <v>41515</v>
      </c>
      <c r="H448" s="91">
        <v>283.31</v>
      </c>
      <c r="I448" s="93">
        <f t="shared" si="6"/>
        <v>6.5728700348184343E-3</v>
      </c>
      <c r="J448" s="85"/>
      <c r="K448" s="85"/>
    </row>
    <row r="449" spans="1:11" ht="15.6">
      <c r="A449" s="148">
        <v>41508</v>
      </c>
      <c r="B449" s="88">
        <v>3.91</v>
      </c>
      <c r="G449" s="90">
        <v>41516</v>
      </c>
      <c r="H449" s="91">
        <v>283.92</v>
      </c>
      <c r="I449" s="93">
        <f t="shared" si="6"/>
        <v>2.1531184921110835E-3</v>
      </c>
      <c r="J449" s="85"/>
      <c r="K449" s="85"/>
    </row>
    <row r="450" spans="1:11" ht="15.6">
      <c r="A450" s="148">
        <v>41509</v>
      </c>
      <c r="B450" s="88">
        <v>3.88</v>
      </c>
      <c r="G450" s="90">
        <v>41517</v>
      </c>
      <c r="H450" s="91">
        <v>285.18</v>
      </c>
      <c r="I450" s="93">
        <f t="shared" si="6"/>
        <v>4.4378698224851743E-3</v>
      </c>
      <c r="J450" s="85"/>
      <c r="K450" s="85"/>
    </row>
    <row r="451" spans="1:11" ht="15.6">
      <c r="A451" s="148">
        <v>41510</v>
      </c>
      <c r="B451" s="88">
        <v>3.87</v>
      </c>
      <c r="G451" s="90">
        <v>41520</v>
      </c>
      <c r="H451" s="91">
        <v>283.83999999999997</v>
      </c>
      <c r="I451" s="93">
        <f t="shared" si="6"/>
        <v>-4.6987867311873988E-3</v>
      </c>
      <c r="J451" s="85"/>
      <c r="K451" s="85"/>
    </row>
    <row r="452" spans="1:11" ht="15.6">
      <c r="A452" s="148">
        <v>41513</v>
      </c>
      <c r="B452" s="88">
        <v>3.86</v>
      </c>
      <c r="G452" s="90">
        <v>41521</v>
      </c>
      <c r="H452" s="91">
        <v>284.52</v>
      </c>
      <c r="I452" s="93">
        <f t="shared" si="6"/>
        <v>2.3957158962795155E-3</v>
      </c>
      <c r="J452" s="85"/>
      <c r="K452" s="85"/>
    </row>
    <row r="453" spans="1:11" ht="15.6">
      <c r="A453" s="148">
        <v>41514</v>
      </c>
      <c r="B453" s="88">
        <v>3.84</v>
      </c>
      <c r="G453" s="90">
        <v>41522</v>
      </c>
      <c r="H453" s="91">
        <v>284.36</v>
      </c>
      <c r="I453" s="93">
        <f t="shared" si="6"/>
        <v>-5.6235062561493798E-4</v>
      </c>
      <c r="J453" s="85"/>
      <c r="K453" s="85"/>
    </row>
    <row r="454" spans="1:11" ht="15.6">
      <c r="A454" s="148">
        <v>41515</v>
      </c>
      <c r="B454" s="88">
        <v>3.84</v>
      </c>
      <c r="G454" s="90">
        <v>41523</v>
      </c>
      <c r="H454" s="91">
        <v>285.67</v>
      </c>
      <c r="I454" s="93">
        <f t="shared" si="6"/>
        <v>4.6068364045575017E-3</v>
      </c>
      <c r="J454" s="85"/>
      <c r="K454" s="85"/>
    </row>
    <row r="455" spans="1:11" ht="15.6">
      <c r="A455" s="148">
        <v>41516</v>
      </c>
      <c r="B455" s="88">
        <v>3.85</v>
      </c>
      <c r="G455" s="90">
        <v>41524</v>
      </c>
      <c r="H455" s="91">
        <v>285.83999999999997</v>
      </c>
      <c r="I455" s="93">
        <f t="shared" si="6"/>
        <v>5.950922392969904E-4</v>
      </c>
      <c r="J455" s="85"/>
      <c r="K455" s="85"/>
    </row>
    <row r="456" spans="1:11" ht="15.6">
      <c r="A456" s="148">
        <v>41517</v>
      </c>
      <c r="B456" s="88">
        <v>3.84</v>
      </c>
      <c r="G456" s="90">
        <v>41527</v>
      </c>
      <c r="H456" s="91">
        <v>287.94</v>
      </c>
      <c r="I456" s="93">
        <f t="shared" si="6"/>
        <v>7.3467674223341994E-3</v>
      </c>
      <c r="J456" s="85"/>
      <c r="K456" s="85"/>
    </row>
    <row r="457" spans="1:11" ht="15.6">
      <c r="A457" s="148">
        <v>41520</v>
      </c>
      <c r="B457" s="88">
        <v>3.83</v>
      </c>
      <c r="G457" s="90">
        <v>41528</v>
      </c>
      <c r="H457" s="91">
        <v>288.56</v>
      </c>
      <c r="I457" s="93">
        <f t="shared" si="6"/>
        <v>2.1532263666041995E-3</v>
      </c>
      <c r="J457" s="85"/>
      <c r="K457" s="85"/>
    </row>
    <row r="458" spans="1:11" ht="15.6">
      <c r="A458" s="148">
        <v>41521</v>
      </c>
      <c r="B458" s="88">
        <v>3.82</v>
      </c>
      <c r="G458" s="90">
        <v>41529</v>
      </c>
      <c r="H458" s="91">
        <v>287.86</v>
      </c>
      <c r="I458" s="93">
        <f t="shared" si="6"/>
        <v>-2.4258386470751292E-3</v>
      </c>
      <c r="J458" s="85"/>
      <c r="K458" s="85"/>
    </row>
    <row r="459" spans="1:11" ht="15.6">
      <c r="A459" s="148">
        <v>41522</v>
      </c>
      <c r="B459" s="88">
        <v>3.82</v>
      </c>
      <c r="G459" s="90">
        <v>41530</v>
      </c>
      <c r="H459" s="91">
        <v>287.83</v>
      </c>
      <c r="I459" s="93">
        <f t="shared" si="6"/>
        <v>-1.0421732786780602E-4</v>
      </c>
      <c r="J459" s="85"/>
      <c r="K459" s="85"/>
    </row>
    <row r="460" spans="1:11" ht="15.6">
      <c r="A460" s="148">
        <v>41523</v>
      </c>
      <c r="B460" s="88">
        <v>3.79</v>
      </c>
      <c r="G460" s="90">
        <v>41531</v>
      </c>
      <c r="H460" s="91">
        <v>288.35000000000002</v>
      </c>
      <c r="I460" s="93">
        <f t="shared" si="6"/>
        <v>1.8066219643539938E-3</v>
      </c>
      <c r="J460" s="85"/>
      <c r="K460" s="85"/>
    </row>
    <row r="461" spans="1:11" ht="15.6">
      <c r="A461" s="148">
        <v>41524</v>
      </c>
      <c r="B461" s="88">
        <v>3.77</v>
      </c>
      <c r="G461" s="90">
        <v>41534</v>
      </c>
      <c r="H461" s="91">
        <v>290.07</v>
      </c>
      <c r="I461" s="93">
        <f t="shared" si="6"/>
        <v>5.9649731229407532E-3</v>
      </c>
      <c r="J461" s="85"/>
      <c r="K461" s="85"/>
    </row>
    <row r="462" spans="1:11" ht="15.6">
      <c r="A462" s="148">
        <v>41527</v>
      </c>
      <c r="B462" s="88">
        <v>3.79</v>
      </c>
      <c r="G462" s="90">
        <v>41535</v>
      </c>
      <c r="H462" s="91">
        <v>289.27999999999997</v>
      </c>
      <c r="I462" s="93">
        <f t="shared" si="6"/>
        <v>-2.7234805391802563E-3</v>
      </c>
      <c r="J462" s="85"/>
      <c r="K462" s="85"/>
    </row>
    <row r="463" spans="1:11" ht="15.6">
      <c r="A463" s="148">
        <v>41528</v>
      </c>
      <c r="B463" s="88">
        <v>3.82</v>
      </c>
      <c r="G463" s="90">
        <v>41536</v>
      </c>
      <c r="H463" s="91">
        <v>289.8</v>
      </c>
      <c r="I463" s="93">
        <f t="shared" ref="I463:I526" si="7">H463/H462-1</f>
        <v>1.7975663716816026E-3</v>
      </c>
      <c r="J463" s="85"/>
      <c r="K463" s="85"/>
    </row>
    <row r="464" spans="1:11" ht="15.6">
      <c r="A464" s="148">
        <v>41529</v>
      </c>
      <c r="B464" s="88">
        <v>3.82</v>
      </c>
      <c r="G464" s="90">
        <v>41537</v>
      </c>
      <c r="H464" s="91">
        <v>288.88</v>
      </c>
      <c r="I464" s="93">
        <f t="shared" si="7"/>
        <v>-3.1746031746032743E-3</v>
      </c>
      <c r="J464" s="85"/>
      <c r="K464" s="85"/>
    </row>
    <row r="465" spans="1:11" ht="15.6">
      <c r="A465" s="148">
        <v>41530</v>
      </c>
      <c r="B465" s="88">
        <v>3.83</v>
      </c>
      <c r="G465" s="90">
        <v>41538</v>
      </c>
      <c r="H465" s="91">
        <v>287.35000000000002</v>
      </c>
      <c r="I465" s="93">
        <f t="shared" si="7"/>
        <v>-5.2963168097478475E-3</v>
      </c>
      <c r="J465" s="85"/>
      <c r="K465" s="85"/>
    </row>
    <row r="466" spans="1:11" ht="15.6">
      <c r="A466" s="148">
        <v>41531</v>
      </c>
      <c r="B466" s="88">
        <v>3.83</v>
      </c>
      <c r="G466" s="90">
        <v>41541</v>
      </c>
      <c r="H466" s="91">
        <v>282.52999999999997</v>
      </c>
      <c r="I466" s="93">
        <f t="shared" si="7"/>
        <v>-1.6773969027318758E-2</v>
      </c>
      <c r="J466" s="85"/>
      <c r="K466" s="85"/>
    </row>
    <row r="467" spans="1:11" ht="15.6">
      <c r="A467" s="148">
        <v>41534</v>
      </c>
      <c r="B467" s="88">
        <v>3.82</v>
      </c>
      <c r="G467" s="90">
        <v>41542</v>
      </c>
      <c r="H467" s="91">
        <v>281</v>
      </c>
      <c r="I467" s="93">
        <f t="shared" si="7"/>
        <v>-5.4153541216861445E-3</v>
      </c>
      <c r="J467" s="85"/>
      <c r="K467" s="85"/>
    </row>
    <row r="468" spans="1:11" ht="15.6">
      <c r="A468" s="148">
        <v>41535</v>
      </c>
      <c r="B468" s="88">
        <v>3.83</v>
      </c>
      <c r="G468" s="90">
        <v>41543</v>
      </c>
      <c r="H468" s="91">
        <v>280.57</v>
      </c>
      <c r="I468" s="93">
        <f t="shared" si="7"/>
        <v>-1.530249110320292E-3</v>
      </c>
      <c r="J468" s="85"/>
      <c r="K468" s="85"/>
    </row>
    <row r="469" spans="1:11" ht="15.6">
      <c r="A469" s="148">
        <v>41536</v>
      </c>
      <c r="B469" s="88">
        <v>3.84</v>
      </c>
      <c r="G469" s="90">
        <v>41544</v>
      </c>
      <c r="H469" s="91">
        <v>279.42</v>
      </c>
      <c r="I469" s="93">
        <f t="shared" si="7"/>
        <v>-4.0987988737212211E-3</v>
      </c>
      <c r="J469" s="85"/>
      <c r="K469" s="85"/>
    </row>
    <row r="470" spans="1:11" ht="15.6">
      <c r="A470" s="148">
        <v>41537</v>
      </c>
      <c r="B470" s="88">
        <v>3.86</v>
      </c>
      <c r="G470" s="90">
        <v>41545</v>
      </c>
      <c r="H470" s="91">
        <v>281.86</v>
      </c>
      <c r="I470" s="93">
        <f t="shared" si="7"/>
        <v>8.7323742037077601E-3</v>
      </c>
      <c r="J470" s="85"/>
      <c r="K470" s="85"/>
    </row>
    <row r="471" spans="1:11" ht="15.6">
      <c r="A471" s="148">
        <v>41538</v>
      </c>
      <c r="B471" s="88">
        <v>3.85</v>
      </c>
      <c r="G471" s="90">
        <v>41548</v>
      </c>
      <c r="H471" s="91">
        <v>282.26</v>
      </c>
      <c r="I471" s="93">
        <f t="shared" si="7"/>
        <v>1.419144256013638E-3</v>
      </c>
      <c r="J471" s="85"/>
      <c r="K471" s="85"/>
    </row>
    <row r="472" spans="1:11" ht="15.6">
      <c r="A472" s="148">
        <v>41541</v>
      </c>
      <c r="B472" s="88">
        <v>3.84</v>
      </c>
      <c r="G472" s="90">
        <v>41549</v>
      </c>
      <c r="H472" s="91">
        <v>286.05</v>
      </c>
      <c r="I472" s="93">
        <f t="shared" si="7"/>
        <v>1.3427336498263998E-2</v>
      </c>
      <c r="J472" s="85"/>
      <c r="K472" s="85"/>
    </row>
    <row r="473" spans="1:11" ht="15.6">
      <c r="A473" s="148">
        <v>41542</v>
      </c>
      <c r="B473" s="88">
        <v>3.84</v>
      </c>
      <c r="G473" s="90">
        <v>41550</v>
      </c>
      <c r="H473" s="91">
        <v>287.55</v>
      </c>
      <c r="I473" s="93">
        <f t="shared" si="7"/>
        <v>5.2438384897746104E-3</v>
      </c>
      <c r="J473" s="85"/>
      <c r="K473" s="85"/>
    </row>
    <row r="474" spans="1:11" ht="15.6">
      <c r="A474" s="148">
        <v>41543</v>
      </c>
      <c r="B474" s="88">
        <v>3.89</v>
      </c>
      <c r="G474" s="90">
        <v>41551</v>
      </c>
      <c r="H474" s="91">
        <v>287.94</v>
      </c>
      <c r="I474" s="93">
        <f t="shared" si="7"/>
        <v>1.3562858633280328E-3</v>
      </c>
      <c r="J474" s="85"/>
      <c r="K474" s="85"/>
    </row>
    <row r="475" spans="1:11" ht="15.6">
      <c r="A475" s="148">
        <v>41544</v>
      </c>
      <c r="B475" s="88">
        <v>3.88</v>
      </c>
      <c r="G475" s="90">
        <v>41552</v>
      </c>
      <c r="H475" s="91">
        <v>288</v>
      </c>
      <c r="I475" s="93">
        <f t="shared" si="7"/>
        <v>2.0837674515528093E-4</v>
      </c>
      <c r="J475" s="85"/>
      <c r="K475" s="85"/>
    </row>
    <row r="476" spans="1:11" ht="15.6">
      <c r="A476" s="148">
        <v>41545</v>
      </c>
      <c r="B476" s="88">
        <v>3.86</v>
      </c>
      <c r="G476" s="90">
        <v>41555</v>
      </c>
      <c r="H476" s="91">
        <v>287.20999999999998</v>
      </c>
      <c r="I476" s="93">
        <f t="shared" si="7"/>
        <v>-2.7430555555556513E-3</v>
      </c>
      <c r="J476" s="85"/>
      <c r="K476" s="85"/>
    </row>
    <row r="477" spans="1:11" ht="15.6">
      <c r="A477" s="148">
        <v>41546</v>
      </c>
      <c r="B477" s="88">
        <v>3.89</v>
      </c>
      <c r="G477" s="90">
        <v>41556</v>
      </c>
      <c r="H477" s="91">
        <v>289.38</v>
      </c>
      <c r="I477" s="93">
        <f t="shared" si="7"/>
        <v>7.5554472337315826E-3</v>
      </c>
      <c r="J477" s="85"/>
      <c r="K477" s="85"/>
    </row>
    <row r="478" spans="1:11" ht="15.6">
      <c r="A478" s="148">
        <v>41548</v>
      </c>
      <c r="B478" s="88">
        <v>3.91</v>
      </c>
      <c r="G478" s="90">
        <v>41557</v>
      </c>
      <c r="H478" s="91">
        <v>289.82</v>
      </c>
      <c r="I478" s="93">
        <f t="shared" si="7"/>
        <v>1.5204920865297122E-3</v>
      </c>
      <c r="J478" s="85"/>
      <c r="K478" s="85"/>
    </row>
    <row r="479" spans="1:11" ht="15.6">
      <c r="A479" s="148">
        <v>41549</v>
      </c>
      <c r="B479" s="88">
        <v>3.9</v>
      </c>
      <c r="G479" s="90">
        <v>41558</v>
      </c>
      <c r="H479" s="91">
        <v>290.86</v>
      </c>
      <c r="I479" s="93">
        <f t="shared" si="7"/>
        <v>3.5884342005383374E-3</v>
      </c>
      <c r="J479" s="85"/>
      <c r="K479" s="85"/>
    </row>
    <row r="480" spans="1:11" ht="15.6">
      <c r="A480" s="148">
        <v>41550</v>
      </c>
      <c r="B480" s="88">
        <v>3.88</v>
      </c>
      <c r="G480" s="90">
        <v>41559</v>
      </c>
      <c r="H480" s="91">
        <v>292.14999999999998</v>
      </c>
      <c r="I480" s="93">
        <f t="shared" si="7"/>
        <v>4.4351234270783024E-3</v>
      </c>
      <c r="J480" s="85"/>
      <c r="K480" s="85"/>
    </row>
    <row r="481" spans="1:11" ht="15.6">
      <c r="A481" s="148">
        <v>41551</v>
      </c>
      <c r="B481" s="88">
        <v>3.88</v>
      </c>
      <c r="G481" s="90">
        <v>41562</v>
      </c>
      <c r="H481" s="91">
        <v>293.64999999999998</v>
      </c>
      <c r="I481" s="93">
        <f t="shared" si="7"/>
        <v>5.1343487934281118E-3</v>
      </c>
      <c r="J481" s="85"/>
      <c r="K481" s="85"/>
    </row>
    <row r="482" spans="1:11" ht="15.6">
      <c r="A482" s="148">
        <v>41552</v>
      </c>
      <c r="B482" s="88">
        <v>3.9</v>
      </c>
      <c r="G482" s="90">
        <v>41563</v>
      </c>
      <c r="H482" s="91">
        <v>291.76</v>
      </c>
      <c r="I482" s="93">
        <f t="shared" si="7"/>
        <v>-6.4362336114421881E-3</v>
      </c>
      <c r="J482" s="85"/>
      <c r="K482" s="85"/>
    </row>
    <row r="483" spans="1:11" ht="15.6">
      <c r="A483" s="148">
        <v>41555</v>
      </c>
      <c r="B483" s="88">
        <v>3.9</v>
      </c>
      <c r="G483" s="90">
        <v>41564</v>
      </c>
      <c r="H483" s="91">
        <v>292.02</v>
      </c>
      <c r="I483" s="93">
        <f t="shared" si="7"/>
        <v>8.9114340553875238E-4</v>
      </c>
      <c r="J483" s="85"/>
      <c r="K483" s="85"/>
    </row>
    <row r="484" spans="1:11" ht="15.6">
      <c r="A484" s="148">
        <v>41556</v>
      </c>
      <c r="B484" s="88">
        <v>3.89</v>
      </c>
      <c r="G484" s="90">
        <v>41565</v>
      </c>
      <c r="H484" s="91">
        <v>289.76</v>
      </c>
      <c r="I484" s="93">
        <f t="shared" si="7"/>
        <v>-7.7391959454831127E-3</v>
      </c>
      <c r="J484" s="85"/>
      <c r="K484" s="85"/>
    </row>
    <row r="485" spans="1:11" ht="15.6">
      <c r="A485" s="148">
        <v>41557</v>
      </c>
      <c r="B485" s="88">
        <v>3.88</v>
      </c>
      <c r="G485" s="90">
        <v>41566</v>
      </c>
      <c r="H485" s="91">
        <v>290.23</v>
      </c>
      <c r="I485" s="93">
        <f t="shared" si="7"/>
        <v>1.6220320265047938E-3</v>
      </c>
      <c r="J485" s="85"/>
      <c r="K485" s="85"/>
    </row>
    <row r="486" spans="1:11" ht="15.6">
      <c r="A486" s="148">
        <v>41558</v>
      </c>
      <c r="B486" s="88">
        <v>3.86</v>
      </c>
      <c r="G486" s="90">
        <v>41569</v>
      </c>
      <c r="H486" s="91">
        <v>289.10000000000002</v>
      </c>
      <c r="I486" s="93">
        <f t="shared" si="7"/>
        <v>-3.8934638045687864E-3</v>
      </c>
      <c r="J486" s="85"/>
      <c r="K486" s="85"/>
    </row>
    <row r="487" spans="1:11" ht="15.6">
      <c r="A487" s="148">
        <v>41559</v>
      </c>
      <c r="B487" s="88">
        <v>3.86</v>
      </c>
      <c r="G487" s="90">
        <v>41570</v>
      </c>
      <c r="H487" s="91">
        <v>288.41000000000003</v>
      </c>
      <c r="I487" s="93">
        <f t="shared" si="7"/>
        <v>-2.386717398823901E-3</v>
      </c>
      <c r="J487" s="85"/>
      <c r="K487" s="85"/>
    </row>
    <row r="488" spans="1:11" ht="15.6">
      <c r="A488" s="148">
        <v>41562</v>
      </c>
      <c r="B488" s="88">
        <v>3.86</v>
      </c>
      <c r="G488" s="90">
        <v>41571</v>
      </c>
      <c r="H488" s="91">
        <v>288.73</v>
      </c>
      <c r="I488" s="93">
        <f t="shared" si="7"/>
        <v>1.1095315696403318E-3</v>
      </c>
      <c r="J488" s="85"/>
      <c r="K488" s="85"/>
    </row>
    <row r="489" spans="1:11" ht="15.6">
      <c r="A489" s="148">
        <v>41563</v>
      </c>
      <c r="B489" s="88">
        <v>3.86</v>
      </c>
      <c r="G489" s="90">
        <v>41572</v>
      </c>
      <c r="H489" s="91">
        <v>287.48</v>
      </c>
      <c r="I489" s="93">
        <f t="shared" si="7"/>
        <v>-4.3293041942299437E-3</v>
      </c>
      <c r="J489" s="85"/>
      <c r="K489" s="85"/>
    </row>
    <row r="490" spans="1:11" ht="15.6">
      <c r="A490" s="148">
        <v>41564</v>
      </c>
      <c r="B490" s="88">
        <v>3.85</v>
      </c>
      <c r="G490" s="90">
        <v>41573</v>
      </c>
      <c r="H490" s="91">
        <v>287.54000000000002</v>
      </c>
      <c r="I490" s="93">
        <f t="shared" si="7"/>
        <v>2.0871017114232338E-4</v>
      </c>
      <c r="J490" s="85"/>
      <c r="K490" s="85"/>
    </row>
    <row r="491" spans="1:11" ht="15.6">
      <c r="A491" s="148">
        <v>41565</v>
      </c>
      <c r="B491" s="88">
        <v>3.84</v>
      </c>
      <c r="G491" s="90">
        <v>41576</v>
      </c>
      <c r="H491" s="91">
        <v>288.61</v>
      </c>
      <c r="I491" s="93">
        <f t="shared" si="7"/>
        <v>3.721221395284191E-3</v>
      </c>
      <c r="J491" s="85"/>
      <c r="K491" s="85"/>
    </row>
    <row r="492" spans="1:11" ht="15.6">
      <c r="A492" s="148">
        <v>41566</v>
      </c>
      <c r="B492" s="88">
        <v>3.88</v>
      </c>
      <c r="G492" s="90">
        <v>41577</v>
      </c>
      <c r="H492" s="91">
        <v>288.99</v>
      </c>
      <c r="I492" s="93">
        <f t="shared" si="7"/>
        <v>1.3166556945358732E-3</v>
      </c>
      <c r="J492" s="85"/>
      <c r="K492" s="85"/>
    </row>
    <row r="493" spans="1:11" ht="15.6">
      <c r="A493" s="148">
        <v>41569</v>
      </c>
      <c r="B493" s="88">
        <v>3.89</v>
      </c>
      <c r="G493" s="90">
        <v>41578</v>
      </c>
      <c r="H493" s="91">
        <v>290.7</v>
      </c>
      <c r="I493" s="93">
        <f t="shared" si="7"/>
        <v>5.9171597633136397E-3</v>
      </c>
      <c r="J493" s="85"/>
      <c r="K493" s="85"/>
    </row>
    <row r="494" spans="1:11" ht="15.6">
      <c r="A494" s="148">
        <v>41570</v>
      </c>
      <c r="B494" s="88">
        <v>3.89</v>
      </c>
      <c r="G494" s="90">
        <v>41579</v>
      </c>
      <c r="H494" s="91">
        <v>290.44</v>
      </c>
      <c r="I494" s="93">
        <f t="shared" si="7"/>
        <v>-8.9439284485726134E-4</v>
      </c>
      <c r="J494" s="85"/>
      <c r="K494" s="85"/>
    </row>
    <row r="495" spans="1:11" ht="15.6">
      <c r="A495" s="148">
        <v>41571</v>
      </c>
      <c r="B495" s="88">
        <v>3.91</v>
      </c>
      <c r="G495" s="90">
        <v>41580</v>
      </c>
      <c r="H495" s="91">
        <v>289.86</v>
      </c>
      <c r="I495" s="93">
        <f t="shared" si="7"/>
        <v>-1.9969701143092156E-3</v>
      </c>
      <c r="J495" s="85"/>
      <c r="K495" s="85"/>
    </row>
    <row r="496" spans="1:11" ht="15.6">
      <c r="A496" s="148">
        <v>41572</v>
      </c>
      <c r="B496" s="88">
        <v>3.9</v>
      </c>
      <c r="G496" s="90">
        <v>41583</v>
      </c>
      <c r="H496" s="91">
        <v>291.35000000000002</v>
      </c>
      <c r="I496" s="93">
        <f t="shared" si="7"/>
        <v>5.1404126129857008E-3</v>
      </c>
      <c r="J496" s="85"/>
      <c r="K496" s="85"/>
    </row>
    <row r="497" spans="1:11" ht="15.6">
      <c r="A497" s="148">
        <v>41573</v>
      </c>
      <c r="B497" s="88">
        <v>3.9</v>
      </c>
      <c r="G497" s="90">
        <v>41584</v>
      </c>
      <c r="H497" s="91">
        <v>291.91000000000003</v>
      </c>
      <c r="I497" s="93">
        <f t="shared" si="7"/>
        <v>1.92208683713746E-3</v>
      </c>
      <c r="J497" s="85"/>
      <c r="K497" s="85"/>
    </row>
    <row r="498" spans="1:11" ht="15.6">
      <c r="A498" s="148">
        <v>41576</v>
      </c>
      <c r="B498" s="88">
        <v>3.87</v>
      </c>
      <c r="G498" s="90">
        <v>41585</v>
      </c>
      <c r="H498" s="91">
        <v>292.04000000000002</v>
      </c>
      <c r="I498" s="93">
        <f t="shared" si="7"/>
        <v>4.4534274262608697E-4</v>
      </c>
      <c r="J498" s="85"/>
      <c r="K498" s="85"/>
    </row>
    <row r="499" spans="1:11" ht="15.6">
      <c r="A499" s="148">
        <v>41577</v>
      </c>
      <c r="B499" s="88">
        <v>3.93</v>
      </c>
      <c r="G499" s="90">
        <v>41586</v>
      </c>
      <c r="H499" s="91">
        <v>291.83999999999997</v>
      </c>
      <c r="I499" s="93">
        <f t="shared" si="7"/>
        <v>-6.8483769346683321E-4</v>
      </c>
      <c r="J499" s="85"/>
      <c r="K499" s="85"/>
    </row>
    <row r="500" spans="1:11" ht="15.6">
      <c r="A500" s="148">
        <v>41578</v>
      </c>
      <c r="B500" s="88">
        <v>3.94</v>
      </c>
      <c r="G500" s="90">
        <v>41587</v>
      </c>
      <c r="H500" s="91">
        <v>290.57</v>
      </c>
      <c r="I500" s="93">
        <f t="shared" si="7"/>
        <v>-4.3516995614034659E-3</v>
      </c>
      <c r="J500" s="85"/>
      <c r="K500" s="85"/>
    </row>
    <row r="501" spans="1:11" ht="15.6">
      <c r="A501" s="148">
        <v>41579</v>
      </c>
      <c r="B501" s="88">
        <v>3.93</v>
      </c>
      <c r="G501" s="90">
        <v>41590</v>
      </c>
      <c r="H501" s="91">
        <v>289.26</v>
      </c>
      <c r="I501" s="93">
        <f t="shared" si="7"/>
        <v>-4.5083800805313379E-3</v>
      </c>
      <c r="J501" s="85"/>
      <c r="K501" s="85"/>
    </row>
    <row r="502" spans="1:11" ht="15.6">
      <c r="A502" s="148">
        <v>41580</v>
      </c>
      <c r="B502" s="88">
        <v>3.97</v>
      </c>
      <c r="G502" s="90">
        <v>41591</v>
      </c>
      <c r="H502" s="91">
        <v>287.89</v>
      </c>
      <c r="I502" s="93">
        <f t="shared" si="7"/>
        <v>-4.7362234667772674E-3</v>
      </c>
      <c r="J502" s="85"/>
      <c r="K502" s="85"/>
    </row>
    <row r="503" spans="1:11" ht="15.6">
      <c r="A503" s="148">
        <v>41583</v>
      </c>
      <c r="B503" s="88">
        <v>3.96</v>
      </c>
      <c r="G503" s="90">
        <v>41592</v>
      </c>
      <c r="H503" s="91">
        <v>285.74</v>
      </c>
      <c r="I503" s="93">
        <f t="shared" si="7"/>
        <v>-7.4681301886135865E-3</v>
      </c>
      <c r="J503" s="85"/>
      <c r="K503" s="85"/>
    </row>
    <row r="504" spans="1:11" ht="15.6">
      <c r="A504" s="148">
        <v>41584</v>
      </c>
      <c r="B504" s="88">
        <v>3.98</v>
      </c>
      <c r="G504" s="90">
        <v>41593</v>
      </c>
      <c r="H504" s="91">
        <v>288.81</v>
      </c>
      <c r="I504" s="93">
        <f t="shared" si="7"/>
        <v>1.0744033037026535E-2</v>
      </c>
      <c r="J504" s="85"/>
      <c r="K504" s="85"/>
    </row>
    <row r="505" spans="1:11" ht="15.6">
      <c r="A505" s="148">
        <v>41585</v>
      </c>
      <c r="B505" s="88">
        <v>3.99</v>
      </c>
      <c r="G505" s="90">
        <v>41594</v>
      </c>
      <c r="H505" s="91">
        <v>291.7</v>
      </c>
      <c r="I505" s="93">
        <f t="shared" si="7"/>
        <v>1.0006578719573334E-2</v>
      </c>
      <c r="J505" s="85"/>
      <c r="K505" s="85"/>
    </row>
    <row r="506" spans="1:11" ht="15.6">
      <c r="A506" s="148">
        <v>41586</v>
      </c>
      <c r="B506" s="88">
        <v>4</v>
      </c>
      <c r="G506" s="90">
        <v>41597</v>
      </c>
      <c r="H506" s="91">
        <v>291.89</v>
      </c>
      <c r="I506" s="93">
        <f t="shared" si="7"/>
        <v>6.5135413095651629E-4</v>
      </c>
      <c r="J506" s="85"/>
      <c r="K506" s="85"/>
    </row>
    <row r="507" spans="1:11" ht="15.6">
      <c r="A507" s="148">
        <v>41587</v>
      </c>
      <c r="B507" s="88">
        <v>4.03</v>
      </c>
      <c r="G507" s="90">
        <v>41598</v>
      </c>
      <c r="H507" s="91">
        <v>295.54000000000002</v>
      </c>
      <c r="I507" s="93">
        <f t="shared" si="7"/>
        <v>1.250471067868042E-2</v>
      </c>
      <c r="J507" s="85"/>
      <c r="K507" s="85"/>
    </row>
    <row r="508" spans="1:11" ht="15.6">
      <c r="A508" s="148">
        <v>41590</v>
      </c>
      <c r="B508" s="88">
        <v>4.03</v>
      </c>
      <c r="G508" s="90">
        <v>41599</v>
      </c>
      <c r="H508" s="91">
        <v>296.69</v>
      </c>
      <c r="I508" s="93">
        <f t="shared" si="7"/>
        <v>3.8911822426743736E-3</v>
      </c>
      <c r="J508" s="85"/>
      <c r="K508" s="85"/>
    </row>
    <row r="509" spans="1:11" ht="15.6">
      <c r="A509" s="148">
        <v>41591</v>
      </c>
      <c r="B509" s="88">
        <v>4.03</v>
      </c>
      <c r="G509" s="90">
        <v>41600</v>
      </c>
      <c r="H509" s="91">
        <v>295.74</v>
      </c>
      <c r="I509" s="93">
        <f t="shared" si="7"/>
        <v>-3.2019953486803754E-3</v>
      </c>
      <c r="J509" s="85"/>
      <c r="K509" s="85"/>
    </row>
    <row r="510" spans="1:11" ht="15.6">
      <c r="A510" s="148">
        <v>41592</v>
      </c>
      <c r="B510" s="88">
        <v>4</v>
      </c>
      <c r="G510" s="90">
        <v>41601</v>
      </c>
      <c r="H510" s="91">
        <v>296.29000000000002</v>
      </c>
      <c r="I510" s="93">
        <f t="shared" si="7"/>
        <v>1.8597416649759335E-3</v>
      </c>
      <c r="J510" s="85"/>
      <c r="K510" s="85"/>
    </row>
    <row r="511" spans="1:11" ht="15.6">
      <c r="A511" s="148">
        <v>41593</v>
      </c>
      <c r="B511" s="88">
        <v>3.97</v>
      </c>
      <c r="G511" s="90">
        <v>41604</v>
      </c>
      <c r="H511" s="91">
        <v>294.92</v>
      </c>
      <c r="I511" s="93">
        <f t="shared" si="7"/>
        <v>-4.6238482567754202E-3</v>
      </c>
      <c r="J511" s="85"/>
      <c r="K511" s="85"/>
    </row>
    <row r="512" spans="1:11" ht="15.6">
      <c r="A512" s="148">
        <v>41594</v>
      </c>
      <c r="B512" s="88">
        <v>3.97</v>
      </c>
      <c r="G512" s="90">
        <v>41605</v>
      </c>
      <c r="H512" s="91">
        <v>295.08999999999997</v>
      </c>
      <c r="I512" s="93">
        <f t="shared" si="7"/>
        <v>5.7642750576403223E-4</v>
      </c>
      <c r="J512" s="85"/>
      <c r="K512" s="85"/>
    </row>
    <row r="513" spans="1:11" ht="15.6">
      <c r="A513" s="148">
        <v>41597</v>
      </c>
      <c r="B513" s="88">
        <v>3.96</v>
      </c>
      <c r="G513" s="90">
        <v>41606</v>
      </c>
      <c r="H513" s="91">
        <v>293.57</v>
      </c>
      <c r="I513" s="93">
        <f t="shared" si="7"/>
        <v>-5.1509708902368612E-3</v>
      </c>
      <c r="J513" s="85"/>
      <c r="K513" s="85"/>
    </row>
    <row r="514" spans="1:11" ht="15.6">
      <c r="A514" s="148">
        <v>41598</v>
      </c>
      <c r="B514" s="88">
        <v>3.98</v>
      </c>
      <c r="G514" s="90">
        <v>41607</v>
      </c>
      <c r="H514" s="91">
        <v>289.61</v>
      </c>
      <c r="I514" s="93">
        <f t="shared" si="7"/>
        <v>-1.3489116735361129E-2</v>
      </c>
      <c r="J514" s="85"/>
      <c r="K514" s="85"/>
    </row>
    <row r="515" spans="1:11" ht="15.6">
      <c r="A515" s="148">
        <v>41599</v>
      </c>
      <c r="B515" s="88">
        <v>3.96</v>
      </c>
      <c r="G515" s="90">
        <v>41608</v>
      </c>
      <c r="H515" s="91">
        <v>288.08</v>
      </c>
      <c r="I515" s="93">
        <f t="shared" si="7"/>
        <v>-5.2829667483859089E-3</v>
      </c>
      <c r="J515" s="85"/>
      <c r="K515" s="85"/>
    </row>
    <row r="516" spans="1:11" ht="15.6">
      <c r="A516" s="148">
        <v>41600</v>
      </c>
      <c r="B516" s="88">
        <v>3.96</v>
      </c>
      <c r="G516" s="90">
        <v>41611</v>
      </c>
      <c r="H516" s="91">
        <v>289.14</v>
      </c>
      <c r="I516" s="93">
        <f t="shared" si="7"/>
        <v>3.6795334629269316E-3</v>
      </c>
      <c r="J516" s="85"/>
      <c r="K516" s="85"/>
    </row>
    <row r="517" spans="1:11" ht="15.6">
      <c r="A517" s="148">
        <v>41601</v>
      </c>
      <c r="B517" s="88">
        <v>3.96</v>
      </c>
      <c r="G517" s="90">
        <v>41612</v>
      </c>
      <c r="H517" s="91">
        <v>287.83999999999997</v>
      </c>
      <c r="I517" s="93">
        <f t="shared" si="7"/>
        <v>-4.4960918586152143E-3</v>
      </c>
      <c r="J517" s="85"/>
      <c r="K517" s="85"/>
    </row>
    <row r="518" spans="1:11" ht="15.6">
      <c r="A518" s="148">
        <v>41604</v>
      </c>
      <c r="B518" s="88">
        <v>3.93</v>
      </c>
      <c r="G518" s="90">
        <v>41613</v>
      </c>
      <c r="H518" s="91">
        <v>284.08999999999997</v>
      </c>
      <c r="I518" s="93">
        <f t="shared" si="7"/>
        <v>-1.3028071150639198E-2</v>
      </c>
      <c r="J518" s="85"/>
      <c r="K518" s="85"/>
    </row>
    <row r="519" spans="1:11" ht="15.6">
      <c r="A519" s="148">
        <v>41605</v>
      </c>
      <c r="B519" s="88">
        <v>3.92</v>
      </c>
      <c r="G519" s="90">
        <v>41614</v>
      </c>
      <c r="H519" s="91">
        <v>283.88</v>
      </c>
      <c r="I519" s="93">
        <f t="shared" si="7"/>
        <v>-7.3920236544744444E-4</v>
      </c>
      <c r="J519" s="85"/>
      <c r="K519" s="85"/>
    </row>
    <row r="520" spans="1:11" ht="15.6">
      <c r="A520" s="148">
        <v>41606</v>
      </c>
      <c r="B520" s="88">
        <v>3.96</v>
      </c>
      <c r="G520" s="90">
        <v>41615</v>
      </c>
      <c r="H520" s="91">
        <v>286.56</v>
      </c>
      <c r="I520" s="93">
        <f t="shared" si="7"/>
        <v>9.4406087079048628E-3</v>
      </c>
      <c r="J520" s="85"/>
      <c r="K520" s="85"/>
    </row>
    <row r="521" spans="1:11" ht="15.6">
      <c r="A521" s="148">
        <v>41607</v>
      </c>
      <c r="B521" s="88">
        <v>3.91</v>
      </c>
      <c r="G521" s="90">
        <v>41618</v>
      </c>
      <c r="H521" s="91">
        <v>289.06</v>
      </c>
      <c r="I521" s="93">
        <f t="shared" si="7"/>
        <v>8.7241764377443687E-3</v>
      </c>
      <c r="J521" s="85"/>
      <c r="K521" s="85"/>
    </row>
    <row r="522" spans="1:11" ht="15.6">
      <c r="A522" s="148">
        <v>41608</v>
      </c>
      <c r="B522" s="88">
        <v>3.9</v>
      </c>
      <c r="G522" s="90">
        <v>41619</v>
      </c>
      <c r="H522" s="91">
        <v>286.97000000000003</v>
      </c>
      <c r="I522" s="93">
        <f t="shared" si="7"/>
        <v>-7.2303328028782143E-3</v>
      </c>
      <c r="J522" s="85"/>
      <c r="K522" s="85"/>
    </row>
    <row r="523" spans="1:11" ht="15.6">
      <c r="A523" s="148">
        <v>41611</v>
      </c>
      <c r="B523" s="88">
        <v>3.91</v>
      </c>
      <c r="G523" s="90">
        <v>41620</v>
      </c>
      <c r="H523" s="91">
        <v>288.51</v>
      </c>
      <c r="I523" s="93">
        <f t="shared" si="7"/>
        <v>5.3664146077985198E-3</v>
      </c>
      <c r="J523" s="85"/>
      <c r="K523" s="85"/>
    </row>
    <row r="524" spans="1:11" ht="15.6">
      <c r="A524" s="148">
        <v>41612</v>
      </c>
      <c r="B524" s="88">
        <v>3.9</v>
      </c>
      <c r="G524" s="90">
        <v>41621</v>
      </c>
      <c r="H524" s="91">
        <v>289.33</v>
      </c>
      <c r="I524" s="93">
        <f t="shared" si="7"/>
        <v>2.8421891788845688E-3</v>
      </c>
      <c r="J524" s="85"/>
      <c r="K524" s="85"/>
    </row>
    <row r="525" spans="1:11" ht="15.6">
      <c r="A525" s="148">
        <v>41613</v>
      </c>
      <c r="B525" s="88">
        <v>3.89</v>
      </c>
      <c r="G525" s="90">
        <v>41622</v>
      </c>
      <c r="H525" s="91">
        <v>288.87</v>
      </c>
      <c r="I525" s="93">
        <f t="shared" si="7"/>
        <v>-1.5898800677426328E-3</v>
      </c>
      <c r="J525" s="85"/>
      <c r="K525" s="85"/>
    </row>
    <row r="526" spans="1:11" ht="15.6">
      <c r="A526" s="148">
        <v>41614</v>
      </c>
      <c r="B526" s="88">
        <v>3.91</v>
      </c>
      <c r="G526" s="90">
        <v>41625</v>
      </c>
      <c r="H526" s="91">
        <v>292.2</v>
      </c>
      <c r="I526" s="93">
        <f t="shared" si="7"/>
        <v>1.152767680963751E-2</v>
      </c>
      <c r="J526" s="85"/>
      <c r="K526" s="85"/>
    </row>
    <row r="527" spans="1:11" ht="15.6">
      <c r="A527" s="148">
        <v>41615</v>
      </c>
      <c r="B527" s="88">
        <v>3.92</v>
      </c>
      <c r="G527" s="90">
        <v>41626</v>
      </c>
      <c r="H527" s="91">
        <v>292.49</v>
      </c>
      <c r="I527" s="93">
        <f t="shared" ref="I527:I590" si="8">H527/H526-1</f>
        <v>9.9247091033549673E-4</v>
      </c>
      <c r="J527" s="85"/>
      <c r="K527" s="85"/>
    </row>
    <row r="528" spans="1:11" ht="15.6">
      <c r="A528" s="148">
        <v>41618</v>
      </c>
      <c r="B528" s="88">
        <v>3.92</v>
      </c>
      <c r="G528" s="90">
        <v>41627</v>
      </c>
      <c r="H528" s="91">
        <v>292.94</v>
      </c>
      <c r="I528" s="93">
        <f t="shared" si="8"/>
        <v>1.5385141372354916E-3</v>
      </c>
      <c r="J528" s="85"/>
      <c r="K528" s="85"/>
    </row>
    <row r="529" spans="1:11" ht="15.6">
      <c r="A529" s="148">
        <v>41619</v>
      </c>
      <c r="B529" s="88">
        <v>3.94</v>
      </c>
      <c r="G529" s="90">
        <v>41628</v>
      </c>
      <c r="H529" s="91">
        <v>294.49</v>
      </c>
      <c r="I529" s="93">
        <f t="shared" si="8"/>
        <v>5.2911859083770718E-3</v>
      </c>
      <c r="J529" s="85"/>
      <c r="K529" s="85"/>
    </row>
    <row r="530" spans="1:11" ht="15.6">
      <c r="A530" s="148">
        <v>41620</v>
      </c>
      <c r="B530" s="88">
        <v>3.93</v>
      </c>
      <c r="G530" s="90">
        <v>41629</v>
      </c>
      <c r="H530" s="91">
        <v>295.97000000000003</v>
      </c>
      <c r="I530" s="93">
        <f t="shared" si="8"/>
        <v>5.0256375428707756E-3</v>
      </c>
      <c r="J530" s="85"/>
      <c r="K530" s="85"/>
    </row>
    <row r="531" spans="1:11" ht="15.6">
      <c r="A531" s="148">
        <v>41621</v>
      </c>
      <c r="B531" s="88">
        <v>3.92</v>
      </c>
      <c r="G531" s="90">
        <v>41632</v>
      </c>
      <c r="H531" s="91">
        <v>295.95</v>
      </c>
      <c r="I531" s="93">
        <f t="shared" si="8"/>
        <v>-6.7574416326099396E-5</v>
      </c>
      <c r="J531" s="85"/>
      <c r="K531" s="85"/>
    </row>
    <row r="532" spans="1:11" ht="15.6">
      <c r="A532" s="148">
        <v>41622</v>
      </c>
      <c r="B532" s="88">
        <v>3.92</v>
      </c>
      <c r="G532" s="90">
        <v>41633</v>
      </c>
      <c r="H532" s="91">
        <v>295.58999999999997</v>
      </c>
      <c r="I532" s="93">
        <f t="shared" si="8"/>
        <v>-1.2164216928535199E-3</v>
      </c>
      <c r="J532" s="85"/>
      <c r="K532" s="85"/>
    </row>
    <row r="533" spans="1:11" ht="15.6">
      <c r="A533" s="148">
        <v>41625</v>
      </c>
      <c r="B533" s="88">
        <v>3.93</v>
      </c>
      <c r="G533" s="90">
        <v>41634</v>
      </c>
      <c r="H533" s="91">
        <v>296.95999999999998</v>
      </c>
      <c r="I533" s="93">
        <f t="shared" si="8"/>
        <v>4.6347982002097332E-3</v>
      </c>
      <c r="J533" s="85"/>
      <c r="K533" s="85"/>
    </row>
    <row r="534" spans="1:11" ht="15.6">
      <c r="A534" s="148">
        <v>41626</v>
      </c>
      <c r="B534" s="88">
        <v>3.94</v>
      </c>
      <c r="G534" s="90">
        <v>41635</v>
      </c>
      <c r="H534" s="91">
        <v>298.8</v>
      </c>
      <c r="I534" s="93">
        <f t="shared" si="8"/>
        <v>6.196120689655249E-3</v>
      </c>
      <c r="J534" s="85"/>
      <c r="K534" s="85"/>
    </row>
    <row r="535" spans="1:11" ht="15.6">
      <c r="A535" s="148">
        <v>41627</v>
      </c>
      <c r="B535" s="88">
        <v>3.96</v>
      </c>
      <c r="G535" s="90">
        <v>41636</v>
      </c>
      <c r="H535" s="91">
        <v>300.33999999999997</v>
      </c>
      <c r="I535" s="93">
        <f t="shared" si="8"/>
        <v>5.1539491298526752E-3</v>
      </c>
      <c r="J535" s="85"/>
      <c r="K535" s="85"/>
    </row>
    <row r="536" spans="1:11" ht="15.6">
      <c r="A536" s="148">
        <v>41628</v>
      </c>
      <c r="B536" s="88">
        <v>3.97</v>
      </c>
      <c r="G536" s="90">
        <v>41639</v>
      </c>
      <c r="H536" s="91">
        <v>300.16000000000003</v>
      </c>
      <c r="I536" s="93">
        <f t="shared" si="8"/>
        <v>-5.9932076979407611E-4</v>
      </c>
      <c r="J536" s="85"/>
      <c r="K536" s="85"/>
    </row>
    <row r="537" spans="1:11" ht="15.6">
      <c r="A537" s="148">
        <v>41629</v>
      </c>
      <c r="B537" s="88">
        <v>3.97</v>
      </c>
      <c r="G537" s="90">
        <v>41640</v>
      </c>
      <c r="H537" s="91">
        <v>305.17</v>
      </c>
      <c r="I537" s="93">
        <f t="shared" si="8"/>
        <v>1.6691098081023314E-2</v>
      </c>
    </row>
    <row r="538" spans="1:11" ht="15.6">
      <c r="A538" s="148">
        <v>41632</v>
      </c>
      <c r="B538" s="179">
        <v>3.97</v>
      </c>
      <c r="G538" s="90">
        <v>41641</v>
      </c>
      <c r="H538" s="91">
        <v>306.92</v>
      </c>
      <c r="I538" s="93">
        <f t="shared" si="8"/>
        <v>5.7345086345315099E-3</v>
      </c>
    </row>
    <row r="539" spans="1:11" ht="15.6">
      <c r="A539" s="148">
        <v>41633</v>
      </c>
      <c r="B539" s="88">
        <v>3.97</v>
      </c>
      <c r="G539" s="90">
        <v>41642</v>
      </c>
      <c r="H539" s="91">
        <v>309.70999999999998</v>
      </c>
      <c r="I539" s="93">
        <f t="shared" si="8"/>
        <v>9.0903166949041214E-3</v>
      </c>
    </row>
    <row r="540" spans="1:11" ht="15.6">
      <c r="A540" s="148">
        <v>41634</v>
      </c>
      <c r="B540" s="88">
        <v>3.96</v>
      </c>
      <c r="G540" s="90">
        <v>41643</v>
      </c>
      <c r="H540" s="91">
        <v>311.49</v>
      </c>
      <c r="I540" s="93">
        <f t="shared" si="8"/>
        <v>5.7473120015498758E-3</v>
      </c>
    </row>
    <row r="541" spans="1:11" ht="15.6">
      <c r="A541" s="148">
        <v>41635</v>
      </c>
      <c r="B541" s="88">
        <v>3.95</v>
      </c>
      <c r="G541" s="90">
        <v>41646</v>
      </c>
      <c r="H541" s="91">
        <v>312.86</v>
      </c>
      <c r="I541" s="93">
        <f t="shared" si="8"/>
        <v>4.398215030980035E-3</v>
      </c>
    </row>
    <row r="542" spans="1:11" ht="15.6">
      <c r="A542" s="148">
        <v>41636</v>
      </c>
      <c r="B542" s="88">
        <v>3.95</v>
      </c>
      <c r="G542" s="90">
        <v>41647</v>
      </c>
      <c r="H542" s="91">
        <v>312.63</v>
      </c>
      <c r="I542" s="93">
        <f t="shared" si="8"/>
        <v>-7.3515310362470832E-4</v>
      </c>
    </row>
    <row r="543" spans="1:11" ht="15.6">
      <c r="A543" s="148">
        <v>41638</v>
      </c>
      <c r="B543" s="88">
        <v>3.75</v>
      </c>
      <c r="G543" s="90">
        <v>41648</v>
      </c>
      <c r="H543" s="91">
        <v>311.47000000000003</v>
      </c>
      <c r="I543" s="93">
        <f t="shared" si="8"/>
        <v>-3.7104564501166948E-3</v>
      </c>
    </row>
    <row r="544" spans="1:11" ht="15.6">
      <c r="A544" s="148">
        <v>41639</v>
      </c>
      <c r="B544" s="179">
        <v>3.75</v>
      </c>
      <c r="G544" s="90">
        <v>41649</v>
      </c>
      <c r="H544" s="91">
        <v>311.67</v>
      </c>
      <c r="I544" s="93">
        <f t="shared" si="8"/>
        <v>6.4211641570621758E-4</v>
      </c>
    </row>
    <row r="545" spans="1:9" ht="15.6">
      <c r="A545" s="148">
        <v>41640</v>
      </c>
      <c r="B545" s="88">
        <v>3.75</v>
      </c>
      <c r="G545" s="90">
        <v>41650</v>
      </c>
      <c r="H545" s="91">
        <v>314</v>
      </c>
      <c r="I545" s="93">
        <f t="shared" si="8"/>
        <v>7.4758558731990998E-3</v>
      </c>
    </row>
    <row r="546" spans="1:9" ht="15.6">
      <c r="A546" s="148">
        <v>41641</v>
      </c>
      <c r="B546" s="88">
        <v>3.74</v>
      </c>
      <c r="E546" s="90"/>
      <c r="F546" s="91"/>
      <c r="G546" s="90">
        <v>41653</v>
      </c>
      <c r="H546" s="91">
        <v>314.42</v>
      </c>
      <c r="I546" s="93">
        <f t="shared" si="8"/>
        <v>1.3375796178345389E-3</v>
      </c>
    </row>
    <row r="547" spans="1:9" ht="15.6">
      <c r="A547" s="148">
        <v>41642</v>
      </c>
      <c r="B547" s="88">
        <v>3.74</v>
      </c>
      <c r="E547" s="90"/>
      <c r="F547" s="91"/>
      <c r="G547" s="90">
        <v>41654</v>
      </c>
      <c r="H547" s="91">
        <v>315.63</v>
      </c>
      <c r="I547" s="93">
        <f t="shared" si="8"/>
        <v>3.8483557025634774E-3</v>
      </c>
    </row>
    <row r="548" spans="1:9" ht="15.6">
      <c r="A548" s="148">
        <v>41643</v>
      </c>
      <c r="B548" s="88">
        <v>3.74</v>
      </c>
      <c r="E548" s="90"/>
      <c r="F548" s="91"/>
      <c r="G548" s="90">
        <v>41655</v>
      </c>
      <c r="H548" s="91">
        <v>317.52999999999997</v>
      </c>
      <c r="I548" s="93">
        <f t="shared" si="8"/>
        <v>6.0197066185090353E-3</v>
      </c>
    </row>
    <row r="549" spans="1:9" ht="15.6">
      <c r="A549" s="148">
        <v>41646</v>
      </c>
      <c r="B549" s="88">
        <v>3.74</v>
      </c>
      <c r="E549" s="90"/>
      <c r="F549" s="91"/>
      <c r="G549" s="90">
        <v>41656</v>
      </c>
      <c r="H549" s="91">
        <v>318.77</v>
      </c>
      <c r="I549" s="93">
        <f t="shared" si="8"/>
        <v>3.9051428211507311E-3</v>
      </c>
    </row>
    <row r="550" spans="1:9" ht="15.6">
      <c r="A550" s="148">
        <v>41647</v>
      </c>
      <c r="B550" s="88">
        <v>3.76</v>
      </c>
      <c r="E550" s="90"/>
      <c r="F550" s="91"/>
      <c r="G550" s="90">
        <v>41657</v>
      </c>
      <c r="H550" s="91">
        <v>320.27999999999997</v>
      </c>
      <c r="I550" s="93">
        <f t="shared" si="8"/>
        <v>4.7369576810867287E-3</v>
      </c>
    </row>
    <row r="551" spans="1:9" ht="15.6">
      <c r="A551" s="148">
        <v>41648</v>
      </c>
      <c r="B551" s="88">
        <v>3.78</v>
      </c>
      <c r="E551" s="90"/>
      <c r="F551" s="91"/>
      <c r="G551" s="90">
        <v>41660</v>
      </c>
      <c r="H551" s="91">
        <v>322.77999999999997</v>
      </c>
      <c r="I551" s="93">
        <f t="shared" si="8"/>
        <v>7.8056700387161282E-3</v>
      </c>
    </row>
    <row r="552" spans="1:9" ht="15.6">
      <c r="A552" s="148">
        <v>41649</v>
      </c>
      <c r="B552" s="88">
        <v>3.77</v>
      </c>
      <c r="E552" s="90"/>
      <c r="F552" s="91"/>
      <c r="G552" s="90">
        <v>41661</v>
      </c>
      <c r="H552" s="91">
        <v>325.54000000000002</v>
      </c>
      <c r="I552" s="93">
        <f t="shared" si="8"/>
        <v>8.5507156577235843E-3</v>
      </c>
    </row>
    <row r="553" spans="1:9" ht="15.6">
      <c r="A553" s="148">
        <v>41650</v>
      </c>
      <c r="B553" s="88">
        <v>3.78</v>
      </c>
      <c r="E553" s="90"/>
      <c r="F553" s="91"/>
      <c r="G553" s="90">
        <v>41662</v>
      </c>
      <c r="H553" s="91">
        <v>327.77</v>
      </c>
      <c r="I553" s="93">
        <f t="shared" si="8"/>
        <v>6.8501566627756638E-3</v>
      </c>
    </row>
    <row r="554" spans="1:9" ht="15.6">
      <c r="A554" s="148">
        <v>41653</v>
      </c>
      <c r="B554" s="88">
        <v>3.78</v>
      </c>
      <c r="E554" s="90"/>
      <c r="F554" s="91"/>
      <c r="G554" s="90">
        <v>41663</v>
      </c>
      <c r="H554" s="91">
        <v>328.18</v>
      </c>
      <c r="I554" s="93">
        <f t="shared" si="8"/>
        <v>1.2508771394577067E-3</v>
      </c>
    </row>
    <row r="555" spans="1:9" ht="15.6">
      <c r="A555" s="148">
        <v>41654</v>
      </c>
      <c r="B555" s="88">
        <v>3.77</v>
      </c>
      <c r="E555" s="90"/>
      <c r="F555" s="91"/>
      <c r="G555" s="90">
        <v>41664</v>
      </c>
      <c r="H555" s="91">
        <v>330.88</v>
      </c>
      <c r="I555" s="93">
        <f t="shared" si="8"/>
        <v>8.227192394417715E-3</v>
      </c>
    </row>
    <row r="556" spans="1:9" ht="15.6">
      <c r="A556" s="148">
        <v>41655</v>
      </c>
      <c r="B556" s="88">
        <v>3.78</v>
      </c>
      <c r="E556" s="90"/>
      <c r="F556" s="91"/>
      <c r="G556" s="90">
        <v>41667</v>
      </c>
      <c r="H556" s="91">
        <v>328.97</v>
      </c>
      <c r="I556" s="93">
        <f t="shared" si="8"/>
        <v>-5.7724854932300618E-3</v>
      </c>
    </row>
    <row r="557" spans="1:9" ht="15.6">
      <c r="A557" s="148">
        <v>41656</v>
      </c>
      <c r="B557" s="88">
        <v>3.8</v>
      </c>
      <c r="E557" s="90"/>
      <c r="F557" s="91"/>
      <c r="G557" s="90">
        <v>41668</v>
      </c>
      <c r="H557" s="91">
        <v>324.38</v>
      </c>
      <c r="I557" s="93">
        <f t="shared" si="8"/>
        <v>-1.3952640058364052E-2</v>
      </c>
    </row>
    <row r="558" spans="1:9" ht="15.6">
      <c r="A558" s="148">
        <v>41657</v>
      </c>
      <c r="B558" s="88">
        <v>3.82</v>
      </c>
      <c r="E558" s="90"/>
      <c r="F558" s="91"/>
      <c r="G558" s="90">
        <v>41669</v>
      </c>
      <c r="H558" s="91">
        <v>326.02999999999997</v>
      </c>
      <c r="I558" s="93">
        <f t="shared" si="8"/>
        <v>5.0866267957332401E-3</v>
      </c>
    </row>
    <row r="559" spans="1:9" ht="15.6">
      <c r="A559" s="148">
        <v>41660</v>
      </c>
      <c r="B559" s="88">
        <v>3.83</v>
      </c>
      <c r="E559" s="90"/>
      <c r="F559" s="91"/>
      <c r="G559" s="90">
        <v>41670</v>
      </c>
      <c r="H559" s="91">
        <v>324.76</v>
      </c>
      <c r="I559" s="93">
        <f t="shared" si="8"/>
        <v>-3.895347053952003E-3</v>
      </c>
    </row>
    <row r="560" spans="1:9" ht="15.6">
      <c r="A560" s="148">
        <v>41661</v>
      </c>
      <c r="B560" s="88">
        <v>3.81</v>
      </c>
      <c r="E560" s="90"/>
      <c r="F560" s="91"/>
      <c r="G560" s="90">
        <v>41671</v>
      </c>
      <c r="H560" s="91">
        <v>320.61</v>
      </c>
      <c r="I560" s="93">
        <f t="shared" si="8"/>
        <v>-1.2778667323561921E-2</v>
      </c>
    </row>
    <row r="561" spans="1:9" ht="15.6">
      <c r="A561" s="148">
        <v>41662</v>
      </c>
      <c r="B561" s="88">
        <v>3.81</v>
      </c>
      <c r="E561" s="90"/>
      <c r="F561" s="91"/>
      <c r="G561" s="90">
        <v>41674</v>
      </c>
      <c r="H561" s="91">
        <v>315.41000000000003</v>
      </c>
      <c r="I561" s="93">
        <f t="shared" si="8"/>
        <v>-1.6219082374224092E-2</v>
      </c>
    </row>
    <row r="562" spans="1:9" ht="15.6">
      <c r="A562" s="148">
        <v>41663</v>
      </c>
      <c r="B562" s="88">
        <v>3.8</v>
      </c>
      <c r="E562" s="90"/>
      <c r="F562" s="91"/>
      <c r="G562" s="90">
        <v>41675</v>
      </c>
      <c r="H562" s="91">
        <v>306.3</v>
      </c>
      <c r="I562" s="93">
        <f t="shared" si="8"/>
        <v>-2.8883041121080533E-2</v>
      </c>
    </row>
    <row r="563" spans="1:9" ht="15.6">
      <c r="A563" s="148">
        <v>41664</v>
      </c>
      <c r="B563" s="88">
        <v>3.81</v>
      </c>
      <c r="E563" s="90"/>
      <c r="F563" s="91"/>
      <c r="G563" s="90">
        <v>41676</v>
      </c>
      <c r="H563" s="91">
        <v>306.58</v>
      </c>
      <c r="I563" s="93">
        <f t="shared" si="8"/>
        <v>9.1413646751536959E-4</v>
      </c>
    </row>
    <row r="564" spans="1:9" ht="15.6">
      <c r="A564" s="148">
        <v>41667</v>
      </c>
      <c r="B564" s="88">
        <v>3.85</v>
      </c>
      <c r="E564" s="90"/>
      <c r="F564" s="91"/>
      <c r="G564" s="90">
        <v>41677</v>
      </c>
      <c r="H564" s="91">
        <v>303.69</v>
      </c>
      <c r="I564" s="93">
        <f t="shared" si="8"/>
        <v>-9.4265770761301493E-3</v>
      </c>
    </row>
    <row r="565" spans="1:9" ht="15.6">
      <c r="A565" s="148">
        <v>41668</v>
      </c>
      <c r="B565" s="88">
        <v>3.86</v>
      </c>
      <c r="E565" s="90"/>
      <c r="F565" s="91"/>
      <c r="G565" s="90">
        <v>41678</v>
      </c>
      <c r="H565" s="91">
        <v>299.01</v>
      </c>
      <c r="I565" s="93">
        <f t="shared" si="8"/>
        <v>-1.5410451447199436E-2</v>
      </c>
    </row>
    <row r="566" spans="1:9" ht="15.6">
      <c r="A566" s="148">
        <v>41669</v>
      </c>
      <c r="B566" s="88">
        <v>3.88</v>
      </c>
      <c r="E566" s="90"/>
      <c r="F566" s="91"/>
      <c r="G566" s="90">
        <v>41681</v>
      </c>
      <c r="H566" s="91">
        <v>301.33</v>
      </c>
      <c r="I566" s="93">
        <f t="shared" si="8"/>
        <v>7.7589378281661681E-3</v>
      </c>
    </row>
    <row r="567" spans="1:9" ht="15.6">
      <c r="A567" s="148">
        <v>41670</v>
      </c>
      <c r="B567" s="88">
        <v>3.91</v>
      </c>
      <c r="E567" s="90"/>
      <c r="F567" s="91"/>
      <c r="G567" s="90">
        <v>41682</v>
      </c>
      <c r="H567" s="91">
        <v>303.83</v>
      </c>
      <c r="I567" s="93">
        <f t="shared" si="8"/>
        <v>8.2965519530082688E-3</v>
      </c>
    </row>
    <row r="568" spans="1:9" ht="15.6">
      <c r="A568" s="148">
        <v>41671</v>
      </c>
      <c r="B568" s="88">
        <v>3.94</v>
      </c>
      <c r="E568" s="90"/>
      <c r="F568" s="91"/>
      <c r="G568" s="90">
        <v>41683</v>
      </c>
      <c r="H568" s="91">
        <v>308.75</v>
      </c>
      <c r="I568" s="93">
        <f t="shared" si="8"/>
        <v>1.6193265971102377E-2</v>
      </c>
    </row>
    <row r="569" spans="1:9" ht="15.6">
      <c r="A569" s="148">
        <v>41674</v>
      </c>
      <c r="B569" s="88">
        <v>3.96</v>
      </c>
      <c r="E569" s="90"/>
      <c r="F569" s="91"/>
      <c r="G569" s="90">
        <v>41684</v>
      </c>
      <c r="H569" s="91">
        <v>313.55</v>
      </c>
      <c r="I569" s="93">
        <f t="shared" si="8"/>
        <v>1.5546558704453428E-2</v>
      </c>
    </row>
    <row r="570" spans="1:9" ht="15.6">
      <c r="A570" s="148">
        <v>41675</v>
      </c>
      <c r="B570" s="88">
        <v>3.95</v>
      </c>
      <c r="E570" s="90"/>
      <c r="F570" s="91"/>
      <c r="G570" s="90">
        <v>41685</v>
      </c>
      <c r="H570" s="91">
        <v>312.73</v>
      </c>
      <c r="I570" s="93">
        <f t="shared" si="8"/>
        <v>-2.6152128847073408E-3</v>
      </c>
    </row>
    <row r="571" spans="1:9" ht="15.6">
      <c r="A571" s="148">
        <v>41676</v>
      </c>
      <c r="B571" s="88">
        <v>3.95</v>
      </c>
      <c r="E571" s="90"/>
      <c r="F571" s="91"/>
      <c r="G571" s="90">
        <v>41688</v>
      </c>
      <c r="H571" s="91">
        <v>312.32</v>
      </c>
      <c r="I571" s="93">
        <f t="shared" si="8"/>
        <v>-1.311035078182532E-3</v>
      </c>
    </row>
    <row r="572" spans="1:9" ht="15.6">
      <c r="A572" s="148">
        <v>41677</v>
      </c>
      <c r="B572" s="88">
        <v>4.01</v>
      </c>
      <c r="E572" s="90"/>
      <c r="F572" s="91"/>
      <c r="G572" s="90">
        <v>41689</v>
      </c>
      <c r="H572" s="91">
        <v>311.25</v>
      </c>
      <c r="I572" s="93">
        <f t="shared" si="8"/>
        <v>-3.4259733606557541E-3</v>
      </c>
    </row>
    <row r="573" spans="1:9" ht="15.6">
      <c r="A573" s="148">
        <v>41678</v>
      </c>
      <c r="B573" s="88">
        <v>4.07</v>
      </c>
      <c r="E573" s="90"/>
      <c r="F573" s="91"/>
      <c r="G573" s="90">
        <v>41690</v>
      </c>
      <c r="H573" s="91">
        <v>315.44</v>
      </c>
      <c r="I573" s="93">
        <f t="shared" si="8"/>
        <v>1.3461847389558246E-2</v>
      </c>
    </row>
    <row r="574" spans="1:9" ht="15.6">
      <c r="A574" s="148">
        <v>41681</v>
      </c>
      <c r="B574" s="88">
        <v>4.05</v>
      </c>
      <c r="E574" s="90"/>
      <c r="F574" s="91"/>
      <c r="G574" s="90">
        <v>41691</v>
      </c>
      <c r="H574" s="91">
        <v>313.77</v>
      </c>
      <c r="I574" s="93">
        <f t="shared" si="8"/>
        <v>-5.2941922394116325E-3</v>
      </c>
    </row>
    <row r="575" spans="1:9" ht="15.6">
      <c r="A575" s="148">
        <v>41682</v>
      </c>
      <c r="B575" s="88">
        <v>4.05</v>
      </c>
      <c r="E575" s="90"/>
      <c r="F575" s="91"/>
      <c r="G575" s="90">
        <v>41692</v>
      </c>
      <c r="H575" s="91">
        <v>317.37</v>
      </c>
      <c r="I575" s="93">
        <f t="shared" si="8"/>
        <v>1.1473372215317079E-2</v>
      </c>
    </row>
    <row r="576" spans="1:9" ht="15.6">
      <c r="A576" s="148">
        <v>41683</v>
      </c>
      <c r="B576" s="88">
        <v>4.08</v>
      </c>
      <c r="E576" s="90"/>
      <c r="F576" s="91"/>
      <c r="G576" s="90">
        <v>41695</v>
      </c>
      <c r="H576" s="91">
        <v>318.49</v>
      </c>
      <c r="I576" s="93">
        <f t="shared" si="8"/>
        <v>3.5290040016384694E-3</v>
      </c>
    </row>
    <row r="577" spans="1:9" ht="15.6">
      <c r="A577" s="148">
        <v>41684</v>
      </c>
      <c r="B577" s="88">
        <v>4.09</v>
      </c>
      <c r="E577" s="90"/>
      <c r="F577" s="91"/>
      <c r="G577" s="90">
        <v>41696</v>
      </c>
      <c r="H577" s="91">
        <v>315.76</v>
      </c>
      <c r="I577" s="93">
        <f t="shared" si="8"/>
        <v>-8.5716976985149573E-3</v>
      </c>
    </row>
    <row r="578" spans="1:9" ht="15.6">
      <c r="A578" s="148">
        <v>41685</v>
      </c>
      <c r="B578" s="88">
        <v>4.0599999999999996</v>
      </c>
      <c r="E578" s="90"/>
      <c r="F578" s="91"/>
      <c r="G578" s="90">
        <v>41697</v>
      </c>
      <c r="H578" s="91">
        <v>312.22000000000003</v>
      </c>
      <c r="I578" s="93">
        <f t="shared" si="8"/>
        <v>-1.1211046364327237E-2</v>
      </c>
    </row>
    <row r="579" spans="1:9" ht="15.6">
      <c r="A579" s="148">
        <v>41688</v>
      </c>
      <c r="B579" s="88">
        <v>4.0599999999999996</v>
      </c>
      <c r="E579" s="90"/>
      <c r="F579" s="91"/>
      <c r="G579" s="90">
        <v>41698</v>
      </c>
      <c r="H579" s="91">
        <v>311.47000000000003</v>
      </c>
      <c r="I579" s="93">
        <f t="shared" si="8"/>
        <v>-2.4021523284862845E-3</v>
      </c>
    </row>
    <row r="580" spans="1:9" ht="15.6">
      <c r="A580" s="148">
        <v>41689</v>
      </c>
      <c r="B580" s="88">
        <v>4.09</v>
      </c>
      <c r="E580" s="90"/>
      <c r="F580" s="91"/>
      <c r="G580" s="90">
        <v>41699</v>
      </c>
      <c r="H580" s="91">
        <v>309.06</v>
      </c>
      <c r="I580" s="93">
        <f t="shared" si="8"/>
        <v>-7.7375028092594444E-3</v>
      </c>
    </row>
    <row r="581" spans="1:9" ht="15.6">
      <c r="A581" s="148">
        <v>41690</v>
      </c>
      <c r="B581" s="88">
        <v>4.09</v>
      </c>
      <c r="E581" s="90"/>
      <c r="F581" s="91"/>
      <c r="G581" s="90">
        <v>41702</v>
      </c>
      <c r="H581" s="91">
        <v>307.72000000000003</v>
      </c>
      <c r="I581" s="93">
        <f t="shared" si="8"/>
        <v>-4.3357276904160136E-3</v>
      </c>
    </row>
    <row r="582" spans="1:9" ht="15.6">
      <c r="A582" s="148">
        <v>41691</v>
      </c>
      <c r="B582" s="88">
        <v>4.0999999999999996</v>
      </c>
      <c r="E582" s="90"/>
      <c r="F582" s="91"/>
      <c r="G582" s="90">
        <v>41703</v>
      </c>
      <c r="H582" s="91">
        <v>311.29000000000002</v>
      </c>
      <c r="I582" s="93">
        <f t="shared" si="8"/>
        <v>1.1601455868971877E-2</v>
      </c>
    </row>
    <row r="583" spans="1:9" ht="15.6">
      <c r="A583" s="148">
        <v>41692</v>
      </c>
      <c r="B583" s="88">
        <v>4.09</v>
      </c>
      <c r="E583" s="90"/>
      <c r="F583" s="91"/>
      <c r="G583" s="90">
        <v>41704</v>
      </c>
      <c r="H583" s="91">
        <v>309.49</v>
      </c>
      <c r="I583" s="93">
        <f t="shared" si="8"/>
        <v>-5.7823894118025354E-3</v>
      </c>
    </row>
    <row r="584" spans="1:9" ht="15.6">
      <c r="A584" s="148">
        <v>41695</v>
      </c>
      <c r="B584" s="88">
        <v>4.0599999999999996</v>
      </c>
      <c r="E584" s="90"/>
      <c r="F584" s="91"/>
      <c r="G584" s="90">
        <v>41705</v>
      </c>
      <c r="H584" s="91">
        <v>310.54000000000002</v>
      </c>
      <c r="I584" s="93">
        <f t="shared" si="8"/>
        <v>3.3926782771656061E-3</v>
      </c>
    </row>
    <row r="585" spans="1:9" ht="15.6">
      <c r="A585" s="148">
        <v>41696</v>
      </c>
      <c r="B585" s="88">
        <v>4.0599999999999996</v>
      </c>
      <c r="E585" s="90"/>
      <c r="F585" s="91"/>
      <c r="G585" s="90">
        <v>41706</v>
      </c>
      <c r="H585" s="91">
        <v>313.27999999999997</v>
      </c>
      <c r="I585" s="93">
        <f t="shared" si="8"/>
        <v>8.8233399884072305E-3</v>
      </c>
    </row>
    <row r="586" spans="1:9" ht="15.6">
      <c r="A586" s="148">
        <v>41697</v>
      </c>
      <c r="B586" s="88">
        <v>4.1100000000000003</v>
      </c>
      <c r="E586" s="90"/>
      <c r="F586" s="91"/>
      <c r="G586" s="90">
        <v>41709</v>
      </c>
      <c r="H586" s="91">
        <v>316.83</v>
      </c>
      <c r="I586" s="93">
        <f t="shared" si="8"/>
        <v>1.1331716036772299E-2</v>
      </c>
    </row>
    <row r="587" spans="1:9" ht="15.6">
      <c r="A587" s="148">
        <v>41698</v>
      </c>
      <c r="B587" s="88">
        <v>4.1100000000000003</v>
      </c>
      <c r="E587" s="90"/>
      <c r="F587" s="91"/>
      <c r="G587" s="90">
        <v>41710</v>
      </c>
      <c r="H587" s="91">
        <v>316.91000000000003</v>
      </c>
      <c r="I587" s="93">
        <f t="shared" si="8"/>
        <v>2.5250134141341363E-4</v>
      </c>
    </row>
    <row r="588" spans="1:9" ht="15.6">
      <c r="A588" s="148">
        <v>41699</v>
      </c>
      <c r="B588" s="88">
        <v>4.1100000000000003</v>
      </c>
      <c r="E588" s="90"/>
      <c r="F588" s="91"/>
      <c r="G588" s="90">
        <v>41711</v>
      </c>
      <c r="H588" s="91">
        <v>315.51</v>
      </c>
      <c r="I588" s="93">
        <f t="shared" si="8"/>
        <v>-4.4176580101606966E-3</v>
      </c>
    </row>
    <row r="589" spans="1:9" ht="15.6">
      <c r="A589" s="148">
        <v>41702</v>
      </c>
      <c r="B589" s="88">
        <v>4.0999999999999996</v>
      </c>
      <c r="E589" s="90"/>
      <c r="F589" s="91"/>
      <c r="G589" s="90">
        <v>41712</v>
      </c>
      <c r="H589" s="91">
        <v>314.89</v>
      </c>
      <c r="I589" s="93">
        <f t="shared" si="8"/>
        <v>-1.965072422427161E-3</v>
      </c>
    </row>
    <row r="590" spans="1:9" ht="15.6">
      <c r="A590" s="148">
        <v>41703</v>
      </c>
      <c r="B590" s="88">
        <v>4.1100000000000003</v>
      </c>
      <c r="E590" s="90"/>
      <c r="F590" s="91"/>
      <c r="G590" s="90">
        <v>41713</v>
      </c>
      <c r="H590" s="91">
        <v>313.88</v>
      </c>
      <c r="I590" s="93">
        <f t="shared" si="8"/>
        <v>-3.2074692749849421E-3</v>
      </c>
    </row>
    <row r="591" spans="1:9" ht="15.6">
      <c r="A591" s="148">
        <v>41704</v>
      </c>
      <c r="B591" s="88">
        <v>4.12</v>
      </c>
      <c r="E591" s="90"/>
      <c r="F591" s="91"/>
      <c r="G591" s="90">
        <v>41716</v>
      </c>
      <c r="H591" s="91">
        <v>311.68</v>
      </c>
      <c r="I591" s="93">
        <f t="shared" ref="I591:I654" si="9">H591/H590-1</f>
        <v>-7.0090480438383951E-3</v>
      </c>
    </row>
    <row r="592" spans="1:9" ht="15.6">
      <c r="A592" s="148">
        <v>41705</v>
      </c>
      <c r="B592" s="88">
        <v>4.12</v>
      </c>
      <c r="E592" s="90"/>
      <c r="F592" s="91"/>
      <c r="G592" s="90">
        <v>41717</v>
      </c>
      <c r="H592" s="91">
        <v>312.77</v>
      </c>
      <c r="I592" s="93">
        <f t="shared" si="9"/>
        <v>3.4971765913756059E-3</v>
      </c>
    </row>
    <row r="593" spans="1:9" ht="15.6">
      <c r="A593" s="148">
        <v>41706</v>
      </c>
      <c r="B593" s="88">
        <v>4.13</v>
      </c>
      <c r="E593" s="90"/>
      <c r="F593" s="91"/>
      <c r="G593" s="90">
        <v>41718</v>
      </c>
      <c r="H593" s="91">
        <v>313.02</v>
      </c>
      <c r="I593" s="93">
        <f t="shared" si="9"/>
        <v>7.9930939668115819E-4</v>
      </c>
    </row>
    <row r="594" spans="1:9" ht="15.6">
      <c r="A594" s="148">
        <v>41709</v>
      </c>
      <c r="B594" s="88">
        <v>4.13</v>
      </c>
      <c r="E594" s="90"/>
      <c r="F594" s="91"/>
      <c r="G594" s="90">
        <v>41719</v>
      </c>
      <c r="H594" s="91">
        <v>309.33999999999997</v>
      </c>
      <c r="I594" s="93">
        <f t="shared" si="9"/>
        <v>-1.1756437288352184E-2</v>
      </c>
    </row>
    <row r="595" spans="1:9" ht="15.6">
      <c r="A595" s="148">
        <v>41710</v>
      </c>
      <c r="B595" s="88">
        <v>4.12</v>
      </c>
      <c r="E595" s="90"/>
      <c r="F595" s="91"/>
      <c r="G595" s="90">
        <v>41720</v>
      </c>
      <c r="H595" s="91">
        <v>304.42</v>
      </c>
      <c r="I595" s="93">
        <f t="shared" si="9"/>
        <v>-1.5904829637292117E-2</v>
      </c>
    </row>
    <row r="596" spans="1:9" ht="15.6">
      <c r="A596" s="148">
        <v>41711</v>
      </c>
      <c r="B596" s="88">
        <v>4.12</v>
      </c>
      <c r="E596" s="90"/>
      <c r="F596" s="91"/>
      <c r="G596" s="90">
        <v>41723</v>
      </c>
      <c r="H596" s="91">
        <v>306.98</v>
      </c>
      <c r="I596" s="93">
        <f t="shared" si="9"/>
        <v>8.4094343341436506E-3</v>
      </c>
    </row>
    <row r="597" spans="1:9" ht="15.6">
      <c r="A597" s="148">
        <v>41712</v>
      </c>
      <c r="B597" s="88">
        <v>4.13</v>
      </c>
      <c r="E597" s="90"/>
      <c r="F597" s="91"/>
      <c r="G597" s="90">
        <v>41724</v>
      </c>
      <c r="H597" s="91">
        <v>307.33999999999997</v>
      </c>
      <c r="I597" s="93">
        <f t="shared" si="9"/>
        <v>1.1727148348426031E-3</v>
      </c>
    </row>
    <row r="598" spans="1:9" ht="15.6">
      <c r="A598" s="148">
        <v>41713</v>
      </c>
      <c r="B598" s="88">
        <v>4.13</v>
      </c>
      <c r="E598" s="90"/>
      <c r="F598" s="91"/>
      <c r="G598" s="90">
        <v>41725</v>
      </c>
      <c r="H598" s="91">
        <v>301.98</v>
      </c>
      <c r="I598" s="93">
        <f t="shared" si="9"/>
        <v>-1.7439968764234925E-2</v>
      </c>
    </row>
    <row r="599" spans="1:9" ht="15.6">
      <c r="A599" s="148">
        <v>41716</v>
      </c>
      <c r="B599" s="88">
        <v>4.16</v>
      </c>
      <c r="E599" s="90"/>
      <c r="F599" s="91"/>
      <c r="G599" s="90">
        <v>41726</v>
      </c>
      <c r="H599" s="91">
        <v>303.39999999999998</v>
      </c>
      <c r="I599" s="93">
        <f t="shared" si="9"/>
        <v>4.7022981654412099E-3</v>
      </c>
    </row>
    <row r="600" spans="1:9" ht="15.6">
      <c r="A600" s="148">
        <v>41717</v>
      </c>
      <c r="B600" s="88">
        <v>4.18</v>
      </c>
      <c r="E600" s="90"/>
      <c r="F600" s="91"/>
      <c r="G600" s="90">
        <v>41727</v>
      </c>
      <c r="H600" s="91">
        <v>303.75</v>
      </c>
      <c r="I600" s="93">
        <f t="shared" si="9"/>
        <v>1.1535926170074262E-3</v>
      </c>
    </row>
    <row r="601" spans="1:9" ht="15.6">
      <c r="A601" s="148">
        <v>41718</v>
      </c>
      <c r="B601" s="88">
        <v>4.2</v>
      </c>
      <c r="E601" s="90"/>
      <c r="F601" s="91"/>
      <c r="G601" s="90">
        <v>41730</v>
      </c>
      <c r="H601" s="91">
        <v>303.35000000000002</v>
      </c>
      <c r="I601" s="93">
        <f t="shared" si="9"/>
        <v>-1.3168724279835065E-3</v>
      </c>
    </row>
    <row r="602" spans="1:9" ht="15.6">
      <c r="A602" s="148">
        <v>41719</v>
      </c>
      <c r="B602" s="88">
        <v>4.18</v>
      </c>
      <c r="E602" s="90"/>
      <c r="F602" s="91"/>
      <c r="G602" s="90">
        <v>41731</v>
      </c>
      <c r="H602" s="91">
        <v>303.69</v>
      </c>
      <c r="I602" s="93">
        <f t="shared" si="9"/>
        <v>1.1208175374979312E-3</v>
      </c>
    </row>
    <row r="603" spans="1:9" ht="15.6">
      <c r="A603" s="148">
        <v>41720</v>
      </c>
      <c r="B603" s="88">
        <v>4.1900000000000004</v>
      </c>
      <c r="E603" s="90"/>
      <c r="F603" s="91"/>
      <c r="G603" s="90">
        <v>41732</v>
      </c>
      <c r="H603" s="91">
        <v>300.43</v>
      </c>
      <c r="I603" s="93">
        <f t="shared" si="9"/>
        <v>-1.0734630708946646E-2</v>
      </c>
    </row>
    <row r="604" spans="1:9" ht="15.6">
      <c r="A604" s="148">
        <v>41723</v>
      </c>
      <c r="B604" s="88">
        <v>4.2</v>
      </c>
      <c r="E604" s="90"/>
      <c r="F604" s="91"/>
      <c r="G604" s="90">
        <v>41733</v>
      </c>
      <c r="H604" s="91">
        <v>302.97000000000003</v>
      </c>
      <c r="I604" s="93">
        <f t="shared" si="9"/>
        <v>8.4545484805114146E-3</v>
      </c>
    </row>
    <row r="605" spans="1:9" ht="15.6">
      <c r="A605" s="148">
        <v>41724</v>
      </c>
      <c r="B605" s="88">
        <v>4.18</v>
      </c>
      <c r="E605" s="90"/>
      <c r="F605" s="91"/>
      <c r="G605" s="90">
        <v>41734</v>
      </c>
      <c r="H605" s="91">
        <v>302.49</v>
      </c>
      <c r="I605" s="93">
        <f t="shared" si="9"/>
        <v>-1.584315278740478E-3</v>
      </c>
    </row>
    <row r="606" spans="1:9" ht="15.6">
      <c r="A606" s="148">
        <v>41725</v>
      </c>
      <c r="B606" s="88">
        <v>4.17</v>
      </c>
      <c r="E606" s="90"/>
      <c r="F606" s="91"/>
      <c r="G606" s="90">
        <v>41737</v>
      </c>
      <c r="H606" s="91">
        <v>302.18</v>
      </c>
      <c r="I606" s="93">
        <f t="shared" si="9"/>
        <v>-1.0248272670171366E-3</v>
      </c>
    </row>
    <row r="607" spans="1:9" ht="15.6">
      <c r="A607" s="148">
        <v>41726</v>
      </c>
      <c r="B607" s="88">
        <v>4.16</v>
      </c>
      <c r="E607" s="90"/>
      <c r="F607" s="91"/>
      <c r="G607" s="90">
        <v>41738</v>
      </c>
      <c r="H607" s="91">
        <v>305.39999999999998</v>
      </c>
      <c r="I607" s="93">
        <f t="shared" si="9"/>
        <v>1.06559004566813E-2</v>
      </c>
    </row>
    <row r="608" spans="1:9" ht="15.6">
      <c r="A608" s="148">
        <v>41727</v>
      </c>
      <c r="B608" s="179">
        <v>4.16</v>
      </c>
      <c r="E608" s="90"/>
      <c r="F608" s="91"/>
      <c r="G608" s="90">
        <v>41739</v>
      </c>
      <c r="H608" s="91">
        <v>305.60000000000002</v>
      </c>
      <c r="I608" s="93">
        <f t="shared" si="9"/>
        <v>6.548788474134426E-4</v>
      </c>
    </row>
    <row r="609" spans="1:9" ht="15.6">
      <c r="A609" s="148">
        <v>41728</v>
      </c>
      <c r="B609" s="88">
        <v>4.12</v>
      </c>
      <c r="E609" s="90"/>
      <c r="F609" s="91"/>
      <c r="G609" s="90">
        <v>41740</v>
      </c>
      <c r="H609" s="91">
        <v>306.08</v>
      </c>
      <c r="I609" s="93">
        <f t="shared" si="9"/>
        <v>1.5706806282720365E-3</v>
      </c>
    </row>
    <row r="610" spans="1:9" ht="15.6">
      <c r="A610" s="148">
        <v>41730</v>
      </c>
      <c r="B610" s="88">
        <v>4.13</v>
      </c>
      <c r="E610" s="90"/>
      <c r="F610" s="91"/>
      <c r="G610" s="90">
        <v>41741</v>
      </c>
      <c r="H610" s="91">
        <v>304.18</v>
      </c>
      <c r="I610" s="93">
        <f t="shared" si="9"/>
        <v>-6.2075274438054828E-3</v>
      </c>
    </row>
    <row r="611" spans="1:9" ht="15.6">
      <c r="A611" s="148">
        <v>41731</v>
      </c>
      <c r="B611" s="88">
        <v>4.12</v>
      </c>
      <c r="E611" s="90"/>
      <c r="F611" s="91"/>
      <c r="G611" s="90">
        <v>41744</v>
      </c>
      <c r="H611" s="91">
        <v>302.32</v>
      </c>
      <c r="I611" s="93">
        <f t="shared" si="9"/>
        <v>-6.1148004471037742E-3</v>
      </c>
    </row>
    <row r="612" spans="1:9" ht="15.6">
      <c r="A612" s="148">
        <v>41732</v>
      </c>
      <c r="B612" s="88">
        <v>4.12</v>
      </c>
      <c r="E612" s="90"/>
      <c r="F612" s="91"/>
      <c r="G612" s="90">
        <v>41745</v>
      </c>
      <c r="H612" s="91">
        <v>302.36</v>
      </c>
      <c r="I612" s="93">
        <f t="shared" si="9"/>
        <v>1.3231013495640376E-4</v>
      </c>
    </row>
    <row r="613" spans="1:9" ht="15.6">
      <c r="A613" s="148">
        <v>41733</v>
      </c>
      <c r="B613" s="88">
        <v>4.12</v>
      </c>
      <c r="E613" s="90"/>
      <c r="F613" s="91"/>
      <c r="G613" s="90">
        <v>41746</v>
      </c>
      <c r="H613" s="91">
        <v>304.91000000000003</v>
      </c>
      <c r="I613" s="93">
        <f t="shared" si="9"/>
        <v>8.4336552454029601E-3</v>
      </c>
    </row>
    <row r="614" spans="1:9" ht="15.6">
      <c r="A614" s="148">
        <v>41734</v>
      </c>
      <c r="B614" s="88">
        <v>4.1100000000000003</v>
      </c>
      <c r="E614" s="90"/>
      <c r="F614" s="91"/>
      <c r="G614" s="90">
        <v>41747</v>
      </c>
      <c r="H614" s="91">
        <v>306.54000000000002</v>
      </c>
      <c r="I614" s="93">
        <f t="shared" si="9"/>
        <v>5.3458397559935644E-3</v>
      </c>
    </row>
    <row r="615" spans="1:9" ht="15.6">
      <c r="A615" s="148">
        <v>41737</v>
      </c>
      <c r="B615" s="88">
        <v>4.13</v>
      </c>
      <c r="E615" s="90"/>
      <c r="F615" s="91"/>
      <c r="G615" s="90">
        <v>41748</v>
      </c>
      <c r="H615" s="91">
        <v>302.93</v>
      </c>
      <c r="I615" s="93">
        <f t="shared" si="9"/>
        <v>-1.1776603379656914E-2</v>
      </c>
    </row>
    <row r="616" spans="1:9" ht="15.6">
      <c r="A616" s="148">
        <v>41738</v>
      </c>
      <c r="B616" s="88">
        <v>4.16</v>
      </c>
      <c r="E616" s="90"/>
      <c r="F616" s="91"/>
      <c r="G616" s="90">
        <v>41751</v>
      </c>
      <c r="H616" s="91">
        <v>300.10000000000002</v>
      </c>
      <c r="I616" s="93">
        <f t="shared" si="9"/>
        <v>-9.3420922325289091E-3</v>
      </c>
    </row>
    <row r="617" spans="1:9" ht="15.6">
      <c r="A617" s="148">
        <v>41739</v>
      </c>
      <c r="B617" s="88">
        <v>4.16</v>
      </c>
      <c r="E617" s="90"/>
      <c r="F617" s="91"/>
      <c r="G617" s="90">
        <v>41752</v>
      </c>
      <c r="H617" s="91">
        <v>299.70999999999998</v>
      </c>
      <c r="I617" s="93">
        <f t="shared" si="9"/>
        <v>-1.2995668110631353E-3</v>
      </c>
    </row>
    <row r="618" spans="1:9" ht="15.6">
      <c r="A618" s="148">
        <v>41740</v>
      </c>
      <c r="B618" s="88">
        <v>4.16</v>
      </c>
      <c r="E618" s="90"/>
      <c r="F618" s="91"/>
      <c r="G618" s="90">
        <v>41753</v>
      </c>
      <c r="H618" s="91">
        <v>296.04000000000002</v>
      </c>
      <c r="I618" s="93">
        <f t="shared" si="9"/>
        <v>-1.224517033132011E-2</v>
      </c>
    </row>
    <row r="619" spans="1:9" ht="15.6">
      <c r="A619" s="148">
        <v>41741</v>
      </c>
      <c r="B619" s="88">
        <v>4.17</v>
      </c>
      <c r="E619" s="90"/>
      <c r="F619" s="91"/>
      <c r="G619" s="90">
        <v>41754</v>
      </c>
      <c r="H619" s="91">
        <v>296.43</v>
      </c>
      <c r="I619" s="93">
        <f t="shared" si="9"/>
        <v>1.3173895419538173E-3</v>
      </c>
    </row>
    <row r="620" spans="1:9" ht="15.6">
      <c r="A620" s="148">
        <v>41744</v>
      </c>
      <c r="B620" s="88">
        <v>4.1900000000000004</v>
      </c>
      <c r="E620" s="90"/>
      <c r="F620" s="91"/>
      <c r="G620" s="90">
        <v>41755</v>
      </c>
      <c r="H620" s="91">
        <v>299.12</v>
      </c>
      <c r="I620" s="93">
        <f t="shared" si="9"/>
        <v>9.0746550619034139E-3</v>
      </c>
    </row>
    <row r="621" spans="1:9" ht="15.6">
      <c r="A621" s="148">
        <v>41745</v>
      </c>
      <c r="B621" s="88">
        <v>4.1900000000000004</v>
      </c>
      <c r="E621" s="90"/>
      <c r="F621" s="91"/>
      <c r="G621" s="90">
        <v>41758</v>
      </c>
      <c r="H621" s="91">
        <v>300.81</v>
      </c>
      <c r="I621" s="93">
        <f t="shared" si="9"/>
        <v>5.6499063920834036E-3</v>
      </c>
    </row>
    <row r="622" spans="1:9" ht="15.6">
      <c r="A622" s="148">
        <v>41746</v>
      </c>
      <c r="B622" s="88">
        <v>4.1900000000000004</v>
      </c>
      <c r="E622" s="90"/>
      <c r="F622" s="91"/>
      <c r="G622" s="90">
        <v>41759</v>
      </c>
      <c r="H622" s="91">
        <v>300.24</v>
      </c>
      <c r="I622" s="93">
        <f t="shared" si="9"/>
        <v>-1.8948838137029522E-3</v>
      </c>
    </row>
    <row r="623" spans="1:9" ht="15.6">
      <c r="A623" s="148">
        <v>41747</v>
      </c>
      <c r="B623" s="88">
        <v>4.22</v>
      </c>
      <c r="E623" s="90"/>
      <c r="F623" s="91"/>
      <c r="G623" s="90">
        <v>41760</v>
      </c>
      <c r="H623" s="91">
        <v>297.97000000000003</v>
      </c>
      <c r="I623" s="93">
        <f t="shared" si="9"/>
        <v>-7.5606181721289412E-3</v>
      </c>
    </row>
    <row r="624" spans="1:9" ht="15.6">
      <c r="A624" s="148">
        <v>41748</v>
      </c>
      <c r="B624" s="88">
        <v>4.25</v>
      </c>
      <c r="E624" s="90"/>
      <c r="F624" s="91"/>
      <c r="G624" s="90">
        <v>41761</v>
      </c>
      <c r="H624" s="91">
        <v>294.48</v>
      </c>
      <c r="I624" s="93">
        <f t="shared" si="9"/>
        <v>-1.1712588515622402E-2</v>
      </c>
    </row>
    <row r="625" spans="1:9" ht="15.6">
      <c r="A625" s="148">
        <v>41751</v>
      </c>
      <c r="B625" s="88">
        <v>4.28</v>
      </c>
      <c r="E625" s="90"/>
      <c r="F625" s="91"/>
      <c r="G625" s="90">
        <v>41762</v>
      </c>
      <c r="H625" s="91">
        <v>294.58</v>
      </c>
      <c r="I625" s="93">
        <f t="shared" si="9"/>
        <v>3.3958163542502362E-4</v>
      </c>
    </row>
    <row r="626" spans="1:9" ht="15.6">
      <c r="A626" s="148">
        <v>41752</v>
      </c>
      <c r="B626" s="88">
        <v>4.28</v>
      </c>
      <c r="E626" s="90"/>
      <c r="F626" s="91"/>
      <c r="G626" s="90">
        <v>41765</v>
      </c>
      <c r="H626" s="91">
        <v>295.38</v>
      </c>
      <c r="I626" s="93">
        <f t="shared" si="9"/>
        <v>2.7157308710707984E-3</v>
      </c>
    </row>
    <row r="627" spans="1:9" ht="15.6">
      <c r="A627" s="148">
        <v>41753</v>
      </c>
      <c r="B627" s="88">
        <v>4.32</v>
      </c>
      <c r="E627" s="90"/>
      <c r="F627" s="91"/>
      <c r="G627" s="90">
        <v>41766</v>
      </c>
      <c r="H627" s="91">
        <v>296.07</v>
      </c>
      <c r="I627" s="93">
        <f t="shared" si="9"/>
        <v>2.3359739995938433E-3</v>
      </c>
    </row>
    <row r="628" spans="1:9" ht="15.6">
      <c r="A628" s="148">
        <v>41754</v>
      </c>
      <c r="B628" s="88">
        <v>4.3099999999999996</v>
      </c>
      <c r="E628" s="90"/>
      <c r="F628" s="91"/>
      <c r="G628" s="90">
        <v>41767</v>
      </c>
      <c r="H628" s="91">
        <v>296.70999999999998</v>
      </c>
      <c r="I628" s="93">
        <f t="shared" si="9"/>
        <v>2.1616509609214685E-3</v>
      </c>
    </row>
    <row r="629" spans="1:9" ht="15.6">
      <c r="A629" s="148">
        <v>41755</v>
      </c>
      <c r="B629" s="88">
        <v>4.3099999999999996</v>
      </c>
      <c r="E629" s="90"/>
      <c r="F629" s="91"/>
      <c r="G629" s="90">
        <v>41768</v>
      </c>
      <c r="H629" s="91">
        <v>299.32</v>
      </c>
      <c r="I629" s="93">
        <f t="shared" si="9"/>
        <v>8.7964679316505645E-3</v>
      </c>
    </row>
    <row r="630" spans="1:9" ht="15.6">
      <c r="A630" s="148">
        <v>41758</v>
      </c>
      <c r="B630" s="88">
        <v>4.3499999999999996</v>
      </c>
      <c r="E630" s="90"/>
      <c r="F630" s="91"/>
      <c r="G630" s="90">
        <v>41769</v>
      </c>
      <c r="H630" s="91">
        <v>301.20999999999998</v>
      </c>
      <c r="I630" s="93">
        <f t="shared" si="9"/>
        <v>6.3143124415341312E-3</v>
      </c>
    </row>
    <row r="631" spans="1:9" ht="15.6">
      <c r="A631" s="148">
        <v>41759</v>
      </c>
      <c r="B631" s="88">
        <v>4.37</v>
      </c>
      <c r="E631" s="90"/>
      <c r="F631" s="91"/>
      <c r="G631" s="90">
        <v>41772</v>
      </c>
      <c r="H631" s="91">
        <v>302.49</v>
      </c>
      <c r="I631" s="93">
        <f t="shared" si="9"/>
        <v>4.2495269081372911E-3</v>
      </c>
    </row>
    <row r="632" spans="1:9" ht="15.6">
      <c r="A632" s="148">
        <v>41760</v>
      </c>
      <c r="B632" s="88">
        <v>4.4000000000000004</v>
      </c>
      <c r="E632" s="90"/>
      <c r="F632" s="91"/>
      <c r="G632" s="90">
        <v>41773</v>
      </c>
      <c r="H632" s="91">
        <v>298.13</v>
      </c>
      <c r="I632" s="93">
        <f t="shared" si="9"/>
        <v>-1.4413699626434018E-2</v>
      </c>
    </row>
    <row r="633" spans="1:9" ht="15.6">
      <c r="A633" s="148">
        <v>41761</v>
      </c>
      <c r="B633" s="88">
        <v>4.43</v>
      </c>
      <c r="E633" s="90"/>
      <c r="F633" s="91"/>
      <c r="G633" s="90">
        <v>41774</v>
      </c>
      <c r="H633" s="91">
        <v>299.37</v>
      </c>
      <c r="I633" s="93">
        <f t="shared" si="9"/>
        <v>4.1592593834904878E-3</v>
      </c>
    </row>
    <row r="634" spans="1:9" ht="15.6">
      <c r="A634" s="148">
        <v>41762</v>
      </c>
      <c r="B634" s="88">
        <v>4.43</v>
      </c>
      <c r="E634" s="90"/>
      <c r="F634" s="91"/>
      <c r="G634" s="90">
        <v>41775</v>
      </c>
      <c r="H634" s="91">
        <v>296.98</v>
      </c>
      <c r="I634" s="93">
        <f t="shared" si="9"/>
        <v>-7.9834318736011767E-3</v>
      </c>
    </row>
    <row r="635" spans="1:9" ht="15.6">
      <c r="A635" s="148">
        <v>41765</v>
      </c>
      <c r="B635" s="88">
        <v>4.4400000000000004</v>
      </c>
      <c r="E635" s="90"/>
      <c r="F635" s="91"/>
      <c r="G635" s="90">
        <v>41776</v>
      </c>
      <c r="H635" s="91">
        <v>294.82</v>
      </c>
      <c r="I635" s="93">
        <f t="shared" si="9"/>
        <v>-7.2732170516534023E-3</v>
      </c>
    </row>
    <row r="636" spans="1:9" ht="15.6">
      <c r="A636" s="148">
        <v>41766</v>
      </c>
      <c r="B636" s="88">
        <v>4.4800000000000004</v>
      </c>
      <c r="E636" s="90"/>
      <c r="F636" s="91"/>
      <c r="G636" s="90">
        <v>41779</v>
      </c>
      <c r="H636" s="91">
        <v>294.60000000000002</v>
      </c>
      <c r="I636" s="93">
        <f t="shared" si="9"/>
        <v>-7.4621803134100606E-4</v>
      </c>
    </row>
    <row r="637" spans="1:9" ht="15.6">
      <c r="A637" s="148">
        <v>41767</v>
      </c>
      <c r="B637" s="88">
        <v>4.5199999999999996</v>
      </c>
      <c r="E637" s="90"/>
      <c r="F637" s="91"/>
      <c r="G637" s="90">
        <v>41780</v>
      </c>
      <c r="H637" s="91">
        <v>296.25</v>
      </c>
      <c r="I637" s="93">
        <f t="shared" si="9"/>
        <v>5.6008146639510148E-3</v>
      </c>
    </row>
    <row r="638" spans="1:9" ht="15.6">
      <c r="A638" s="148">
        <v>41768</v>
      </c>
      <c r="B638" s="88">
        <v>4.47</v>
      </c>
      <c r="E638" s="90"/>
      <c r="F638" s="91"/>
      <c r="G638" s="90">
        <v>41781</v>
      </c>
      <c r="H638" s="91">
        <v>293</v>
      </c>
      <c r="I638" s="93">
        <f t="shared" si="9"/>
        <v>-1.0970464135021119E-2</v>
      </c>
    </row>
    <row r="639" spans="1:9" ht="15.6">
      <c r="A639" s="148">
        <v>41769</v>
      </c>
      <c r="B639" s="88">
        <v>4.46</v>
      </c>
      <c r="E639" s="90"/>
      <c r="F639" s="91"/>
      <c r="G639" s="90">
        <v>41782</v>
      </c>
      <c r="H639" s="91">
        <v>293.64999999999998</v>
      </c>
      <c r="I639" s="93">
        <f t="shared" si="9"/>
        <v>2.2184300341296925E-3</v>
      </c>
    </row>
    <row r="640" spans="1:9" ht="15.6">
      <c r="A640" s="148">
        <v>41772</v>
      </c>
      <c r="B640" s="88">
        <v>4.47</v>
      </c>
      <c r="E640" s="90"/>
      <c r="F640" s="91"/>
      <c r="G640" s="90">
        <v>41783</v>
      </c>
      <c r="H640" s="91">
        <v>294.05</v>
      </c>
      <c r="I640" s="93">
        <f t="shared" si="9"/>
        <v>1.3621658436915318E-3</v>
      </c>
    </row>
    <row r="641" spans="1:9" ht="15.6">
      <c r="A641" s="148">
        <v>41773</v>
      </c>
      <c r="B641" s="88">
        <v>4.5199999999999996</v>
      </c>
      <c r="E641" s="90"/>
      <c r="F641" s="91"/>
      <c r="G641" s="90">
        <v>41786</v>
      </c>
      <c r="H641" s="91">
        <v>294.26</v>
      </c>
      <c r="I641" s="93">
        <f t="shared" si="9"/>
        <v>7.1416425777925951E-4</v>
      </c>
    </row>
    <row r="642" spans="1:9" ht="15.6">
      <c r="A642" s="148">
        <v>41774</v>
      </c>
      <c r="B642" s="88">
        <v>4.53</v>
      </c>
      <c r="E642" s="90"/>
      <c r="F642" s="91"/>
      <c r="G642" s="90">
        <v>41787</v>
      </c>
      <c r="H642" s="91">
        <v>291.57</v>
      </c>
      <c r="I642" s="93">
        <f t="shared" si="9"/>
        <v>-9.1415754774688551E-3</v>
      </c>
    </row>
    <row r="643" spans="1:9" ht="15.6">
      <c r="A643" s="148">
        <v>41775</v>
      </c>
      <c r="B643" s="88">
        <v>4.55</v>
      </c>
      <c r="E643" s="90"/>
      <c r="F643" s="91"/>
      <c r="G643" s="90">
        <v>41788</v>
      </c>
      <c r="H643" s="91">
        <v>289.42</v>
      </c>
      <c r="I643" s="93">
        <f t="shared" si="9"/>
        <v>-7.3738724834515601E-3</v>
      </c>
    </row>
    <row r="644" spans="1:9" ht="15.6">
      <c r="A644" s="148">
        <v>41776</v>
      </c>
      <c r="B644" s="88">
        <v>4.5599999999999996</v>
      </c>
      <c r="E644" s="90"/>
      <c r="F644" s="91"/>
      <c r="G644" s="90">
        <v>41789</v>
      </c>
      <c r="H644" s="91">
        <v>291.29000000000002</v>
      </c>
      <c r="I644" s="93">
        <f t="shared" si="9"/>
        <v>6.4611982585860428E-3</v>
      </c>
    </row>
    <row r="645" spans="1:9" ht="15.6">
      <c r="A645" s="148">
        <v>41779</v>
      </c>
      <c r="B645" s="88">
        <v>4.55</v>
      </c>
      <c r="E645" s="90"/>
      <c r="F645" s="91"/>
      <c r="G645" s="90">
        <v>41790</v>
      </c>
      <c r="H645" s="91">
        <v>293.39</v>
      </c>
      <c r="I645" s="93">
        <f t="shared" si="9"/>
        <v>7.2093103093135991E-3</v>
      </c>
    </row>
    <row r="646" spans="1:9" ht="15.6">
      <c r="A646" s="148">
        <v>41780</v>
      </c>
      <c r="B646" s="88">
        <v>4.5199999999999996</v>
      </c>
      <c r="E646" s="90"/>
      <c r="F646" s="91"/>
      <c r="G646" s="90">
        <v>41793</v>
      </c>
      <c r="H646" s="91">
        <v>297.25</v>
      </c>
      <c r="I646" s="93">
        <f t="shared" si="9"/>
        <v>1.3156549302975717E-2</v>
      </c>
    </row>
    <row r="647" spans="1:9" ht="15.6">
      <c r="A647" s="148">
        <v>41781</v>
      </c>
      <c r="B647" s="88">
        <v>4.5</v>
      </c>
      <c r="E647" s="90"/>
      <c r="F647" s="91"/>
      <c r="G647" s="90">
        <v>41794</v>
      </c>
      <c r="H647" s="91">
        <v>296.11</v>
      </c>
      <c r="I647" s="93">
        <f t="shared" si="9"/>
        <v>-3.8351555929352354E-3</v>
      </c>
    </row>
    <row r="648" spans="1:9" ht="15.6">
      <c r="A648" s="148">
        <v>41782</v>
      </c>
      <c r="B648" s="88">
        <v>4.47</v>
      </c>
      <c r="E648" s="90"/>
      <c r="F648" s="91"/>
      <c r="G648" s="90">
        <v>41795</v>
      </c>
      <c r="H648" s="91">
        <v>297.91000000000003</v>
      </c>
      <c r="I648" s="93">
        <f t="shared" si="9"/>
        <v>6.0788220593699371E-3</v>
      </c>
    </row>
    <row r="649" spans="1:9" ht="15.6">
      <c r="A649" s="148">
        <v>41783</v>
      </c>
      <c r="B649" s="88">
        <v>4.45</v>
      </c>
      <c r="E649" s="90"/>
      <c r="F649" s="91"/>
      <c r="G649" s="90">
        <v>41796</v>
      </c>
      <c r="H649" s="91">
        <v>297.45</v>
      </c>
      <c r="I649" s="93">
        <f t="shared" si="9"/>
        <v>-1.5440904971301128E-3</v>
      </c>
    </row>
    <row r="650" spans="1:9" ht="15.6">
      <c r="A650" s="148">
        <v>41786</v>
      </c>
      <c r="B650" s="88">
        <v>4.4400000000000004</v>
      </c>
      <c r="E650" s="90"/>
      <c r="F650" s="91"/>
      <c r="G650" s="90">
        <v>41797</v>
      </c>
      <c r="H650" s="91">
        <v>294.32</v>
      </c>
      <c r="I650" s="93">
        <f t="shared" si="9"/>
        <v>-1.0522776937300415E-2</v>
      </c>
    </row>
    <row r="651" spans="1:9" ht="15.6">
      <c r="A651" s="148">
        <v>41787</v>
      </c>
      <c r="B651" s="88">
        <v>4.4000000000000004</v>
      </c>
      <c r="E651" s="90"/>
      <c r="F651" s="91"/>
      <c r="G651" s="90">
        <v>41800</v>
      </c>
      <c r="H651" s="91">
        <v>295.3</v>
      </c>
      <c r="I651" s="93">
        <f t="shared" si="9"/>
        <v>3.3297091600978934E-3</v>
      </c>
    </row>
    <row r="652" spans="1:9" ht="15.6">
      <c r="A652" s="148">
        <v>41788</v>
      </c>
      <c r="B652" s="88">
        <v>4.43</v>
      </c>
      <c r="E652" s="90"/>
      <c r="F652" s="91"/>
      <c r="G652" s="90">
        <v>41801</v>
      </c>
      <c r="H652" s="91">
        <v>295.76</v>
      </c>
      <c r="I652" s="93">
        <f t="shared" si="9"/>
        <v>1.5577378936673103E-3</v>
      </c>
    </row>
    <row r="653" spans="1:9" ht="15.6">
      <c r="A653" s="148">
        <v>41789</v>
      </c>
      <c r="B653" s="88">
        <v>4.51</v>
      </c>
      <c r="E653" s="90"/>
      <c r="F653" s="91"/>
      <c r="G653" s="90">
        <v>41802</v>
      </c>
      <c r="H653" s="91">
        <v>294.23</v>
      </c>
      <c r="I653" s="93">
        <f t="shared" si="9"/>
        <v>-5.1731133351364811E-3</v>
      </c>
    </row>
    <row r="654" spans="1:9" ht="15.6">
      <c r="A654" s="148">
        <v>41790</v>
      </c>
      <c r="B654" s="88">
        <v>4.54</v>
      </c>
      <c r="E654" s="90"/>
      <c r="F654" s="91"/>
      <c r="G654" s="90">
        <v>41803</v>
      </c>
      <c r="H654" s="91">
        <v>292.61</v>
      </c>
      <c r="I654" s="93">
        <f t="shared" si="9"/>
        <v>-5.5058967474425069E-3</v>
      </c>
    </row>
    <row r="655" spans="1:9" ht="15.6">
      <c r="A655" s="148">
        <v>41793</v>
      </c>
      <c r="B655" s="88">
        <v>4.5599999999999996</v>
      </c>
      <c r="E655" s="90"/>
      <c r="F655" s="91"/>
      <c r="G655" s="90">
        <v>41804</v>
      </c>
      <c r="H655" s="91">
        <v>290</v>
      </c>
      <c r="I655" s="93">
        <f t="shared" ref="I655:I718" si="10">H655/H654-1</f>
        <v>-8.9197224975223754E-3</v>
      </c>
    </row>
    <row r="656" spans="1:9" ht="15.6">
      <c r="A656" s="148">
        <v>41794</v>
      </c>
      <c r="B656" s="88">
        <v>4.5599999999999996</v>
      </c>
      <c r="E656" s="90"/>
      <c r="F656" s="91"/>
      <c r="G656" s="90">
        <v>41807</v>
      </c>
      <c r="H656" s="91">
        <v>288.54000000000002</v>
      </c>
      <c r="I656" s="93">
        <f t="shared" si="10"/>
        <v>-5.0344827586206176E-3</v>
      </c>
    </row>
    <row r="657" spans="1:9" ht="15.6">
      <c r="A657" s="148">
        <v>41795</v>
      </c>
      <c r="B657" s="88">
        <v>4.59</v>
      </c>
      <c r="E657" s="90"/>
      <c r="F657" s="91"/>
      <c r="G657" s="90">
        <v>41808</v>
      </c>
      <c r="H657" s="91">
        <v>283.18</v>
      </c>
      <c r="I657" s="93">
        <f t="shared" si="10"/>
        <v>-1.857628058501426E-2</v>
      </c>
    </row>
    <row r="658" spans="1:9" ht="15.6">
      <c r="A658" s="148">
        <v>41796</v>
      </c>
      <c r="B658" s="88">
        <v>4.62</v>
      </c>
      <c r="E658" s="90"/>
      <c r="F658" s="91"/>
      <c r="G658" s="90">
        <v>41809</v>
      </c>
      <c r="H658" s="91">
        <v>284.98</v>
      </c>
      <c r="I658" s="93">
        <f t="shared" si="10"/>
        <v>6.3563811003601867E-3</v>
      </c>
    </row>
    <row r="659" spans="1:9" ht="15.6">
      <c r="A659" s="148">
        <v>41797</v>
      </c>
      <c r="B659" s="88">
        <v>4.6100000000000003</v>
      </c>
      <c r="E659" s="90"/>
      <c r="F659" s="91"/>
      <c r="G659" s="90">
        <v>41810</v>
      </c>
      <c r="H659" s="91">
        <v>281.92</v>
      </c>
      <c r="I659" s="93">
        <f t="shared" si="10"/>
        <v>-1.0737595620745277E-2</v>
      </c>
    </row>
    <row r="660" spans="1:9" ht="15.6">
      <c r="A660" s="148">
        <v>41800</v>
      </c>
      <c r="B660" s="88">
        <v>4.6399999999999997</v>
      </c>
      <c r="E660" s="90"/>
      <c r="F660" s="91"/>
      <c r="G660" s="90">
        <v>41811</v>
      </c>
      <c r="H660" s="91">
        <v>283.43</v>
      </c>
      <c r="I660" s="93">
        <f t="shared" si="10"/>
        <v>5.3561293984107916E-3</v>
      </c>
    </row>
    <row r="661" spans="1:9" ht="15.6">
      <c r="A661" s="148">
        <v>41801</v>
      </c>
      <c r="B661" s="88">
        <v>4.66</v>
      </c>
      <c r="E661" s="90"/>
      <c r="F661" s="91"/>
      <c r="G661" s="90">
        <v>41814</v>
      </c>
      <c r="H661" s="91">
        <v>279.12</v>
      </c>
      <c r="I661" s="93">
        <f t="shared" si="10"/>
        <v>-1.5206576579755104E-2</v>
      </c>
    </row>
    <row r="662" spans="1:9" ht="15.6">
      <c r="A662" s="148">
        <v>41802</v>
      </c>
      <c r="B662" s="88">
        <v>4.66</v>
      </c>
      <c r="E662" s="90"/>
      <c r="F662" s="91"/>
      <c r="G662" s="90">
        <v>41815</v>
      </c>
      <c r="H662" s="91">
        <v>278.17</v>
      </c>
      <c r="I662" s="93">
        <f t="shared" si="10"/>
        <v>-3.403554026941813E-3</v>
      </c>
    </row>
    <row r="663" spans="1:9" ht="15.6">
      <c r="A663" s="148">
        <v>41803</v>
      </c>
      <c r="B663" s="88">
        <v>4.66</v>
      </c>
      <c r="E663" s="90"/>
      <c r="F663" s="91"/>
      <c r="G663" s="90">
        <v>41816</v>
      </c>
      <c r="H663" s="91">
        <v>273.79000000000002</v>
      </c>
      <c r="I663" s="93">
        <f t="shared" si="10"/>
        <v>-1.5745766977028453E-2</v>
      </c>
    </row>
    <row r="664" spans="1:9" ht="15.6">
      <c r="A664" s="148">
        <v>41804</v>
      </c>
      <c r="B664" s="88">
        <v>4.67</v>
      </c>
      <c r="E664" s="90"/>
      <c r="F664" s="91"/>
      <c r="G664" s="90">
        <v>41817</v>
      </c>
      <c r="H664" s="91">
        <v>272.86</v>
      </c>
      <c r="I664" s="93">
        <f t="shared" si="10"/>
        <v>-3.396763943168124E-3</v>
      </c>
    </row>
    <row r="665" spans="1:9" ht="15.6">
      <c r="A665" s="148">
        <v>41807</v>
      </c>
      <c r="B665" s="88">
        <v>4.68</v>
      </c>
      <c r="E665" s="90"/>
      <c r="F665" s="91"/>
      <c r="G665" s="90">
        <v>41818</v>
      </c>
      <c r="H665" s="91">
        <v>278.66000000000003</v>
      </c>
      <c r="I665" s="93">
        <f t="shared" si="10"/>
        <v>2.1256321923330601E-2</v>
      </c>
    </row>
    <row r="666" spans="1:9" ht="15.6">
      <c r="A666" s="148">
        <v>41808</v>
      </c>
      <c r="B666" s="88">
        <v>4.6900000000000004</v>
      </c>
      <c r="E666" s="90"/>
      <c r="F666" s="91"/>
      <c r="G666" s="90">
        <v>41821</v>
      </c>
      <c r="H666" s="91">
        <v>276.97000000000003</v>
      </c>
      <c r="I666" s="93">
        <f t="shared" si="10"/>
        <v>-6.0647383908706276E-3</v>
      </c>
    </row>
    <row r="667" spans="1:9" ht="15.6">
      <c r="A667" s="148">
        <v>41809</v>
      </c>
      <c r="B667" s="88">
        <v>4.68</v>
      </c>
      <c r="E667" s="90"/>
      <c r="F667" s="91"/>
      <c r="G667" s="90">
        <v>41822</v>
      </c>
      <c r="H667" s="91">
        <v>276.33999999999997</v>
      </c>
      <c r="I667" s="93">
        <f t="shared" si="10"/>
        <v>-2.2746145791965322E-3</v>
      </c>
    </row>
    <row r="668" spans="1:9" ht="15.6">
      <c r="A668" s="148">
        <v>41810</v>
      </c>
      <c r="B668" s="88">
        <v>4.67</v>
      </c>
      <c r="E668" s="90"/>
      <c r="F668" s="91"/>
      <c r="G668" s="90">
        <v>41823</v>
      </c>
      <c r="H668" s="91">
        <v>275.95</v>
      </c>
      <c r="I668" s="93">
        <f t="shared" si="10"/>
        <v>-1.4113049142360223E-3</v>
      </c>
    </row>
    <row r="669" spans="1:9" ht="15.6">
      <c r="A669" s="148">
        <v>41811</v>
      </c>
      <c r="B669" s="88">
        <v>4.6500000000000004</v>
      </c>
      <c r="E669" s="90"/>
      <c r="F669" s="91"/>
      <c r="G669" s="90">
        <v>41824</v>
      </c>
      <c r="H669" s="91">
        <v>275.42</v>
      </c>
      <c r="I669" s="93">
        <f t="shared" si="10"/>
        <v>-1.9206377967021515E-3</v>
      </c>
    </row>
    <row r="670" spans="1:9" ht="15.6">
      <c r="A670" s="148">
        <v>41814</v>
      </c>
      <c r="B670" s="88">
        <v>4.6399999999999997</v>
      </c>
      <c r="E670" s="90"/>
      <c r="F670" s="91"/>
      <c r="G670" s="90">
        <v>41825</v>
      </c>
      <c r="H670" s="91">
        <v>276.74</v>
      </c>
      <c r="I670" s="93">
        <f t="shared" si="10"/>
        <v>4.7926802701327986E-3</v>
      </c>
    </row>
    <row r="671" spans="1:9" ht="15.6">
      <c r="A671" s="148">
        <v>41815</v>
      </c>
      <c r="B671" s="88">
        <v>4.6500000000000004</v>
      </c>
      <c r="E671" s="90"/>
      <c r="F671" s="91"/>
      <c r="G671" s="90">
        <v>41828</v>
      </c>
      <c r="H671" s="91">
        <v>280.77999999999997</v>
      </c>
      <c r="I671" s="93">
        <f t="shared" si="10"/>
        <v>1.4598540145985162E-2</v>
      </c>
    </row>
    <row r="672" spans="1:9" ht="15.6">
      <c r="A672" s="148">
        <v>41816</v>
      </c>
      <c r="B672" s="88">
        <v>4.6399999999999997</v>
      </c>
      <c r="E672" s="90"/>
      <c r="F672" s="91"/>
      <c r="G672" s="90">
        <v>41829</v>
      </c>
      <c r="H672" s="91">
        <v>280.99</v>
      </c>
      <c r="I672" s="93">
        <f t="shared" si="10"/>
        <v>7.4791651827066374E-4</v>
      </c>
    </row>
    <row r="673" spans="1:9" ht="15.6">
      <c r="A673" s="148">
        <v>41817</v>
      </c>
      <c r="B673" s="88">
        <v>4.66</v>
      </c>
      <c r="E673" s="90"/>
      <c r="F673" s="91"/>
      <c r="G673" s="90">
        <v>41830</v>
      </c>
      <c r="H673" s="91">
        <v>278.19</v>
      </c>
      <c r="I673" s="93">
        <f t="shared" si="10"/>
        <v>-9.9647674294459643E-3</v>
      </c>
    </row>
    <row r="674" spans="1:9" ht="15.6">
      <c r="A674" s="148">
        <v>41818</v>
      </c>
      <c r="B674" s="88">
        <v>4.6500000000000004</v>
      </c>
      <c r="E674" s="90"/>
      <c r="F674" s="91"/>
      <c r="G674" s="90">
        <v>41831</v>
      </c>
      <c r="H674" s="91">
        <v>280.20999999999998</v>
      </c>
      <c r="I674" s="93">
        <f t="shared" si="10"/>
        <v>7.2612243430747458E-3</v>
      </c>
    </row>
    <row r="675" spans="1:9" ht="15.6">
      <c r="A675" s="148">
        <v>41819</v>
      </c>
      <c r="B675" s="88">
        <v>4.6500000000000004</v>
      </c>
      <c r="E675" s="90"/>
      <c r="F675" s="91"/>
      <c r="G675" s="90">
        <v>41832</v>
      </c>
      <c r="H675" s="91">
        <v>280.97000000000003</v>
      </c>
      <c r="I675" s="93">
        <f t="shared" si="10"/>
        <v>2.7122515256416957E-3</v>
      </c>
    </row>
    <row r="676" spans="1:9" ht="15.6">
      <c r="A676" s="148">
        <v>41821</v>
      </c>
      <c r="B676" s="88">
        <v>4.67</v>
      </c>
      <c r="E676" s="90"/>
      <c r="F676" s="91"/>
      <c r="G676" s="90">
        <v>41835</v>
      </c>
      <c r="H676" s="91">
        <v>279.62</v>
      </c>
      <c r="I676" s="93">
        <f t="shared" si="10"/>
        <v>-4.8047834288359459E-3</v>
      </c>
    </row>
    <row r="677" spans="1:9" ht="15.6">
      <c r="A677" s="148">
        <v>41822</v>
      </c>
      <c r="B677" s="88">
        <v>4.66</v>
      </c>
      <c r="E677" s="90"/>
      <c r="F677" s="91"/>
      <c r="G677" s="90">
        <v>41836</v>
      </c>
      <c r="H677" s="91">
        <v>279.92</v>
      </c>
      <c r="I677" s="93">
        <f t="shared" si="10"/>
        <v>1.072884629139681E-3</v>
      </c>
    </row>
    <row r="678" spans="1:9" ht="15.6">
      <c r="A678" s="148">
        <v>41823</v>
      </c>
      <c r="B678" s="88">
        <v>4.66</v>
      </c>
      <c r="E678" s="90"/>
      <c r="F678" s="91"/>
      <c r="G678" s="90">
        <v>41837</v>
      </c>
      <c r="H678" s="91">
        <v>279.49</v>
      </c>
      <c r="I678" s="93">
        <f t="shared" si="10"/>
        <v>-1.5361531866248113E-3</v>
      </c>
    </row>
    <row r="679" spans="1:9" ht="15.6">
      <c r="A679" s="148">
        <v>41824</v>
      </c>
      <c r="B679" s="88">
        <v>4.6500000000000004</v>
      </c>
      <c r="E679" s="90"/>
      <c r="F679" s="91"/>
      <c r="G679" s="90">
        <v>41838</v>
      </c>
      <c r="H679" s="91">
        <v>277.18</v>
      </c>
      <c r="I679" s="93">
        <f t="shared" si="10"/>
        <v>-8.2650542058749776E-3</v>
      </c>
    </row>
    <row r="680" spans="1:9" ht="15.6">
      <c r="A680" s="148">
        <v>41825</v>
      </c>
      <c r="B680" s="88">
        <v>4.62</v>
      </c>
      <c r="E680" s="90"/>
      <c r="F680" s="91"/>
      <c r="G680" s="90">
        <v>41839</v>
      </c>
      <c r="H680" s="91">
        <v>279.60000000000002</v>
      </c>
      <c r="I680" s="93">
        <f t="shared" si="10"/>
        <v>8.730788657190347E-3</v>
      </c>
    </row>
    <row r="681" spans="1:9" ht="15.6">
      <c r="A681" s="148">
        <v>41828</v>
      </c>
      <c r="B681" s="88">
        <v>4.6100000000000003</v>
      </c>
      <c r="E681" s="90"/>
      <c r="F681" s="91"/>
      <c r="G681" s="90">
        <v>41842</v>
      </c>
      <c r="H681" s="91">
        <v>279.77999999999997</v>
      </c>
      <c r="I681" s="93">
        <f t="shared" si="10"/>
        <v>6.4377682403415903E-4</v>
      </c>
    </row>
    <row r="682" spans="1:9" ht="15.6">
      <c r="A682" s="148">
        <v>41829</v>
      </c>
      <c r="B682" s="88">
        <v>4.6100000000000003</v>
      </c>
      <c r="E682" s="90"/>
      <c r="F682" s="91"/>
      <c r="G682" s="90">
        <v>41843</v>
      </c>
      <c r="H682" s="91">
        <v>283.12</v>
      </c>
      <c r="I682" s="93">
        <f t="shared" si="10"/>
        <v>1.1937951247408707E-2</v>
      </c>
    </row>
    <row r="683" spans="1:9" ht="15.6">
      <c r="A683" s="148">
        <v>41830</v>
      </c>
      <c r="B683" s="88">
        <v>4.6100000000000003</v>
      </c>
      <c r="E683" s="90"/>
      <c r="F683" s="91"/>
      <c r="G683" s="90">
        <v>41844</v>
      </c>
      <c r="H683" s="91">
        <v>285.36</v>
      </c>
      <c r="I683" s="93">
        <f t="shared" si="10"/>
        <v>7.9118395026844812E-3</v>
      </c>
    </row>
    <row r="684" spans="1:9" ht="15.6">
      <c r="A684" s="148">
        <v>41831</v>
      </c>
      <c r="B684" s="88">
        <v>4.62</v>
      </c>
      <c r="E684" s="90"/>
      <c r="F684" s="91"/>
      <c r="G684" s="90">
        <v>41845</v>
      </c>
      <c r="H684" s="91">
        <v>284.99</v>
      </c>
      <c r="I684" s="93">
        <f t="shared" si="10"/>
        <v>-1.2966077936641396E-3</v>
      </c>
    </row>
    <row r="685" spans="1:9" ht="15.6">
      <c r="A685" s="148">
        <v>41832</v>
      </c>
      <c r="B685" s="88">
        <v>4.5999999999999996</v>
      </c>
      <c r="E685" s="90"/>
      <c r="F685" s="91"/>
      <c r="G685" s="90">
        <v>41846</v>
      </c>
      <c r="H685" s="91">
        <v>285.8</v>
      </c>
      <c r="I685" s="93">
        <f t="shared" si="10"/>
        <v>2.8422049896488222E-3</v>
      </c>
    </row>
    <row r="686" spans="1:9" ht="15.6">
      <c r="A686" s="148">
        <v>41835</v>
      </c>
      <c r="B686" s="88">
        <v>4.59</v>
      </c>
      <c r="E686" s="90"/>
      <c r="F686" s="91"/>
      <c r="G686" s="90">
        <v>41849</v>
      </c>
      <c r="H686" s="91">
        <v>285.23</v>
      </c>
      <c r="I686" s="93">
        <f t="shared" si="10"/>
        <v>-1.9944016794961605E-3</v>
      </c>
    </row>
    <row r="687" spans="1:9" ht="15.6">
      <c r="A687" s="148">
        <v>41836</v>
      </c>
      <c r="B687" s="88">
        <v>4.5999999999999996</v>
      </c>
      <c r="E687" s="90"/>
      <c r="F687" s="91"/>
      <c r="G687" s="90">
        <v>41850</v>
      </c>
      <c r="H687" s="91">
        <v>284.45</v>
      </c>
      <c r="I687" s="93">
        <f t="shared" si="10"/>
        <v>-2.7346352066753843E-3</v>
      </c>
    </row>
    <row r="688" spans="1:9" ht="15.6">
      <c r="A688" s="148">
        <v>41837</v>
      </c>
      <c r="B688" s="88">
        <v>4.5999999999999996</v>
      </c>
      <c r="E688" s="90"/>
      <c r="F688" s="91"/>
      <c r="G688" s="90">
        <v>41851</v>
      </c>
      <c r="H688" s="91">
        <v>284.25</v>
      </c>
      <c r="I688" s="93">
        <f t="shared" si="10"/>
        <v>-7.0311126735800311E-4</v>
      </c>
    </row>
    <row r="689" spans="1:9" ht="15.6">
      <c r="A689" s="148">
        <v>41838</v>
      </c>
      <c r="B689" s="88">
        <v>4.6100000000000003</v>
      </c>
      <c r="E689" s="90"/>
      <c r="F689" s="91"/>
      <c r="G689" s="90">
        <v>41852</v>
      </c>
      <c r="H689" s="91">
        <v>279.7</v>
      </c>
      <c r="I689" s="93">
        <f t="shared" si="10"/>
        <v>-1.6007036059806579E-2</v>
      </c>
    </row>
    <row r="690" spans="1:9" ht="15.6">
      <c r="A690" s="148">
        <v>41839</v>
      </c>
      <c r="B690" s="88">
        <v>4.59</v>
      </c>
      <c r="E690" s="90"/>
      <c r="F690" s="91"/>
      <c r="G690" s="90">
        <v>41853</v>
      </c>
      <c r="H690" s="91">
        <v>281.25</v>
      </c>
      <c r="I690" s="93">
        <f t="shared" si="10"/>
        <v>5.5416517697532974E-3</v>
      </c>
    </row>
    <row r="691" spans="1:9" ht="15.6">
      <c r="A691" s="148">
        <v>41842</v>
      </c>
      <c r="B691" s="88">
        <v>4.5999999999999996</v>
      </c>
      <c r="E691" s="90"/>
      <c r="F691" s="91"/>
      <c r="G691" s="90">
        <v>41856</v>
      </c>
      <c r="H691" s="91">
        <v>280.52</v>
      </c>
      <c r="I691" s="93">
        <f t="shared" si="10"/>
        <v>-2.5955555555555732E-3</v>
      </c>
    </row>
    <row r="692" spans="1:9" ht="15.6">
      <c r="A692" s="148">
        <v>41843</v>
      </c>
      <c r="B692" s="88">
        <v>4.5999999999999996</v>
      </c>
      <c r="E692" s="90"/>
      <c r="F692" s="91"/>
      <c r="G692" s="90">
        <v>41857</v>
      </c>
      <c r="H692" s="91">
        <v>282.64</v>
      </c>
      <c r="I692" s="93">
        <f t="shared" si="10"/>
        <v>7.5573934122343811E-3</v>
      </c>
    </row>
    <row r="693" spans="1:9" ht="15.6">
      <c r="A693" s="148">
        <v>41844</v>
      </c>
      <c r="B693" s="88">
        <v>4.58</v>
      </c>
      <c r="E693" s="90"/>
      <c r="F693" s="91"/>
      <c r="G693" s="90">
        <v>41858</v>
      </c>
      <c r="H693" s="91">
        <v>282.29000000000002</v>
      </c>
      <c r="I693" s="93">
        <f t="shared" si="10"/>
        <v>-1.2383243702235314E-3</v>
      </c>
    </row>
    <row r="694" spans="1:9" ht="15.6">
      <c r="A694" s="148">
        <v>41845</v>
      </c>
      <c r="B694" s="88">
        <v>4.57</v>
      </c>
      <c r="E694" s="90"/>
      <c r="F694" s="91"/>
      <c r="G694" s="90">
        <v>41859</v>
      </c>
      <c r="H694" s="91">
        <v>281.86</v>
      </c>
      <c r="I694" s="93">
        <f t="shared" si="10"/>
        <v>-1.5232562258670201E-3</v>
      </c>
    </row>
    <row r="695" spans="1:9" ht="15.6">
      <c r="A695" s="148">
        <v>41846</v>
      </c>
      <c r="B695" s="88">
        <v>4.5599999999999996</v>
      </c>
      <c r="E695" s="90"/>
      <c r="F695" s="91"/>
      <c r="G695" s="90">
        <v>41860</v>
      </c>
      <c r="H695" s="91">
        <v>278.02</v>
      </c>
      <c r="I695" s="93">
        <f t="shared" si="10"/>
        <v>-1.3623784857730858E-2</v>
      </c>
    </row>
    <row r="696" spans="1:9" ht="15.6">
      <c r="A696" s="148">
        <v>41849</v>
      </c>
      <c r="B696" s="88">
        <v>4.5599999999999996</v>
      </c>
      <c r="E696" s="90"/>
      <c r="F696" s="91"/>
      <c r="G696" s="90">
        <v>41863</v>
      </c>
      <c r="H696" s="91">
        <v>272.89999999999998</v>
      </c>
      <c r="I696" s="93">
        <f t="shared" si="10"/>
        <v>-1.8415941299187111E-2</v>
      </c>
    </row>
    <row r="697" spans="1:9" ht="15.6">
      <c r="A697" s="148">
        <v>41850</v>
      </c>
      <c r="B697" s="88">
        <v>4.59</v>
      </c>
      <c r="E697" s="90"/>
      <c r="F697" s="91"/>
      <c r="G697" s="90">
        <v>41864</v>
      </c>
      <c r="H697" s="91">
        <v>272.54000000000002</v>
      </c>
      <c r="I697" s="93">
        <f t="shared" si="10"/>
        <v>-1.3191645291313892E-3</v>
      </c>
    </row>
    <row r="698" spans="1:9" ht="15.6">
      <c r="A698" s="148">
        <v>41851</v>
      </c>
      <c r="B698" s="88">
        <v>4.62</v>
      </c>
      <c r="E698" s="90"/>
      <c r="F698" s="91"/>
      <c r="G698" s="90">
        <v>41865</v>
      </c>
      <c r="H698" s="91">
        <v>267.17</v>
      </c>
      <c r="I698" s="93">
        <f t="shared" si="10"/>
        <v>-1.970352975709988E-2</v>
      </c>
    </row>
    <row r="699" spans="1:9" ht="15.6">
      <c r="A699" s="148">
        <v>41852</v>
      </c>
      <c r="B699" s="88">
        <v>4.6500000000000004</v>
      </c>
      <c r="E699" s="90"/>
      <c r="F699" s="91"/>
      <c r="G699" s="90">
        <v>41866</v>
      </c>
      <c r="H699" s="91">
        <v>267.08</v>
      </c>
      <c r="I699" s="93">
        <f t="shared" si="10"/>
        <v>-3.3686416888134563E-4</v>
      </c>
    </row>
    <row r="700" spans="1:9" ht="15.6">
      <c r="A700" s="148">
        <v>41853</v>
      </c>
      <c r="B700" s="88">
        <v>4.62</v>
      </c>
      <c r="E700" s="90"/>
      <c r="F700" s="91"/>
      <c r="G700" s="90">
        <v>41867</v>
      </c>
      <c r="H700" s="91">
        <v>267.17</v>
      </c>
      <c r="I700" s="93">
        <f t="shared" si="10"/>
        <v>3.3697768458895716E-4</v>
      </c>
    </row>
    <row r="701" spans="1:9" ht="15.6">
      <c r="A701" s="148">
        <v>41856</v>
      </c>
      <c r="B701" s="88">
        <v>4.6100000000000003</v>
      </c>
      <c r="E701" s="90"/>
      <c r="F701" s="91"/>
      <c r="G701" s="90">
        <v>41870</v>
      </c>
      <c r="H701" s="91">
        <v>270.04000000000002</v>
      </c>
      <c r="I701" s="93">
        <f t="shared" si="10"/>
        <v>1.0742224052101568E-2</v>
      </c>
    </row>
    <row r="702" spans="1:9" ht="15.6">
      <c r="A702" s="148">
        <v>41857</v>
      </c>
      <c r="B702" s="88">
        <v>4.63</v>
      </c>
      <c r="E702" s="90"/>
      <c r="F702" s="91"/>
      <c r="G702" s="90">
        <v>41871</v>
      </c>
      <c r="H702" s="91">
        <v>272.32</v>
      </c>
      <c r="I702" s="93">
        <f t="shared" si="10"/>
        <v>8.443193600947918E-3</v>
      </c>
    </row>
    <row r="703" spans="1:9" ht="15.6">
      <c r="A703" s="148">
        <v>41858</v>
      </c>
      <c r="B703" s="88">
        <v>4.67</v>
      </c>
      <c r="E703" s="90"/>
      <c r="F703" s="91"/>
      <c r="G703" s="90">
        <v>41872</v>
      </c>
      <c r="H703" s="91">
        <v>273.72000000000003</v>
      </c>
      <c r="I703" s="93">
        <f t="shared" si="10"/>
        <v>5.1410105757934144E-3</v>
      </c>
    </row>
    <row r="704" spans="1:9" ht="15.6">
      <c r="A704" s="148">
        <v>41859</v>
      </c>
      <c r="B704" s="88">
        <v>4.7</v>
      </c>
      <c r="E704" s="90"/>
      <c r="F704" s="91"/>
      <c r="G704" s="90">
        <v>41873</v>
      </c>
      <c r="H704" s="91">
        <v>272.95</v>
      </c>
      <c r="I704" s="93">
        <f t="shared" si="10"/>
        <v>-2.8130936723660405E-3</v>
      </c>
    </row>
    <row r="705" spans="1:9" ht="15.6">
      <c r="A705" s="148">
        <v>41860</v>
      </c>
      <c r="B705" s="88">
        <v>4.7</v>
      </c>
      <c r="E705" s="90"/>
      <c r="F705" s="91"/>
      <c r="G705" s="90">
        <v>41874</v>
      </c>
      <c r="H705" s="91">
        <v>273.19</v>
      </c>
      <c r="I705" s="93">
        <f t="shared" si="10"/>
        <v>8.7928191976560655E-4</v>
      </c>
    </row>
    <row r="706" spans="1:9" ht="15.6">
      <c r="A706" s="148">
        <v>41863</v>
      </c>
      <c r="B706" s="88">
        <v>4.75</v>
      </c>
      <c r="E706" s="90"/>
      <c r="F706" s="91"/>
      <c r="G706" s="90">
        <v>41877</v>
      </c>
      <c r="H706" s="91">
        <v>278.08999999999997</v>
      </c>
      <c r="I706" s="93">
        <f t="shared" si="10"/>
        <v>1.7936234854862843E-2</v>
      </c>
    </row>
    <row r="707" spans="1:9" ht="15.6">
      <c r="A707" s="148">
        <v>41864</v>
      </c>
      <c r="B707" s="88">
        <v>4.75</v>
      </c>
      <c r="E707" s="90"/>
      <c r="F707" s="91"/>
      <c r="G707" s="90">
        <v>41878</v>
      </c>
      <c r="H707" s="91">
        <v>278.17</v>
      </c>
      <c r="I707" s="93">
        <f t="shared" si="10"/>
        <v>2.876766514439133E-4</v>
      </c>
    </row>
    <row r="708" spans="1:9" ht="15.6">
      <c r="A708" s="148">
        <v>41865</v>
      </c>
      <c r="B708" s="88">
        <v>4.76</v>
      </c>
      <c r="E708" s="90"/>
      <c r="F708" s="91"/>
      <c r="G708" s="90">
        <v>41879</v>
      </c>
      <c r="H708" s="91">
        <v>277.8</v>
      </c>
      <c r="I708" s="93">
        <f t="shared" si="10"/>
        <v>-1.3301218679224736E-3</v>
      </c>
    </row>
    <row r="709" spans="1:9" ht="15.6">
      <c r="A709" s="148">
        <v>41866</v>
      </c>
      <c r="B709" s="88">
        <v>4.72</v>
      </c>
      <c r="E709" s="90"/>
      <c r="F709" s="91"/>
      <c r="G709" s="90">
        <v>41880</v>
      </c>
      <c r="H709" s="91">
        <v>274.10000000000002</v>
      </c>
      <c r="I709" s="93">
        <f t="shared" si="10"/>
        <v>-1.331893448524113E-2</v>
      </c>
    </row>
    <row r="710" spans="1:9" ht="15.6">
      <c r="A710" s="148">
        <v>41867</v>
      </c>
      <c r="B710" s="88">
        <v>4.72</v>
      </c>
      <c r="E710" s="90"/>
      <c r="F710" s="91"/>
      <c r="G710" s="90">
        <v>41881</v>
      </c>
      <c r="H710" s="91">
        <v>273.7</v>
      </c>
      <c r="I710" s="93">
        <f t="shared" si="10"/>
        <v>-1.4593214155419476E-3</v>
      </c>
    </row>
    <row r="711" spans="1:9" ht="15.6">
      <c r="A711" s="148">
        <v>41870</v>
      </c>
      <c r="B711" s="88">
        <v>4.72</v>
      </c>
      <c r="E711" s="90"/>
      <c r="F711" s="91"/>
      <c r="G711" s="90">
        <v>41884</v>
      </c>
      <c r="H711" s="91">
        <v>271.41000000000003</v>
      </c>
      <c r="I711" s="93">
        <f t="shared" si="10"/>
        <v>-8.3668249908658288E-3</v>
      </c>
    </row>
    <row r="712" spans="1:9" ht="15.6">
      <c r="A712" s="148">
        <v>41871</v>
      </c>
      <c r="B712" s="88">
        <v>4.71</v>
      </c>
      <c r="E712" s="90"/>
      <c r="F712" s="91"/>
      <c r="G712" s="90">
        <v>41885</v>
      </c>
      <c r="H712" s="91">
        <v>269.06</v>
      </c>
      <c r="I712" s="93">
        <f t="shared" si="10"/>
        <v>-8.6584871596478985E-3</v>
      </c>
    </row>
    <row r="713" spans="1:9" ht="15.6">
      <c r="A713" s="148">
        <v>41872</v>
      </c>
      <c r="B713" s="88">
        <v>4.7</v>
      </c>
      <c r="E713" s="90"/>
      <c r="F713" s="91"/>
      <c r="G713" s="90">
        <v>41886</v>
      </c>
      <c r="H713" s="91">
        <v>264.64</v>
      </c>
      <c r="I713" s="93">
        <f t="shared" si="10"/>
        <v>-1.6427562625436765E-2</v>
      </c>
    </row>
    <row r="714" spans="1:9" ht="15.6">
      <c r="A714" s="148">
        <v>41873</v>
      </c>
      <c r="B714" s="88">
        <v>4.7</v>
      </c>
      <c r="E714" s="90"/>
      <c r="F714" s="91"/>
      <c r="G714" s="90">
        <v>41887</v>
      </c>
      <c r="H714" s="91">
        <v>263.86</v>
      </c>
      <c r="I714" s="93">
        <f t="shared" si="10"/>
        <v>-2.9474002418378165E-3</v>
      </c>
    </row>
    <row r="715" spans="1:9" ht="15.6">
      <c r="A715" s="148">
        <v>41874</v>
      </c>
      <c r="B715" s="88">
        <v>4.72</v>
      </c>
      <c r="E715" s="90"/>
      <c r="F715" s="91"/>
      <c r="G715" s="90">
        <v>41888</v>
      </c>
      <c r="H715" s="91">
        <v>265.2</v>
      </c>
      <c r="I715" s="93">
        <f t="shared" si="10"/>
        <v>5.0784506935495077E-3</v>
      </c>
    </row>
    <row r="716" spans="1:9" ht="15.6">
      <c r="A716" s="148">
        <v>41877</v>
      </c>
      <c r="B716" s="88">
        <v>4.72</v>
      </c>
      <c r="E716" s="90"/>
      <c r="F716" s="91"/>
      <c r="G716" s="90">
        <v>41891</v>
      </c>
      <c r="H716" s="91">
        <v>261.57</v>
      </c>
      <c r="I716" s="93">
        <f t="shared" si="10"/>
        <v>-1.3687782805429816E-2</v>
      </c>
    </row>
    <row r="717" spans="1:9" ht="15.6">
      <c r="A717" s="148">
        <v>41878</v>
      </c>
      <c r="B717" s="88">
        <v>4.72</v>
      </c>
      <c r="E717" s="90"/>
      <c r="F717" s="91"/>
      <c r="G717" s="90">
        <v>41892</v>
      </c>
      <c r="H717" s="91">
        <v>259.38</v>
      </c>
      <c r="I717" s="93">
        <f t="shared" si="10"/>
        <v>-8.3725197843789179E-3</v>
      </c>
    </row>
    <row r="718" spans="1:9" ht="15.6">
      <c r="A718" s="148">
        <v>41879</v>
      </c>
      <c r="B718" s="88">
        <v>4.7300000000000004</v>
      </c>
      <c r="E718" s="90"/>
      <c r="F718" s="91"/>
      <c r="G718" s="90">
        <v>41893</v>
      </c>
      <c r="H718" s="91">
        <v>259.97000000000003</v>
      </c>
      <c r="I718" s="93">
        <f t="shared" si="10"/>
        <v>2.2746549464107702E-3</v>
      </c>
    </row>
    <row r="719" spans="1:9" ht="15.6">
      <c r="A719" s="148">
        <v>41880</v>
      </c>
      <c r="B719" s="88">
        <v>4.75</v>
      </c>
      <c r="E719" s="90"/>
      <c r="F719" s="91"/>
      <c r="G719" s="90">
        <v>41894</v>
      </c>
      <c r="H719" s="91">
        <v>263.45</v>
      </c>
      <c r="I719" s="93">
        <f t="shared" ref="I719:I782" si="11">H719/H718-1</f>
        <v>1.3386159941531472E-2</v>
      </c>
    </row>
    <row r="720" spans="1:9" ht="15.6">
      <c r="A720" s="148">
        <v>41881</v>
      </c>
      <c r="B720" s="88">
        <v>4.78</v>
      </c>
      <c r="E720" s="90"/>
      <c r="F720" s="91"/>
      <c r="G720" s="90">
        <v>41895</v>
      </c>
      <c r="H720" s="91">
        <v>265.69</v>
      </c>
      <c r="I720" s="93">
        <f t="shared" si="11"/>
        <v>8.5025621560068654E-3</v>
      </c>
    </row>
    <row r="721" spans="1:9" ht="15.6">
      <c r="A721" s="148">
        <v>41884</v>
      </c>
      <c r="B721" s="88">
        <v>4.78</v>
      </c>
      <c r="E721" s="90"/>
      <c r="F721" s="91"/>
      <c r="G721" s="90">
        <v>41898</v>
      </c>
      <c r="H721" s="91">
        <v>263.02</v>
      </c>
      <c r="I721" s="93">
        <f t="shared" si="11"/>
        <v>-1.0049305581693035E-2</v>
      </c>
    </row>
    <row r="722" spans="1:9" ht="15.6">
      <c r="A722" s="148">
        <v>41885</v>
      </c>
      <c r="B722" s="88">
        <v>4.82</v>
      </c>
      <c r="E722" s="90"/>
      <c r="F722" s="91"/>
      <c r="G722" s="90">
        <v>41899</v>
      </c>
      <c r="H722" s="91">
        <v>263.51</v>
      </c>
      <c r="I722" s="93">
        <f t="shared" si="11"/>
        <v>1.8629761995285765E-3</v>
      </c>
    </row>
    <row r="723" spans="1:9" ht="15.6">
      <c r="A723" s="148">
        <v>41886</v>
      </c>
      <c r="B723" s="88">
        <v>4.82</v>
      </c>
      <c r="E723" s="90"/>
      <c r="F723" s="91"/>
      <c r="G723" s="90">
        <v>41900</v>
      </c>
      <c r="H723" s="91">
        <v>266.33999999999997</v>
      </c>
      <c r="I723" s="93">
        <f t="shared" si="11"/>
        <v>1.0739630374558828E-2</v>
      </c>
    </row>
    <row r="724" spans="1:9" ht="15.6">
      <c r="A724" s="148">
        <v>41887</v>
      </c>
      <c r="B724" s="88">
        <v>4.8</v>
      </c>
      <c r="E724" s="90"/>
      <c r="F724" s="91"/>
      <c r="G724" s="90">
        <v>41901</v>
      </c>
      <c r="H724" s="91">
        <v>267.5</v>
      </c>
      <c r="I724" s="93">
        <f t="shared" si="11"/>
        <v>4.3553352857250704E-3</v>
      </c>
    </row>
    <row r="725" spans="1:9" ht="15.6">
      <c r="A725" s="148">
        <v>41888</v>
      </c>
      <c r="B725" s="88">
        <v>4.8099999999999996</v>
      </c>
      <c r="E725" s="90"/>
      <c r="F725" s="91"/>
      <c r="G725" s="90">
        <v>41902</v>
      </c>
      <c r="H725" s="91">
        <v>271.01</v>
      </c>
      <c r="I725" s="93">
        <f t="shared" si="11"/>
        <v>1.3121495327102828E-2</v>
      </c>
    </row>
    <row r="726" spans="1:9" ht="15.6">
      <c r="A726" s="148">
        <v>41891</v>
      </c>
      <c r="B726" s="88">
        <v>4.84</v>
      </c>
      <c r="E726" s="90"/>
      <c r="F726" s="91"/>
      <c r="G726" s="90">
        <v>41905</v>
      </c>
      <c r="H726" s="91">
        <v>268.17</v>
      </c>
      <c r="I726" s="93">
        <f t="shared" si="11"/>
        <v>-1.0479318106342839E-2</v>
      </c>
    </row>
    <row r="727" spans="1:9" ht="15.6">
      <c r="A727" s="148">
        <v>41892</v>
      </c>
      <c r="B727" s="88">
        <v>4.87</v>
      </c>
      <c r="E727" s="90"/>
      <c r="F727" s="91"/>
      <c r="G727" s="90">
        <v>41906</v>
      </c>
      <c r="H727" s="91">
        <v>268.01</v>
      </c>
      <c r="I727" s="93">
        <f t="shared" si="11"/>
        <v>-5.9663646194585418E-4</v>
      </c>
    </row>
    <row r="728" spans="1:9" ht="15.6">
      <c r="A728" s="148">
        <v>41893</v>
      </c>
      <c r="B728" s="88">
        <v>4.8600000000000003</v>
      </c>
      <c r="E728" s="90"/>
      <c r="F728" s="91"/>
      <c r="G728" s="90">
        <v>41907</v>
      </c>
      <c r="H728" s="91">
        <v>269.22000000000003</v>
      </c>
      <c r="I728" s="93">
        <f t="shared" si="11"/>
        <v>4.5147569120556064E-3</v>
      </c>
    </row>
    <row r="729" spans="1:9" ht="15.6">
      <c r="A729" s="148">
        <v>41894</v>
      </c>
      <c r="B729" s="88">
        <v>4.83</v>
      </c>
      <c r="E729" s="90"/>
      <c r="F729" s="91"/>
      <c r="G729" s="90">
        <v>41908</v>
      </c>
      <c r="H729" s="91">
        <v>270.14999999999998</v>
      </c>
      <c r="I729" s="93">
        <f t="shared" si="11"/>
        <v>3.4544238912412872E-3</v>
      </c>
    </row>
    <row r="730" spans="1:9" ht="15.6">
      <c r="A730" s="148">
        <v>41895</v>
      </c>
      <c r="B730" s="88">
        <v>4.83</v>
      </c>
      <c r="E730" s="90"/>
      <c r="F730" s="91"/>
      <c r="G730" s="90">
        <v>41909</v>
      </c>
      <c r="H730" s="91">
        <v>269.33</v>
      </c>
      <c r="I730" s="93">
        <f t="shared" si="11"/>
        <v>-3.0353507310753036E-3</v>
      </c>
    </row>
    <row r="731" spans="1:9" ht="15.6">
      <c r="A731" s="148">
        <v>41898</v>
      </c>
      <c r="B731" s="88">
        <v>4.82</v>
      </c>
      <c r="E731" s="90"/>
      <c r="F731" s="91"/>
      <c r="G731" s="90">
        <v>41912</v>
      </c>
      <c r="H731" s="91">
        <v>269.01</v>
      </c>
      <c r="I731" s="93">
        <f t="shared" si="11"/>
        <v>-1.1881335165039308E-3</v>
      </c>
    </row>
    <row r="732" spans="1:9" ht="15.6">
      <c r="A732" s="148">
        <v>41899</v>
      </c>
      <c r="B732" s="88">
        <v>4.83</v>
      </c>
      <c r="E732" s="90"/>
      <c r="F732" s="91"/>
      <c r="G732" s="90">
        <v>41913</v>
      </c>
      <c r="H732" s="91">
        <v>266.45999999999998</v>
      </c>
      <c r="I732" s="93">
        <f t="shared" si="11"/>
        <v>-9.4792015166722532E-3</v>
      </c>
    </row>
    <row r="733" spans="1:9" ht="15.6">
      <c r="A733" s="148">
        <v>41900</v>
      </c>
      <c r="B733" s="88">
        <v>4.84</v>
      </c>
      <c r="E733" s="90"/>
      <c r="F733" s="91"/>
      <c r="G733" s="90">
        <v>41914</v>
      </c>
      <c r="H733" s="91">
        <v>266.85000000000002</v>
      </c>
      <c r="I733" s="93">
        <f t="shared" si="11"/>
        <v>1.4636343165954635E-3</v>
      </c>
    </row>
    <row r="734" spans="1:9" ht="15.6">
      <c r="A734" s="148">
        <v>41901</v>
      </c>
      <c r="B734" s="88">
        <v>4.82</v>
      </c>
      <c r="E734" s="90"/>
      <c r="F734" s="91"/>
      <c r="G734" s="90">
        <v>41915</v>
      </c>
      <c r="H734" s="91">
        <v>260.81</v>
      </c>
      <c r="I734" s="93">
        <f t="shared" si="11"/>
        <v>-2.2634438823309067E-2</v>
      </c>
    </row>
    <row r="735" spans="1:9" ht="15.6">
      <c r="A735" s="148">
        <v>41902</v>
      </c>
      <c r="B735" s="88">
        <v>4.8</v>
      </c>
      <c r="E735" s="90"/>
      <c r="F735" s="91"/>
      <c r="G735" s="90">
        <v>41916</v>
      </c>
      <c r="H735" s="91">
        <v>257.89999999999998</v>
      </c>
      <c r="I735" s="93">
        <f t="shared" si="11"/>
        <v>-1.1157547640044618E-2</v>
      </c>
    </row>
    <row r="736" spans="1:9" ht="15.6">
      <c r="A736" s="148">
        <v>41905</v>
      </c>
      <c r="B736" s="88">
        <v>4.79</v>
      </c>
      <c r="E736" s="90"/>
      <c r="F736" s="91"/>
      <c r="G736" s="90">
        <v>41919</v>
      </c>
      <c r="H736" s="91">
        <v>256.75</v>
      </c>
      <c r="I736" s="93">
        <f t="shared" si="11"/>
        <v>-4.4590926715780688E-3</v>
      </c>
    </row>
    <row r="737" spans="1:9" ht="15.6">
      <c r="A737" s="148">
        <v>41906</v>
      </c>
      <c r="B737" s="88">
        <v>4.8</v>
      </c>
      <c r="E737" s="90"/>
      <c r="F737" s="91"/>
      <c r="G737" s="90">
        <v>41920</v>
      </c>
      <c r="H737" s="91">
        <v>256.08999999999997</v>
      </c>
      <c r="I737" s="93">
        <f t="shared" si="11"/>
        <v>-2.5705939629990793E-3</v>
      </c>
    </row>
    <row r="738" spans="1:9" ht="15.6">
      <c r="A738" s="148">
        <v>41907</v>
      </c>
      <c r="B738" s="88">
        <v>4.78</v>
      </c>
      <c r="E738" s="90"/>
      <c r="F738" s="91"/>
      <c r="G738" s="90">
        <v>41921</v>
      </c>
      <c r="H738" s="91">
        <v>254.23</v>
      </c>
      <c r="I738" s="93">
        <f t="shared" si="11"/>
        <v>-7.2630715763988274E-3</v>
      </c>
    </row>
    <row r="739" spans="1:9" ht="15.6">
      <c r="A739" s="148">
        <v>41908</v>
      </c>
      <c r="B739" s="88">
        <v>4.7300000000000004</v>
      </c>
      <c r="E739" s="90"/>
      <c r="F739" s="91"/>
      <c r="G739" s="90">
        <v>41922</v>
      </c>
      <c r="H739" s="91">
        <v>247.4</v>
      </c>
      <c r="I739" s="93">
        <f t="shared" si="11"/>
        <v>-2.6865436809188514E-2</v>
      </c>
    </row>
    <row r="740" spans="1:9" ht="15.6">
      <c r="A740" s="148">
        <v>41909</v>
      </c>
      <c r="B740" s="88">
        <v>4.74</v>
      </c>
      <c r="E740" s="90"/>
      <c r="F740" s="91"/>
      <c r="G740" s="90">
        <v>41923</v>
      </c>
      <c r="H740" s="91">
        <v>253.49</v>
      </c>
      <c r="I740" s="93">
        <f t="shared" si="11"/>
        <v>2.4616006467259588E-2</v>
      </c>
    </row>
    <row r="741" spans="1:9" ht="15.6">
      <c r="A741" s="148">
        <v>41911</v>
      </c>
      <c r="B741" s="88">
        <v>4.7699999999999996</v>
      </c>
      <c r="E741" s="90"/>
      <c r="F741" s="91"/>
      <c r="G741" s="90">
        <v>41926</v>
      </c>
      <c r="H741" s="91">
        <v>251.9</v>
      </c>
      <c r="I741" s="93">
        <f t="shared" si="11"/>
        <v>-6.2724367825160998E-3</v>
      </c>
    </row>
    <row r="742" spans="1:9" ht="15.6">
      <c r="A742" s="148">
        <v>41912</v>
      </c>
      <c r="B742" s="88">
        <v>4.7699999999999996</v>
      </c>
      <c r="E742" s="90"/>
      <c r="F742" s="91"/>
      <c r="G742" s="90">
        <v>41927</v>
      </c>
      <c r="H742" s="91">
        <v>255.35</v>
      </c>
      <c r="I742" s="93">
        <f t="shared" si="11"/>
        <v>1.3695911075823686E-2</v>
      </c>
    </row>
    <row r="743" spans="1:9" ht="15.6">
      <c r="A743" s="148">
        <v>41913</v>
      </c>
      <c r="B743" s="88">
        <v>4.76</v>
      </c>
      <c r="E743" s="90"/>
      <c r="F743" s="91"/>
      <c r="G743" s="90">
        <v>41928</v>
      </c>
      <c r="H743" s="91">
        <v>254.48</v>
      </c>
      <c r="I743" s="93">
        <f t="shared" si="11"/>
        <v>-3.4070883101625649E-3</v>
      </c>
    </row>
    <row r="744" spans="1:9" ht="15.6">
      <c r="A744" s="148">
        <v>41914</v>
      </c>
      <c r="B744" s="88">
        <v>4.7699999999999996</v>
      </c>
      <c r="E744" s="90"/>
      <c r="F744" s="91"/>
      <c r="G744" s="90">
        <v>41929</v>
      </c>
      <c r="H744" s="91">
        <v>251.58</v>
      </c>
      <c r="I744" s="93">
        <f t="shared" si="11"/>
        <v>-1.1395787488211129E-2</v>
      </c>
    </row>
    <row r="745" spans="1:9" ht="15.6">
      <c r="A745" s="148">
        <v>41915</v>
      </c>
      <c r="B745" s="88">
        <v>4.8499999999999996</v>
      </c>
      <c r="E745" s="90"/>
      <c r="F745" s="91"/>
      <c r="G745" s="90">
        <v>41930</v>
      </c>
      <c r="H745" s="91">
        <v>251.23</v>
      </c>
      <c r="I745" s="93">
        <f t="shared" si="11"/>
        <v>-1.3912075681692393E-3</v>
      </c>
    </row>
    <row r="746" spans="1:9" ht="15.6">
      <c r="A746" s="148">
        <v>41916</v>
      </c>
      <c r="B746" s="88">
        <v>4.8600000000000003</v>
      </c>
      <c r="E746" s="90"/>
      <c r="F746" s="91"/>
      <c r="G746" s="90">
        <v>41933</v>
      </c>
      <c r="H746" s="91">
        <v>254</v>
      </c>
      <c r="I746" s="93">
        <f t="shared" si="11"/>
        <v>1.1025753293794516E-2</v>
      </c>
    </row>
    <row r="747" spans="1:9" ht="15.6">
      <c r="A747" s="148">
        <v>41919</v>
      </c>
      <c r="B747" s="88">
        <v>4.8600000000000003</v>
      </c>
      <c r="E747" s="90"/>
      <c r="F747" s="91"/>
      <c r="G747" s="90">
        <v>41934</v>
      </c>
      <c r="H747" s="91">
        <v>249.04</v>
      </c>
      <c r="I747" s="93">
        <f t="shared" si="11"/>
        <v>-1.952755905511816E-2</v>
      </c>
    </row>
    <row r="748" spans="1:9" ht="15.6">
      <c r="A748" s="148">
        <v>41920</v>
      </c>
      <c r="B748" s="88">
        <v>4.8600000000000003</v>
      </c>
      <c r="E748" s="90"/>
      <c r="F748" s="91"/>
      <c r="G748" s="90">
        <v>41935</v>
      </c>
      <c r="H748" s="91">
        <v>247.05</v>
      </c>
      <c r="I748" s="93">
        <f t="shared" si="11"/>
        <v>-7.9906842274333201E-3</v>
      </c>
    </row>
    <row r="749" spans="1:9" ht="15.6">
      <c r="A749" s="148">
        <v>41921</v>
      </c>
      <c r="B749" s="88">
        <v>4.87</v>
      </c>
      <c r="E749" s="90"/>
      <c r="F749" s="91"/>
      <c r="G749" s="90">
        <v>41936</v>
      </c>
      <c r="H749" s="91">
        <v>246.57</v>
      </c>
      <c r="I749" s="93">
        <f t="shared" si="11"/>
        <v>-1.9429265330905832E-3</v>
      </c>
    </row>
    <row r="750" spans="1:9" ht="15.6">
      <c r="A750" s="148">
        <v>41922</v>
      </c>
      <c r="B750" s="88">
        <v>4.84</v>
      </c>
      <c r="E750" s="90"/>
      <c r="F750" s="91"/>
      <c r="G750" s="90">
        <v>41937</v>
      </c>
      <c r="H750" s="91">
        <v>244.58</v>
      </c>
      <c r="I750" s="93">
        <f t="shared" si="11"/>
        <v>-8.0707304213812892E-3</v>
      </c>
    </row>
    <row r="751" spans="1:9" ht="15.6">
      <c r="A751" s="148">
        <v>41923</v>
      </c>
      <c r="B751" s="88">
        <v>4.83</v>
      </c>
      <c r="E751" s="90"/>
      <c r="F751" s="91"/>
      <c r="G751" s="90">
        <v>41940</v>
      </c>
      <c r="H751" s="91">
        <v>243.42</v>
      </c>
      <c r="I751" s="93">
        <f t="shared" si="11"/>
        <v>-4.7428244337232028E-3</v>
      </c>
    </row>
    <row r="752" spans="1:9" ht="15.6">
      <c r="A752" s="148">
        <v>41926</v>
      </c>
      <c r="B752" s="88">
        <v>4.82</v>
      </c>
      <c r="E752" s="90"/>
      <c r="F752" s="91"/>
      <c r="G752" s="90">
        <v>41941</v>
      </c>
      <c r="H752" s="91">
        <v>243.45</v>
      </c>
      <c r="I752" s="93">
        <f t="shared" si="11"/>
        <v>1.2324377618933013E-4</v>
      </c>
    </row>
    <row r="753" spans="1:9" ht="15.6">
      <c r="A753" s="148">
        <v>41927</v>
      </c>
      <c r="B753" s="88">
        <v>4.8099999999999996</v>
      </c>
      <c r="E753" s="90"/>
      <c r="F753" s="91"/>
      <c r="G753" s="90">
        <v>41942</v>
      </c>
      <c r="H753" s="91">
        <v>248.62</v>
      </c>
      <c r="I753" s="93">
        <f t="shared" si="11"/>
        <v>2.1236393509961093E-2</v>
      </c>
    </row>
    <row r="754" spans="1:9" ht="15.6">
      <c r="A754" s="148">
        <v>41928</v>
      </c>
      <c r="B754" s="88">
        <v>4.8099999999999996</v>
      </c>
      <c r="E754" s="90"/>
      <c r="F754" s="91"/>
      <c r="G754" s="90">
        <v>41943</v>
      </c>
      <c r="H754" s="91">
        <v>253.36</v>
      </c>
      <c r="I754" s="93">
        <f t="shared" si="11"/>
        <v>1.9065240125492711E-2</v>
      </c>
    </row>
    <row r="755" spans="1:9" ht="15.6">
      <c r="A755" s="148">
        <v>41929</v>
      </c>
      <c r="B755" s="88">
        <v>4.84</v>
      </c>
      <c r="E755" s="90"/>
      <c r="F755" s="91"/>
      <c r="G755" s="90">
        <v>41944</v>
      </c>
      <c r="H755" s="91">
        <v>258.58999999999997</v>
      </c>
      <c r="I755" s="93">
        <f t="shared" si="11"/>
        <v>2.064256394063757E-2</v>
      </c>
    </row>
    <row r="756" spans="1:9" ht="15.6">
      <c r="A756" s="148">
        <v>41930</v>
      </c>
      <c r="B756" s="88">
        <v>4.83</v>
      </c>
      <c r="E756" s="90"/>
      <c r="F756" s="91"/>
      <c r="G756" s="90">
        <v>41947</v>
      </c>
      <c r="H756" s="91">
        <v>257.86</v>
      </c>
      <c r="I756" s="93">
        <f t="shared" si="11"/>
        <v>-2.8230016628638666E-3</v>
      </c>
    </row>
    <row r="757" spans="1:9" ht="15.6">
      <c r="A757" s="148">
        <v>41933</v>
      </c>
      <c r="B757" s="88">
        <v>4.8499999999999996</v>
      </c>
      <c r="E757" s="90"/>
      <c r="F757" s="91"/>
      <c r="G757" s="90">
        <v>41948</v>
      </c>
      <c r="H757" s="91">
        <v>257.55</v>
      </c>
      <c r="I757" s="93">
        <f t="shared" si="11"/>
        <v>-1.202202745675951E-3</v>
      </c>
    </row>
    <row r="758" spans="1:9" ht="15.6">
      <c r="A758" s="148">
        <v>41934</v>
      </c>
      <c r="B758" s="88">
        <v>4.8499999999999996</v>
      </c>
      <c r="E758" s="90"/>
      <c r="F758" s="91"/>
      <c r="G758" s="90">
        <v>41949</v>
      </c>
      <c r="H758" s="91">
        <v>259.49</v>
      </c>
      <c r="I758" s="93">
        <f t="shared" si="11"/>
        <v>7.5325179576781753E-3</v>
      </c>
    </row>
    <row r="759" spans="1:9" ht="15.6">
      <c r="A759" s="148">
        <v>41935</v>
      </c>
      <c r="B759" s="88">
        <v>4.84</v>
      </c>
      <c r="E759" s="90"/>
      <c r="F759" s="91"/>
      <c r="G759" s="90">
        <v>41950</v>
      </c>
      <c r="H759" s="91">
        <v>257.87</v>
      </c>
      <c r="I759" s="93">
        <f t="shared" si="11"/>
        <v>-6.2430151450922899E-3</v>
      </c>
    </row>
    <row r="760" spans="1:9" ht="15.6">
      <c r="A760" s="148">
        <v>41936</v>
      </c>
      <c r="B760" s="88">
        <v>4.8499999999999996</v>
      </c>
      <c r="E760" s="90"/>
      <c r="F760" s="91"/>
      <c r="G760" s="90">
        <v>41951</v>
      </c>
      <c r="H760" s="91">
        <v>253.73</v>
      </c>
      <c r="I760" s="93">
        <f t="shared" si="11"/>
        <v>-1.6054601155621073E-2</v>
      </c>
    </row>
    <row r="761" spans="1:9" ht="15.6">
      <c r="A761" s="148">
        <v>41937</v>
      </c>
      <c r="B761" s="88">
        <v>4.84</v>
      </c>
      <c r="E761" s="90"/>
      <c r="F761" s="91"/>
      <c r="G761" s="90">
        <v>41954</v>
      </c>
      <c r="H761" s="91">
        <v>251</v>
      </c>
      <c r="I761" s="93">
        <f t="shared" si="11"/>
        <v>-1.0759468726599053E-2</v>
      </c>
    </row>
    <row r="762" spans="1:9" ht="15.6">
      <c r="A762" s="148">
        <v>41940</v>
      </c>
      <c r="B762" s="88">
        <v>4.8499999999999996</v>
      </c>
      <c r="E762" s="90"/>
      <c r="F762" s="91"/>
      <c r="G762" s="90">
        <v>41955</v>
      </c>
      <c r="H762" s="91">
        <v>251.24</v>
      </c>
      <c r="I762" s="93">
        <f t="shared" si="11"/>
        <v>9.5617529880476226E-4</v>
      </c>
    </row>
    <row r="763" spans="1:9" ht="15.6">
      <c r="A763" s="148">
        <v>41941</v>
      </c>
      <c r="B763" s="88">
        <v>4.8899999999999997</v>
      </c>
      <c r="E763" s="90"/>
      <c r="F763" s="91"/>
      <c r="G763" s="90">
        <v>41956</v>
      </c>
      <c r="H763" s="91">
        <v>252.22</v>
      </c>
      <c r="I763" s="93">
        <f t="shared" si="11"/>
        <v>3.9006527622988951E-3</v>
      </c>
    </row>
    <row r="764" spans="1:9" ht="15.6">
      <c r="A764" s="148">
        <v>41942</v>
      </c>
      <c r="B764" s="88">
        <v>4.95</v>
      </c>
      <c r="E764" s="90"/>
      <c r="F764" s="91"/>
      <c r="G764" s="90">
        <v>41957</v>
      </c>
      <c r="H764" s="91">
        <v>255.27</v>
      </c>
      <c r="I764" s="93">
        <f t="shared" si="11"/>
        <v>1.2092617556101803E-2</v>
      </c>
    </row>
    <row r="765" spans="1:9" ht="15.6">
      <c r="A765" s="148">
        <v>41943</v>
      </c>
      <c r="B765" s="88">
        <v>4.9400000000000004</v>
      </c>
      <c r="E765" s="90"/>
      <c r="F765" s="91"/>
      <c r="G765" s="90">
        <v>41958</v>
      </c>
      <c r="H765" s="91">
        <v>256.94</v>
      </c>
      <c r="I765" s="93">
        <f t="shared" si="11"/>
        <v>6.5420926861754491E-3</v>
      </c>
    </row>
    <row r="766" spans="1:9" ht="15.6">
      <c r="A766" s="148">
        <v>41944</v>
      </c>
      <c r="B766" s="88">
        <v>4.9400000000000004</v>
      </c>
      <c r="E766" s="90"/>
      <c r="F766" s="91"/>
      <c r="G766" s="90">
        <v>41961</v>
      </c>
      <c r="H766" s="91">
        <v>257.48</v>
      </c>
      <c r="I766" s="93">
        <f t="shared" si="11"/>
        <v>2.1016579746244712E-3</v>
      </c>
    </row>
    <row r="767" spans="1:9" ht="15.6">
      <c r="A767" s="148">
        <v>41947</v>
      </c>
      <c r="B767" s="88">
        <v>4.93</v>
      </c>
      <c r="E767" s="90"/>
      <c r="F767" s="91"/>
      <c r="G767" s="90">
        <v>41962</v>
      </c>
      <c r="H767" s="91">
        <v>253.56</v>
      </c>
      <c r="I767" s="93">
        <f t="shared" si="11"/>
        <v>-1.5224483455025695E-2</v>
      </c>
    </row>
    <row r="768" spans="1:9" ht="15.6">
      <c r="A768" s="148">
        <v>41948</v>
      </c>
      <c r="B768" s="88">
        <v>4.93</v>
      </c>
      <c r="E768" s="90"/>
      <c r="F768" s="91"/>
      <c r="G768" s="90">
        <v>41963</v>
      </c>
      <c r="H768" s="91">
        <v>254.73</v>
      </c>
      <c r="I768" s="93">
        <f t="shared" si="11"/>
        <v>4.6142924751537695E-3</v>
      </c>
    </row>
    <row r="769" spans="1:9" ht="15.6">
      <c r="A769" s="148">
        <v>41949</v>
      </c>
      <c r="B769" s="88">
        <v>4.92</v>
      </c>
      <c r="E769" s="90"/>
      <c r="F769" s="91"/>
      <c r="G769" s="90">
        <v>41964</v>
      </c>
      <c r="H769" s="91">
        <v>254.85</v>
      </c>
      <c r="I769" s="93">
        <f t="shared" si="11"/>
        <v>4.7108703332932045E-4</v>
      </c>
    </row>
    <row r="770" spans="1:9" ht="15.6">
      <c r="A770" s="148">
        <v>41950</v>
      </c>
      <c r="B770" s="88">
        <v>4.95</v>
      </c>
      <c r="E770" s="90"/>
      <c r="F770" s="91"/>
      <c r="G770" s="90">
        <v>41965</v>
      </c>
      <c r="H770" s="91">
        <v>253.18</v>
      </c>
      <c r="I770" s="93">
        <f t="shared" si="11"/>
        <v>-6.5528742397488182E-3</v>
      </c>
    </row>
    <row r="771" spans="1:9" ht="15.6">
      <c r="A771" s="148">
        <v>41951</v>
      </c>
      <c r="B771" s="88">
        <v>4.96</v>
      </c>
      <c r="E771" s="90"/>
      <c r="F771" s="91"/>
      <c r="G771" s="90">
        <v>41968</v>
      </c>
      <c r="H771" s="91">
        <v>254.75</v>
      </c>
      <c r="I771" s="93">
        <f t="shared" si="11"/>
        <v>6.2011217315742773E-3</v>
      </c>
    </row>
    <row r="772" spans="1:9" ht="15.6">
      <c r="A772" s="148">
        <v>41954</v>
      </c>
      <c r="B772" s="88">
        <v>4.96</v>
      </c>
      <c r="E772" s="90"/>
      <c r="F772" s="91"/>
      <c r="G772" s="90">
        <v>41969</v>
      </c>
      <c r="H772" s="91">
        <v>255.45</v>
      </c>
      <c r="I772" s="93">
        <f t="shared" si="11"/>
        <v>2.7477919528948735E-3</v>
      </c>
    </row>
    <row r="773" spans="1:9" ht="15.6">
      <c r="A773" s="148">
        <v>41955</v>
      </c>
      <c r="B773" s="88">
        <v>4.97</v>
      </c>
      <c r="E773" s="90"/>
      <c r="F773" s="91"/>
      <c r="G773" s="90">
        <v>41970</v>
      </c>
      <c r="H773" s="91">
        <v>258.45</v>
      </c>
      <c r="I773" s="93">
        <f t="shared" si="11"/>
        <v>1.174398120963005E-2</v>
      </c>
    </row>
    <row r="774" spans="1:9" ht="15.6">
      <c r="A774" s="148">
        <v>41956</v>
      </c>
      <c r="B774" s="88">
        <v>4.97</v>
      </c>
      <c r="E774" s="90"/>
      <c r="F774" s="91"/>
      <c r="G774" s="90">
        <v>41971</v>
      </c>
      <c r="H774" s="91">
        <v>260.19</v>
      </c>
      <c r="I774" s="93">
        <f t="shared" si="11"/>
        <v>6.7324434126523336E-3</v>
      </c>
    </row>
    <row r="775" spans="1:9" ht="15.6">
      <c r="A775" s="148">
        <v>41957</v>
      </c>
      <c r="B775" s="88">
        <v>4.9800000000000004</v>
      </c>
      <c r="E775" s="90"/>
      <c r="F775" s="91"/>
      <c r="G775" s="90">
        <v>41972</v>
      </c>
      <c r="H775" s="91">
        <v>259.87</v>
      </c>
      <c r="I775" s="93">
        <f t="shared" si="11"/>
        <v>-1.2298704792651494E-3</v>
      </c>
    </row>
    <row r="776" spans="1:9" ht="15.6">
      <c r="A776" s="148">
        <v>41958</v>
      </c>
      <c r="B776" s="88">
        <v>4.9800000000000004</v>
      </c>
      <c r="E776" s="90"/>
      <c r="F776" s="91"/>
      <c r="G776" s="90">
        <v>41975</v>
      </c>
      <c r="H776" s="91">
        <v>264.88</v>
      </c>
      <c r="I776" s="93">
        <f t="shared" si="11"/>
        <v>1.9278870204332943E-2</v>
      </c>
    </row>
    <row r="777" spans="1:9" ht="15.6">
      <c r="A777" s="148">
        <v>41961</v>
      </c>
      <c r="B777" s="88">
        <v>4.9800000000000004</v>
      </c>
      <c r="E777" s="90"/>
      <c r="F777" s="91"/>
      <c r="G777" s="90">
        <v>41976</v>
      </c>
      <c r="H777" s="91">
        <v>264.14999999999998</v>
      </c>
      <c r="I777" s="93">
        <f t="shared" si="11"/>
        <v>-2.7559649652673102E-3</v>
      </c>
    </row>
    <row r="778" spans="1:9" ht="15.6">
      <c r="A778" s="148">
        <v>41962</v>
      </c>
      <c r="B778" s="88">
        <v>5.0199999999999996</v>
      </c>
      <c r="E778" s="90"/>
      <c r="F778" s="91"/>
      <c r="G778" s="90">
        <v>41977</v>
      </c>
      <c r="H778" s="91">
        <v>261.27</v>
      </c>
      <c r="I778" s="93">
        <f t="shared" si="11"/>
        <v>-1.0902896081771751E-2</v>
      </c>
    </row>
    <row r="779" spans="1:9" ht="15.6">
      <c r="A779" s="148">
        <v>41963</v>
      </c>
      <c r="B779" s="88">
        <v>5.03</v>
      </c>
      <c r="E779" s="90"/>
      <c r="F779" s="91"/>
      <c r="G779" s="90">
        <v>41978</v>
      </c>
      <c r="H779" s="91">
        <v>255.46</v>
      </c>
      <c r="I779" s="93">
        <f t="shared" si="11"/>
        <v>-2.223753205496215E-2</v>
      </c>
    </row>
    <row r="780" spans="1:9" ht="15.6">
      <c r="A780" s="148">
        <v>41964</v>
      </c>
      <c r="B780" s="88">
        <v>5.03</v>
      </c>
      <c r="E780" s="90"/>
      <c r="F780" s="91"/>
      <c r="G780" s="90">
        <v>41979</v>
      </c>
      <c r="H780" s="91">
        <v>256.07</v>
      </c>
      <c r="I780" s="93">
        <f t="shared" si="11"/>
        <v>2.3878493697642167E-3</v>
      </c>
    </row>
    <row r="781" spans="1:9" ht="15.6">
      <c r="A781" s="148">
        <v>41965</v>
      </c>
      <c r="B781" s="88">
        <v>5.03</v>
      </c>
      <c r="E781" s="90"/>
      <c r="F781" s="91"/>
      <c r="G781" s="90">
        <v>41982</v>
      </c>
      <c r="H781" s="91">
        <v>251.09</v>
      </c>
      <c r="I781" s="93">
        <f t="shared" si="11"/>
        <v>-1.9447807240207671E-2</v>
      </c>
    </row>
    <row r="782" spans="1:9" ht="15.6">
      <c r="A782" s="148">
        <v>41968</v>
      </c>
      <c r="B782" s="88">
        <v>5.05</v>
      </c>
      <c r="E782" s="90"/>
      <c r="F782" s="91"/>
      <c r="G782" s="90">
        <v>41983</v>
      </c>
      <c r="H782" s="91">
        <v>251.83</v>
      </c>
      <c r="I782" s="93">
        <f t="shared" si="11"/>
        <v>2.947150424150724E-3</v>
      </c>
    </row>
    <row r="783" spans="1:9" ht="15.6">
      <c r="A783" s="148">
        <v>41969</v>
      </c>
      <c r="B783" s="88">
        <v>5.07</v>
      </c>
      <c r="E783" s="90"/>
      <c r="F783" s="91"/>
      <c r="G783" s="90">
        <v>41984</v>
      </c>
      <c r="H783" s="91">
        <v>255.38</v>
      </c>
      <c r="I783" s="93">
        <f t="shared" ref="I783:I846" si="12">H783/H782-1</f>
        <v>1.4096811340983839E-2</v>
      </c>
    </row>
    <row r="784" spans="1:9" ht="15.6">
      <c r="A784" s="148">
        <v>41970</v>
      </c>
      <c r="B784" s="88">
        <v>5.07</v>
      </c>
      <c r="E784" s="90"/>
      <c r="F784" s="91"/>
      <c r="G784" s="90">
        <v>41985</v>
      </c>
      <c r="H784" s="91">
        <v>256.95999999999998</v>
      </c>
      <c r="I784" s="93">
        <f t="shared" si="12"/>
        <v>6.1868587986528834E-3</v>
      </c>
    </row>
    <row r="785" spans="1:9" ht="15.6">
      <c r="A785" s="148">
        <v>41971</v>
      </c>
      <c r="B785" s="88">
        <v>5.0199999999999996</v>
      </c>
      <c r="E785" s="90"/>
      <c r="F785" s="91"/>
      <c r="G785" s="90">
        <v>41986</v>
      </c>
      <c r="H785" s="91">
        <v>254.06</v>
      </c>
      <c r="I785" s="93">
        <f t="shared" si="12"/>
        <v>-1.1285803237857994E-2</v>
      </c>
    </row>
    <row r="786" spans="1:9" ht="15.6">
      <c r="A786" s="148">
        <v>41972</v>
      </c>
      <c r="B786" s="88">
        <v>5.07</v>
      </c>
      <c r="E786" s="90"/>
      <c r="F786" s="91"/>
      <c r="G786" s="90">
        <v>41989</v>
      </c>
      <c r="H786" s="91">
        <v>252.85</v>
      </c>
      <c r="I786" s="93">
        <f t="shared" si="12"/>
        <v>-4.7626544910651658E-3</v>
      </c>
    </row>
    <row r="787" spans="1:9" ht="15.6">
      <c r="A787" s="148">
        <v>41975</v>
      </c>
      <c r="B787" s="88">
        <v>5.0199999999999996</v>
      </c>
      <c r="E787" s="90"/>
      <c r="F787" s="91"/>
      <c r="G787" s="90">
        <v>41990</v>
      </c>
      <c r="H787" s="91">
        <v>251.73</v>
      </c>
      <c r="I787" s="93">
        <f t="shared" si="12"/>
        <v>-4.4295036582954195E-3</v>
      </c>
    </row>
    <row r="788" spans="1:9" ht="15.6">
      <c r="A788" s="148">
        <v>41976</v>
      </c>
      <c r="B788" s="88">
        <v>5</v>
      </c>
      <c r="E788" s="90"/>
      <c r="F788" s="91"/>
      <c r="G788" s="90">
        <v>41991</v>
      </c>
      <c r="H788" s="91">
        <v>252.69</v>
      </c>
      <c r="I788" s="93">
        <f t="shared" si="12"/>
        <v>3.813609820045416E-3</v>
      </c>
    </row>
    <row r="789" spans="1:9" ht="15.6">
      <c r="A789" s="148">
        <v>41977</v>
      </c>
      <c r="B789" s="88">
        <v>5.01</v>
      </c>
      <c r="E789" s="90"/>
      <c r="F789" s="91"/>
      <c r="G789" s="90">
        <v>41992</v>
      </c>
      <c r="H789" s="91">
        <v>251.11</v>
      </c>
      <c r="I789" s="93">
        <f t="shared" si="12"/>
        <v>-6.2527207249989392E-3</v>
      </c>
    </row>
    <row r="790" spans="1:9" ht="15.6">
      <c r="A790" s="148">
        <v>41978</v>
      </c>
      <c r="B790" s="88">
        <v>5.01</v>
      </c>
      <c r="E790" s="90"/>
      <c r="F790" s="91"/>
      <c r="G790" s="90">
        <v>41993</v>
      </c>
      <c r="H790" s="91">
        <v>249.83</v>
      </c>
      <c r="I790" s="93">
        <f t="shared" si="12"/>
        <v>-5.0973676874676022E-3</v>
      </c>
    </row>
    <row r="791" spans="1:9" ht="15.6">
      <c r="A791" s="148">
        <v>41979</v>
      </c>
      <c r="B791" s="88">
        <v>4.99</v>
      </c>
      <c r="E791" s="90"/>
      <c r="F791" s="91"/>
      <c r="G791" s="90">
        <v>41996</v>
      </c>
      <c r="H791" s="91">
        <v>248.75</v>
      </c>
      <c r="I791" s="93">
        <f t="shared" si="12"/>
        <v>-4.3229395989272668E-3</v>
      </c>
    </row>
    <row r="792" spans="1:9" ht="15.6">
      <c r="A792" s="148">
        <v>41982</v>
      </c>
      <c r="B792" s="88">
        <v>4.99</v>
      </c>
      <c r="E792" s="90"/>
      <c r="F792" s="91"/>
      <c r="G792" s="90">
        <v>41997</v>
      </c>
      <c r="H792" s="91">
        <v>247.97</v>
      </c>
      <c r="I792" s="93">
        <f t="shared" si="12"/>
        <v>-3.1356783919598286E-3</v>
      </c>
    </row>
    <row r="793" spans="1:9" ht="15.6">
      <c r="A793" s="148">
        <v>41983</v>
      </c>
      <c r="B793" s="88">
        <v>4.99</v>
      </c>
      <c r="E793" s="90"/>
      <c r="F793" s="91"/>
      <c r="G793" s="90">
        <v>41998</v>
      </c>
      <c r="H793" s="91">
        <v>248.35</v>
      </c>
      <c r="I793" s="93">
        <f t="shared" si="12"/>
        <v>1.5324434407388843E-3</v>
      </c>
    </row>
    <row r="794" spans="1:9" ht="15.6">
      <c r="A794" s="148">
        <v>41984</v>
      </c>
      <c r="B794" s="88">
        <v>4.9800000000000004</v>
      </c>
      <c r="E794" s="90"/>
      <c r="F794" s="91"/>
      <c r="G794" s="90">
        <v>41999</v>
      </c>
      <c r="H794" s="91">
        <v>248.88</v>
      </c>
      <c r="I794" s="93">
        <f t="shared" si="12"/>
        <v>2.1340849607409673E-3</v>
      </c>
    </row>
    <row r="795" spans="1:9" ht="15.6">
      <c r="A795" s="148">
        <v>41985</v>
      </c>
      <c r="B795" s="88">
        <v>4.97</v>
      </c>
      <c r="E795" s="90"/>
      <c r="F795" s="91"/>
      <c r="G795" s="90">
        <v>42000</v>
      </c>
      <c r="H795" s="91">
        <v>251.56</v>
      </c>
      <c r="I795" s="93">
        <f t="shared" si="12"/>
        <v>1.0768241722918681E-2</v>
      </c>
    </row>
    <row r="796" spans="1:9" ht="15.6">
      <c r="A796" s="148">
        <v>41986</v>
      </c>
      <c r="B796" s="88">
        <v>4.96</v>
      </c>
      <c r="E796" s="90"/>
      <c r="F796" s="91"/>
      <c r="G796" s="90">
        <v>42003</v>
      </c>
      <c r="H796" s="91">
        <v>252.6</v>
      </c>
      <c r="I796" s="93">
        <f t="shared" si="12"/>
        <v>4.1342025759261158E-3</v>
      </c>
    </row>
    <row r="797" spans="1:9" ht="15.6">
      <c r="A797" s="148">
        <v>41989</v>
      </c>
      <c r="B797" s="88">
        <v>4.93</v>
      </c>
      <c r="E797" s="90"/>
      <c r="F797" s="91"/>
      <c r="G797" s="90">
        <v>42004</v>
      </c>
      <c r="H797" s="91">
        <v>252.74</v>
      </c>
      <c r="I797" s="93">
        <f t="shared" si="12"/>
        <v>5.5423594615988669E-4</v>
      </c>
    </row>
    <row r="798" spans="1:9" ht="15.6">
      <c r="A798" s="148">
        <v>41990</v>
      </c>
      <c r="B798" s="88">
        <v>4.92</v>
      </c>
      <c r="E798" s="90"/>
      <c r="F798" s="91"/>
      <c r="G798" s="90">
        <v>42005</v>
      </c>
      <c r="H798" s="91">
        <v>250.55</v>
      </c>
      <c r="I798" s="93">
        <f t="shared" si="12"/>
        <v>-8.6650312574186872E-3</v>
      </c>
    </row>
    <row r="799" spans="1:9" ht="15.6">
      <c r="A799" s="148">
        <v>41991</v>
      </c>
      <c r="B799" s="88">
        <v>4.92</v>
      </c>
      <c r="E799" s="90"/>
      <c r="F799" s="91"/>
      <c r="G799" s="90">
        <v>42006</v>
      </c>
      <c r="H799" s="91">
        <v>249.51</v>
      </c>
      <c r="I799" s="93">
        <f t="shared" si="12"/>
        <v>-4.1508680902015982E-3</v>
      </c>
    </row>
    <row r="800" spans="1:9" ht="15.6">
      <c r="A800" s="148">
        <v>41992</v>
      </c>
      <c r="B800" s="88">
        <v>4.92</v>
      </c>
      <c r="E800" s="90"/>
      <c r="F800" s="91"/>
      <c r="G800" s="90">
        <v>42007</v>
      </c>
      <c r="H800" s="91">
        <v>253.63</v>
      </c>
      <c r="I800" s="93">
        <f t="shared" si="12"/>
        <v>1.6512364233898458E-2</v>
      </c>
    </row>
    <row r="801" spans="1:9" ht="15.6">
      <c r="A801" s="148">
        <v>41993</v>
      </c>
      <c r="B801" s="88">
        <v>4.95</v>
      </c>
      <c r="E801" s="90"/>
      <c r="F801" s="91"/>
      <c r="G801" s="90">
        <v>42010</v>
      </c>
      <c r="H801" s="91">
        <v>256.58999999999997</v>
      </c>
      <c r="I801" s="93">
        <f t="shared" si="12"/>
        <v>1.167054370539744E-2</v>
      </c>
    </row>
    <row r="802" spans="1:9" ht="15.6">
      <c r="A802" s="148">
        <v>41996</v>
      </c>
      <c r="B802" s="88">
        <v>4.9400000000000004</v>
      </c>
      <c r="E802" s="90"/>
      <c r="F802" s="91"/>
      <c r="G802" s="90">
        <v>42011</v>
      </c>
      <c r="H802" s="91">
        <v>256.27</v>
      </c>
      <c r="I802" s="93">
        <f t="shared" si="12"/>
        <v>-1.2471257648388745E-3</v>
      </c>
    </row>
    <row r="803" spans="1:9" ht="15.6">
      <c r="A803" s="148">
        <v>41997</v>
      </c>
      <c r="B803" s="179">
        <v>4.9400000000000004</v>
      </c>
      <c r="E803" s="90"/>
      <c r="F803" s="91"/>
      <c r="G803" s="90">
        <v>42012</v>
      </c>
      <c r="H803" s="91">
        <v>260.38</v>
      </c>
      <c r="I803" s="93">
        <f t="shared" si="12"/>
        <v>1.6037772661646077E-2</v>
      </c>
    </row>
    <row r="804" spans="1:9" ht="15.6">
      <c r="A804" s="148">
        <v>41998</v>
      </c>
      <c r="B804" s="88">
        <v>4.93</v>
      </c>
      <c r="E804" s="90"/>
      <c r="F804" s="91"/>
      <c r="G804" s="90">
        <v>42013</v>
      </c>
      <c r="H804" s="91">
        <v>261.42</v>
      </c>
      <c r="I804" s="93">
        <f t="shared" si="12"/>
        <v>3.9941623780628266E-3</v>
      </c>
    </row>
    <row r="805" spans="1:9" ht="15.6">
      <c r="A805" s="148">
        <v>41999</v>
      </c>
      <c r="B805" s="88">
        <v>4.93</v>
      </c>
      <c r="E805" s="90"/>
      <c r="F805" s="91"/>
      <c r="G805" s="90">
        <v>42014</v>
      </c>
      <c r="H805" s="91">
        <v>261.73</v>
      </c>
      <c r="I805" s="93">
        <f t="shared" si="12"/>
        <v>1.1858312294392714E-3</v>
      </c>
    </row>
    <row r="806" spans="1:9" ht="15.6">
      <c r="A806" s="148">
        <v>42000</v>
      </c>
      <c r="B806" s="88">
        <v>4.92</v>
      </c>
      <c r="E806" s="90"/>
      <c r="F806" s="91"/>
      <c r="G806" s="90">
        <v>42017</v>
      </c>
      <c r="H806" s="91">
        <v>259.89</v>
      </c>
      <c r="I806" s="93">
        <f t="shared" si="12"/>
        <v>-7.0301455698621451E-3</v>
      </c>
    </row>
    <row r="807" spans="1:9" ht="15.6">
      <c r="A807" s="148">
        <v>42003</v>
      </c>
      <c r="B807" s="88">
        <v>4.92</v>
      </c>
      <c r="E807" s="90"/>
      <c r="F807" s="91"/>
      <c r="G807" s="90">
        <v>42018</v>
      </c>
      <c r="H807" s="91">
        <v>262.45999999999998</v>
      </c>
      <c r="I807" s="93">
        <f t="shared" si="12"/>
        <v>9.8887991073146608E-3</v>
      </c>
    </row>
    <row r="808" spans="1:9" ht="15.6">
      <c r="A808" s="148">
        <v>42004</v>
      </c>
      <c r="B808" s="179">
        <v>4.92</v>
      </c>
      <c r="E808" s="90"/>
      <c r="F808" s="91"/>
      <c r="G808" s="90">
        <v>42019</v>
      </c>
      <c r="H808" s="91">
        <v>263.41000000000003</v>
      </c>
      <c r="I808" s="93">
        <f t="shared" si="12"/>
        <v>3.6195991770175961E-3</v>
      </c>
    </row>
    <row r="809" spans="1:9" ht="15.6">
      <c r="A809" s="148">
        <v>42005</v>
      </c>
      <c r="B809" s="88">
        <v>4.9000000000000004</v>
      </c>
      <c r="E809" s="90"/>
      <c r="F809" s="91"/>
      <c r="G809" s="90">
        <v>42020</v>
      </c>
      <c r="H809" s="91">
        <v>263.2</v>
      </c>
      <c r="I809" s="93">
        <f t="shared" si="12"/>
        <v>-7.9723624767491508E-4</v>
      </c>
    </row>
    <row r="810" spans="1:9" ht="15.6">
      <c r="A810" s="148">
        <v>42006</v>
      </c>
      <c r="B810" s="88">
        <v>4.8499999999999996</v>
      </c>
      <c r="E810" s="90"/>
      <c r="F810" s="91"/>
      <c r="G810" s="90">
        <v>42021</v>
      </c>
      <c r="H810" s="91">
        <v>265.39</v>
      </c>
      <c r="I810" s="93">
        <f t="shared" si="12"/>
        <v>8.3206686930090701E-3</v>
      </c>
    </row>
    <row r="811" spans="1:9" ht="15.6">
      <c r="A811" s="148">
        <v>42007</v>
      </c>
      <c r="B811" s="88">
        <v>4.82</v>
      </c>
      <c r="E811" s="90"/>
      <c r="F811" s="91"/>
      <c r="G811" s="90">
        <v>42024</v>
      </c>
      <c r="H811" s="91">
        <v>265.61</v>
      </c>
      <c r="I811" s="93">
        <f t="shared" si="12"/>
        <v>8.2896868759196884E-4</v>
      </c>
    </row>
    <row r="812" spans="1:9" ht="15.6">
      <c r="A812" s="148">
        <v>42010</v>
      </c>
      <c r="B812" s="88">
        <v>4.8</v>
      </c>
      <c r="E812" s="90"/>
      <c r="F812" s="91"/>
      <c r="G812" s="90">
        <v>42025</v>
      </c>
      <c r="H812" s="91">
        <v>263.61</v>
      </c>
      <c r="I812" s="93">
        <f t="shared" si="12"/>
        <v>-7.5298369790294251E-3</v>
      </c>
    </row>
    <row r="813" spans="1:9" ht="15.6">
      <c r="A813" s="148">
        <v>42011</v>
      </c>
      <c r="B813" s="88">
        <v>4.8099999999999996</v>
      </c>
      <c r="E813" s="90"/>
      <c r="F813" s="91"/>
      <c r="G813" s="90">
        <v>42026</v>
      </c>
      <c r="H813" s="91">
        <v>263.86</v>
      </c>
      <c r="I813" s="93">
        <f t="shared" si="12"/>
        <v>9.4837069913888961E-4</v>
      </c>
    </row>
    <row r="814" spans="1:9" ht="15.6">
      <c r="A814" s="148">
        <v>42012</v>
      </c>
      <c r="B814" s="88">
        <v>4.79</v>
      </c>
      <c r="E814" s="90"/>
      <c r="F814" s="91"/>
      <c r="G814" s="90">
        <v>42027</v>
      </c>
      <c r="H814" s="91">
        <v>265.69</v>
      </c>
      <c r="I814" s="93">
        <f t="shared" si="12"/>
        <v>6.9354960964147505E-3</v>
      </c>
    </row>
    <row r="815" spans="1:9" ht="15.6">
      <c r="A815" s="148">
        <v>42013</v>
      </c>
      <c r="B815" s="88">
        <v>4.78</v>
      </c>
      <c r="E815" s="90"/>
      <c r="F815" s="91"/>
      <c r="G815" s="90">
        <v>42028</v>
      </c>
      <c r="H815" s="91">
        <v>268.05</v>
      </c>
      <c r="I815" s="93">
        <f t="shared" si="12"/>
        <v>8.8825322744552349E-3</v>
      </c>
    </row>
    <row r="816" spans="1:9" ht="15.6">
      <c r="A816" s="148">
        <v>42014</v>
      </c>
      <c r="B816" s="88">
        <v>4.78</v>
      </c>
      <c r="E816" s="90"/>
      <c r="F816" s="91"/>
      <c r="G816" s="90">
        <v>42031</v>
      </c>
      <c r="H816" s="91">
        <v>266.67</v>
      </c>
      <c r="I816" s="93">
        <f t="shared" si="12"/>
        <v>-5.1482932288752226E-3</v>
      </c>
    </row>
    <row r="817" spans="1:9" ht="15.6">
      <c r="A817" s="148">
        <v>42017</v>
      </c>
      <c r="B817" s="88">
        <v>4.7699999999999996</v>
      </c>
      <c r="E817" s="90"/>
      <c r="F817" s="91"/>
      <c r="G817" s="90">
        <v>42032</v>
      </c>
      <c r="H817" s="91">
        <v>266.91000000000003</v>
      </c>
      <c r="I817" s="93">
        <f t="shared" si="12"/>
        <v>8.9998875014063451E-4</v>
      </c>
    </row>
    <row r="818" spans="1:9" ht="15.6">
      <c r="A818" s="148">
        <v>42018</v>
      </c>
      <c r="B818" s="88">
        <v>4.75</v>
      </c>
      <c r="E818" s="90"/>
      <c r="F818" s="91"/>
      <c r="G818" s="90">
        <v>42033</v>
      </c>
      <c r="H818" s="91">
        <v>268.29000000000002</v>
      </c>
      <c r="I818" s="93">
        <f t="shared" si="12"/>
        <v>5.1702821175676483E-3</v>
      </c>
    </row>
    <row r="819" spans="1:9" ht="15.6">
      <c r="A819" s="148">
        <v>42019</v>
      </c>
      <c r="B819" s="88">
        <v>4.7300000000000004</v>
      </c>
      <c r="E819" s="90"/>
      <c r="F819" s="91"/>
      <c r="G819" s="90">
        <v>42034</v>
      </c>
      <c r="H819" s="91">
        <v>272.08999999999997</v>
      </c>
      <c r="I819" s="93">
        <f t="shared" si="12"/>
        <v>1.4163778001416105E-2</v>
      </c>
    </row>
    <row r="820" spans="1:9" ht="15.6">
      <c r="A820" s="148">
        <v>42020</v>
      </c>
      <c r="B820" s="88">
        <v>4.7</v>
      </c>
      <c r="E820" s="90"/>
      <c r="F820" s="91"/>
      <c r="G820" s="90">
        <v>42035</v>
      </c>
      <c r="H820" s="91">
        <v>272.5</v>
      </c>
      <c r="I820" s="93">
        <f t="shared" si="12"/>
        <v>1.5068543496639109E-3</v>
      </c>
    </row>
    <row r="821" spans="1:9" ht="15.6">
      <c r="A821" s="148">
        <v>42021</v>
      </c>
      <c r="B821" s="88">
        <v>4.6900000000000004</v>
      </c>
      <c r="E821" s="90"/>
      <c r="F821" s="91"/>
      <c r="G821" s="90">
        <v>42038</v>
      </c>
      <c r="H821" s="91">
        <v>271.94</v>
      </c>
      <c r="I821" s="93">
        <f t="shared" si="12"/>
        <v>-2.0550458715596909E-3</v>
      </c>
    </row>
    <row r="822" spans="1:9" ht="15.6">
      <c r="A822" s="148">
        <v>42024</v>
      </c>
      <c r="B822" s="88">
        <v>4.6900000000000004</v>
      </c>
      <c r="E822" s="90"/>
      <c r="F822" s="91"/>
      <c r="G822" s="90">
        <v>42039</v>
      </c>
      <c r="H822" s="91">
        <v>272.94</v>
      </c>
      <c r="I822" s="93">
        <f t="shared" si="12"/>
        <v>3.6772817533279323E-3</v>
      </c>
    </row>
    <row r="823" spans="1:9" ht="15.6">
      <c r="A823" s="148">
        <v>42025</v>
      </c>
      <c r="B823" s="88">
        <v>4.67</v>
      </c>
      <c r="E823" s="90"/>
      <c r="F823" s="91"/>
      <c r="G823" s="90">
        <v>42040</v>
      </c>
      <c r="H823" s="91">
        <v>272.06</v>
      </c>
      <c r="I823" s="93">
        <f t="shared" si="12"/>
        <v>-3.2241518282406512E-3</v>
      </c>
    </row>
    <row r="824" spans="1:9" ht="15.6">
      <c r="A824" s="148">
        <v>42026</v>
      </c>
      <c r="B824" s="88">
        <v>4.6500000000000004</v>
      </c>
      <c r="E824" s="90"/>
      <c r="F824" s="91"/>
      <c r="G824" s="90">
        <v>42041</v>
      </c>
      <c r="H824" s="91">
        <v>270.48</v>
      </c>
      <c r="I824" s="93">
        <f t="shared" si="12"/>
        <v>-5.8075424538703846E-3</v>
      </c>
    </row>
    <row r="825" spans="1:9" ht="15.6">
      <c r="A825" s="148">
        <v>42027</v>
      </c>
      <c r="B825" s="88">
        <v>4.62</v>
      </c>
      <c r="E825" s="90"/>
      <c r="F825" s="91"/>
      <c r="G825" s="90">
        <v>42042</v>
      </c>
      <c r="H825" s="91">
        <v>269.61</v>
      </c>
      <c r="I825" s="93">
        <f t="shared" si="12"/>
        <v>-3.2165039929015204E-3</v>
      </c>
    </row>
    <row r="826" spans="1:9" ht="15.6">
      <c r="A826" s="148">
        <v>42028</v>
      </c>
      <c r="B826" s="88">
        <v>4.62</v>
      </c>
      <c r="E826" s="90"/>
      <c r="F826" s="91"/>
      <c r="G826" s="90">
        <v>42045</v>
      </c>
      <c r="H826" s="91">
        <v>269.19</v>
      </c>
      <c r="I826" s="93">
        <f t="shared" si="12"/>
        <v>-1.5578057193724737E-3</v>
      </c>
    </row>
    <row r="827" spans="1:9" ht="15.6">
      <c r="A827" s="148">
        <v>42031</v>
      </c>
      <c r="B827" s="88">
        <v>4.5999999999999996</v>
      </c>
      <c r="E827" s="90"/>
      <c r="F827" s="91"/>
      <c r="G827" s="90">
        <v>42046</v>
      </c>
      <c r="H827" s="91">
        <v>270.82</v>
      </c>
      <c r="I827" s="93">
        <f t="shared" si="12"/>
        <v>6.0552026449718355E-3</v>
      </c>
    </row>
    <row r="828" spans="1:9" ht="15.6">
      <c r="A828" s="148">
        <v>42032</v>
      </c>
      <c r="B828" s="88">
        <v>4.6100000000000003</v>
      </c>
      <c r="E828" s="90"/>
      <c r="F828" s="91"/>
      <c r="G828" s="90">
        <v>42047</v>
      </c>
      <c r="H828" s="91">
        <v>270.64</v>
      </c>
      <c r="I828" s="93">
        <f t="shared" si="12"/>
        <v>-6.6464810575295186E-4</v>
      </c>
    </row>
    <row r="829" spans="1:9" ht="15.6">
      <c r="A829" s="148">
        <v>42033</v>
      </c>
      <c r="B829" s="88">
        <v>4.62</v>
      </c>
      <c r="E829" s="90"/>
      <c r="F829" s="91"/>
      <c r="G829" s="90">
        <v>42048</v>
      </c>
      <c r="H829" s="91">
        <v>269.57</v>
      </c>
      <c r="I829" s="93">
        <f t="shared" si="12"/>
        <v>-3.953591486845931E-3</v>
      </c>
    </row>
    <row r="830" spans="1:9" ht="15.6">
      <c r="A830" s="148">
        <v>42034</v>
      </c>
      <c r="B830" s="88">
        <v>4.58</v>
      </c>
      <c r="E830" s="90"/>
      <c r="F830" s="91"/>
      <c r="G830" s="90">
        <v>42049</v>
      </c>
      <c r="H830" s="91">
        <v>267.95999999999998</v>
      </c>
      <c r="I830" s="93">
        <f t="shared" si="12"/>
        <v>-5.9724746819008745E-3</v>
      </c>
    </row>
    <row r="831" spans="1:9" ht="15.6">
      <c r="A831" s="148">
        <v>42035</v>
      </c>
      <c r="B831" s="88">
        <v>4.55</v>
      </c>
      <c r="E831" s="90"/>
      <c r="F831" s="91"/>
      <c r="G831" s="90">
        <v>42052</v>
      </c>
      <c r="H831" s="91">
        <v>269.2</v>
      </c>
      <c r="I831" s="93">
        <f t="shared" si="12"/>
        <v>4.6275563516942064E-3</v>
      </c>
    </row>
    <row r="832" spans="1:9" ht="15.6">
      <c r="A832" s="148">
        <v>42038</v>
      </c>
      <c r="B832" s="88">
        <v>4.5599999999999996</v>
      </c>
      <c r="E832" s="90"/>
      <c r="F832" s="91"/>
      <c r="G832" s="90">
        <v>42053</v>
      </c>
      <c r="H832" s="91">
        <v>269.64999999999998</v>
      </c>
      <c r="I832" s="93">
        <f t="shared" si="12"/>
        <v>1.6716196136701278E-3</v>
      </c>
    </row>
    <row r="833" spans="1:9" ht="15.6">
      <c r="A833" s="148">
        <v>42039</v>
      </c>
      <c r="B833" s="88">
        <v>4.53</v>
      </c>
      <c r="E833" s="90"/>
      <c r="F833" s="91"/>
      <c r="G833" s="90">
        <v>42054</v>
      </c>
      <c r="H833" s="91">
        <v>272.33999999999997</v>
      </c>
      <c r="I833" s="93">
        <f t="shared" si="12"/>
        <v>9.9758946782866342E-3</v>
      </c>
    </row>
    <row r="834" spans="1:9" ht="15.6">
      <c r="A834" s="148">
        <v>42040</v>
      </c>
      <c r="B834" s="88">
        <v>4.5199999999999996</v>
      </c>
      <c r="E834" s="90"/>
      <c r="F834" s="91"/>
      <c r="G834" s="90">
        <v>42055</v>
      </c>
      <c r="H834" s="91">
        <v>272.91000000000003</v>
      </c>
      <c r="I834" s="93">
        <f t="shared" si="12"/>
        <v>2.0929720202689239E-3</v>
      </c>
    </row>
    <row r="835" spans="1:9" ht="15.6">
      <c r="A835" s="148">
        <v>42041</v>
      </c>
      <c r="B835" s="88">
        <v>4.53</v>
      </c>
      <c r="E835" s="90"/>
      <c r="F835" s="91"/>
      <c r="G835" s="90">
        <v>42056</v>
      </c>
      <c r="H835" s="91">
        <v>275.04000000000002</v>
      </c>
      <c r="I835" s="93">
        <f t="shared" si="12"/>
        <v>7.804770803561567E-3</v>
      </c>
    </row>
    <row r="836" spans="1:9" ht="15.6">
      <c r="A836" s="148">
        <v>42042</v>
      </c>
      <c r="B836" s="88">
        <v>4.5199999999999996</v>
      </c>
      <c r="E836" s="90"/>
      <c r="F836" s="91"/>
      <c r="G836" s="90">
        <v>42059</v>
      </c>
      <c r="H836" s="91">
        <v>277.45999999999998</v>
      </c>
      <c r="I836" s="93">
        <f t="shared" si="12"/>
        <v>8.7987201861545739E-3</v>
      </c>
    </row>
    <row r="837" spans="1:9" ht="15.6">
      <c r="A837" s="148">
        <v>42045</v>
      </c>
      <c r="B837" s="88">
        <v>4.5199999999999996</v>
      </c>
      <c r="E837" s="90"/>
      <c r="F837" s="91"/>
      <c r="G837" s="90">
        <v>42060</v>
      </c>
      <c r="H837" s="91">
        <v>276.58999999999997</v>
      </c>
      <c r="I837" s="93">
        <f t="shared" si="12"/>
        <v>-3.1355871116557354E-3</v>
      </c>
    </row>
    <row r="838" spans="1:9" ht="15.6">
      <c r="A838" s="148">
        <v>42046</v>
      </c>
      <c r="B838" s="88">
        <v>4.5199999999999996</v>
      </c>
      <c r="E838" s="90"/>
      <c r="F838" s="91"/>
      <c r="G838" s="90">
        <v>42061</v>
      </c>
      <c r="H838" s="91">
        <v>275.52999999999997</v>
      </c>
      <c r="I838" s="93">
        <f t="shared" si="12"/>
        <v>-3.8323872880436927E-3</v>
      </c>
    </row>
    <row r="839" spans="1:9" ht="15.6">
      <c r="A839" s="148">
        <v>42047</v>
      </c>
      <c r="B839" s="88">
        <v>4.53</v>
      </c>
      <c r="E839" s="90"/>
      <c r="F839" s="91"/>
      <c r="G839" s="90">
        <v>42062</v>
      </c>
      <c r="H839" s="91">
        <v>273.74</v>
      </c>
      <c r="I839" s="93">
        <f t="shared" si="12"/>
        <v>-6.4965702464340191E-3</v>
      </c>
    </row>
    <row r="840" spans="1:9" ht="15.6">
      <c r="A840" s="148">
        <v>42048</v>
      </c>
      <c r="B840" s="88">
        <v>4.5199999999999996</v>
      </c>
      <c r="E840" s="90"/>
      <c r="F840" s="91"/>
      <c r="G840" s="90">
        <v>42063</v>
      </c>
      <c r="H840" s="91">
        <v>274.06</v>
      </c>
      <c r="I840" s="93">
        <f t="shared" si="12"/>
        <v>1.168992474610997E-3</v>
      </c>
    </row>
    <row r="841" spans="1:9" ht="15.6">
      <c r="A841" s="148">
        <v>42049</v>
      </c>
      <c r="B841" s="88">
        <v>4.5</v>
      </c>
      <c r="E841" s="90"/>
      <c r="F841" s="91"/>
      <c r="G841" s="90">
        <v>42066</v>
      </c>
      <c r="H841" s="91">
        <v>274.85000000000002</v>
      </c>
      <c r="I841" s="93">
        <f t="shared" si="12"/>
        <v>2.8825804568344271E-3</v>
      </c>
    </row>
    <row r="842" spans="1:9" ht="15.6">
      <c r="A842" s="148">
        <v>42052</v>
      </c>
      <c r="B842" s="88">
        <v>4.5</v>
      </c>
      <c r="E842" s="90"/>
      <c r="F842" s="91"/>
      <c r="G842" s="90">
        <v>42067</v>
      </c>
      <c r="H842" s="91">
        <v>275.89</v>
      </c>
      <c r="I842" s="93">
        <f t="shared" si="12"/>
        <v>3.7838821175184556E-3</v>
      </c>
    </row>
    <row r="843" spans="1:9" ht="15.6">
      <c r="A843" s="148">
        <v>42053</v>
      </c>
      <c r="B843" s="88">
        <v>4.49</v>
      </c>
      <c r="E843" s="90"/>
      <c r="F843" s="91"/>
      <c r="G843" s="90">
        <v>42068</v>
      </c>
      <c r="H843" s="91">
        <v>276.20999999999998</v>
      </c>
      <c r="I843" s="93">
        <f t="shared" si="12"/>
        <v>1.1598825618905906E-3</v>
      </c>
    </row>
    <row r="844" spans="1:9" ht="15.6">
      <c r="A844" s="148">
        <v>42054</v>
      </c>
      <c r="B844" s="88">
        <v>4.47</v>
      </c>
      <c r="E844" s="90"/>
      <c r="F844" s="91"/>
      <c r="G844" s="90">
        <v>42069</v>
      </c>
      <c r="H844" s="91">
        <v>272.92</v>
      </c>
      <c r="I844" s="93">
        <f t="shared" si="12"/>
        <v>-1.1911226964990251E-2</v>
      </c>
    </row>
    <row r="845" spans="1:9" ht="15.6">
      <c r="A845" s="148">
        <v>42055</v>
      </c>
      <c r="B845" s="88">
        <v>4.5</v>
      </c>
      <c r="E845" s="90"/>
      <c r="F845" s="91"/>
      <c r="G845" s="90">
        <v>42070</v>
      </c>
      <c r="H845" s="91">
        <v>270.14999999999998</v>
      </c>
      <c r="I845" s="93">
        <f t="shared" si="12"/>
        <v>-1.0149494357320932E-2</v>
      </c>
    </row>
    <row r="846" spans="1:9" ht="15.6">
      <c r="A846" s="148">
        <v>42056</v>
      </c>
      <c r="B846" s="88">
        <v>4.4800000000000004</v>
      </c>
      <c r="E846" s="90"/>
      <c r="F846" s="91"/>
      <c r="G846" s="90">
        <v>42073</v>
      </c>
      <c r="H846" s="91">
        <v>273.23</v>
      </c>
      <c r="I846" s="93">
        <f t="shared" si="12"/>
        <v>1.1401073477697699E-2</v>
      </c>
    </row>
    <row r="847" spans="1:9" ht="15.6">
      <c r="A847" s="148">
        <v>42059</v>
      </c>
      <c r="B847" s="88">
        <v>4.47</v>
      </c>
      <c r="E847" s="90"/>
      <c r="F847" s="91"/>
      <c r="G847" s="90">
        <v>42074</v>
      </c>
      <c r="H847" s="91">
        <v>275.61</v>
      </c>
      <c r="I847" s="93">
        <f t="shared" ref="I847:I910" si="13">H847/H846-1</f>
        <v>8.7106101086995569E-3</v>
      </c>
    </row>
    <row r="848" spans="1:9" ht="15.6">
      <c r="A848" s="148">
        <v>42060</v>
      </c>
      <c r="B848" s="88">
        <v>4.46</v>
      </c>
      <c r="E848" s="90"/>
      <c r="F848" s="91"/>
      <c r="G848" s="90">
        <v>42075</v>
      </c>
      <c r="H848" s="91">
        <v>275.86</v>
      </c>
      <c r="I848" s="93">
        <f t="shared" si="13"/>
        <v>9.0707884329299659E-4</v>
      </c>
    </row>
    <row r="849" spans="1:9" ht="15.6">
      <c r="A849" s="148">
        <v>42061</v>
      </c>
      <c r="B849" s="88">
        <v>4.45</v>
      </c>
      <c r="E849" s="90"/>
      <c r="F849" s="91"/>
      <c r="G849" s="90">
        <v>42076</v>
      </c>
      <c r="H849" s="91">
        <v>275.32</v>
      </c>
      <c r="I849" s="93">
        <f t="shared" si="13"/>
        <v>-1.957514681360184E-3</v>
      </c>
    </row>
    <row r="850" spans="1:9" ht="15.6">
      <c r="A850" s="148">
        <v>42062</v>
      </c>
      <c r="B850" s="88">
        <v>4.47</v>
      </c>
      <c r="E850" s="90"/>
      <c r="F850" s="91"/>
      <c r="G850" s="90">
        <v>42077</v>
      </c>
      <c r="H850" s="91">
        <v>277.61</v>
      </c>
      <c r="I850" s="93">
        <f t="shared" si="13"/>
        <v>8.3175940723523301E-3</v>
      </c>
    </row>
    <row r="851" spans="1:9" ht="15.6">
      <c r="A851" s="148">
        <v>42063</v>
      </c>
      <c r="B851" s="88">
        <v>4.5</v>
      </c>
      <c r="E851" s="90"/>
      <c r="F851" s="91"/>
      <c r="G851" s="90">
        <v>42080</v>
      </c>
      <c r="H851" s="91">
        <v>280.8</v>
      </c>
      <c r="I851" s="93">
        <f t="shared" si="13"/>
        <v>1.1490940528078974E-2</v>
      </c>
    </row>
    <row r="852" spans="1:9" ht="15.6">
      <c r="A852" s="148">
        <v>42066</v>
      </c>
      <c r="B852" s="88">
        <v>4.5</v>
      </c>
      <c r="E852" s="90"/>
      <c r="F852" s="91"/>
      <c r="G852" s="90">
        <v>42081</v>
      </c>
      <c r="H852" s="91">
        <v>281.22000000000003</v>
      </c>
      <c r="I852" s="93">
        <f t="shared" si="13"/>
        <v>1.4957264957264904E-3</v>
      </c>
    </row>
    <row r="853" spans="1:9" ht="15.6">
      <c r="A853" s="148">
        <v>42067</v>
      </c>
      <c r="B853" s="88">
        <v>4.5</v>
      </c>
      <c r="E853" s="90"/>
      <c r="F853" s="91"/>
      <c r="G853" s="90">
        <v>42082</v>
      </c>
      <c r="H853" s="91">
        <v>280.43</v>
      </c>
      <c r="I853" s="93">
        <f t="shared" si="13"/>
        <v>-2.8091885356661406E-3</v>
      </c>
    </row>
    <row r="854" spans="1:9" ht="15.6">
      <c r="A854" s="148">
        <v>42068</v>
      </c>
      <c r="B854" s="88">
        <v>4.4800000000000004</v>
      </c>
      <c r="E854" s="90"/>
      <c r="F854" s="91"/>
      <c r="G854" s="90">
        <v>42083</v>
      </c>
      <c r="H854" s="91">
        <v>280.19</v>
      </c>
      <c r="I854" s="93">
        <f t="shared" si="13"/>
        <v>-8.5582854901400385E-4</v>
      </c>
    </row>
    <row r="855" spans="1:9" ht="15.6">
      <c r="A855" s="148">
        <v>42069</v>
      </c>
      <c r="B855" s="88">
        <v>4.47</v>
      </c>
      <c r="E855" s="90"/>
      <c r="F855" s="91"/>
      <c r="G855" s="90">
        <v>42084</v>
      </c>
      <c r="H855" s="91">
        <v>277.12</v>
      </c>
      <c r="I855" s="93">
        <f t="shared" si="13"/>
        <v>-1.0956850708447763E-2</v>
      </c>
    </row>
    <row r="856" spans="1:9" ht="15.6">
      <c r="A856" s="148">
        <v>42070</v>
      </c>
      <c r="B856" s="88">
        <v>4.46</v>
      </c>
      <c r="E856" s="90"/>
      <c r="F856" s="91"/>
      <c r="G856" s="90">
        <v>42087</v>
      </c>
      <c r="H856" s="91">
        <v>274.82</v>
      </c>
      <c r="I856" s="93">
        <f t="shared" si="13"/>
        <v>-8.299653579676769E-3</v>
      </c>
    </row>
    <row r="857" spans="1:9" ht="15.6">
      <c r="A857" s="148">
        <v>42073</v>
      </c>
      <c r="B857" s="88">
        <v>4.4400000000000004</v>
      </c>
      <c r="E857" s="90"/>
      <c r="F857" s="91"/>
      <c r="G857" s="90">
        <v>42088</v>
      </c>
      <c r="H857" s="91">
        <v>275.76</v>
      </c>
      <c r="I857" s="93">
        <f t="shared" si="13"/>
        <v>3.4204206389636393E-3</v>
      </c>
    </row>
    <row r="858" spans="1:9" ht="15.6">
      <c r="A858" s="148">
        <v>42074</v>
      </c>
      <c r="B858" s="88">
        <v>4.42</v>
      </c>
      <c r="E858" s="90"/>
      <c r="F858" s="91"/>
      <c r="G858" s="90">
        <v>42089</v>
      </c>
      <c r="H858" s="91">
        <v>274.20999999999998</v>
      </c>
      <c r="I858" s="93">
        <f t="shared" si="13"/>
        <v>-5.6208297069916258E-3</v>
      </c>
    </row>
    <row r="859" spans="1:9" ht="15.6">
      <c r="A859" s="148">
        <v>42075</v>
      </c>
      <c r="B859" s="88">
        <v>4.4000000000000004</v>
      </c>
      <c r="E859" s="90"/>
      <c r="F859" s="91"/>
      <c r="G859" s="90">
        <v>42090</v>
      </c>
      <c r="H859" s="91">
        <v>274.86</v>
      </c>
      <c r="I859" s="93">
        <f t="shared" si="13"/>
        <v>2.3704460085336443E-3</v>
      </c>
    </row>
    <row r="860" spans="1:9" ht="15.6">
      <c r="A860" s="148">
        <v>42076</v>
      </c>
      <c r="B860" s="88">
        <v>4.3899999999999997</v>
      </c>
      <c r="E860" s="90"/>
      <c r="F860" s="91"/>
      <c r="G860" s="90">
        <v>42091</v>
      </c>
      <c r="H860" s="91">
        <v>278</v>
      </c>
      <c r="I860" s="93">
        <f t="shared" si="13"/>
        <v>1.1423997671541786E-2</v>
      </c>
    </row>
    <row r="861" spans="1:9" ht="15.6">
      <c r="A861" s="148">
        <v>42077</v>
      </c>
      <c r="B861" s="88">
        <v>4.37</v>
      </c>
      <c r="E861" s="90"/>
      <c r="F861" s="91"/>
      <c r="G861" s="90">
        <v>42094</v>
      </c>
      <c r="H861" s="91">
        <v>280.93</v>
      </c>
      <c r="I861" s="93">
        <f t="shared" si="13"/>
        <v>1.0539568345323769E-2</v>
      </c>
    </row>
    <row r="862" spans="1:9" ht="15.6">
      <c r="A862" s="148">
        <v>42080</v>
      </c>
      <c r="B862" s="88">
        <v>4.34</v>
      </c>
      <c r="E862" s="90"/>
      <c r="F862" s="91"/>
      <c r="G862" s="90">
        <v>42095</v>
      </c>
      <c r="H862" s="91">
        <v>281.16000000000003</v>
      </c>
      <c r="I862" s="93">
        <f t="shared" si="13"/>
        <v>8.1870928701111012E-4</v>
      </c>
    </row>
    <row r="863" spans="1:9" ht="15.6">
      <c r="A863" s="148">
        <v>42081</v>
      </c>
      <c r="B863" s="88">
        <v>4.33</v>
      </c>
      <c r="E863" s="90"/>
      <c r="F863" s="91"/>
      <c r="G863" s="90">
        <v>42096</v>
      </c>
      <c r="H863" s="91">
        <v>282.95999999999998</v>
      </c>
      <c r="I863" s="93">
        <f t="shared" si="13"/>
        <v>6.4020486555695921E-3</v>
      </c>
    </row>
    <row r="864" spans="1:9" ht="15.6">
      <c r="A864" s="148">
        <v>42082</v>
      </c>
      <c r="B864" s="88">
        <v>4.32</v>
      </c>
      <c r="E864" s="90"/>
      <c r="F864" s="91"/>
      <c r="G864" s="90">
        <v>42097</v>
      </c>
      <c r="H864" s="91">
        <v>283.08</v>
      </c>
      <c r="I864" s="93">
        <f t="shared" si="13"/>
        <v>4.2408821034767286E-4</v>
      </c>
    </row>
    <row r="865" spans="1:9" ht="15.6">
      <c r="A865" s="148">
        <v>42083</v>
      </c>
      <c r="B865" s="88">
        <v>4.26</v>
      </c>
      <c r="E865" s="90"/>
      <c r="F865" s="91"/>
      <c r="G865" s="90">
        <v>42098</v>
      </c>
      <c r="H865" s="91">
        <v>284.27999999999997</v>
      </c>
      <c r="I865" s="93">
        <f t="shared" si="13"/>
        <v>4.2390843577786441E-3</v>
      </c>
    </row>
    <row r="866" spans="1:9" ht="15.6">
      <c r="A866" s="148">
        <v>42084</v>
      </c>
      <c r="B866" s="88">
        <v>4.25</v>
      </c>
      <c r="E866" s="90"/>
      <c r="F866" s="91"/>
      <c r="G866" s="90">
        <v>42101</v>
      </c>
      <c r="H866" s="91">
        <v>285.17</v>
      </c>
      <c r="I866" s="93">
        <f t="shared" si="13"/>
        <v>3.1307161953004758E-3</v>
      </c>
    </row>
    <row r="867" spans="1:9" ht="15.6">
      <c r="A867" s="148">
        <v>42087</v>
      </c>
      <c r="B867" s="88">
        <v>4.2300000000000004</v>
      </c>
      <c r="E867" s="90"/>
      <c r="F867" s="91"/>
      <c r="G867" s="90">
        <v>42102</v>
      </c>
      <c r="H867" s="91">
        <v>286.48</v>
      </c>
      <c r="I867" s="93">
        <f t="shared" si="13"/>
        <v>4.5937510958375949E-3</v>
      </c>
    </row>
    <row r="868" spans="1:9" ht="15.6">
      <c r="A868" s="148">
        <v>42088</v>
      </c>
      <c r="B868" s="88">
        <v>4.21</v>
      </c>
      <c r="E868" s="90"/>
      <c r="F868" s="91"/>
      <c r="G868" s="90">
        <v>42103</v>
      </c>
      <c r="H868" s="91">
        <v>286.99</v>
      </c>
      <c r="I868" s="93">
        <f t="shared" si="13"/>
        <v>1.7802289863166898E-3</v>
      </c>
    </row>
    <row r="869" spans="1:9" ht="15.6">
      <c r="A869" s="148">
        <v>42089</v>
      </c>
      <c r="B869" s="88">
        <v>4.1900000000000004</v>
      </c>
      <c r="E869" s="90"/>
      <c r="F869" s="91"/>
      <c r="G869" s="90">
        <v>42104</v>
      </c>
      <c r="H869" s="91">
        <v>284.81</v>
      </c>
      <c r="I869" s="93">
        <f t="shared" si="13"/>
        <v>-7.5960834872295102E-3</v>
      </c>
    </row>
    <row r="870" spans="1:9" ht="15.6">
      <c r="A870" s="148">
        <v>42090</v>
      </c>
      <c r="B870" s="88">
        <v>4.2</v>
      </c>
      <c r="E870" s="90"/>
      <c r="F870" s="91"/>
      <c r="G870" s="90">
        <v>42105</v>
      </c>
      <c r="H870" s="91">
        <v>285.02</v>
      </c>
      <c r="I870" s="93">
        <f t="shared" si="13"/>
        <v>7.3733366103700959E-4</v>
      </c>
    </row>
    <row r="871" spans="1:9" ht="15.6">
      <c r="A871" s="148">
        <v>42091</v>
      </c>
      <c r="B871" s="88">
        <v>4.21</v>
      </c>
      <c r="E871" s="90"/>
      <c r="F871" s="91"/>
      <c r="G871" s="90">
        <v>42108</v>
      </c>
      <c r="H871" s="91">
        <v>284.02</v>
      </c>
      <c r="I871" s="93">
        <f t="shared" si="13"/>
        <v>-3.5085257174934936E-3</v>
      </c>
    </row>
    <row r="872" spans="1:9" ht="15.6">
      <c r="A872" s="148">
        <v>42093</v>
      </c>
      <c r="B872" s="88">
        <v>4.24</v>
      </c>
      <c r="E872" s="90"/>
      <c r="F872" s="91"/>
      <c r="G872" s="90">
        <v>42109</v>
      </c>
      <c r="H872" s="91">
        <v>285.97000000000003</v>
      </c>
      <c r="I872" s="93">
        <f t="shared" si="13"/>
        <v>6.8657136821352882E-3</v>
      </c>
    </row>
    <row r="873" spans="1:9" ht="15.6">
      <c r="A873" s="148">
        <v>42094</v>
      </c>
      <c r="B873" s="88">
        <v>4.26</v>
      </c>
      <c r="E873" s="90"/>
      <c r="F873" s="91"/>
      <c r="G873" s="90">
        <v>42110</v>
      </c>
      <c r="H873" s="91">
        <v>286.76</v>
      </c>
      <c r="I873" s="93">
        <f t="shared" si="13"/>
        <v>2.7625275378535541E-3</v>
      </c>
    </row>
    <row r="874" spans="1:9" ht="15.6">
      <c r="A874" s="148">
        <v>42095</v>
      </c>
      <c r="B874" s="88">
        <v>4.26</v>
      </c>
      <c r="E874" s="90"/>
      <c r="F874" s="91"/>
      <c r="G874" s="90">
        <v>42111</v>
      </c>
      <c r="H874" s="91">
        <v>286.14</v>
      </c>
      <c r="I874" s="93">
        <f t="shared" si="13"/>
        <v>-2.1620867624494444E-3</v>
      </c>
    </row>
    <row r="875" spans="1:9" ht="15.6">
      <c r="A875" s="148">
        <v>42096</v>
      </c>
      <c r="B875" s="88">
        <v>4.2699999999999996</v>
      </c>
      <c r="E875" s="90"/>
      <c r="F875" s="91"/>
      <c r="G875" s="90">
        <v>42112</v>
      </c>
      <c r="H875" s="91">
        <v>286.22000000000003</v>
      </c>
      <c r="I875" s="93">
        <f t="shared" si="13"/>
        <v>2.7958342070322217E-4</v>
      </c>
    </row>
    <row r="876" spans="1:9" ht="15.6">
      <c r="A876" s="148">
        <v>42097</v>
      </c>
      <c r="B876" s="88">
        <v>4.26</v>
      </c>
      <c r="E876" s="90"/>
      <c r="F876" s="91"/>
      <c r="G876" s="90">
        <v>42115</v>
      </c>
      <c r="H876" s="91">
        <v>285.32</v>
      </c>
      <c r="I876" s="93">
        <f t="shared" si="13"/>
        <v>-3.1444343511984885E-3</v>
      </c>
    </row>
    <row r="877" spans="1:9" ht="15.6">
      <c r="A877" s="148">
        <v>42098</v>
      </c>
      <c r="B877" s="88">
        <v>4.26</v>
      </c>
      <c r="E877" s="90"/>
      <c r="F877" s="91"/>
      <c r="G877" s="90">
        <v>42116</v>
      </c>
      <c r="H877" s="91">
        <v>285.35000000000002</v>
      </c>
      <c r="I877" s="93">
        <f t="shared" si="13"/>
        <v>1.0514510023851287E-4</v>
      </c>
    </row>
    <row r="878" spans="1:9" ht="15.6">
      <c r="A878" s="148">
        <v>42101</v>
      </c>
      <c r="B878" s="88">
        <v>4.26</v>
      </c>
      <c r="E878" s="90"/>
      <c r="F878" s="91"/>
      <c r="G878" s="90">
        <v>42117</v>
      </c>
      <c r="H878" s="91">
        <v>284.64999999999998</v>
      </c>
      <c r="I878" s="93">
        <f t="shared" si="13"/>
        <v>-2.4531277378659899E-3</v>
      </c>
    </row>
    <row r="879" spans="1:9" ht="15.6">
      <c r="A879" s="148">
        <v>42102</v>
      </c>
      <c r="B879" s="88">
        <v>4.25</v>
      </c>
      <c r="E879" s="90"/>
      <c r="F879" s="91"/>
      <c r="G879" s="90">
        <v>42118</v>
      </c>
      <c r="H879" s="91">
        <v>282.86</v>
      </c>
      <c r="I879" s="93">
        <f t="shared" si="13"/>
        <v>-6.288424380818447E-3</v>
      </c>
    </row>
    <row r="880" spans="1:9" ht="15.6">
      <c r="A880" s="148">
        <v>42103</v>
      </c>
      <c r="B880" s="88">
        <v>4.24</v>
      </c>
      <c r="E880" s="90"/>
      <c r="F880" s="91"/>
      <c r="G880" s="90">
        <v>42119</v>
      </c>
      <c r="H880" s="91">
        <v>283.43</v>
      </c>
      <c r="I880" s="93">
        <f t="shared" si="13"/>
        <v>2.0151311602913946E-3</v>
      </c>
    </row>
    <row r="881" spans="1:9" ht="15.6">
      <c r="A881" s="148">
        <v>42104</v>
      </c>
      <c r="B881" s="88">
        <v>4.25</v>
      </c>
      <c r="E881" s="90"/>
      <c r="F881" s="91"/>
      <c r="G881" s="90">
        <v>42122</v>
      </c>
      <c r="H881" s="91">
        <v>283.82</v>
      </c>
      <c r="I881" s="93">
        <f t="shared" si="13"/>
        <v>1.3760011290264718E-3</v>
      </c>
    </row>
    <row r="882" spans="1:9" ht="15.6">
      <c r="A882" s="148">
        <v>42105</v>
      </c>
      <c r="B882" s="88">
        <v>4.2699999999999996</v>
      </c>
      <c r="E882" s="90"/>
      <c r="F882" s="91"/>
      <c r="G882" s="90">
        <v>42123</v>
      </c>
      <c r="H882" s="91">
        <v>283.5</v>
      </c>
      <c r="I882" s="93">
        <f t="shared" si="13"/>
        <v>-1.127475160312863E-3</v>
      </c>
    </row>
    <row r="883" spans="1:9" ht="15.6">
      <c r="A883" s="148">
        <v>42108</v>
      </c>
      <c r="B883" s="88">
        <v>4.28</v>
      </c>
      <c r="E883" s="90"/>
      <c r="F883" s="91"/>
      <c r="G883" s="90">
        <v>42124</v>
      </c>
      <c r="H883" s="91">
        <v>283.86</v>
      </c>
      <c r="I883" s="93">
        <f t="shared" si="13"/>
        <v>1.2698412698413097E-3</v>
      </c>
    </row>
    <row r="884" spans="1:9" ht="15.6">
      <c r="A884" s="148">
        <v>42109</v>
      </c>
      <c r="B884" s="88">
        <v>4.29</v>
      </c>
      <c r="E884" s="90"/>
      <c r="F884" s="91"/>
      <c r="G884" s="90">
        <v>42125</v>
      </c>
      <c r="H884" s="91">
        <v>283.27</v>
      </c>
      <c r="I884" s="93">
        <f t="shared" si="13"/>
        <v>-2.0784893961813822E-3</v>
      </c>
    </row>
    <row r="885" spans="1:9" ht="15.6">
      <c r="A885" s="148">
        <v>42110</v>
      </c>
      <c r="B885" s="88">
        <v>4.29</v>
      </c>
      <c r="E885" s="90"/>
      <c r="F885" s="91"/>
      <c r="G885" s="90">
        <v>42126</v>
      </c>
      <c r="H885" s="91">
        <v>284.83999999999997</v>
      </c>
      <c r="I885" s="93">
        <f t="shared" si="13"/>
        <v>5.5424153634342499E-3</v>
      </c>
    </row>
    <row r="886" spans="1:9" ht="15.6">
      <c r="A886" s="148">
        <v>42111</v>
      </c>
      <c r="B886" s="88">
        <v>4.2699999999999996</v>
      </c>
      <c r="E886" s="90"/>
      <c r="F886" s="91"/>
      <c r="G886" s="90">
        <v>42129</v>
      </c>
      <c r="H886" s="91">
        <v>278.99</v>
      </c>
      <c r="I886" s="93">
        <f t="shared" si="13"/>
        <v>-2.0537845808172861E-2</v>
      </c>
    </row>
    <row r="887" spans="1:9" ht="15.6">
      <c r="A887" s="148">
        <v>42112</v>
      </c>
      <c r="B887" s="179">
        <v>4.2699999999999996</v>
      </c>
      <c r="E887" s="90"/>
      <c r="F887" s="91"/>
      <c r="G887" s="90">
        <v>42130</v>
      </c>
      <c r="H887" s="91">
        <v>277.66000000000003</v>
      </c>
      <c r="I887" s="93">
        <f t="shared" si="13"/>
        <v>-4.7671959568442723E-3</v>
      </c>
    </row>
    <row r="888" spans="1:9" ht="15.6">
      <c r="A888" s="148">
        <v>42115</v>
      </c>
      <c r="B888" s="88">
        <v>4.2699999999999996</v>
      </c>
      <c r="E888" s="90"/>
      <c r="F888" s="91"/>
      <c r="G888" s="90">
        <v>42131</v>
      </c>
      <c r="H888" s="91">
        <v>276.14999999999998</v>
      </c>
      <c r="I888" s="93">
        <f t="shared" si="13"/>
        <v>-5.438305841677038E-3</v>
      </c>
    </row>
    <row r="889" spans="1:9" ht="15.6">
      <c r="A889" s="148">
        <v>42116</v>
      </c>
      <c r="B889" s="88">
        <v>4.26</v>
      </c>
      <c r="E889" s="90"/>
      <c r="F889" s="91"/>
      <c r="G889" s="90">
        <v>42132</v>
      </c>
      <c r="H889" s="91">
        <v>271.39999999999998</v>
      </c>
      <c r="I889" s="93">
        <f t="shared" si="13"/>
        <v>-1.7200796668477292E-2</v>
      </c>
    </row>
    <row r="890" spans="1:9" ht="15.6">
      <c r="A890" s="148">
        <v>42117</v>
      </c>
      <c r="B890" s="88">
        <v>4.24</v>
      </c>
      <c r="E890" s="90"/>
      <c r="F890" s="91"/>
      <c r="G890" s="90">
        <v>42133</v>
      </c>
      <c r="H890" s="91">
        <v>272.58999999999997</v>
      </c>
      <c r="I890" s="93">
        <f t="shared" si="13"/>
        <v>4.3846720707443332E-3</v>
      </c>
    </row>
    <row r="891" spans="1:9" ht="15.6">
      <c r="A891" s="148">
        <v>42118</v>
      </c>
      <c r="B891" s="88">
        <v>4.26</v>
      </c>
      <c r="E891" s="90"/>
      <c r="F891" s="91"/>
      <c r="G891" s="90">
        <v>42136</v>
      </c>
      <c r="H891" s="91">
        <v>268.06</v>
      </c>
      <c r="I891" s="93">
        <f t="shared" si="13"/>
        <v>-1.6618364576836964E-2</v>
      </c>
    </row>
    <row r="892" spans="1:9" ht="15.6">
      <c r="A892" s="148">
        <v>42119</v>
      </c>
      <c r="B892" s="88">
        <v>4.24</v>
      </c>
      <c r="E892" s="90"/>
      <c r="F892" s="91"/>
      <c r="G892" s="90">
        <v>42137</v>
      </c>
      <c r="H892" s="91">
        <v>267.70999999999998</v>
      </c>
      <c r="I892" s="93">
        <f t="shared" si="13"/>
        <v>-1.3056778333210284E-3</v>
      </c>
    </row>
    <row r="893" spans="1:9" ht="15.6">
      <c r="A893" s="148">
        <v>42122</v>
      </c>
      <c r="B893" s="88">
        <v>4.2300000000000004</v>
      </c>
      <c r="E893" s="90"/>
      <c r="F893" s="91"/>
      <c r="G893" s="90">
        <v>42138</v>
      </c>
      <c r="H893" s="91">
        <v>268.06</v>
      </c>
      <c r="I893" s="93">
        <f t="shared" si="13"/>
        <v>1.3073848567479729E-3</v>
      </c>
    </row>
    <row r="894" spans="1:9" ht="15.6">
      <c r="A894" s="148">
        <v>42123</v>
      </c>
      <c r="B894" s="88">
        <v>4.22</v>
      </c>
      <c r="E894" s="90"/>
      <c r="F894" s="91"/>
      <c r="G894" s="90">
        <v>42139</v>
      </c>
      <c r="H894" s="91">
        <v>267.48</v>
      </c>
      <c r="I894" s="93">
        <f t="shared" si="13"/>
        <v>-2.1636946952173775E-3</v>
      </c>
    </row>
    <row r="895" spans="1:9" ht="15.6">
      <c r="A895" s="148">
        <v>42124</v>
      </c>
      <c r="B895" s="88">
        <v>4.22</v>
      </c>
      <c r="E895" s="90"/>
      <c r="F895" s="91"/>
      <c r="G895" s="90">
        <v>42140</v>
      </c>
      <c r="H895" s="91">
        <v>263.87</v>
      </c>
      <c r="I895" s="93">
        <f t="shared" si="13"/>
        <v>-1.3496336174667278E-2</v>
      </c>
    </row>
    <row r="896" spans="1:9" ht="15.6">
      <c r="A896" s="148">
        <v>42125</v>
      </c>
      <c r="B896" s="88">
        <v>4.25</v>
      </c>
      <c r="E896" s="90"/>
      <c r="F896" s="91"/>
      <c r="G896" s="90">
        <v>42143</v>
      </c>
      <c r="H896" s="91">
        <v>263.5</v>
      </c>
      <c r="I896" s="93">
        <f t="shared" si="13"/>
        <v>-1.4022056315610154E-3</v>
      </c>
    </row>
    <row r="897" spans="1:9" ht="15.6">
      <c r="A897" s="148">
        <v>42126</v>
      </c>
      <c r="B897" s="88">
        <v>4.24</v>
      </c>
      <c r="E897" s="90"/>
      <c r="F897" s="91"/>
      <c r="G897" s="90">
        <v>42144</v>
      </c>
      <c r="H897" s="91">
        <v>264.77999999999997</v>
      </c>
      <c r="I897" s="93">
        <f t="shared" si="13"/>
        <v>4.8576850094874668E-3</v>
      </c>
    </row>
    <row r="898" spans="1:9" ht="15.6">
      <c r="A898" s="148">
        <v>42129</v>
      </c>
      <c r="B898" s="88">
        <v>4.2300000000000004</v>
      </c>
      <c r="E898" s="90"/>
      <c r="F898" s="91"/>
      <c r="G898" s="90">
        <v>42145</v>
      </c>
      <c r="H898" s="91">
        <v>264.58</v>
      </c>
      <c r="I898" s="93">
        <f t="shared" si="13"/>
        <v>-7.553440592189542E-4</v>
      </c>
    </row>
    <row r="899" spans="1:9" ht="15.6">
      <c r="A899" s="148">
        <v>42130</v>
      </c>
      <c r="B899" s="88">
        <v>4.22</v>
      </c>
      <c r="E899" s="90"/>
      <c r="F899" s="91"/>
      <c r="G899" s="90">
        <v>42146</v>
      </c>
      <c r="H899" s="91">
        <v>260.69</v>
      </c>
      <c r="I899" s="93">
        <f t="shared" si="13"/>
        <v>-1.4702547433668389E-2</v>
      </c>
    </row>
    <row r="900" spans="1:9" ht="15.6">
      <c r="A900" s="148">
        <v>42131</v>
      </c>
      <c r="B900" s="88">
        <v>4.21</v>
      </c>
      <c r="E900" s="90"/>
      <c r="F900" s="91"/>
      <c r="G900" s="90">
        <v>42147</v>
      </c>
      <c r="H900" s="91">
        <v>261.87</v>
      </c>
      <c r="I900" s="93">
        <f t="shared" si="13"/>
        <v>4.5264490390886092E-3</v>
      </c>
    </row>
    <row r="901" spans="1:9" ht="15.6">
      <c r="A901" s="148">
        <v>42132</v>
      </c>
      <c r="B901" s="88">
        <v>4.2</v>
      </c>
      <c r="E901" s="90"/>
      <c r="F901" s="91"/>
      <c r="G901" s="90">
        <v>42150</v>
      </c>
      <c r="H901" s="91">
        <v>262.64</v>
      </c>
      <c r="I901" s="93">
        <f t="shared" si="13"/>
        <v>2.9403902699811635E-3</v>
      </c>
    </row>
    <row r="902" spans="1:9" ht="15.6">
      <c r="A902" s="148">
        <v>42133</v>
      </c>
      <c r="B902" s="88">
        <v>4.2</v>
      </c>
      <c r="E902" s="90"/>
      <c r="F902" s="91"/>
      <c r="G902" s="90">
        <v>42151</v>
      </c>
      <c r="H902" s="91">
        <v>262.7</v>
      </c>
      <c r="I902" s="93">
        <f t="shared" si="13"/>
        <v>2.2844958879075783E-4</v>
      </c>
    </row>
    <row r="903" spans="1:9" ht="15.6">
      <c r="A903" s="148">
        <v>42136</v>
      </c>
      <c r="B903" s="88">
        <v>4.18</v>
      </c>
      <c r="E903" s="90"/>
      <c r="F903" s="91"/>
      <c r="G903" s="90">
        <v>42152</v>
      </c>
      <c r="H903" s="91">
        <v>262.56</v>
      </c>
      <c r="I903" s="93">
        <f t="shared" si="13"/>
        <v>-5.3292729349063706E-4</v>
      </c>
    </row>
    <row r="904" spans="1:9" ht="15.6">
      <c r="A904" s="148">
        <v>42137</v>
      </c>
      <c r="B904" s="88">
        <v>4.18</v>
      </c>
      <c r="E904" s="90"/>
      <c r="F904" s="91"/>
      <c r="G904" s="90">
        <v>42153</v>
      </c>
      <c r="H904" s="91">
        <v>264.83999999999997</v>
      </c>
      <c r="I904" s="93">
        <f t="shared" si="13"/>
        <v>8.6837294332722248E-3</v>
      </c>
    </row>
    <row r="905" spans="1:9" ht="15.6">
      <c r="A905" s="148">
        <v>42138</v>
      </c>
      <c r="B905" s="88">
        <v>4.17</v>
      </c>
      <c r="E905" s="90"/>
      <c r="F905" s="91"/>
      <c r="G905" s="90">
        <v>42154</v>
      </c>
      <c r="H905" s="91">
        <v>265.76</v>
      </c>
      <c r="I905" s="93">
        <f t="shared" si="13"/>
        <v>3.4737954991692632E-3</v>
      </c>
    </row>
    <row r="906" spans="1:9" ht="15.6">
      <c r="A906" s="148">
        <v>42139</v>
      </c>
      <c r="B906" s="88">
        <v>4.16</v>
      </c>
      <c r="E906" s="90"/>
      <c r="F906" s="91"/>
      <c r="G906" s="90">
        <v>42157</v>
      </c>
      <c r="H906" s="91">
        <v>267.73</v>
      </c>
      <c r="I906" s="93">
        <f t="shared" si="13"/>
        <v>7.4127031908490792E-3</v>
      </c>
    </row>
    <row r="907" spans="1:9" ht="15.6">
      <c r="A907" s="148">
        <v>42140</v>
      </c>
      <c r="B907" s="88">
        <v>4.17</v>
      </c>
      <c r="E907" s="90"/>
      <c r="F907" s="91"/>
      <c r="G907" s="90">
        <v>42158</v>
      </c>
      <c r="H907" s="91">
        <v>267.11</v>
      </c>
      <c r="I907" s="93">
        <f t="shared" si="13"/>
        <v>-2.3157658835394335E-3</v>
      </c>
    </row>
    <row r="908" spans="1:9" ht="15.6">
      <c r="A908" s="148">
        <v>42143</v>
      </c>
      <c r="B908" s="88">
        <v>4.18</v>
      </c>
      <c r="E908" s="90"/>
      <c r="F908" s="91"/>
      <c r="G908" s="90">
        <v>42159</v>
      </c>
      <c r="H908" s="91">
        <v>266.89999999999998</v>
      </c>
      <c r="I908" s="93">
        <f t="shared" si="13"/>
        <v>-7.8619295421378244E-4</v>
      </c>
    </row>
    <row r="909" spans="1:9" ht="15.6">
      <c r="A909" s="148">
        <v>42144</v>
      </c>
      <c r="B909" s="88">
        <v>4.17</v>
      </c>
      <c r="E909" s="90"/>
      <c r="F909" s="91"/>
      <c r="G909" s="90">
        <v>42160</v>
      </c>
      <c r="H909" s="91">
        <v>266.24</v>
      </c>
      <c r="I909" s="93">
        <f t="shared" si="13"/>
        <v>-2.4728362682651106E-3</v>
      </c>
    </row>
    <row r="910" spans="1:9" ht="15.6">
      <c r="A910" s="148">
        <v>42145</v>
      </c>
      <c r="B910" s="88">
        <v>4.16</v>
      </c>
      <c r="E910" s="90"/>
      <c r="F910" s="91"/>
      <c r="G910" s="90">
        <v>42161</v>
      </c>
      <c r="H910" s="91">
        <v>267.62</v>
      </c>
      <c r="I910" s="93">
        <f t="shared" si="13"/>
        <v>5.1832932692308376E-3</v>
      </c>
    </row>
    <row r="911" spans="1:9" ht="15.6">
      <c r="A911" s="148">
        <v>42146</v>
      </c>
      <c r="B911" s="88">
        <v>4.1399999999999997</v>
      </c>
      <c r="E911" s="90"/>
      <c r="F911" s="91"/>
      <c r="G911" s="90">
        <v>42164</v>
      </c>
      <c r="H911" s="91">
        <v>271.12</v>
      </c>
      <c r="I911" s="93">
        <f t="shared" ref="I911:I974" si="14">H911/H910-1</f>
        <v>1.3078245273148603E-2</v>
      </c>
    </row>
    <row r="912" spans="1:9" ht="15.6">
      <c r="A912" s="148">
        <v>42147</v>
      </c>
      <c r="B912" s="88">
        <v>4.12</v>
      </c>
      <c r="E912" s="90"/>
      <c r="F912" s="91"/>
      <c r="G912" s="90">
        <v>42165</v>
      </c>
      <c r="H912" s="91">
        <v>273.54000000000002</v>
      </c>
      <c r="I912" s="93">
        <f t="shared" si="14"/>
        <v>8.9259368545293594E-3</v>
      </c>
    </row>
    <row r="913" spans="1:9" ht="15.6">
      <c r="A913" s="148">
        <v>42150</v>
      </c>
      <c r="B913" s="88">
        <v>4.12</v>
      </c>
      <c r="E913" s="90"/>
      <c r="F913" s="91"/>
      <c r="G913" s="90">
        <v>42166</v>
      </c>
      <c r="H913" s="91">
        <v>272.01</v>
      </c>
      <c r="I913" s="93">
        <f t="shared" si="14"/>
        <v>-5.5933318710245095E-3</v>
      </c>
    </row>
    <row r="914" spans="1:9" ht="15.6">
      <c r="A914" s="148">
        <v>42151</v>
      </c>
      <c r="B914" s="88">
        <v>4.0999999999999996</v>
      </c>
      <c r="E914" s="90"/>
      <c r="F914" s="91"/>
      <c r="G914" s="90">
        <v>42167</v>
      </c>
      <c r="H914" s="91">
        <v>271.24</v>
      </c>
      <c r="I914" s="93">
        <f t="shared" si="14"/>
        <v>-2.8307782802101666E-3</v>
      </c>
    </row>
    <row r="915" spans="1:9" ht="15.6">
      <c r="A915" s="148">
        <v>42152</v>
      </c>
      <c r="B915" s="88">
        <v>4.09</v>
      </c>
      <c r="E915" s="90"/>
      <c r="F915" s="91"/>
      <c r="G915" s="90">
        <v>42168</v>
      </c>
      <c r="H915" s="91">
        <v>269.27999999999997</v>
      </c>
      <c r="I915" s="93">
        <f t="shared" si="14"/>
        <v>-7.2260728506121641E-3</v>
      </c>
    </row>
    <row r="916" spans="1:9" ht="15.6">
      <c r="A916" s="148">
        <v>42153</v>
      </c>
      <c r="B916" s="88">
        <v>4.09</v>
      </c>
      <c r="E916" s="90"/>
      <c r="F916" s="91"/>
      <c r="G916" s="90">
        <v>42171</v>
      </c>
      <c r="H916" s="91">
        <v>268.17</v>
      </c>
      <c r="I916" s="93">
        <f t="shared" si="14"/>
        <v>-4.1221033868090728E-3</v>
      </c>
    </row>
    <row r="917" spans="1:9" ht="15.6">
      <c r="A917" s="148">
        <v>42154</v>
      </c>
      <c r="B917" s="88">
        <v>4.08</v>
      </c>
      <c r="E917" s="90"/>
      <c r="F917" s="91"/>
      <c r="G917" s="90">
        <v>42172</v>
      </c>
      <c r="H917" s="91">
        <v>271.48</v>
      </c>
      <c r="I917" s="93">
        <f t="shared" si="14"/>
        <v>1.2342916806503235E-2</v>
      </c>
    </row>
    <row r="918" spans="1:9" ht="15.6">
      <c r="A918" s="148">
        <v>42157</v>
      </c>
      <c r="B918" s="88">
        <v>4.03</v>
      </c>
      <c r="E918" s="90"/>
      <c r="F918" s="91"/>
      <c r="G918" s="90">
        <v>42173</v>
      </c>
      <c r="H918" s="91">
        <v>274.57</v>
      </c>
      <c r="I918" s="93">
        <f t="shared" si="14"/>
        <v>1.138205392662428E-2</v>
      </c>
    </row>
    <row r="919" spans="1:9" ht="15.6">
      <c r="A919" s="148">
        <v>42158</v>
      </c>
      <c r="B919" s="88">
        <v>4.03</v>
      </c>
      <c r="E919" s="90"/>
      <c r="F919" s="91"/>
      <c r="G919" s="90">
        <v>42174</v>
      </c>
      <c r="H919" s="91">
        <v>278.45999999999998</v>
      </c>
      <c r="I919" s="93">
        <f t="shared" si="14"/>
        <v>1.4167607531776927E-2</v>
      </c>
    </row>
    <row r="920" spans="1:9" ht="15.6">
      <c r="A920" s="148">
        <v>42159</v>
      </c>
      <c r="B920" s="88">
        <v>4.01</v>
      </c>
      <c r="E920" s="90"/>
      <c r="F920" s="91"/>
      <c r="G920" s="90">
        <v>42175</v>
      </c>
      <c r="H920" s="91">
        <v>278.42</v>
      </c>
      <c r="I920" s="93">
        <f t="shared" si="14"/>
        <v>-1.4364720247062035E-4</v>
      </c>
    </row>
    <row r="921" spans="1:9" ht="15.6">
      <c r="A921" s="148">
        <v>42160</v>
      </c>
      <c r="B921" s="88">
        <v>4.01</v>
      </c>
      <c r="E921" s="90"/>
      <c r="F921" s="91"/>
      <c r="G921" s="90">
        <v>42178</v>
      </c>
      <c r="H921" s="91">
        <v>278.24</v>
      </c>
      <c r="I921" s="93">
        <f t="shared" si="14"/>
        <v>-6.4650527979315253E-4</v>
      </c>
    </row>
    <row r="922" spans="1:9" ht="15.6">
      <c r="A922" s="148">
        <v>42161</v>
      </c>
      <c r="B922" s="88">
        <v>4.0199999999999996</v>
      </c>
      <c r="E922" s="90"/>
      <c r="F922" s="91"/>
      <c r="G922" s="90">
        <v>42179</v>
      </c>
      <c r="H922" s="91">
        <v>276.14999999999998</v>
      </c>
      <c r="I922" s="93">
        <f t="shared" si="14"/>
        <v>-7.5115008625648017E-3</v>
      </c>
    </row>
    <row r="923" spans="1:9" ht="15.6">
      <c r="A923" s="148">
        <v>42164</v>
      </c>
      <c r="B923" s="88">
        <v>4</v>
      </c>
      <c r="E923" s="90"/>
      <c r="F923" s="91"/>
      <c r="G923" s="90">
        <v>42180</v>
      </c>
      <c r="H923" s="91">
        <v>277.05</v>
      </c>
      <c r="I923" s="93">
        <f t="shared" si="14"/>
        <v>3.2590983161326914E-3</v>
      </c>
    </row>
    <row r="924" spans="1:9" ht="15.6">
      <c r="A924" s="148">
        <v>42165</v>
      </c>
      <c r="B924" s="88">
        <v>3.99</v>
      </c>
      <c r="E924" s="90"/>
      <c r="F924" s="91"/>
      <c r="G924" s="90">
        <v>42181</v>
      </c>
      <c r="H924" s="91">
        <v>278.94</v>
      </c>
      <c r="I924" s="93">
        <f t="shared" si="14"/>
        <v>6.8218733080671612E-3</v>
      </c>
    </row>
    <row r="925" spans="1:9" ht="15.6">
      <c r="A925" s="148">
        <v>42166</v>
      </c>
      <c r="B925" s="88">
        <v>3.97</v>
      </c>
      <c r="E925" s="90"/>
      <c r="F925" s="91"/>
      <c r="G925" s="90">
        <v>42182</v>
      </c>
      <c r="H925" s="91">
        <v>278.97000000000003</v>
      </c>
      <c r="I925" s="93">
        <f t="shared" si="14"/>
        <v>1.075500107550198E-4</v>
      </c>
    </row>
    <row r="926" spans="1:9" ht="15.6">
      <c r="A926" s="148">
        <v>42167</v>
      </c>
      <c r="B926" s="88">
        <v>3.96</v>
      </c>
      <c r="E926" s="90"/>
      <c r="F926" s="91"/>
      <c r="G926" s="90">
        <v>42185</v>
      </c>
      <c r="H926" s="91">
        <v>281.63</v>
      </c>
      <c r="I926" s="93">
        <f t="shared" si="14"/>
        <v>9.5350754561420725E-3</v>
      </c>
    </row>
    <row r="927" spans="1:9" ht="15.6">
      <c r="A927" s="148">
        <v>42168</v>
      </c>
      <c r="B927" s="88">
        <v>3.95</v>
      </c>
      <c r="E927" s="90"/>
      <c r="F927" s="91"/>
      <c r="G927" s="90">
        <v>42186</v>
      </c>
      <c r="H927" s="91">
        <v>281.95</v>
      </c>
      <c r="I927" s="93">
        <f t="shared" si="14"/>
        <v>1.1362425877925464E-3</v>
      </c>
    </row>
    <row r="928" spans="1:9" ht="15.6">
      <c r="A928" s="148">
        <v>42171</v>
      </c>
      <c r="B928" s="88">
        <v>3.97</v>
      </c>
      <c r="E928" s="90"/>
      <c r="F928" s="91"/>
      <c r="G928" s="90">
        <v>42187</v>
      </c>
      <c r="H928" s="91">
        <v>281.64</v>
      </c>
      <c r="I928" s="93">
        <f t="shared" si="14"/>
        <v>-1.0994857244192024E-3</v>
      </c>
    </row>
    <row r="929" spans="1:9" ht="15.6">
      <c r="A929" s="148">
        <v>42172</v>
      </c>
      <c r="B929" s="88">
        <v>3.92</v>
      </c>
      <c r="E929" s="90"/>
      <c r="F929" s="91"/>
      <c r="G929" s="90">
        <v>42188</v>
      </c>
      <c r="H929" s="91">
        <v>282.85000000000002</v>
      </c>
      <c r="I929" s="93">
        <f t="shared" si="14"/>
        <v>4.2962647351230121E-3</v>
      </c>
    </row>
    <row r="930" spans="1:9" ht="15.6">
      <c r="A930" s="148">
        <v>42173</v>
      </c>
      <c r="B930" s="88">
        <v>3.91</v>
      </c>
      <c r="E930" s="90"/>
      <c r="F930" s="91"/>
      <c r="G930" s="90">
        <v>42189</v>
      </c>
      <c r="H930" s="91">
        <v>281.57</v>
      </c>
      <c r="I930" s="93">
        <f t="shared" si="14"/>
        <v>-4.5253668021920657E-3</v>
      </c>
    </row>
    <row r="931" spans="1:9" ht="15.6">
      <c r="A931" s="148">
        <v>42174</v>
      </c>
      <c r="B931" s="88">
        <v>3.82</v>
      </c>
      <c r="E931" s="90"/>
      <c r="F931" s="91"/>
      <c r="G931" s="90">
        <v>42192</v>
      </c>
      <c r="H931" s="91">
        <v>278.7</v>
      </c>
      <c r="I931" s="93">
        <f t="shared" si="14"/>
        <v>-1.0192847249351877E-2</v>
      </c>
    </row>
    <row r="932" spans="1:9" ht="15.6">
      <c r="A932" s="148">
        <v>42175</v>
      </c>
      <c r="B932" s="88">
        <v>3.85</v>
      </c>
      <c r="E932" s="90"/>
      <c r="F932" s="91"/>
      <c r="G932" s="90">
        <v>42193</v>
      </c>
      <c r="H932" s="91">
        <v>277.64</v>
      </c>
      <c r="I932" s="93">
        <f t="shared" si="14"/>
        <v>-3.8033728022963675E-3</v>
      </c>
    </row>
    <row r="933" spans="1:9" ht="15.6">
      <c r="A933" s="148">
        <v>42178</v>
      </c>
      <c r="B933" s="88">
        <v>3.84</v>
      </c>
      <c r="E933" s="90"/>
      <c r="F933" s="91"/>
      <c r="G933" s="90">
        <v>42194</v>
      </c>
      <c r="H933" s="91">
        <v>279.33</v>
      </c>
      <c r="I933" s="93">
        <f t="shared" si="14"/>
        <v>6.0870191615041147E-3</v>
      </c>
    </row>
    <row r="934" spans="1:9" ht="15.6">
      <c r="A934" s="148">
        <v>42179</v>
      </c>
      <c r="B934" s="88">
        <v>3.84</v>
      </c>
      <c r="E934" s="90"/>
      <c r="F934" s="91"/>
      <c r="G934" s="90">
        <v>42195</v>
      </c>
      <c r="H934" s="91">
        <v>280.61</v>
      </c>
      <c r="I934" s="93">
        <f t="shared" si="14"/>
        <v>4.5823935846491803E-3</v>
      </c>
    </row>
    <row r="935" spans="1:9" ht="15.6">
      <c r="A935" s="148">
        <v>42180</v>
      </c>
      <c r="B935" s="88">
        <v>3.85</v>
      </c>
      <c r="E935" s="90"/>
      <c r="F935" s="91"/>
      <c r="G935" s="90">
        <v>42196</v>
      </c>
      <c r="H935" s="91">
        <v>279.48</v>
      </c>
      <c r="I935" s="93">
        <f t="shared" si="14"/>
        <v>-4.0269413064395465E-3</v>
      </c>
    </row>
    <row r="936" spans="1:9" ht="15.6">
      <c r="A936" s="148">
        <v>42181</v>
      </c>
      <c r="B936" s="88">
        <v>3.85</v>
      </c>
      <c r="E936" s="90"/>
      <c r="F936" s="91"/>
      <c r="G936" s="90">
        <v>42199</v>
      </c>
      <c r="H936" s="91">
        <v>281.27</v>
      </c>
      <c r="I936" s="93">
        <f t="shared" si="14"/>
        <v>6.4047516816945205E-3</v>
      </c>
    </row>
    <row r="937" spans="1:9" ht="15.6">
      <c r="A937" s="148">
        <v>42182</v>
      </c>
      <c r="B937" s="88">
        <v>3.82</v>
      </c>
      <c r="E937" s="90"/>
      <c r="F937" s="91"/>
      <c r="G937" s="90">
        <v>42200</v>
      </c>
      <c r="H937" s="91">
        <v>281.73</v>
      </c>
      <c r="I937" s="93">
        <f t="shared" si="14"/>
        <v>1.6354392576529708E-3</v>
      </c>
    </row>
    <row r="938" spans="1:9" ht="15.6">
      <c r="A938" s="148">
        <v>42184</v>
      </c>
      <c r="B938" s="88">
        <v>3.83</v>
      </c>
      <c r="E938" s="90"/>
      <c r="F938" s="91"/>
      <c r="G938" s="90">
        <v>42201</v>
      </c>
      <c r="H938" s="91">
        <v>280.62</v>
      </c>
      <c r="I938" s="93">
        <f t="shared" si="14"/>
        <v>-3.9399424981365616E-3</v>
      </c>
    </row>
    <row r="939" spans="1:9" ht="15.6">
      <c r="A939" s="148">
        <v>42185</v>
      </c>
      <c r="B939" s="88">
        <v>3.81</v>
      </c>
      <c r="E939" s="90"/>
      <c r="F939" s="91"/>
      <c r="G939" s="90">
        <v>42202</v>
      </c>
      <c r="H939" s="91">
        <v>279.81</v>
      </c>
      <c r="I939" s="93">
        <f t="shared" si="14"/>
        <v>-2.8864656831302238E-3</v>
      </c>
    </row>
    <row r="940" spans="1:9" ht="15.6">
      <c r="A940" s="148">
        <v>42186</v>
      </c>
      <c r="B940" s="88">
        <v>3.79</v>
      </c>
      <c r="E940" s="90"/>
      <c r="F940" s="91"/>
      <c r="G940" s="90">
        <v>42203</v>
      </c>
      <c r="H940" s="91">
        <v>280.60000000000002</v>
      </c>
      <c r="I940" s="93">
        <f t="shared" si="14"/>
        <v>2.8233444122798268E-3</v>
      </c>
    </row>
    <row r="941" spans="1:9" ht="15.6">
      <c r="A941" s="148">
        <v>42187</v>
      </c>
      <c r="B941" s="88">
        <v>3.76</v>
      </c>
      <c r="E941" s="90"/>
      <c r="F941" s="91"/>
      <c r="G941" s="90">
        <v>42206</v>
      </c>
      <c r="H941" s="91">
        <v>279.47000000000003</v>
      </c>
      <c r="I941" s="93">
        <f t="shared" si="14"/>
        <v>-4.0270848182466512E-3</v>
      </c>
    </row>
    <row r="942" spans="1:9" ht="15.6">
      <c r="A942" s="148">
        <v>42188</v>
      </c>
      <c r="B942" s="88">
        <v>3.76</v>
      </c>
      <c r="E942" s="90"/>
      <c r="F942" s="91"/>
      <c r="G942" s="90">
        <v>42207</v>
      </c>
      <c r="H942" s="91">
        <v>279.62</v>
      </c>
      <c r="I942" s="93">
        <f t="shared" si="14"/>
        <v>5.3673023938149989E-4</v>
      </c>
    </row>
    <row r="943" spans="1:9" ht="15.6">
      <c r="A943" s="148">
        <v>42189</v>
      </c>
      <c r="B943" s="88">
        <v>3.77</v>
      </c>
      <c r="E943" s="90"/>
      <c r="F943" s="91"/>
      <c r="G943" s="90">
        <v>42208</v>
      </c>
      <c r="H943" s="91">
        <v>279.79000000000002</v>
      </c>
      <c r="I943" s="93">
        <f t="shared" si="14"/>
        <v>6.0796795651252289E-4</v>
      </c>
    </row>
    <row r="944" spans="1:9" ht="15.6">
      <c r="A944" s="148">
        <v>42192</v>
      </c>
      <c r="B944" s="88">
        <v>3.78</v>
      </c>
      <c r="E944" s="90"/>
      <c r="F944" s="91"/>
      <c r="G944" s="90">
        <v>42209</v>
      </c>
      <c r="H944" s="91">
        <v>279.55</v>
      </c>
      <c r="I944" s="93">
        <f t="shared" si="14"/>
        <v>-8.5778619679044432E-4</v>
      </c>
    </row>
    <row r="945" spans="1:9" ht="15.6">
      <c r="A945" s="148">
        <v>42193</v>
      </c>
      <c r="B945" s="88">
        <v>3.81</v>
      </c>
      <c r="E945" s="90"/>
      <c r="F945" s="91"/>
      <c r="G945" s="90">
        <v>42210</v>
      </c>
      <c r="H945" s="91">
        <v>278.27999999999997</v>
      </c>
      <c r="I945" s="93">
        <f t="shared" si="14"/>
        <v>-4.5430155607226741E-3</v>
      </c>
    </row>
    <row r="946" spans="1:9" ht="15.6">
      <c r="A946" s="148">
        <v>42194</v>
      </c>
      <c r="B946" s="88">
        <v>3.82</v>
      </c>
      <c r="E946" s="90"/>
      <c r="F946" s="91"/>
      <c r="G946" s="90">
        <v>42213</v>
      </c>
      <c r="H946" s="91">
        <v>277.91000000000003</v>
      </c>
      <c r="I946" s="93">
        <f t="shared" si="14"/>
        <v>-1.3295960902686144E-3</v>
      </c>
    </row>
    <row r="947" spans="1:9" ht="15.6">
      <c r="A947" s="148">
        <v>42195</v>
      </c>
      <c r="B947" s="88">
        <v>3.79</v>
      </c>
      <c r="E947" s="90"/>
      <c r="F947" s="91"/>
      <c r="G947" s="90">
        <v>42214</v>
      </c>
      <c r="H947" s="91">
        <v>276.75</v>
      </c>
      <c r="I947" s="93">
        <f t="shared" si="14"/>
        <v>-4.1740131697313165E-3</v>
      </c>
    </row>
    <row r="948" spans="1:9" ht="15.6">
      <c r="A948" s="148">
        <v>42196</v>
      </c>
      <c r="B948" s="88">
        <v>3.8</v>
      </c>
      <c r="E948" s="90"/>
      <c r="F948" s="91"/>
      <c r="G948" s="90">
        <v>42215</v>
      </c>
      <c r="H948" s="91">
        <v>275.61</v>
      </c>
      <c r="I948" s="93">
        <f t="shared" si="14"/>
        <v>-4.1192411924119154E-3</v>
      </c>
    </row>
    <row r="949" spans="1:9" ht="15.6">
      <c r="A949" s="148">
        <v>42199</v>
      </c>
      <c r="B949" s="88">
        <v>3.79</v>
      </c>
      <c r="E949" s="90"/>
      <c r="F949" s="91"/>
      <c r="G949" s="90">
        <v>42216</v>
      </c>
      <c r="H949" s="91">
        <v>272.25</v>
      </c>
      <c r="I949" s="93">
        <f t="shared" si="14"/>
        <v>-1.2191139653858762E-2</v>
      </c>
    </row>
    <row r="950" spans="1:9" ht="15.6">
      <c r="A950" s="148">
        <v>42200</v>
      </c>
      <c r="B950" s="88">
        <v>3.78</v>
      </c>
      <c r="E950" s="90"/>
      <c r="F950" s="91"/>
      <c r="G950" s="90">
        <v>42217</v>
      </c>
      <c r="H950" s="91">
        <v>266.95999999999998</v>
      </c>
      <c r="I950" s="93">
        <f t="shared" si="14"/>
        <v>-1.9430670339761313E-2</v>
      </c>
    </row>
    <row r="951" spans="1:9" ht="15.6">
      <c r="A951" s="148">
        <v>42201</v>
      </c>
      <c r="B951" s="88">
        <v>3.78</v>
      </c>
      <c r="E951" s="90"/>
      <c r="F951" s="91"/>
      <c r="G951" s="90">
        <v>42220</v>
      </c>
      <c r="H951" s="91">
        <v>259.26</v>
      </c>
      <c r="I951" s="93">
        <f t="shared" si="14"/>
        <v>-2.8843272400359554E-2</v>
      </c>
    </row>
    <row r="952" spans="1:9" ht="15.6">
      <c r="A952" s="148">
        <v>42202</v>
      </c>
      <c r="B952" s="88">
        <v>3.77</v>
      </c>
      <c r="E952" s="90"/>
      <c r="F952" s="91"/>
      <c r="G952" s="90">
        <v>42221</v>
      </c>
      <c r="H952" s="91">
        <v>259.7</v>
      </c>
      <c r="I952" s="93">
        <f t="shared" si="14"/>
        <v>1.6971380081771681E-3</v>
      </c>
    </row>
    <row r="953" spans="1:9" ht="15.6">
      <c r="A953" s="148">
        <v>42203</v>
      </c>
      <c r="B953" s="88">
        <v>3.76</v>
      </c>
      <c r="E953" s="90"/>
      <c r="F953" s="91"/>
      <c r="G953" s="90">
        <v>42222</v>
      </c>
      <c r="H953" s="91">
        <v>259.92</v>
      </c>
      <c r="I953" s="93">
        <f t="shared" si="14"/>
        <v>8.4713130535241099E-4</v>
      </c>
    </row>
    <row r="954" spans="1:9" ht="15.6">
      <c r="A954" s="148">
        <v>42206</v>
      </c>
      <c r="B954" s="88">
        <v>3.76</v>
      </c>
      <c r="E954" s="90"/>
      <c r="F954" s="91"/>
      <c r="G954" s="90">
        <v>42223</v>
      </c>
      <c r="H954" s="91">
        <v>263.26</v>
      </c>
      <c r="I954" s="93">
        <f t="shared" si="14"/>
        <v>1.2850107725453919E-2</v>
      </c>
    </row>
    <row r="955" spans="1:9" ht="15.6">
      <c r="A955" s="148">
        <v>42207</v>
      </c>
      <c r="B955" s="88">
        <v>3.77</v>
      </c>
      <c r="E955" s="90"/>
      <c r="F955" s="91"/>
      <c r="G955" s="90">
        <v>42224</v>
      </c>
      <c r="H955" s="91">
        <v>262.2</v>
      </c>
      <c r="I955" s="93">
        <f t="shared" si="14"/>
        <v>-4.0264377421560527E-3</v>
      </c>
    </row>
    <row r="956" spans="1:9" ht="15.6">
      <c r="A956" s="148">
        <v>42208</v>
      </c>
      <c r="B956" s="88">
        <v>3.75</v>
      </c>
      <c r="E956" s="90"/>
      <c r="F956" s="91"/>
      <c r="G956" s="90">
        <v>42227</v>
      </c>
      <c r="H956" s="91">
        <v>260.67</v>
      </c>
      <c r="I956" s="93">
        <f t="shared" si="14"/>
        <v>-5.8352402745994736E-3</v>
      </c>
    </row>
    <row r="957" spans="1:9" ht="15.6">
      <c r="A957" s="148">
        <v>42209</v>
      </c>
      <c r="B957" s="88">
        <v>3.74</v>
      </c>
      <c r="E957" s="90"/>
      <c r="F957" s="91"/>
      <c r="G957" s="90">
        <v>42228</v>
      </c>
      <c r="H957" s="91">
        <v>259.14</v>
      </c>
      <c r="I957" s="93">
        <f t="shared" si="14"/>
        <v>-5.8694901599725124E-3</v>
      </c>
    </row>
    <row r="958" spans="1:9" ht="15.6">
      <c r="A958" s="148">
        <v>42210</v>
      </c>
      <c r="B958" s="88">
        <v>3.76</v>
      </c>
      <c r="E958" s="90"/>
      <c r="F958" s="91"/>
      <c r="G958" s="90">
        <v>42229</v>
      </c>
      <c r="H958" s="91">
        <v>257.42</v>
      </c>
      <c r="I958" s="93">
        <f t="shared" si="14"/>
        <v>-6.6373388901750374E-3</v>
      </c>
    </row>
    <row r="959" spans="1:9" ht="15.6">
      <c r="A959" s="148">
        <v>42213</v>
      </c>
      <c r="B959" s="88">
        <v>3.74</v>
      </c>
      <c r="E959" s="90"/>
      <c r="F959" s="91"/>
      <c r="G959" s="90">
        <v>42230</v>
      </c>
      <c r="H959" s="91">
        <v>256.93</v>
      </c>
      <c r="I959" s="93">
        <f t="shared" si="14"/>
        <v>-1.9035040012431725E-3</v>
      </c>
    </row>
    <row r="960" spans="1:9" ht="15.6">
      <c r="A960" s="148">
        <v>42214</v>
      </c>
      <c r="B960" s="88">
        <v>3.73</v>
      </c>
      <c r="E960" s="90"/>
      <c r="F960" s="91"/>
      <c r="G960" s="90">
        <v>42231</v>
      </c>
      <c r="H960" s="91">
        <v>258.93</v>
      </c>
      <c r="I960" s="93">
        <f t="shared" si="14"/>
        <v>7.7842213832561846E-3</v>
      </c>
    </row>
    <row r="961" spans="1:9" ht="15.6">
      <c r="A961" s="148">
        <v>42215</v>
      </c>
      <c r="B961" s="88">
        <v>3.75</v>
      </c>
      <c r="E961" s="90"/>
      <c r="F961" s="91"/>
      <c r="G961" s="90">
        <v>42234</v>
      </c>
      <c r="H961" s="91">
        <v>260.91000000000003</v>
      </c>
      <c r="I961" s="93">
        <f t="shared" si="14"/>
        <v>7.64685436218282E-3</v>
      </c>
    </row>
    <row r="962" spans="1:9" ht="15.6">
      <c r="A962" s="148">
        <v>42216</v>
      </c>
      <c r="B962" s="88">
        <v>3.75</v>
      </c>
      <c r="E962" s="90"/>
      <c r="F962" s="91"/>
      <c r="G962" s="90">
        <v>42235</v>
      </c>
      <c r="H962" s="91">
        <v>260.98</v>
      </c>
      <c r="I962" s="93">
        <f t="shared" si="14"/>
        <v>2.6829174811227041E-4</v>
      </c>
    </row>
    <row r="963" spans="1:9" ht="15.6">
      <c r="A963" s="148">
        <v>42217</v>
      </c>
      <c r="B963" s="88">
        <v>3.72</v>
      </c>
      <c r="E963" s="90"/>
      <c r="F963" s="91"/>
      <c r="G963" s="90">
        <v>42236</v>
      </c>
      <c r="H963" s="91">
        <v>261.77</v>
      </c>
      <c r="I963" s="93">
        <f t="shared" si="14"/>
        <v>3.0270518813699798E-3</v>
      </c>
    </row>
    <row r="964" spans="1:9" ht="15.6">
      <c r="A964" s="148">
        <v>42220</v>
      </c>
      <c r="B964" s="88">
        <v>3.68</v>
      </c>
      <c r="E964" s="90"/>
      <c r="F964" s="91"/>
      <c r="G964" s="90">
        <v>42237</v>
      </c>
      <c r="H964" s="91">
        <v>259.97000000000003</v>
      </c>
      <c r="I964" s="93">
        <f t="shared" si="14"/>
        <v>-6.8762654238452292E-3</v>
      </c>
    </row>
    <row r="965" spans="1:9" ht="15.6">
      <c r="A965" s="148">
        <v>42221</v>
      </c>
      <c r="B965" s="88">
        <v>3.69</v>
      </c>
      <c r="E965" s="90"/>
      <c r="F965" s="91"/>
      <c r="G965" s="90">
        <v>42238</v>
      </c>
      <c r="H965" s="91">
        <v>259.38</v>
      </c>
      <c r="I965" s="93">
        <f t="shared" si="14"/>
        <v>-2.2694926337655241E-3</v>
      </c>
    </row>
    <row r="966" spans="1:9" ht="15.6">
      <c r="A966" s="148">
        <v>42222</v>
      </c>
      <c r="B966" s="88">
        <v>3.64</v>
      </c>
      <c r="E966" s="90"/>
      <c r="F966" s="91"/>
      <c r="G966" s="90">
        <v>42241</v>
      </c>
      <c r="H966" s="91">
        <v>256.7</v>
      </c>
      <c r="I966" s="93">
        <f t="shared" si="14"/>
        <v>-1.0332330943017998E-2</v>
      </c>
    </row>
    <row r="967" spans="1:9" ht="15.6">
      <c r="A967" s="148">
        <v>42223</v>
      </c>
      <c r="B967" s="88">
        <v>3.64</v>
      </c>
      <c r="E967" s="90"/>
      <c r="F967" s="91"/>
      <c r="G967" s="90">
        <v>42242</v>
      </c>
      <c r="H967" s="91">
        <v>257.5</v>
      </c>
      <c r="I967" s="93">
        <f t="shared" si="14"/>
        <v>3.1164783794312978E-3</v>
      </c>
    </row>
    <row r="968" spans="1:9" ht="15.6">
      <c r="A968" s="148">
        <v>42224</v>
      </c>
      <c r="B968" s="88">
        <v>3.63</v>
      </c>
      <c r="E968" s="90"/>
      <c r="F968" s="91"/>
      <c r="G968" s="90">
        <v>42243</v>
      </c>
      <c r="H968" s="91">
        <v>257.56</v>
      </c>
      <c r="I968" s="93">
        <f t="shared" si="14"/>
        <v>2.3300970873796345E-4</v>
      </c>
    </row>
    <row r="969" spans="1:9" ht="15.6">
      <c r="A969" s="148">
        <v>42227</v>
      </c>
      <c r="B969" s="88">
        <v>3.73</v>
      </c>
      <c r="E969" s="90"/>
      <c r="F969" s="91"/>
      <c r="G969" s="90">
        <v>42244</v>
      </c>
      <c r="H969" s="91">
        <v>259.07</v>
      </c>
      <c r="I969" s="93">
        <f t="shared" si="14"/>
        <v>5.8627116011802372E-3</v>
      </c>
    </row>
    <row r="970" spans="1:9" ht="15.6">
      <c r="A970" s="148">
        <v>42228</v>
      </c>
      <c r="B970" s="88">
        <v>3.76</v>
      </c>
      <c r="E970" s="90"/>
      <c r="F970" s="91"/>
      <c r="G970" s="90">
        <v>42245</v>
      </c>
      <c r="H970" s="91">
        <v>262.45999999999998</v>
      </c>
      <c r="I970" s="93">
        <f t="shared" si="14"/>
        <v>1.3085266530281414E-2</v>
      </c>
    </row>
    <row r="971" spans="1:9" ht="15.6">
      <c r="A971" s="148">
        <v>42229</v>
      </c>
      <c r="B971" s="88">
        <v>3.78</v>
      </c>
      <c r="E971" s="90"/>
      <c r="F971" s="91"/>
      <c r="G971" s="90">
        <v>42248</v>
      </c>
      <c r="H971" s="91">
        <v>262.45999999999998</v>
      </c>
      <c r="I971" s="93">
        <f t="shared" si="14"/>
        <v>0</v>
      </c>
    </row>
    <row r="972" spans="1:9" ht="15.6">
      <c r="A972" s="148">
        <v>42230</v>
      </c>
      <c r="B972" s="88">
        <v>3.74</v>
      </c>
      <c r="E972" s="90"/>
      <c r="F972" s="91"/>
      <c r="G972" s="90">
        <v>42249</v>
      </c>
      <c r="H972" s="91">
        <v>259.61</v>
      </c>
      <c r="I972" s="93">
        <f t="shared" si="14"/>
        <v>-1.0858797531052233E-2</v>
      </c>
    </row>
    <row r="973" spans="1:9" ht="15.6">
      <c r="A973" s="148">
        <v>42231</v>
      </c>
      <c r="B973" s="88">
        <v>3.71</v>
      </c>
      <c r="E973" s="90"/>
      <c r="F973" s="91"/>
      <c r="G973" s="90">
        <v>42250</v>
      </c>
      <c r="H973" s="91">
        <v>263.95999999999998</v>
      </c>
      <c r="I973" s="93">
        <f t="shared" si="14"/>
        <v>1.6755903085397206E-2</v>
      </c>
    </row>
    <row r="974" spans="1:9" ht="15.6">
      <c r="A974" s="148">
        <v>42234</v>
      </c>
      <c r="B974" s="88">
        <v>3.74</v>
      </c>
      <c r="E974" s="90"/>
      <c r="F974" s="91"/>
      <c r="G974" s="90">
        <v>42251</v>
      </c>
      <c r="H974" s="91">
        <v>266.69</v>
      </c>
      <c r="I974" s="93">
        <f t="shared" si="14"/>
        <v>1.0342476132747525E-2</v>
      </c>
    </row>
    <row r="975" spans="1:9" ht="15.6">
      <c r="A975" s="148">
        <v>42235</v>
      </c>
      <c r="B975" s="88">
        <v>3.72</v>
      </c>
      <c r="E975" s="90"/>
      <c r="F975" s="91"/>
      <c r="G975" s="90">
        <v>42252</v>
      </c>
      <c r="H975" s="91">
        <v>267.89999999999998</v>
      </c>
      <c r="I975" s="93">
        <f t="shared" ref="I975:I1038" si="15">H975/H974-1</f>
        <v>4.5371030034870863E-3</v>
      </c>
    </row>
    <row r="976" spans="1:9" ht="15.6">
      <c r="A976" s="148">
        <v>42236</v>
      </c>
      <c r="B976" s="88">
        <v>3.72</v>
      </c>
      <c r="E976" s="90"/>
      <c r="F976" s="91"/>
      <c r="G976" s="90">
        <v>42255</v>
      </c>
      <c r="H976" s="91">
        <v>268.11</v>
      </c>
      <c r="I976" s="93">
        <f t="shared" si="15"/>
        <v>7.8387458006723421E-4</v>
      </c>
    </row>
    <row r="977" spans="1:9" ht="15.6">
      <c r="A977" s="148">
        <v>42237</v>
      </c>
      <c r="B977" s="88">
        <v>3.72</v>
      </c>
      <c r="E977" s="90"/>
      <c r="F977" s="91"/>
      <c r="G977" s="90">
        <v>42256</v>
      </c>
      <c r="H977" s="91">
        <v>267.36</v>
      </c>
      <c r="I977" s="93">
        <f t="shared" si="15"/>
        <v>-2.7973592928275393E-3</v>
      </c>
    </row>
    <row r="978" spans="1:9" ht="15.6">
      <c r="A978" s="148">
        <v>42238</v>
      </c>
      <c r="B978" s="88">
        <v>3.74</v>
      </c>
      <c r="E978" s="90"/>
      <c r="F978" s="91"/>
      <c r="G978" s="90">
        <v>42257</v>
      </c>
      <c r="H978" s="91">
        <v>269.79000000000002</v>
      </c>
      <c r="I978" s="93">
        <f t="shared" si="15"/>
        <v>9.0888689407540024E-3</v>
      </c>
    </row>
    <row r="979" spans="1:9" ht="15.6">
      <c r="A979" s="148">
        <v>42241</v>
      </c>
      <c r="B979" s="88">
        <v>3.69</v>
      </c>
      <c r="E979" s="90"/>
      <c r="F979" s="91"/>
      <c r="G979" s="90">
        <v>42258</v>
      </c>
      <c r="H979" s="91">
        <v>271.57</v>
      </c>
      <c r="I979" s="93">
        <f t="shared" si="15"/>
        <v>6.5977241558248245E-3</v>
      </c>
    </row>
    <row r="980" spans="1:9" ht="15.6">
      <c r="A980" s="148">
        <v>42242</v>
      </c>
      <c r="B980" s="88">
        <v>3.7</v>
      </c>
      <c r="E980" s="90"/>
      <c r="F980" s="91"/>
      <c r="G980" s="90">
        <v>42259</v>
      </c>
      <c r="H980" s="91">
        <v>272.89</v>
      </c>
      <c r="I980" s="93">
        <f t="shared" si="15"/>
        <v>4.8606252531575578E-3</v>
      </c>
    </row>
    <row r="981" spans="1:9" ht="15.6">
      <c r="A981" s="148">
        <v>42243</v>
      </c>
      <c r="B981" s="88">
        <v>3.7</v>
      </c>
      <c r="E981" s="90"/>
      <c r="F981" s="91"/>
      <c r="G981" s="90">
        <v>42262</v>
      </c>
      <c r="H981" s="91">
        <v>272.42</v>
      </c>
      <c r="I981" s="93">
        <f t="shared" si="15"/>
        <v>-1.7223056909376755E-3</v>
      </c>
    </row>
    <row r="982" spans="1:9" ht="15.6">
      <c r="A982" s="148">
        <v>42244</v>
      </c>
      <c r="B982" s="88">
        <v>3.71</v>
      </c>
      <c r="E982" s="90"/>
      <c r="F982" s="91"/>
      <c r="G982" s="90">
        <v>42263</v>
      </c>
      <c r="H982" s="91">
        <v>270.17</v>
      </c>
      <c r="I982" s="93">
        <f t="shared" si="15"/>
        <v>-8.2593054841788582E-3</v>
      </c>
    </row>
    <row r="983" spans="1:9" ht="15.6">
      <c r="A983" s="148">
        <v>42245</v>
      </c>
      <c r="B983" s="88">
        <v>3.69</v>
      </c>
      <c r="E983" s="90"/>
      <c r="F983" s="91"/>
      <c r="G983" s="90">
        <v>42264</v>
      </c>
      <c r="H983" s="91">
        <v>270.77999999999997</v>
      </c>
      <c r="I983" s="93">
        <f t="shared" si="15"/>
        <v>2.2578376577708781E-3</v>
      </c>
    </row>
    <row r="984" spans="1:9" ht="15.6">
      <c r="A984" s="148">
        <v>42246</v>
      </c>
      <c r="B984" s="88">
        <v>3.7</v>
      </c>
      <c r="E984" s="90"/>
      <c r="F984" s="91"/>
      <c r="G984" s="90">
        <v>42265</v>
      </c>
      <c r="H984" s="91">
        <v>269.13</v>
      </c>
      <c r="I984" s="93">
        <f t="shared" si="15"/>
        <v>-6.0935076445822745E-3</v>
      </c>
    </row>
    <row r="985" spans="1:9" ht="15.6">
      <c r="A985" s="148">
        <v>42248</v>
      </c>
      <c r="B985" s="88">
        <v>3.7</v>
      </c>
      <c r="E985" s="90"/>
      <c r="F985" s="91"/>
      <c r="G985" s="90">
        <v>42266</v>
      </c>
      <c r="H985" s="91">
        <v>270.74</v>
      </c>
      <c r="I985" s="93">
        <f t="shared" si="15"/>
        <v>5.9822390666222081E-3</v>
      </c>
    </row>
    <row r="986" spans="1:9" ht="15.6">
      <c r="A986" s="148">
        <v>42249</v>
      </c>
      <c r="B986" s="88">
        <v>3.67</v>
      </c>
      <c r="E986" s="90"/>
      <c r="F986" s="91"/>
      <c r="G986" s="90">
        <v>42269</v>
      </c>
      <c r="H986" s="91">
        <v>269.63</v>
      </c>
      <c r="I986" s="93">
        <f t="shared" si="15"/>
        <v>-4.0998744182610958E-3</v>
      </c>
    </row>
    <row r="987" spans="1:9" ht="15.6">
      <c r="A987" s="148">
        <v>42250</v>
      </c>
      <c r="B987" s="88">
        <v>3.64</v>
      </c>
      <c r="E987" s="90"/>
      <c r="F987" s="91"/>
      <c r="G987" s="90">
        <v>42270</v>
      </c>
      <c r="H987" s="91">
        <v>268.47000000000003</v>
      </c>
      <c r="I987" s="93">
        <f t="shared" si="15"/>
        <v>-4.3021918925933988E-3</v>
      </c>
    </row>
    <row r="988" spans="1:9" ht="15.6">
      <c r="A988" s="148">
        <v>42251</v>
      </c>
      <c r="B988" s="88">
        <v>3.65</v>
      </c>
      <c r="E988" s="90"/>
      <c r="F988" s="91"/>
      <c r="G988" s="90">
        <v>42271</v>
      </c>
      <c r="H988" s="91">
        <v>267.12</v>
      </c>
      <c r="I988" s="93">
        <f t="shared" si="15"/>
        <v>-5.0284948038887833E-3</v>
      </c>
    </row>
    <row r="989" spans="1:9" ht="15.6">
      <c r="A989" s="148">
        <v>42252</v>
      </c>
      <c r="B989" s="88">
        <v>3.67</v>
      </c>
      <c r="E989" s="90"/>
      <c r="F989" s="91"/>
      <c r="G989" s="90">
        <v>42272</v>
      </c>
      <c r="H989" s="91">
        <v>267.94</v>
      </c>
      <c r="I989" s="93">
        <f t="shared" si="15"/>
        <v>3.0697813716682454E-3</v>
      </c>
    </row>
    <row r="990" spans="1:9" ht="15.6">
      <c r="A990" s="148">
        <v>42255</v>
      </c>
      <c r="B990" s="88">
        <v>3.68</v>
      </c>
      <c r="E990" s="90"/>
      <c r="F990" s="91"/>
      <c r="G990" s="90">
        <v>42273</v>
      </c>
      <c r="H990" s="91">
        <v>266.29000000000002</v>
      </c>
      <c r="I990" s="93">
        <f t="shared" si="15"/>
        <v>-6.1580950959169156E-3</v>
      </c>
    </row>
    <row r="991" spans="1:9" ht="15.6">
      <c r="A991" s="148">
        <v>42256</v>
      </c>
      <c r="B991" s="88">
        <v>3.71</v>
      </c>
      <c r="E991" s="90"/>
      <c r="F991" s="91"/>
      <c r="G991" s="90">
        <v>42276</v>
      </c>
      <c r="H991" s="91">
        <v>265.49</v>
      </c>
      <c r="I991" s="93">
        <f t="shared" si="15"/>
        <v>-3.0042434939352436E-3</v>
      </c>
    </row>
    <row r="992" spans="1:9" ht="15.6">
      <c r="A992" s="148">
        <v>42257</v>
      </c>
      <c r="B992" s="88">
        <v>3.74</v>
      </c>
      <c r="E992" s="90"/>
      <c r="F992" s="91"/>
      <c r="G992" s="90">
        <v>42277</v>
      </c>
      <c r="H992" s="91">
        <v>264.60000000000002</v>
      </c>
      <c r="I992" s="93">
        <f t="shared" si="15"/>
        <v>-3.3522919883987035E-3</v>
      </c>
    </row>
    <row r="993" spans="1:9" ht="15.6">
      <c r="A993" s="148">
        <v>42258</v>
      </c>
      <c r="B993" s="88">
        <v>3.73</v>
      </c>
      <c r="E993" s="90"/>
      <c r="F993" s="91"/>
      <c r="G993" s="90">
        <v>42278</v>
      </c>
      <c r="H993" s="91">
        <v>263.05</v>
      </c>
      <c r="I993" s="93">
        <f t="shared" si="15"/>
        <v>-5.8578987150416095E-3</v>
      </c>
    </row>
    <row r="994" spans="1:9" ht="15.6">
      <c r="A994" s="148">
        <v>42259</v>
      </c>
      <c r="B994" s="88">
        <v>3.77</v>
      </c>
      <c r="E994" s="90"/>
      <c r="F994" s="91"/>
      <c r="G994" s="90">
        <v>42279</v>
      </c>
      <c r="H994" s="91">
        <v>263.95</v>
      </c>
      <c r="I994" s="93">
        <f t="shared" si="15"/>
        <v>3.4214027751378051E-3</v>
      </c>
    </row>
    <row r="995" spans="1:9" ht="15.6">
      <c r="A995" s="148">
        <v>42262</v>
      </c>
      <c r="B995" s="88">
        <v>3.77</v>
      </c>
      <c r="E995" s="90"/>
      <c r="F995" s="91"/>
      <c r="G995" s="90">
        <v>42280</v>
      </c>
      <c r="H995" s="91">
        <v>264.87</v>
      </c>
      <c r="I995" s="93">
        <f t="shared" si="15"/>
        <v>3.4855086190566098E-3</v>
      </c>
    </row>
    <row r="996" spans="1:9" ht="15.6">
      <c r="A996" s="148">
        <v>42263</v>
      </c>
      <c r="B996" s="88">
        <v>3.76</v>
      </c>
      <c r="E996" s="90"/>
      <c r="F996" s="91"/>
      <c r="G996" s="90">
        <v>42283</v>
      </c>
      <c r="H996" s="91">
        <v>264.13</v>
      </c>
      <c r="I996" s="93">
        <f t="shared" si="15"/>
        <v>-2.7938233850568484E-3</v>
      </c>
    </row>
    <row r="997" spans="1:9" ht="15.6">
      <c r="A997" s="148">
        <v>42264</v>
      </c>
      <c r="B997" s="88">
        <v>3.74</v>
      </c>
      <c r="E997" s="90"/>
      <c r="F997" s="91"/>
      <c r="G997" s="90">
        <v>42284</v>
      </c>
      <c r="H997" s="91">
        <v>263.49</v>
      </c>
      <c r="I997" s="93">
        <f t="shared" si="15"/>
        <v>-2.4230492560480821E-3</v>
      </c>
    </row>
    <row r="998" spans="1:9" ht="15.6">
      <c r="A998" s="148">
        <v>42265</v>
      </c>
      <c r="B998" s="88">
        <v>3.73</v>
      </c>
      <c r="E998" s="90"/>
      <c r="F998" s="91"/>
      <c r="G998" s="90">
        <v>42285</v>
      </c>
      <c r="H998" s="91">
        <v>263.48</v>
      </c>
      <c r="I998" s="93">
        <f t="shared" si="15"/>
        <v>-3.7952104444127777E-5</v>
      </c>
    </row>
    <row r="999" spans="1:9" ht="15.6">
      <c r="A999" s="148">
        <v>42266</v>
      </c>
      <c r="B999" s="88">
        <v>3.71</v>
      </c>
      <c r="E999" s="90"/>
      <c r="F999" s="91"/>
      <c r="G999" s="90">
        <v>42286</v>
      </c>
      <c r="H999" s="91">
        <v>264.77999999999997</v>
      </c>
      <c r="I999" s="93">
        <f t="shared" si="15"/>
        <v>4.9339608319414197E-3</v>
      </c>
    </row>
    <row r="1000" spans="1:9" ht="15.6">
      <c r="A1000" s="148">
        <v>42269</v>
      </c>
      <c r="B1000" s="88">
        <v>3.67</v>
      </c>
      <c r="E1000" s="90"/>
      <c r="F1000" s="91"/>
      <c r="G1000" s="90">
        <v>42287</v>
      </c>
      <c r="H1000" s="91">
        <v>268.27</v>
      </c>
      <c r="I1000" s="93">
        <f t="shared" si="15"/>
        <v>1.3180753833371028E-2</v>
      </c>
    </row>
    <row r="1001" spans="1:9" ht="15.6">
      <c r="A1001" s="148">
        <v>42270</v>
      </c>
      <c r="B1001" s="88">
        <v>3.68</v>
      </c>
      <c r="E1001" s="90"/>
      <c r="F1001" s="91"/>
      <c r="G1001" s="90">
        <v>42290</v>
      </c>
      <c r="H1001" s="91">
        <v>269.52</v>
      </c>
      <c r="I1001" s="93">
        <f t="shared" si="15"/>
        <v>4.6594848473553441E-3</v>
      </c>
    </row>
    <row r="1002" spans="1:9" ht="15.6">
      <c r="A1002" s="148">
        <v>42271</v>
      </c>
      <c r="B1002" s="88">
        <v>3.69</v>
      </c>
      <c r="E1002" s="90"/>
      <c r="F1002" s="91"/>
      <c r="G1002" s="90">
        <v>42291</v>
      </c>
      <c r="H1002" s="91">
        <v>269.86</v>
      </c>
      <c r="I1002" s="93">
        <f t="shared" si="15"/>
        <v>1.2615019293560348E-3</v>
      </c>
    </row>
    <row r="1003" spans="1:9" ht="15.6">
      <c r="A1003" s="148">
        <v>42272</v>
      </c>
      <c r="B1003" s="88">
        <v>3.69</v>
      </c>
      <c r="E1003" s="90"/>
      <c r="F1003" s="91"/>
      <c r="G1003" s="90">
        <v>42292</v>
      </c>
      <c r="H1003" s="91">
        <v>270.82</v>
      </c>
      <c r="I1003" s="93">
        <f t="shared" si="15"/>
        <v>3.5574001334024441E-3</v>
      </c>
    </row>
    <row r="1004" spans="1:9" ht="15.6">
      <c r="A1004" s="148">
        <v>42273</v>
      </c>
      <c r="B1004" s="88">
        <v>3.69</v>
      </c>
      <c r="E1004" s="90"/>
      <c r="F1004" s="91"/>
      <c r="G1004" s="90">
        <v>42293</v>
      </c>
      <c r="H1004" s="91">
        <v>272.41000000000003</v>
      </c>
      <c r="I1004" s="93">
        <f t="shared" si="15"/>
        <v>5.8710582674841305E-3</v>
      </c>
    </row>
    <row r="1005" spans="1:9" ht="15.6">
      <c r="A1005" s="148">
        <v>42276</v>
      </c>
      <c r="B1005" s="88">
        <v>3.73</v>
      </c>
      <c r="E1005" s="90"/>
      <c r="F1005" s="91"/>
      <c r="G1005" s="90">
        <v>42294</v>
      </c>
      <c r="H1005" s="91">
        <v>271.68</v>
      </c>
      <c r="I1005" s="93">
        <f t="shared" si="15"/>
        <v>-2.6797841488932495E-3</v>
      </c>
    </row>
    <row r="1006" spans="1:9" ht="15.6">
      <c r="A1006" s="148">
        <v>42277</v>
      </c>
      <c r="B1006" s="88">
        <v>3.73</v>
      </c>
      <c r="E1006" s="90"/>
      <c r="F1006" s="91"/>
      <c r="G1006" s="90">
        <v>42297</v>
      </c>
      <c r="H1006" s="91">
        <v>272.54000000000002</v>
      </c>
      <c r="I1006" s="93">
        <f t="shared" si="15"/>
        <v>3.1654888103651579E-3</v>
      </c>
    </row>
    <row r="1007" spans="1:9" ht="15.6">
      <c r="A1007" s="148">
        <v>42278</v>
      </c>
      <c r="B1007" s="88">
        <v>3.7</v>
      </c>
      <c r="E1007" s="90"/>
      <c r="F1007" s="91"/>
      <c r="G1007" s="90">
        <v>42298</v>
      </c>
      <c r="H1007" s="91">
        <v>273.52999999999997</v>
      </c>
      <c r="I1007" s="93">
        <f t="shared" si="15"/>
        <v>3.6324943127612475E-3</v>
      </c>
    </row>
    <row r="1008" spans="1:9" ht="15.6">
      <c r="A1008" s="148">
        <v>42279</v>
      </c>
      <c r="B1008" s="88">
        <v>3.67</v>
      </c>
      <c r="E1008" s="90"/>
      <c r="F1008" s="91"/>
      <c r="G1008" s="90">
        <v>42299</v>
      </c>
      <c r="H1008" s="91">
        <v>272.89</v>
      </c>
      <c r="I1008" s="93">
        <f t="shared" si="15"/>
        <v>-2.3397799144517784E-3</v>
      </c>
    </row>
    <row r="1009" spans="1:9" ht="15.6">
      <c r="A1009" s="148">
        <v>42280</v>
      </c>
      <c r="B1009" s="88">
        <v>3.62</v>
      </c>
      <c r="E1009" s="90"/>
      <c r="F1009" s="91"/>
      <c r="G1009" s="90">
        <v>42300</v>
      </c>
      <c r="H1009" s="91">
        <v>274.54000000000002</v>
      </c>
      <c r="I1009" s="93">
        <f t="shared" si="15"/>
        <v>6.0463923192497493E-3</v>
      </c>
    </row>
    <row r="1010" spans="1:9" ht="15.6">
      <c r="A1010" s="148">
        <v>42283</v>
      </c>
      <c r="B1010" s="88">
        <v>3.62</v>
      </c>
      <c r="E1010" s="90"/>
      <c r="F1010" s="91"/>
      <c r="G1010" s="90">
        <v>42301</v>
      </c>
      <c r="H1010" s="91">
        <v>274.25</v>
      </c>
      <c r="I1010" s="93">
        <f t="shared" si="15"/>
        <v>-1.056312377067159E-3</v>
      </c>
    </row>
    <row r="1011" spans="1:9" ht="15.6">
      <c r="A1011" s="148">
        <v>42284</v>
      </c>
      <c r="B1011" s="88">
        <v>3.64</v>
      </c>
      <c r="E1011" s="90"/>
      <c r="F1011" s="91"/>
      <c r="G1011" s="90">
        <v>42304</v>
      </c>
      <c r="H1011" s="91">
        <v>276.13</v>
      </c>
      <c r="I1011" s="93">
        <f t="shared" si="15"/>
        <v>6.8550592525067344E-3</v>
      </c>
    </row>
    <row r="1012" spans="1:9" ht="15.6">
      <c r="A1012" s="148">
        <v>42285</v>
      </c>
      <c r="B1012" s="88">
        <v>3.64</v>
      </c>
      <c r="E1012" s="90"/>
      <c r="F1012" s="91"/>
      <c r="G1012" s="90">
        <v>42305</v>
      </c>
      <c r="H1012" s="91">
        <v>276.02999999999997</v>
      </c>
      <c r="I1012" s="93">
        <f t="shared" si="15"/>
        <v>-3.6214826349911799E-4</v>
      </c>
    </row>
    <row r="1013" spans="1:9" ht="15.6">
      <c r="A1013" s="148">
        <v>42286</v>
      </c>
      <c r="B1013" s="88">
        <v>3.66</v>
      </c>
      <c r="E1013" s="90"/>
      <c r="F1013" s="91"/>
      <c r="G1013" s="90">
        <v>42306</v>
      </c>
      <c r="H1013" s="91">
        <v>275.8</v>
      </c>
      <c r="I1013" s="93">
        <f t="shared" si="15"/>
        <v>-8.3324276346763426E-4</v>
      </c>
    </row>
    <row r="1014" spans="1:9" ht="15.6">
      <c r="A1014" s="148">
        <v>42287</v>
      </c>
      <c r="B1014" s="88">
        <v>3.69</v>
      </c>
      <c r="E1014" s="90"/>
      <c r="F1014" s="91"/>
      <c r="G1014" s="90">
        <v>42307</v>
      </c>
      <c r="H1014" s="91">
        <v>275.7</v>
      </c>
      <c r="I1014" s="93">
        <f t="shared" si="15"/>
        <v>-3.6258158085578085E-4</v>
      </c>
    </row>
    <row r="1015" spans="1:9" ht="15.6">
      <c r="A1015" s="148">
        <v>42290</v>
      </c>
      <c r="B1015" s="88">
        <v>3.69</v>
      </c>
      <c r="E1015" s="90"/>
      <c r="F1015" s="91"/>
      <c r="G1015" s="90">
        <v>42308</v>
      </c>
      <c r="H1015" s="91">
        <v>277.63</v>
      </c>
      <c r="I1015" s="93">
        <f t="shared" si="15"/>
        <v>7.0003627130938995E-3</v>
      </c>
    </row>
    <row r="1016" spans="1:9" ht="15.6">
      <c r="A1016" s="148">
        <v>42291</v>
      </c>
      <c r="B1016" s="88">
        <v>3.7</v>
      </c>
      <c r="E1016" s="90"/>
      <c r="F1016" s="91"/>
      <c r="G1016" s="90">
        <v>42311</v>
      </c>
      <c r="H1016" s="91">
        <v>280.93</v>
      </c>
      <c r="I1016" s="93">
        <f t="shared" si="15"/>
        <v>1.1886323524114895E-2</v>
      </c>
    </row>
    <row r="1017" spans="1:9" ht="15.6">
      <c r="A1017" s="148">
        <v>42292</v>
      </c>
      <c r="B1017" s="88">
        <v>3.71</v>
      </c>
      <c r="E1017" s="90"/>
      <c r="F1017" s="91"/>
      <c r="G1017" s="90">
        <v>42312</v>
      </c>
      <c r="H1017" s="91">
        <v>282.23</v>
      </c>
      <c r="I1017" s="93">
        <f t="shared" si="15"/>
        <v>4.6274872744100914E-3</v>
      </c>
    </row>
    <row r="1018" spans="1:9" ht="15.6">
      <c r="A1018" s="148">
        <v>42293</v>
      </c>
      <c r="B1018" s="88">
        <v>3.71</v>
      </c>
      <c r="E1018" s="90"/>
      <c r="F1018" s="91"/>
      <c r="G1018" s="90">
        <v>42313</v>
      </c>
      <c r="H1018" s="91">
        <v>281.51</v>
      </c>
      <c r="I1018" s="93">
        <f t="shared" si="15"/>
        <v>-2.5511107961592172E-3</v>
      </c>
    </row>
    <row r="1019" spans="1:9" ht="15.6">
      <c r="A1019" s="148">
        <v>42294</v>
      </c>
      <c r="B1019" s="88">
        <v>3.7</v>
      </c>
      <c r="E1019" s="90"/>
      <c r="F1019" s="91"/>
      <c r="G1019" s="90">
        <v>42314</v>
      </c>
      <c r="H1019" s="91">
        <v>282.97000000000003</v>
      </c>
      <c r="I1019" s="93">
        <f t="shared" si="15"/>
        <v>5.1863166494974244E-3</v>
      </c>
    </row>
    <row r="1020" spans="1:9" ht="15.6">
      <c r="A1020" s="148">
        <v>42297</v>
      </c>
      <c r="B1020" s="88">
        <v>3.71</v>
      </c>
      <c r="E1020" s="90"/>
      <c r="F1020" s="91"/>
      <c r="G1020" s="90">
        <v>42315</v>
      </c>
      <c r="H1020" s="91">
        <v>280.77999999999997</v>
      </c>
      <c r="I1020" s="93">
        <f t="shared" si="15"/>
        <v>-7.7393363254056879E-3</v>
      </c>
    </row>
    <row r="1021" spans="1:9" ht="15.6">
      <c r="A1021" s="148">
        <v>42298</v>
      </c>
      <c r="B1021" s="88">
        <v>3.69</v>
      </c>
      <c r="E1021" s="90"/>
      <c r="F1021" s="91"/>
      <c r="G1021" s="90">
        <v>42318</v>
      </c>
      <c r="H1021" s="91">
        <v>277.89</v>
      </c>
      <c r="I1021" s="93">
        <f t="shared" si="15"/>
        <v>-1.0292755894294459E-2</v>
      </c>
    </row>
    <row r="1022" spans="1:9" ht="15.6">
      <c r="A1022" s="148">
        <v>42299</v>
      </c>
      <c r="B1022" s="88">
        <v>3.68</v>
      </c>
      <c r="E1022" s="90"/>
      <c r="F1022" s="91"/>
      <c r="G1022" s="90">
        <v>42319</v>
      </c>
      <c r="H1022" s="91">
        <v>278.20999999999998</v>
      </c>
      <c r="I1022" s="93">
        <f t="shared" si="15"/>
        <v>1.1515347799488929E-3</v>
      </c>
    </row>
    <row r="1023" spans="1:9" ht="15.6">
      <c r="A1023" s="148">
        <v>42300</v>
      </c>
      <c r="B1023" s="88">
        <v>3.68</v>
      </c>
      <c r="E1023" s="90"/>
      <c r="F1023" s="91"/>
      <c r="G1023" s="90">
        <v>42320</v>
      </c>
      <c r="H1023" s="91">
        <v>275.39999999999998</v>
      </c>
      <c r="I1023" s="93">
        <f t="shared" si="15"/>
        <v>-1.0100283958161094E-2</v>
      </c>
    </row>
    <row r="1024" spans="1:9" ht="15.6">
      <c r="A1024" s="148">
        <v>42301</v>
      </c>
      <c r="B1024" s="88">
        <v>3.68</v>
      </c>
      <c r="E1024" s="90"/>
      <c r="F1024" s="91"/>
      <c r="G1024" s="90">
        <v>42321</v>
      </c>
      <c r="H1024" s="91">
        <v>274.89</v>
      </c>
      <c r="I1024" s="93">
        <f t="shared" si="15"/>
        <v>-1.8518518518517713E-3</v>
      </c>
    </row>
    <row r="1025" spans="1:9" ht="15.6">
      <c r="A1025" s="148">
        <v>42304</v>
      </c>
      <c r="B1025" s="88">
        <v>3.7</v>
      </c>
      <c r="E1025" s="90"/>
      <c r="F1025" s="91"/>
      <c r="G1025" s="90">
        <v>42322</v>
      </c>
      <c r="H1025" s="91">
        <v>276.23</v>
      </c>
      <c r="I1025" s="93">
        <f t="shared" si="15"/>
        <v>4.8746771435848046E-3</v>
      </c>
    </row>
    <row r="1026" spans="1:9" ht="15.6">
      <c r="A1026" s="148">
        <v>42305</v>
      </c>
      <c r="B1026" s="88">
        <v>3.69</v>
      </c>
      <c r="E1026" s="90"/>
      <c r="F1026" s="91"/>
      <c r="G1026" s="90">
        <v>42325</v>
      </c>
      <c r="H1026" s="91">
        <v>277.08999999999997</v>
      </c>
      <c r="I1026" s="93">
        <f t="shared" si="15"/>
        <v>3.113347572674785E-3</v>
      </c>
    </row>
    <row r="1027" spans="1:9" ht="15.6">
      <c r="A1027" s="148">
        <v>42306</v>
      </c>
      <c r="B1027" s="88">
        <v>3.7</v>
      </c>
      <c r="E1027" s="90"/>
      <c r="F1027" s="91"/>
      <c r="G1027" s="90">
        <v>42326</v>
      </c>
      <c r="H1027" s="91">
        <v>278.66000000000003</v>
      </c>
      <c r="I1027" s="93">
        <f t="shared" si="15"/>
        <v>5.666029088022162E-3</v>
      </c>
    </row>
    <row r="1028" spans="1:9" ht="15.6">
      <c r="A1028" s="148">
        <v>42307</v>
      </c>
      <c r="B1028" s="88">
        <v>3.69</v>
      </c>
      <c r="E1028" s="90"/>
      <c r="F1028" s="91"/>
      <c r="G1028" s="90">
        <v>42327</v>
      </c>
      <c r="H1028" s="91">
        <v>277.68</v>
      </c>
      <c r="I1028" s="93">
        <f t="shared" si="15"/>
        <v>-3.5168305461853455E-3</v>
      </c>
    </row>
    <row r="1029" spans="1:9" ht="15.6">
      <c r="A1029" s="148">
        <v>42308</v>
      </c>
      <c r="B1029" s="88">
        <v>3.66</v>
      </c>
      <c r="E1029" s="90"/>
      <c r="F1029" s="91"/>
      <c r="G1029" s="90">
        <v>42328</v>
      </c>
      <c r="H1029" s="91">
        <v>276.3</v>
      </c>
      <c r="I1029" s="93">
        <f t="shared" si="15"/>
        <v>-4.9697493517718572E-3</v>
      </c>
    </row>
    <row r="1030" spans="1:9" ht="15.6">
      <c r="A1030" s="148">
        <v>42311</v>
      </c>
      <c r="B1030" s="88">
        <v>3.68</v>
      </c>
      <c r="E1030" s="90"/>
      <c r="F1030" s="91"/>
      <c r="G1030" s="90">
        <v>42329</v>
      </c>
      <c r="H1030" s="91">
        <v>277.19</v>
      </c>
      <c r="I1030" s="93">
        <f t="shared" si="15"/>
        <v>3.2211364458920588E-3</v>
      </c>
    </row>
    <row r="1031" spans="1:9" ht="15.6">
      <c r="A1031" s="148">
        <v>42312</v>
      </c>
      <c r="B1031" s="88">
        <v>3.71</v>
      </c>
      <c r="E1031" s="90"/>
      <c r="F1031" s="91"/>
      <c r="G1031" s="90">
        <v>42332</v>
      </c>
      <c r="H1031" s="91">
        <v>278.32</v>
      </c>
      <c r="I1031" s="93">
        <f t="shared" si="15"/>
        <v>4.0766261409141968E-3</v>
      </c>
    </row>
    <row r="1032" spans="1:9" ht="15.6">
      <c r="A1032" s="148">
        <v>42313</v>
      </c>
      <c r="B1032" s="88">
        <v>3.71</v>
      </c>
      <c r="E1032" s="90"/>
      <c r="F1032" s="91"/>
      <c r="G1032" s="90">
        <v>42333</v>
      </c>
      <c r="H1032" s="91">
        <v>277.04000000000002</v>
      </c>
      <c r="I1032" s="93">
        <f t="shared" si="15"/>
        <v>-4.5990227076745382E-3</v>
      </c>
    </row>
    <row r="1033" spans="1:9" ht="15.6">
      <c r="A1033" s="148">
        <v>42314</v>
      </c>
      <c r="B1033" s="88">
        <v>3.73</v>
      </c>
      <c r="E1033" s="90"/>
      <c r="F1033" s="91"/>
      <c r="G1033" s="90">
        <v>42334</v>
      </c>
      <c r="H1033" s="91">
        <v>278.33</v>
      </c>
      <c r="I1033" s="93">
        <f t="shared" si="15"/>
        <v>4.656367311579368E-3</v>
      </c>
    </row>
    <row r="1034" spans="1:9" ht="15.6">
      <c r="A1034" s="148">
        <v>42315</v>
      </c>
      <c r="B1034" s="88">
        <v>3.76</v>
      </c>
      <c r="E1034" s="90"/>
      <c r="F1034" s="91"/>
      <c r="G1034" s="90">
        <v>42335</v>
      </c>
      <c r="H1034" s="91">
        <v>277.95</v>
      </c>
      <c r="I1034" s="93">
        <f t="shared" si="15"/>
        <v>-1.3652858118060607E-3</v>
      </c>
    </row>
    <row r="1035" spans="1:9" ht="15.6">
      <c r="A1035" s="148">
        <v>42318</v>
      </c>
      <c r="B1035" s="88">
        <v>3.75</v>
      </c>
      <c r="E1035" s="90"/>
      <c r="F1035" s="91"/>
      <c r="G1035" s="90">
        <v>42336</v>
      </c>
      <c r="H1035" s="91">
        <v>275.92</v>
      </c>
      <c r="I1035" s="93">
        <f t="shared" si="15"/>
        <v>-7.3034718474545013E-3</v>
      </c>
    </row>
    <row r="1036" spans="1:9" ht="15.6">
      <c r="A1036" s="148">
        <v>42319</v>
      </c>
      <c r="B1036" s="88">
        <v>3.76</v>
      </c>
      <c r="E1036" s="90"/>
      <c r="F1036" s="91"/>
      <c r="G1036" s="90">
        <v>42339</v>
      </c>
      <c r="H1036" s="91">
        <v>275.92</v>
      </c>
      <c r="I1036" s="93">
        <f t="shared" si="15"/>
        <v>0</v>
      </c>
    </row>
    <row r="1037" spans="1:9" ht="15.6">
      <c r="A1037" s="148">
        <v>42320</v>
      </c>
      <c r="B1037" s="88">
        <v>3.75</v>
      </c>
      <c r="E1037" s="90"/>
      <c r="F1037" s="91"/>
      <c r="G1037" s="90">
        <v>42340</v>
      </c>
      <c r="H1037" s="91">
        <v>275.33</v>
      </c>
      <c r="I1037" s="93">
        <f t="shared" si="15"/>
        <v>-2.1383009567992328E-3</v>
      </c>
    </row>
    <row r="1038" spans="1:9" ht="15.6">
      <c r="A1038" s="148">
        <v>42321</v>
      </c>
      <c r="B1038" s="88">
        <v>3.72</v>
      </c>
      <c r="E1038" s="90"/>
      <c r="F1038" s="91"/>
      <c r="G1038" s="90">
        <v>42341</v>
      </c>
      <c r="H1038" s="91">
        <v>275.61</v>
      </c>
      <c r="I1038" s="93">
        <f t="shared" si="15"/>
        <v>1.0169614644246483E-3</v>
      </c>
    </row>
    <row r="1039" spans="1:9" ht="15.6">
      <c r="A1039" s="148">
        <v>42322</v>
      </c>
      <c r="B1039" s="88">
        <v>3.71</v>
      </c>
      <c r="E1039" s="90"/>
      <c r="F1039" s="91"/>
      <c r="G1039" s="90">
        <v>42342</v>
      </c>
      <c r="H1039" s="91">
        <v>277.2</v>
      </c>
      <c r="I1039" s="93">
        <f t="shared" ref="I1039:I1102" si="16">H1039/H1038-1</f>
        <v>5.7690214433436804E-3</v>
      </c>
    </row>
    <row r="1040" spans="1:9" ht="15.6">
      <c r="A1040" s="148">
        <v>42325</v>
      </c>
      <c r="B1040" s="88">
        <v>3.72</v>
      </c>
      <c r="E1040" s="90"/>
      <c r="F1040" s="91"/>
      <c r="G1040" s="90">
        <v>42343</v>
      </c>
      <c r="H1040" s="91">
        <v>278.57</v>
      </c>
      <c r="I1040" s="93">
        <f t="shared" si="16"/>
        <v>4.9422799422800257E-3</v>
      </c>
    </row>
    <row r="1041" spans="1:9" ht="15.6">
      <c r="A1041" s="148">
        <v>42326</v>
      </c>
      <c r="B1041" s="88">
        <v>3.72</v>
      </c>
      <c r="E1041" s="90"/>
      <c r="F1041" s="91"/>
      <c r="G1041" s="90">
        <v>42346</v>
      </c>
      <c r="H1041" s="91">
        <v>278.99</v>
      </c>
      <c r="I1041" s="93">
        <f t="shared" si="16"/>
        <v>1.507700039487414E-3</v>
      </c>
    </row>
    <row r="1042" spans="1:9" ht="15.6">
      <c r="A1042" s="148">
        <v>42327</v>
      </c>
      <c r="B1042" s="88">
        <v>3.69</v>
      </c>
      <c r="E1042" s="90"/>
      <c r="F1042" s="91"/>
      <c r="G1042" s="90">
        <v>42347</v>
      </c>
      <c r="H1042" s="91">
        <v>278.39999999999998</v>
      </c>
      <c r="I1042" s="93">
        <f t="shared" si="16"/>
        <v>-2.1147711387505819E-3</v>
      </c>
    </row>
    <row r="1043" spans="1:9" ht="15.6">
      <c r="A1043" s="148">
        <v>42328</v>
      </c>
      <c r="B1043" s="88">
        <v>3.69</v>
      </c>
      <c r="E1043" s="90"/>
      <c r="F1043" s="91"/>
      <c r="G1043" s="90">
        <v>42348</v>
      </c>
      <c r="H1043" s="91">
        <v>280.7</v>
      </c>
      <c r="I1043" s="93">
        <f t="shared" si="16"/>
        <v>8.2614942528735913E-3</v>
      </c>
    </row>
    <row r="1044" spans="1:9" ht="15.6">
      <c r="A1044" s="148">
        <v>42329</v>
      </c>
      <c r="B1044" s="88">
        <v>3.7</v>
      </c>
      <c r="E1044" s="90"/>
      <c r="F1044" s="91"/>
      <c r="G1044" s="90">
        <v>42349</v>
      </c>
      <c r="H1044" s="91">
        <v>283.26</v>
      </c>
      <c r="I1044" s="93">
        <f t="shared" si="16"/>
        <v>9.1200570003562298E-3</v>
      </c>
    </row>
    <row r="1045" spans="1:9" ht="15.6">
      <c r="A1045" s="148">
        <v>42332</v>
      </c>
      <c r="B1045" s="88">
        <v>3.69</v>
      </c>
      <c r="E1045" s="90"/>
      <c r="F1045" s="91"/>
      <c r="G1045" s="90">
        <v>42350</v>
      </c>
      <c r="H1045" s="91">
        <v>286.54000000000002</v>
      </c>
      <c r="I1045" s="93">
        <f t="shared" si="16"/>
        <v>1.1579467626915196E-2</v>
      </c>
    </row>
    <row r="1046" spans="1:9" ht="15.6">
      <c r="A1046" s="148">
        <v>42333</v>
      </c>
      <c r="B1046" s="88">
        <v>3.68</v>
      </c>
      <c r="E1046" s="90"/>
      <c r="F1046" s="91"/>
      <c r="G1046" s="90">
        <v>42353</v>
      </c>
      <c r="H1046" s="91">
        <v>287.16000000000003</v>
      </c>
      <c r="I1046" s="93">
        <f t="shared" si="16"/>
        <v>2.1637467718294001E-3</v>
      </c>
    </row>
    <row r="1047" spans="1:9" ht="15.6">
      <c r="A1047" s="148">
        <v>42334</v>
      </c>
      <c r="B1047" s="88">
        <v>3.69</v>
      </c>
      <c r="E1047" s="90"/>
      <c r="F1047" s="91"/>
      <c r="G1047" s="90">
        <v>42354</v>
      </c>
      <c r="H1047" s="91">
        <v>290.24</v>
      </c>
      <c r="I1047" s="93">
        <f t="shared" si="16"/>
        <v>1.072572781724479E-2</v>
      </c>
    </row>
    <row r="1048" spans="1:9" ht="15.6">
      <c r="A1048" s="148">
        <v>42335</v>
      </c>
      <c r="B1048" s="179">
        <v>3.69</v>
      </c>
      <c r="E1048" s="90"/>
      <c r="F1048" s="91"/>
      <c r="G1048" s="90">
        <v>42355</v>
      </c>
      <c r="H1048" s="91">
        <v>292.02</v>
      </c>
      <c r="I1048" s="93">
        <f t="shared" si="16"/>
        <v>6.1328555678059615E-3</v>
      </c>
    </row>
    <row r="1049" spans="1:9" ht="15.6">
      <c r="A1049" s="148">
        <v>42336</v>
      </c>
      <c r="B1049" s="88">
        <v>3.69</v>
      </c>
      <c r="E1049" s="90"/>
      <c r="F1049" s="91"/>
      <c r="G1049" s="90">
        <v>42356</v>
      </c>
      <c r="H1049" s="91">
        <v>291.45999999999998</v>
      </c>
      <c r="I1049" s="93">
        <f t="shared" si="16"/>
        <v>-1.9176768714471715E-3</v>
      </c>
    </row>
    <row r="1050" spans="1:9" ht="15.6">
      <c r="A1050" s="148">
        <v>42337</v>
      </c>
      <c r="B1050" s="88">
        <v>3.72</v>
      </c>
      <c r="E1050" s="90"/>
      <c r="F1050" s="91"/>
      <c r="G1050" s="90">
        <v>42357</v>
      </c>
      <c r="H1050" s="91">
        <v>291.39999999999998</v>
      </c>
      <c r="I1050" s="93">
        <f t="shared" si="16"/>
        <v>-2.0586015233647892E-4</v>
      </c>
    </row>
    <row r="1051" spans="1:9" ht="15.6">
      <c r="A1051" s="148">
        <v>42339</v>
      </c>
      <c r="B1051" s="88">
        <v>3.75</v>
      </c>
      <c r="E1051" s="90"/>
      <c r="F1051" s="91"/>
      <c r="G1051" s="90">
        <v>42360</v>
      </c>
      <c r="H1051" s="91">
        <v>292.49</v>
      </c>
      <c r="I1051" s="93">
        <f t="shared" si="16"/>
        <v>3.7405628002746827E-3</v>
      </c>
    </row>
    <row r="1052" spans="1:9" ht="15.6">
      <c r="A1052" s="148">
        <v>42340</v>
      </c>
      <c r="B1052" s="88">
        <v>3.73</v>
      </c>
      <c r="E1052" s="90"/>
      <c r="F1052" s="91"/>
      <c r="G1052" s="90">
        <v>42361</v>
      </c>
      <c r="H1052" s="91">
        <v>292.07</v>
      </c>
      <c r="I1052" s="93">
        <f t="shared" si="16"/>
        <v>-1.4359465280864292E-3</v>
      </c>
    </row>
    <row r="1053" spans="1:9" ht="15.6">
      <c r="A1053" s="148">
        <v>42341</v>
      </c>
      <c r="B1053" s="88">
        <v>3.7</v>
      </c>
      <c r="E1053" s="90"/>
      <c r="F1053" s="91"/>
      <c r="G1053" s="90">
        <v>42362</v>
      </c>
      <c r="H1053" s="91">
        <v>292.12</v>
      </c>
      <c r="I1053" s="93">
        <f t="shared" si="16"/>
        <v>1.7119183757330347E-4</v>
      </c>
    </row>
    <row r="1054" spans="1:9" ht="15.6">
      <c r="A1054" s="148">
        <v>42342</v>
      </c>
      <c r="B1054" s="88">
        <v>3.72</v>
      </c>
      <c r="E1054" s="90"/>
      <c r="F1054" s="91"/>
      <c r="G1054" s="90">
        <v>42363</v>
      </c>
      <c r="H1054" s="91">
        <v>292.58999999999997</v>
      </c>
      <c r="I1054" s="93">
        <f t="shared" si="16"/>
        <v>1.6089278378748073E-3</v>
      </c>
    </row>
    <row r="1055" spans="1:9" ht="15.6">
      <c r="A1055" s="148">
        <v>42343</v>
      </c>
      <c r="B1055" s="88">
        <v>3.73</v>
      </c>
      <c r="E1055" s="90"/>
      <c r="F1055" s="91"/>
      <c r="G1055" s="90">
        <v>42364</v>
      </c>
      <c r="H1055" s="91">
        <v>294.52</v>
      </c>
      <c r="I1055" s="93">
        <f t="shared" si="16"/>
        <v>6.5962609795275906E-3</v>
      </c>
    </row>
    <row r="1056" spans="1:9" ht="15.6">
      <c r="A1056" s="148">
        <v>42346</v>
      </c>
      <c r="B1056" s="88">
        <v>3.73</v>
      </c>
      <c r="E1056" s="90"/>
      <c r="F1056" s="91"/>
      <c r="G1056" s="90">
        <v>42367</v>
      </c>
      <c r="H1056" s="91">
        <v>294.86</v>
      </c>
      <c r="I1056" s="93">
        <f t="shared" si="16"/>
        <v>1.1544207524107897E-3</v>
      </c>
    </row>
    <row r="1057" spans="1:9" ht="15.6">
      <c r="A1057" s="148">
        <v>42347</v>
      </c>
      <c r="B1057" s="88">
        <v>3.73</v>
      </c>
      <c r="E1057" s="90"/>
      <c r="F1057" s="91"/>
      <c r="G1057" s="90">
        <v>42368</v>
      </c>
      <c r="H1057" s="91">
        <v>294.06</v>
      </c>
      <c r="I1057" s="93">
        <f t="shared" si="16"/>
        <v>-2.7131520043410795E-3</v>
      </c>
    </row>
    <row r="1058" spans="1:9" ht="15.6">
      <c r="A1058" s="148">
        <v>42348</v>
      </c>
      <c r="B1058" s="88">
        <v>3.72</v>
      </c>
      <c r="E1058" s="90"/>
      <c r="F1058" s="91"/>
      <c r="G1058" s="90">
        <v>42369</v>
      </c>
      <c r="H1058" s="91">
        <v>294.10000000000002</v>
      </c>
      <c r="I1058" s="93">
        <f t="shared" si="16"/>
        <v>1.360266612255856E-4</v>
      </c>
    </row>
    <row r="1059" spans="1:9" ht="15.6">
      <c r="A1059" s="148">
        <v>42349</v>
      </c>
      <c r="B1059" s="88">
        <v>3.71</v>
      </c>
      <c r="E1059" s="90"/>
      <c r="F1059" s="91"/>
      <c r="G1059" s="90">
        <v>42370</v>
      </c>
      <c r="H1059" s="91">
        <v>298.23</v>
      </c>
      <c r="I1059" s="93">
        <f t="shared" si="16"/>
        <v>1.4042842570554326E-2</v>
      </c>
    </row>
    <row r="1060" spans="1:9" ht="15.6">
      <c r="A1060" s="148">
        <v>42350</v>
      </c>
      <c r="B1060" s="88">
        <v>3.7</v>
      </c>
      <c r="E1060" s="90"/>
      <c r="F1060" s="91"/>
      <c r="G1060" s="90">
        <v>42371</v>
      </c>
      <c r="H1060" s="91">
        <v>297.17</v>
      </c>
      <c r="I1060" s="93">
        <f t="shared" si="16"/>
        <v>-3.5543037253127352E-3</v>
      </c>
    </row>
    <row r="1061" spans="1:9" ht="15.6">
      <c r="A1061" s="148">
        <v>42353</v>
      </c>
      <c r="B1061" s="88">
        <v>3.67</v>
      </c>
      <c r="E1061" s="90"/>
      <c r="F1061" s="91"/>
      <c r="G1061" s="90">
        <v>42374</v>
      </c>
      <c r="H1061" s="91">
        <v>294.22000000000003</v>
      </c>
      <c r="I1061" s="93">
        <f t="shared" si="16"/>
        <v>-9.9269778241409812E-3</v>
      </c>
    </row>
    <row r="1062" spans="1:9" ht="15.6">
      <c r="A1062" s="148">
        <v>42354</v>
      </c>
      <c r="B1062" s="88">
        <v>3.66</v>
      </c>
      <c r="E1062" s="90"/>
      <c r="F1062" s="91"/>
      <c r="G1062" s="90">
        <v>42375</v>
      </c>
      <c r="H1062" s="91">
        <v>294.75</v>
      </c>
      <c r="I1062" s="93">
        <f t="shared" si="16"/>
        <v>1.801373122153338E-3</v>
      </c>
    </row>
    <row r="1063" spans="1:9" ht="15.6">
      <c r="A1063" s="148">
        <v>42355</v>
      </c>
      <c r="B1063" s="88">
        <v>3.65</v>
      </c>
      <c r="E1063" s="90"/>
      <c r="F1063" s="91"/>
      <c r="G1063" s="90">
        <v>42376</v>
      </c>
      <c r="H1063" s="91">
        <v>293.61</v>
      </c>
      <c r="I1063" s="93">
        <f t="shared" si="16"/>
        <v>-3.8676844783714914E-3</v>
      </c>
    </row>
    <row r="1064" spans="1:9" ht="15.6">
      <c r="A1064" s="148">
        <v>42356</v>
      </c>
      <c r="B1064" s="88">
        <v>3.67</v>
      </c>
      <c r="E1064" s="90"/>
      <c r="F1064" s="91"/>
      <c r="G1064" s="90">
        <v>42377</v>
      </c>
      <c r="H1064" s="91">
        <v>297.82</v>
      </c>
      <c r="I1064" s="93">
        <f t="shared" si="16"/>
        <v>1.4338748680222002E-2</v>
      </c>
    </row>
    <row r="1065" spans="1:9" ht="15.6">
      <c r="A1065" s="148">
        <v>42357</v>
      </c>
      <c r="B1065" s="88">
        <v>3.67</v>
      </c>
      <c r="E1065" s="90"/>
      <c r="F1065" s="91"/>
      <c r="G1065" s="90">
        <v>42378</v>
      </c>
      <c r="H1065" s="91">
        <v>298.82</v>
      </c>
      <c r="I1065" s="93">
        <f t="shared" si="16"/>
        <v>3.357732858773721E-3</v>
      </c>
    </row>
    <row r="1066" spans="1:9" ht="15.6">
      <c r="A1066" s="148">
        <v>42360</v>
      </c>
      <c r="B1066" s="88">
        <v>3.66</v>
      </c>
      <c r="E1066" s="90"/>
      <c r="F1066" s="91"/>
      <c r="G1066" s="90">
        <v>42381</v>
      </c>
      <c r="H1066" s="91">
        <v>301.32</v>
      </c>
      <c r="I1066" s="93">
        <f t="shared" si="16"/>
        <v>8.366240546148207E-3</v>
      </c>
    </row>
    <row r="1067" spans="1:9" ht="15.6">
      <c r="A1067" s="148">
        <v>42361</v>
      </c>
      <c r="B1067" s="88">
        <v>3.66</v>
      </c>
      <c r="E1067" s="90"/>
      <c r="F1067" s="91"/>
      <c r="G1067" s="90">
        <v>42382</v>
      </c>
      <c r="H1067" s="91">
        <v>301.23</v>
      </c>
      <c r="I1067" s="93">
        <f t="shared" si="16"/>
        <v>-2.9868578255665135E-4</v>
      </c>
    </row>
    <row r="1068" spans="1:9" ht="15.6">
      <c r="A1068" s="148">
        <v>42362</v>
      </c>
      <c r="B1068" s="179">
        <v>3.66</v>
      </c>
      <c r="E1068" s="90"/>
      <c r="F1068" s="91"/>
      <c r="G1068" s="90">
        <v>42383</v>
      </c>
      <c r="H1068" s="91">
        <v>300.07</v>
      </c>
      <c r="I1068" s="93">
        <f t="shared" si="16"/>
        <v>-3.850878066593677E-3</v>
      </c>
    </row>
    <row r="1069" spans="1:9" ht="15.6">
      <c r="A1069" s="148">
        <v>42363</v>
      </c>
      <c r="B1069" s="88">
        <v>3.65</v>
      </c>
      <c r="E1069" s="90"/>
      <c r="F1069" s="91"/>
      <c r="G1069" s="90">
        <v>42384</v>
      </c>
      <c r="H1069" s="91">
        <v>300.60000000000002</v>
      </c>
      <c r="I1069" s="93">
        <f t="shared" si="16"/>
        <v>1.7662545406071928E-3</v>
      </c>
    </row>
    <row r="1070" spans="1:9" ht="15.6">
      <c r="A1070" s="148">
        <v>42364</v>
      </c>
      <c r="B1070" s="88">
        <v>3.64</v>
      </c>
      <c r="E1070" s="90"/>
      <c r="F1070" s="91"/>
      <c r="G1070" s="90">
        <v>42385</v>
      </c>
      <c r="H1070" s="91">
        <v>302.11</v>
      </c>
      <c r="I1070" s="93">
        <f t="shared" si="16"/>
        <v>5.0232867598136721E-3</v>
      </c>
    </row>
    <row r="1071" spans="1:9" ht="15.6">
      <c r="A1071" s="148">
        <v>42367</v>
      </c>
      <c r="B1071" s="88">
        <v>3.64</v>
      </c>
      <c r="E1071" s="90"/>
      <c r="F1071" s="91"/>
      <c r="G1071" s="90">
        <v>42388</v>
      </c>
      <c r="H1071" s="91">
        <v>301.43</v>
      </c>
      <c r="I1071" s="93">
        <f t="shared" si="16"/>
        <v>-2.2508357882891072E-3</v>
      </c>
    </row>
    <row r="1072" spans="1:9" ht="15.6">
      <c r="A1072" s="148">
        <v>42368</v>
      </c>
      <c r="B1072" s="88">
        <v>3.65</v>
      </c>
      <c r="E1072" s="90"/>
      <c r="F1072" s="91"/>
      <c r="G1072" s="90">
        <v>42389</v>
      </c>
      <c r="H1072" s="91">
        <v>296.95</v>
      </c>
      <c r="I1072" s="93">
        <f t="shared" si="16"/>
        <v>-1.486248880337071E-2</v>
      </c>
    </row>
    <row r="1073" spans="1:9" ht="15.6">
      <c r="A1073" s="148">
        <v>42369</v>
      </c>
      <c r="B1073" s="179">
        <v>3.65</v>
      </c>
      <c r="E1073" s="90"/>
      <c r="F1073" s="91"/>
      <c r="G1073" s="90">
        <v>42390</v>
      </c>
      <c r="H1073" s="91">
        <v>298.18</v>
      </c>
      <c r="I1073" s="93">
        <f t="shared" si="16"/>
        <v>4.1421114665769476E-3</v>
      </c>
    </row>
    <row r="1074" spans="1:9" ht="15.6">
      <c r="A1074" s="148">
        <v>42370</v>
      </c>
      <c r="B1074" s="88">
        <v>3.66</v>
      </c>
      <c r="E1074" s="90"/>
      <c r="F1074" s="91"/>
      <c r="G1074" s="90">
        <v>42391</v>
      </c>
      <c r="H1074" s="91">
        <v>295.55</v>
      </c>
      <c r="I1074" s="93">
        <f t="shared" si="16"/>
        <v>-8.8201757327788233E-3</v>
      </c>
    </row>
    <row r="1075" spans="1:9" ht="15.6">
      <c r="A1075" s="148">
        <v>42371</v>
      </c>
      <c r="B1075" s="88">
        <v>3.62</v>
      </c>
      <c r="E1075" s="90"/>
      <c r="F1075" s="91"/>
      <c r="G1075" s="90">
        <v>42392</v>
      </c>
      <c r="H1075" s="91">
        <v>294.83999999999997</v>
      </c>
      <c r="I1075" s="93">
        <f t="shared" si="16"/>
        <v>-2.4023007951278208E-3</v>
      </c>
    </row>
    <row r="1076" spans="1:9" ht="15.6">
      <c r="A1076" s="148">
        <v>42374</v>
      </c>
      <c r="B1076" s="88">
        <v>3.6</v>
      </c>
      <c r="E1076" s="90"/>
      <c r="F1076" s="91"/>
      <c r="G1076" s="90">
        <v>42395</v>
      </c>
      <c r="H1076" s="91">
        <v>290.14</v>
      </c>
      <c r="I1076" s="93">
        <f t="shared" si="16"/>
        <v>-1.59408492741826E-2</v>
      </c>
    </row>
    <row r="1077" spans="1:9" ht="15.6">
      <c r="A1077" s="148">
        <v>42375</v>
      </c>
      <c r="B1077" s="88">
        <v>3.61</v>
      </c>
      <c r="E1077" s="90"/>
      <c r="F1077" s="91"/>
      <c r="G1077" s="90">
        <v>42396</v>
      </c>
      <c r="H1077" s="91">
        <v>291.14999999999998</v>
      </c>
      <c r="I1077" s="93">
        <f t="shared" si="16"/>
        <v>3.4810781002274638E-3</v>
      </c>
    </row>
    <row r="1078" spans="1:9" ht="15.6">
      <c r="A1078" s="148">
        <v>42376</v>
      </c>
      <c r="B1078" s="88">
        <v>3.61</v>
      </c>
      <c r="E1078" s="90"/>
      <c r="F1078" s="91"/>
      <c r="G1078" s="90">
        <v>42397</v>
      </c>
      <c r="H1078" s="91">
        <v>289.81</v>
      </c>
      <c r="I1078" s="93">
        <f t="shared" si="16"/>
        <v>-4.6024386055296684E-3</v>
      </c>
    </row>
    <row r="1079" spans="1:9" ht="15.6">
      <c r="A1079" s="148">
        <v>42377</v>
      </c>
      <c r="B1079" s="88">
        <v>3.61</v>
      </c>
      <c r="E1079" s="90"/>
      <c r="F1079" s="91"/>
      <c r="G1079" s="90">
        <v>42398</v>
      </c>
      <c r="H1079" s="91">
        <v>283.39999999999998</v>
      </c>
      <c r="I1079" s="93">
        <f t="shared" si="16"/>
        <v>-2.2117939339567405E-2</v>
      </c>
    </row>
    <row r="1080" spans="1:9" ht="15.6">
      <c r="A1080" s="148">
        <v>42378</v>
      </c>
      <c r="B1080" s="88">
        <v>3.6</v>
      </c>
      <c r="E1080" s="90"/>
      <c r="F1080" s="91"/>
      <c r="G1080" s="90">
        <v>42399</v>
      </c>
      <c r="H1080" s="91">
        <v>281.29000000000002</v>
      </c>
      <c r="I1080" s="93">
        <f t="shared" si="16"/>
        <v>-7.4453069865912935E-3</v>
      </c>
    </row>
    <row r="1081" spans="1:9" ht="15.6">
      <c r="A1081" s="148">
        <v>42381</v>
      </c>
      <c r="B1081" s="88">
        <v>3.59</v>
      </c>
      <c r="E1081" s="90"/>
      <c r="F1081" s="91"/>
      <c r="G1081" s="90">
        <v>42402</v>
      </c>
      <c r="H1081" s="91">
        <v>279.89999999999998</v>
      </c>
      <c r="I1081" s="93">
        <f t="shared" si="16"/>
        <v>-4.9415194283480846E-3</v>
      </c>
    </row>
    <row r="1082" spans="1:9" ht="15.6">
      <c r="A1082" s="148">
        <v>42382</v>
      </c>
      <c r="B1082" s="88">
        <v>3.58</v>
      </c>
      <c r="E1082" s="90"/>
      <c r="F1082" s="91"/>
      <c r="G1082" s="90">
        <v>42403</v>
      </c>
      <c r="H1082" s="91">
        <v>285.89</v>
      </c>
      <c r="I1082" s="93">
        <f t="shared" si="16"/>
        <v>2.1400500178635262E-2</v>
      </c>
    </row>
    <row r="1083" spans="1:9" ht="15.6">
      <c r="A1083" s="148">
        <v>42383</v>
      </c>
      <c r="B1083" s="88">
        <v>3.55</v>
      </c>
      <c r="E1083" s="90"/>
      <c r="F1083" s="91"/>
      <c r="G1083" s="90">
        <v>42404</v>
      </c>
      <c r="H1083" s="91">
        <v>287.12</v>
      </c>
      <c r="I1083" s="93">
        <f t="shared" si="16"/>
        <v>4.302354052257984E-3</v>
      </c>
    </row>
    <row r="1084" spans="1:9" ht="15.6">
      <c r="A1084" s="148">
        <v>42384</v>
      </c>
      <c r="B1084" s="88">
        <v>3.54</v>
      </c>
      <c r="E1084" s="90"/>
      <c r="F1084" s="91"/>
      <c r="G1084" s="90">
        <v>42405</v>
      </c>
      <c r="H1084" s="91">
        <v>289.37</v>
      </c>
      <c r="I1084" s="93">
        <f t="shared" si="16"/>
        <v>7.8364446921148634E-3</v>
      </c>
    </row>
    <row r="1085" spans="1:9" ht="15.6">
      <c r="A1085" s="148">
        <v>42385</v>
      </c>
      <c r="B1085" s="88">
        <v>3.54</v>
      </c>
      <c r="E1085" s="90"/>
      <c r="F1085" s="91"/>
      <c r="G1085" s="90">
        <v>42406</v>
      </c>
      <c r="H1085" s="91">
        <v>286.83999999999997</v>
      </c>
      <c r="I1085" s="93">
        <f t="shared" si="16"/>
        <v>-8.7431316307842177E-3</v>
      </c>
    </row>
    <row r="1086" spans="1:9" ht="15.6">
      <c r="A1086" s="148">
        <v>42388</v>
      </c>
      <c r="B1086" s="88">
        <v>3.53</v>
      </c>
      <c r="E1086" s="90"/>
      <c r="F1086" s="91"/>
      <c r="G1086" s="90">
        <v>42409</v>
      </c>
      <c r="H1086" s="91">
        <v>285.51</v>
      </c>
      <c r="I1086" s="93">
        <f t="shared" si="16"/>
        <v>-4.6367312787616299E-3</v>
      </c>
    </row>
    <row r="1087" spans="1:9" ht="15.6">
      <c r="A1087" s="148">
        <v>42389</v>
      </c>
      <c r="B1087" s="88">
        <v>3.51</v>
      </c>
      <c r="E1087" s="90"/>
      <c r="F1087" s="91"/>
      <c r="G1087" s="90">
        <v>42410</v>
      </c>
      <c r="H1087" s="91">
        <v>288.64</v>
      </c>
      <c r="I1087" s="93">
        <f t="shared" si="16"/>
        <v>1.0962838429477095E-2</v>
      </c>
    </row>
    <row r="1088" spans="1:9" ht="15.6">
      <c r="A1088" s="148">
        <v>42390</v>
      </c>
      <c r="B1088" s="88">
        <v>3.49</v>
      </c>
      <c r="E1088" s="90"/>
      <c r="F1088" s="91"/>
      <c r="G1088" s="90">
        <v>42411</v>
      </c>
      <c r="H1088" s="91">
        <v>291.18</v>
      </c>
      <c r="I1088" s="93">
        <f t="shared" si="16"/>
        <v>8.7998891352549791E-3</v>
      </c>
    </row>
    <row r="1089" spans="1:9" ht="15.6">
      <c r="A1089" s="148">
        <v>42391</v>
      </c>
      <c r="B1089" s="88">
        <v>3.48</v>
      </c>
      <c r="E1089" s="90"/>
      <c r="F1089" s="91"/>
      <c r="G1089" s="90">
        <v>42412</v>
      </c>
      <c r="H1089" s="91">
        <v>290.33</v>
      </c>
      <c r="I1089" s="93">
        <f t="shared" si="16"/>
        <v>-2.9191565354763638E-3</v>
      </c>
    </row>
    <row r="1090" spans="1:9" ht="15.6">
      <c r="A1090" s="148">
        <v>42392</v>
      </c>
      <c r="B1090" s="88">
        <v>3.48</v>
      </c>
      <c r="E1090" s="90"/>
      <c r="F1090" s="91"/>
      <c r="G1090" s="90">
        <v>42413</v>
      </c>
      <c r="H1090" s="91">
        <v>290.05</v>
      </c>
      <c r="I1090" s="93">
        <f t="shared" si="16"/>
        <v>-9.6441979816064283E-4</v>
      </c>
    </row>
    <row r="1091" spans="1:9" ht="15.6">
      <c r="A1091" s="148">
        <v>42395</v>
      </c>
      <c r="B1091" s="88">
        <v>3.45</v>
      </c>
      <c r="E1091" s="90"/>
      <c r="F1091" s="91"/>
      <c r="G1091" s="90">
        <v>42416</v>
      </c>
      <c r="H1091" s="91">
        <v>290.75</v>
      </c>
      <c r="I1091" s="93">
        <f t="shared" si="16"/>
        <v>2.4133770039647118E-3</v>
      </c>
    </row>
    <row r="1092" spans="1:9" ht="15.6">
      <c r="A1092" s="148">
        <v>42396</v>
      </c>
      <c r="B1092" s="88">
        <v>3.43</v>
      </c>
      <c r="E1092" s="90"/>
      <c r="F1092" s="91"/>
      <c r="G1092" s="90">
        <v>42417</v>
      </c>
      <c r="H1092" s="91">
        <v>288.17</v>
      </c>
      <c r="I1092" s="93">
        <f t="shared" si="16"/>
        <v>-8.8736027515047278E-3</v>
      </c>
    </row>
    <row r="1093" spans="1:9" ht="15.6">
      <c r="A1093" s="148">
        <v>42397</v>
      </c>
      <c r="B1093" s="88">
        <v>3.42</v>
      </c>
      <c r="E1093" s="90"/>
      <c r="F1093" s="91"/>
      <c r="G1093" s="90">
        <v>42418</v>
      </c>
      <c r="H1093" s="91">
        <v>290.33</v>
      </c>
      <c r="I1093" s="93">
        <f t="shared" si="16"/>
        <v>7.4955755283339087E-3</v>
      </c>
    </row>
    <row r="1094" spans="1:9" ht="15.6">
      <c r="A1094" s="148">
        <v>42398</v>
      </c>
      <c r="B1094" s="88">
        <v>3.4</v>
      </c>
      <c r="E1094" s="90"/>
      <c r="F1094" s="91"/>
      <c r="G1094" s="90">
        <v>42419</v>
      </c>
      <c r="H1094" s="91">
        <v>288.73</v>
      </c>
      <c r="I1094" s="93">
        <f t="shared" si="16"/>
        <v>-5.5109702752039746E-3</v>
      </c>
    </row>
    <row r="1095" spans="1:9" ht="15.6">
      <c r="A1095" s="148">
        <v>42399</v>
      </c>
      <c r="B1095" s="88">
        <v>3.43</v>
      </c>
      <c r="E1095" s="90"/>
      <c r="F1095" s="91"/>
      <c r="G1095" s="90">
        <v>42420</v>
      </c>
      <c r="H1095" s="91">
        <v>286.58999999999997</v>
      </c>
      <c r="I1095" s="93">
        <f t="shared" si="16"/>
        <v>-7.4117687805217436E-3</v>
      </c>
    </row>
    <row r="1096" spans="1:9" ht="15.6">
      <c r="A1096" s="148">
        <v>42402</v>
      </c>
      <c r="B1096" s="88">
        <v>3.41</v>
      </c>
      <c r="E1096" s="90"/>
      <c r="F1096" s="91"/>
      <c r="G1096" s="90">
        <v>42423</v>
      </c>
      <c r="H1096" s="91">
        <v>280.14</v>
      </c>
      <c r="I1096" s="93">
        <f t="shared" si="16"/>
        <v>-2.2506019051606763E-2</v>
      </c>
    </row>
    <row r="1097" spans="1:9" ht="15.6">
      <c r="A1097" s="148">
        <v>42403</v>
      </c>
      <c r="B1097" s="88">
        <v>3.44</v>
      </c>
      <c r="E1097" s="90"/>
      <c r="F1097" s="91"/>
      <c r="G1097" s="90">
        <v>42424</v>
      </c>
      <c r="H1097" s="91">
        <v>279.68</v>
      </c>
      <c r="I1097" s="93">
        <f t="shared" si="16"/>
        <v>-1.6420361247946325E-3</v>
      </c>
    </row>
    <row r="1098" spans="1:9" ht="15.6">
      <c r="A1098" s="148">
        <v>42404</v>
      </c>
      <c r="B1098" s="88">
        <v>3.44</v>
      </c>
      <c r="E1098" s="90"/>
      <c r="F1098" s="91"/>
      <c r="G1098" s="90">
        <v>42425</v>
      </c>
      <c r="H1098" s="91">
        <v>276.60000000000002</v>
      </c>
      <c r="I1098" s="93">
        <f t="shared" si="16"/>
        <v>-1.1012585812356868E-2</v>
      </c>
    </row>
    <row r="1099" spans="1:9" ht="15.6">
      <c r="A1099" s="148">
        <v>42405</v>
      </c>
      <c r="B1099" s="88">
        <v>3.44</v>
      </c>
      <c r="E1099" s="90"/>
      <c r="F1099" s="91"/>
      <c r="G1099" s="90">
        <v>42426</v>
      </c>
      <c r="H1099" s="91">
        <v>273.07</v>
      </c>
      <c r="I1099" s="93">
        <f t="shared" si="16"/>
        <v>-1.2762111352133121E-2</v>
      </c>
    </row>
    <row r="1100" spans="1:9" ht="15.6">
      <c r="A1100" s="148">
        <v>42406</v>
      </c>
      <c r="B1100" s="88">
        <v>3.42</v>
      </c>
      <c r="E1100" s="90"/>
      <c r="F1100" s="91"/>
      <c r="G1100" s="90">
        <v>42427</v>
      </c>
      <c r="H1100" s="91">
        <v>266.58999999999997</v>
      </c>
      <c r="I1100" s="93">
        <f t="shared" si="16"/>
        <v>-2.3730179074962554E-2</v>
      </c>
    </row>
    <row r="1101" spans="1:9" ht="15.6">
      <c r="A1101" s="148">
        <v>42409</v>
      </c>
      <c r="B1101" s="88">
        <v>3.4</v>
      </c>
      <c r="E1101" s="90"/>
      <c r="F1101" s="91"/>
      <c r="G1101" s="90">
        <v>42430</v>
      </c>
      <c r="H1101" s="91">
        <v>268.94</v>
      </c>
      <c r="I1101" s="93">
        <f t="shared" si="16"/>
        <v>8.815034322367854E-3</v>
      </c>
    </row>
    <row r="1102" spans="1:9" ht="15.6">
      <c r="A1102" s="148">
        <v>42410</v>
      </c>
      <c r="B1102" s="88">
        <v>3.4</v>
      </c>
      <c r="E1102" s="90"/>
      <c r="F1102" s="91"/>
      <c r="G1102" s="90">
        <v>42431</v>
      </c>
      <c r="H1102" s="91">
        <v>272.01</v>
      </c>
      <c r="I1102" s="93">
        <f t="shared" si="16"/>
        <v>1.1415185543243833E-2</v>
      </c>
    </row>
    <row r="1103" spans="1:9" ht="15.6">
      <c r="A1103" s="148">
        <v>42411</v>
      </c>
      <c r="B1103" s="88">
        <v>3.4</v>
      </c>
      <c r="E1103" s="90"/>
      <c r="F1103" s="91"/>
      <c r="G1103" s="90">
        <v>42432</v>
      </c>
      <c r="H1103" s="91">
        <v>273.49</v>
      </c>
      <c r="I1103" s="93">
        <f t="shared" ref="I1103:I1166" si="17">H1103/H1102-1</f>
        <v>5.4409764346898815E-3</v>
      </c>
    </row>
    <row r="1104" spans="1:9" ht="15.6">
      <c r="A1104" s="148">
        <v>42412</v>
      </c>
      <c r="B1104" s="88">
        <v>3.39</v>
      </c>
      <c r="E1104" s="90"/>
      <c r="F1104" s="91"/>
      <c r="G1104" s="90">
        <v>42433</v>
      </c>
      <c r="H1104" s="91">
        <v>273.31</v>
      </c>
      <c r="I1104" s="93">
        <f t="shared" si="17"/>
        <v>-6.5815934769097861E-4</v>
      </c>
    </row>
    <row r="1105" spans="1:9" ht="15.6">
      <c r="A1105" s="148">
        <v>42413</v>
      </c>
      <c r="B1105" s="88">
        <v>3.38</v>
      </c>
      <c r="E1105" s="90"/>
      <c r="F1105" s="91"/>
      <c r="G1105" s="90">
        <v>42434</v>
      </c>
      <c r="H1105" s="91">
        <v>266.81</v>
      </c>
      <c r="I1105" s="93">
        <f t="shared" si="17"/>
        <v>-2.3782518019831E-2</v>
      </c>
    </row>
    <row r="1106" spans="1:9" ht="15.6">
      <c r="A1106" s="148">
        <v>42416</v>
      </c>
      <c r="B1106" s="88">
        <v>3.38</v>
      </c>
      <c r="E1106" s="90"/>
      <c r="F1106" s="91"/>
      <c r="G1106" s="90">
        <v>42437</v>
      </c>
      <c r="H1106" s="91">
        <v>249.58</v>
      </c>
      <c r="I1106" s="93">
        <f t="shared" si="17"/>
        <v>-6.4577789438176936E-2</v>
      </c>
    </row>
    <row r="1107" spans="1:9" ht="15.6">
      <c r="A1107" s="148">
        <v>42417</v>
      </c>
      <c r="B1107" s="88">
        <v>3.36</v>
      </c>
      <c r="E1107" s="90"/>
      <c r="F1107" s="91"/>
      <c r="G1107" s="90">
        <v>42438</v>
      </c>
      <c r="H1107" s="91">
        <v>253.81</v>
      </c>
      <c r="I1107" s="93">
        <f t="shared" si="17"/>
        <v>1.6948473435371314E-2</v>
      </c>
    </row>
    <row r="1108" spans="1:9" ht="15.6">
      <c r="A1108" s="148">
        <v>42418</v>
      </c>
      <c r="B1108" s="88">
        <v>3.36</v>
      </c>
      <c r="E1108" s="90"/>
      <c r="F1108" s="91"/>
      <c r="G1108" s="90">
        <v>42439</v>
      </c>
      <c r="H1108" s="91">
        <v>249.68</v>
      </c>
      <c r="I1108" s="93">
        <f t="shared" si="17"/>
        <v>-1.6272014499034704E-2</v>
      </c>
    </row>
    <row r="1109" spans="1:9" ht="15.6">
      <c r="A1109" s="148">
        <v>42419</v>
      </c>
      <c r="B1109" s="88">
        <v>3.34</v>
      </c>
      <c r="E1109" s="90"/>
      <c r="F1109" s="91"/>
      <c r="G1109" s="90">
        <v>42440</v>
      </c>
      <c r="H1109" s="91">
        <v>232.06</v>
      </c>
      <c r="I1109" s="93">
        <f t="shared" si="17"/>
        <v>-7.057033002242874E-2</v>
      </c>
    </row>
    <row r="1110" spans="1:9" ht="15.6">
      <c r="A1110" s="148">
        <v>42420</v>
      </c>
      <c r="B1110" s="88">
        <v>3.32</v>
      </c>
      <c r="E1110" s="90"/>
      <c r="F1110" s="91"/>
      <c r="G1110" s="90">
        <v>42441</v>
      </c>
      <c r="H1110" s="91">
        <v>234.96</v>
      </c>
      <c r="I1110" s="93">
        <f t="shared" si="17"/>
        <v>1.2496768077221443E-2</v>
      </c>
    </row>
    <row r="1111" spans="1:9" ht="15.6">
      <c r="A1111" s="148">
        <v>42423</v>
      </c>
      <c r="B1111" s="88">
        <v>3.29</v>
      </c>
      <c r="E1111" s="90"/>
      <c r="F1111" s="91"/>
      <c r="G1111" s="90">
        <v>42444</v>
      </c>
      <c r="H1111" s="91">
        <v>218.98</v>
      </c>
      <c r="I1111" s="93">
        <f t="shared" si="17"/>
        <v>-6.8011576438542831E-2</v>
      </c>
    </row>
    <row r="1112" spans="1:9" ht="15.6">
      <c r="A1112" s="148">
        <v>42424</v>
      </c>
      <c r="B1112" s="88">
        <v>3.3</v>
      </c>
      <c r="E1112" s="90"/>
      <c r="F1112" s="91"/>
      <c r="G1112" s="90">
        <v>42445</v>
      </c>
      <c r="H1112" s="91">
        <v>217.76</v>
      </c>
      <c r="I1112" s="93">
        <f t="shared" si="17"/>
        <v>-5.5712850488629506E-3</v>
      </c>
    </row>
    <row r="1113" spans="1:9" ht="15.6">
      <c r="A1113" s="148">
        <v>42425</v>
      </c>
      <c r="B1113" s="88">
        <v>3.31</v>
      </c>
      <c r="E1113" s="90"/>
      <c r="F1113" s="91"/>
      <c r="G1113" s="90">
        <v>42446</v>
      </c>
      <c r="H1113" s="91">
        <v>207.3</v>
      </c>
      <c r="I1113" s="93">
        <f t="shared" si="17"/>
        <v>-4.8034533431300375E-2</v>
      </c>
    </row>
    <row r="1114" spans="1:9" ht="15.6">
      <c r="A1114" s="148">
        <v>42426</v>
      </c>
      <c r="B1114" s="88">
        <v>3.35</v>
      </c>
      <c r="E1114" s="90"/>
      <c r="F1114" s="91"/>
      <c r="G1114" s="90">
        <v>42447</v>
      </c>
      <c r="H1114" s="91">
        <v>203.35</v>
      </c>
      <c r="I1114" s="93">
        <f t="shared" si="17"/>
        <v>-1.9054510371442457E-2</v>
      </c>
    </row>
    <row r="1115" spans="1:9" ht="15.6">
      <c r="A1115" s="148">
        <v>42427</v>
      </c>
      <c r="B1115" s="88">
        <v>3.37</v>
      </c>
      <c r="E1115" s="90"/>
      <c r="F1115" s="91"/>
      <c r="G1115" s="90">
        <v>42448</v>
      </c>
      <c r="H1115" s="91">
        <v>211.43</v>
      </c>
      <c r="I1115" s="93">
        <f t="shared" si="17"/>
        <v>3.9734447996065958E-2</v>
      </c>
    </row>
    <row r="1116" spans="1:9" ht="15.6">
      <c r="A1116" s="148">
        <v>42428</v>
      </c>
      <c r="B1116" s="88">
        <v>3.35</v>
      </c>
      <c r="E1116" s="90"/>
      <c r="F1116" s="91"/>
      <c r="G1116" s="90">
        <v>42451</v>
      </c>
      <c r="H1116" s="91">
        <v>199.71</v>
      </c>
      <c r="I1116" s="93">
        <f t="shared" si="17"/>
        <v>-5.5432057891500741E-2</v>
      </c>
    </row>
    <row r="1117" spans="1:9" ht="15.6">
      <c r="A1117" s="148">
        <v>42430</v>
      </c>
      <c r="B1117" s="88">
        <v>3.3</v>
      </c>
      <c r="E1117" s="90"/>
      <c r="F1117" s="91"/>
      <c r="G1117" s="90">
        <v>42452</v>
      </c>
      <c r="H1117" s="91">
        <v>209.4</v>
      </c>
      <c r="I1117" s="93">
        <f t="shared" si="17"/>
        <v>4.852035451404535E-2</v>
      </c>
    </row>
    <row r="1118" spans="1:9" ht="15.6">
      <c r="A1118" s="148">
        <v>42431</v>
      </c>
      <c r="B1118" s="88">
        <v>3.26</v>
      </c>
      <c r="E1118" s="90"/>
      <c r="F1118" s="91"/>
      <c r="G1118" s="90">
        <v>42453</v>
      </c>
      <c r="H1118" s="91">
        <v>217.72</v>
      </c>
      <c r="I1118" s="93">
        <f t="shared" si="17"/>
        <v>3.973256924546309E-2</v>
      </c>
    </row>
    <row r="1119" spans="1:9" ht="15.6">
      <c r="A1119" s="148">
        <v>42432</v>
      </c>
      <c r="B1119" s="88">
        <v>3.15</v>
      </c>
      <c r="E1119" s="90"/>
      <c r="F1119" s="91"/>
      <c r="G1119" s="90">
        <v>42454</v>
      </c>
      <c r="H1119" s="91">
        <v>222.85</v>
      </c>
      <c r="I1119" s="93">
        <f t="shared" si="17"/>
        <v>2.3562373690979133E-2</v>
      </c>
    </row>
    <row r="1120" spans="1:9" ht="15.6">
      <c r="A1120" s="148">
        <v>42433</v>
      </c>
      <c r="B1120" s="88">
        <v>3.18</v>
      </c>
      <c r="E1120" s="90"/>
      <c r="F1120" s="91"/>
      <c r="G1120" s="90">
        <v>42455</v>
      </c>
      <c r="H1120" s="91">
        <v>219.58</v>
      </c>
      <c r="I1120" s="93">
        <f t="shared" si="17"/>
        <v>-1.4673547229077766E-2</v>
      </c>
    </row>
    <row r="1121" spans="1:9" ht="15.6">
      <c r="A1121" s="148">
        <v>42434</v>
      </c>
      <c r="B1121" s="88">
        <v>3.15</v>
      </c>
      <c r="E1121" s="90"/>
      <c r="F1121" s="91"/>
      <c r="G1121" s="90">
        <v>42458</v>
      </c>
      <c r="H1121" s="91">
        <v>216.78</v>
      </c>
      <c r="I1121" s="93">
        <f t="shared" si="17"/>
        <v>-1.2751616722834536E-2</v>
      </c>
    </row>
    <row r="1122" spans="1:9" ht="15.6">
      <c r="A1122" s="148">
        <v>42437</v>
      </c>
      <c r="B1122" s="88">
        <v>3.39</v>
      </c>
      <c r="E1122" s="90"/>
      <c r="F1122" s="91"/>
      <c r="G1122" s="90">
        <v>42459</v>
      </c>
      <c r="H1122" s="91">
        <v>220.78</v>
      </c>
      <c r="I1122" s="93">
        <f t="shared" si="17"/>
        <v>1.8451886705415532E-2</v>
      </c>
    </row>
    <row r="1123" spans="1:9" ht="15.6">
      <c r="A1123" s="148">
        <v>42438</v>
      </c>
      <c r="B1123" s="88">
        <v>3.53</v>
      </c>
      <c r="E1123" s="90"/>
      <c r="F1123" s="91"/>
      <c r="G1123" s="90">
        <v>42460</v>
      </c>
      <c r="H1123" s="91">
        <v>216.35</v>
      </c>
      <c r="I1123" s="93">
        <f t="shared" si="17"/>
        <v>-2.0065223299211898E-2</v>
      </c>
    </row>
    <row r="1124" spans="1:9" ht="15.6">
      <c r="A1124" s="148">
        <v>42439</v>
      </c>
      <c r="B1124" s="88">
        <v>3.64</v>
      </c>
      <c r="E1124" s="90"/>
      <c r="F1124" s="91"/>
      <c r="G1124" s="90">
        <v>42461</v>
      </c>
      <c r="H1124" s="91">
        <v>218.73</v>
      </c>
      <c r="I1124" s="93">
        <f t="shared" si="17"/>
        <v>1.1000693321007615E-2</v>
      </c>
    </row>
    <row r="1125" spans="1:9" ht="15.6">
      <c r="A1125" s="148">
        <v>42440</v>
      </c>
      <c r="B1125" s="88">
        <v>3.9</v>
      </c>
      <c r="E1125" s="90"/>
      <c r="F1125" s="91"/>
      <c r="G1125" s="90">
        <v>42462</v>
      </c>
      <c r="H1125" s="91">
        <v>216.77</v>
      </c>
      <c r="I1125" s="93">
        <f t="shared" si="17"/>
        <v>-8.9608192749049964E-3</v>
      </c>
    </row>
    <row r="1126" spans="1:9" ht="15.6">
      <c r="A1126" s="148">
        <v>42441</v>
      </c>
      <c r="B1126" s="88">
        <v>4.03</v>
      </c>
      <c r="E1126" s="90"/>
      <c r="F1126" s="91"/>
      <c r="G1126" s="90">
        <v>42465</v>
      </c>
      <c r="H1126" s="91">
        <v>221.78</v>
      </c>
      <c r="I1126" s="93">
        <f t="shared" si="17"/>
        <v>2.3112054251049452E-2</v>
      </c>
    </row>
    <row r="1127" spans="1:9" ht="15.6">
      <c r="A1127" s="148">
        <v>42444</v>
      </c>
      <c r="B1127" s="88">
        <v>4.1900000000000004</v>
      </c>
      <c r="E1127" s="90"/>
      <c r="F1127" s="91"/>
      <c r="G1127" s="90">
        <v>42466</v>
      </c>
      <c r="H1127" s="91">
        <v>228.48</v>
      </c>
      <c r="I1127" s="93">
        <f t="shared" si="17"/>
        <v>3.021011813508867E-2</v>
      </c>
    </row>
    <row r="1128" spans="1:9" ht="15.6">
      <c r="A1128" s="148">
        <v>42445</v>
      </c>
      <c r="B1128" s="88">
        <v>4.3499999999999996</v>
      </c>
      <c r="E1128" s="90"/>
      <c r="F1128" s="91"/>
      <c r="G1128" s="90">
        <v>42467</v>
      </c>
      <c r="H1128" s="91">
        <v>227.95</v>
      </c>
      <c r="I1128" s="93">
        <f t="shared" si="17"/>
        <v>-2.3196778711485067E-3</v>
      </c>
    </row>
    <row r="1129" spans="1:9" ht="15.6">
      <c r="A1129" s="148">
        <v>42446</v>
      </c>
      <c r="B1129" s="88">
        <v>4.84</v>
      </c>
      <c r="E1129" s="90"/>
      <c r="F1129" s="91"/>
      <c r="G1129" s="90">
        <v>42468</v>
      </c>
      <c r="H1129" s="91">
        <v>231.52</v>
      </c>
      <c r="I1129" s="93">
        <f t="shared" si="17"/>
        <v>1.5661329238868316E-2</v>
      </c>
    </row>
    <row r="1130" spans="1:9" ht="15.6">
      <c r="A1130" s="148">
        <v>42447</v>
      </c>
      <c r="B1130" s="88">
        <v>5.09</v>
      </c>
      <c r="E1130" s="90"/>
      <c r="F1130" s="91"/>
      <c r="G1130" s="90">
        <v>42469</v>
      </c>
      <c r="H1130" s="91">
        <v>231.6</v>
      </c>
      <c r="I1130" s="93">
        <f t="shared" si="17"/>
        <v>3.4554250172758039E-4</v>
      </c>
    </row>
    <row r="1131" spans="1:9" ht="15.6">
      <c r="A1131" s="148">
        <v>42448</v>
      </c>
      <c r="B1131" s="88">
        <v>5.09</v>
      </c>
      <c r="E1131" s="90"/>
      <c r="F1131" s="91"/>
      <c r="G1131" s="90">
        <v>42472</v>
      </c>
      <c r="H1131" s="91">
        <v>230.69</v>
      </c>
      <c r="I1131" s="93">
        <f t="shared" si="17"/>
        <v>-3.9291882556130586E-3</v>
      </c>
    </row>
    <row r="1132" spans="1:9" ht="15.6">
      <c r="A1132" s="148">
        <v>42451</v>
      </c>
      <c r="B1132" s="88">
        <v>5.2</v>
      </c>
      <c r="E1132" s="90"/>
      <c r="F1132" s="91"/>
      <c r="G1132" s="90">
        <v>42473</v>
      </c>
      <c r="H1132" s="91">
        <v>233.98</v>
      </c>
      <c r="I1132" s="93">
        <f t="shared" si="17"/>
        <v>1.4261563136676925E-2</v>
      </c>
    </row>
    <row r="1133" spans="1:9" ht="15.6">
      <c r="A1133" s="148">
        <v>42452</v>
      </c>
      <c r="B1133" s="88">
        <v>5.23</v>
      </c>
      <c r="E1133" s="90"/>
      <c r="F1133" s="91"/>
      <c r="G1133" s="90">
        <v>42474</v>
      </c>
      <c r="H1133" s="91">
        <v>231.54</v>
      </c>
      <c r="I1133" s="93">
        <f t="shared" si="17"/>
        <v>-1.0428241730062404E-2</v>
      </c>
    </row>
    <row r="1134" spans="1:9" ht="15.6">
      <c r="A1134" s="148">
        <v>42453</v>
      </c>
      <c r="B1134" s="88">
        <v>5.16</v>
      </c>
      <c r="E1134" s="90"/>
      <c r="F1134" s="91"/>
      <c r="G1134" s="90">
        <v>42475</v>
      </c>
      <c r="H1134" s="91">
        <v>230.99</v>
      </c>
      <c r="I1134" s="93">
        <f t="shared" si="17"/>
        <v>-2.3753994990065586E-3</v>
      </c>
    </row>
    <row r="1135" spans="1:9" ht="15.6">
      <c r="A1135" s="148">
        <v>42454</v>
      </c>
      <c r="B1135" s="88">
        <v>4.93</v>
      </c>
      <c r="E1135" s="90"/>
      <c r="F1135" s="91"/>
      <c r="G1135" s="90">
        <v>42476</v>
      </c>
      <c r="H1135" s="91">
        <v>234.23</v>
      </c>
      <c r="I1135" s="93">
        <f t="shared" si="17"/>
        <v>1.4026581237282842E-2</v>
      </c>
    </row>
    <row r="1136" spans="1:9" ht="15.6">
      <c r="A1136" s="148">
        <v>42455</v>
      </c>
      <c r="B1136" s="88">
        <v>4.92</v>
      </c>
      <c r="E1136" s="90"/>
      <c r="F1136" s="91"/>
      <c r="G1136" s="90">
        <v>42479</v>
      </c>
      <c r="H1136" s="91">
        <v>234.47</v>
      </c>
      <c r="I1136" s="93">
        <f t="shared" si="17"/>
        <v>1.0246339068438193E-3</v>
      </c>
    </row>
    <row r="1137" spans="1:9" ht="15.6">
      <c r="A1137" s="148">
        <v>42458</v>
      </c>
      <c r="B1137" s="88">
        <v>4.93</v>
      </c>
      <c r="E1137" s="90"/>
      <c r="F1137" s="91"/>
      <c r="G1137" s="90">
        <v>42480</v>
      </c>
      <c r="H1137" s="91">
        <v>228.79</v>
      </c>
      <c r="I1137" s="93">
        <f t="shared" si="17"/>
        <v>-2.4224847528468541E-2</v>
      </c>
    </row>
    <row r="1138" spans="1:9" ht="15.6">
      <c r="A1138" s="148">
        <v>42459</v>
      </c>
      <c r="B1138" s="88">
        <v>4.93</v>
      </c>
      <c r="E1138" s="90"/>
      <c r="F1138" s="91"/>
      <c r="G1138" s="90">
        <v>42481</v>
      </c>
      <c r="H1138" s="91">
        <v>231.59</v>
      </c>
      <c r="I1138" s="93">
        <f t="shared" si="17"/>
        <v>1.223829712837099E-2</v>
      </c>
    </row>
    <row r="1139" spans="1:9" ht="15.6">
      <c r="A1139" s="148">
        <v>42460</v>
      </c>
      <c r="B1139" s="88">
        <v>4.97</v>
      </c>
      <c r="E1139" s="90"/>
      <c r="F1139" s="91"/>
      <c r="G1139" s="90">
        <v>42482</v>
      </c>
      <c r="H1139" s="91">
        <v>232.52</v>
      </c>
      <c r="I1139" s="93">
        <f t="shared" si="17"/>
        <v>4.0157174316679534E-3</v>
      </c>
    </row>
    <row r="1140" spans="1:9" ht="15.6">
      <c r="A1140" s="148">
        <v>42461</v>
      </c>
      <c r="B1140" s="88">
        <v>4.96</v>
      </c>
      <c r="E1140" s="90"/>
      <c r="F1140" s="91"/>
      <c r="G1140" s="90">
        <v>42483</v>
      </c>
      <c r="H1140" s="91">
        <v>229.45</v>
      </c>
      <c r="I1140" s="93">
        <f t="shared" si="17"/>
        <v>-1.3203165319112475E-2</v>
      </c>
    </row>
    <row r="1141" spans="1:9" ht="15.6">
      <c r="A1141" s="148">
        <v>42462</v>
      </c>
      <c r="B1141" s="88">
        <v>4.92</v>
      </c>
      <c r="E1141" s="90"/>
      <c r="F1141" s="91"/>
      <c r="G1141" s="90">
        <v>42486</v>
      </c>
      <c r="H1141" s="91">
        <v>233.3</v>
      </c>
      <c r="I1141" s="93">
        <f t="shared" si="17"/>
        <v>1.6779254739594851E-2</v>
      </c>
    </row>
    <row r="1142" spans="1:9" ht="15.6">
      <c r="A1142" s="148">
        <v>42465</v>
      </c>
      <c r="B1142" s="88">
        <v>4.97</v>
      </c>
      <c r="E1142" s="90"/>
      <c r="F1142" s="91"/>
      <c r="G1142" s="90">
        <v>42487</v>
      </c>
      <c r="H1142" s="91">
        <v>235.31</v>
      </c>
      <c r="I1142" s="93">
        <f t="shared" si="17"/>
        <v>8.6155165023573677E-3</v>
      </c>
    </row>
    <row r="1143" spans="1:9" ht="15.6">
      <c r="A1143" s="148">
        <v>42466</v>
      </c>
      <c r="B1143" s="88">
        <v>4.96</v>
      </c>
      <c r="E1143" s="90"/>
      <c r="F1143" s="91"/>
      <c r="G1143" s="90">
        <v>42488</v>
      </c>
      <c r="H1143" s="91">
        <v>239.9</v>
      </c>
      <c r="I1143" s="93">
        <f t="shared" si="17"/>
        <v>1.9506183332625104E-2</v>
      </c>
    </row>
    <row r="1144" spans="1:9" ht="15.6">
      <c r="A1144" s="148">
        <v>42467</v>
      </c>
      <c r="B1144" s="88">
        <v>4.9400000000000004</v>
      </c>
      <c r="E1144" s="90"/>
      <c r="F1144" s="91"/>
      <c r="G1144" s="90">
        <v>42489</v>
      </c>
      <c r="H1144" s="91">
        <v>241.39</v>
      </c>
      <c r="I1144" s="93">
        <f t="shared" si="17"/>
        <v>6.2109212171737038E-3</v>
      </c>
    </row>
    <row r="1145" spans="1:9" ht="15.6">
      <c r="A1145" s="148">
        <v>42468</v>
      </c>
      <c r="B1145" s="88">
        <v>4.84</v>
      </c>
      <c r="E1145" s="90"/>
      <c r="F1145" s="91"/>
      <c r="G1145" s="90">
        <v>42490</v>
      </c>
      <c r="H1145" s="91">
        <v>239.2</v>
      </c>
      <c r="I1145" s="93">
        <f t="shared" si="17"/>
        <v>-9.0724553626910787E-3</v>
      </c>
    </row>
    <row r="1146" spans="1:9" ht="15.6">
      <c r="A1146" s="148">
        <v>42469</v>
      </c>
      <c r="B1146" s="179">
        <v>4.84</v>
      </c>
      <c r="E1146" s="90"/>
      <c r="F1146" s="91"/>
      <c r="G1146" s="90">
        <v>42493</v>
      </c>
      <c r="H1146" s="91">
        <v>232.15</v>
      </c>
      <c r="I1146" s="93">
        <f t="shared" si="17"/>
        <v>-2.9473244147157129E-2</v>
      </c>
    </row>
    <row r="1147" spans="1:9" ht="15.6">
      <c r="A1147" s="148">
        <v>42472</v>
      </c>
      <c r="B1147" s="88">
        <v>4.78</v>
      </c>
      <c r="E1147" s="90"/>
      <c r="F1147" s="91"/>
      <c r="G1147" s="90">
        <v>42494</v>
      </c>
      <c r="H1147" s="91">
        <v>234.39</v>
      </c>
      <c r="I1147" s="93">
        <f t="shared" si="17"/>
        <v>9.6489338789573775E-3</v>
      </c>
    </row>
    <row r="1148" spans="1:9" ht="15.6">
      <c r="A1148" s="148">
        <v>42473</v>
      </c>
      <c r="B1148" s="88">
        <v>4.7</v>
      </c>
      <c r="E1148" s="90"/>
      <c r="F1148" s="91"/>
      <c r="G1148" s="90">
        <v>42495</v>
      </c>
      <c r="H1148" s="91">
        <v>234.83</v>
      </c>
      <c r="I1148" s="93">
        <f t="shared" si="17"/>
        <v>1.8772131916890977E-3</v>
      </c>
    </row>
    <row r="1149" spans="1:9" ht="15.6">
      <c r="A1149" s="148">
        <v>42474</v>
      </c>
      <c r="B1149" s="88">
        <v>4.6900000000000004</v>
      </c>
      <c r="E1149" s="90"/>
      <c r="F1149" s="91"/>
      <c r="G1149" s="90">
        <v>42496</v>
      </c>
      <c r="H1149" s="91">
        <v>234.54</v>
      </c>
      <c r="I1149" s="93">
        <f t="shared" si="17"/>
        <v>-1.2349359110847002E-3</v>
      </c>
    </row>
    <row r="1150" spans="1:9" ht="15.6">
      <c r="A1150" s="148">
        <v>42475</v>
      </c>
      <c r="B1150" s="88">
        <v>4.67</v>
      </c>
      <c r="E1150" s="90"/>
      <c r="F1150" s="91"/>
      <c r="G1150" s="90">
        <v>42497</v>
      </c>
      <c r="H1150" s="91">
        <v>238.3</v>
      </c>
      <c r="I1150" s="93">
        <f t="shared" si="17"/>
        <v>1.6031380574742071E-2</v>
      </c>
    </row>
    <row r="1151" spans="1:9" ht="15.6">
      <c r="A1151" s="148">
        <v>42476</v>
      </c>
      <c r="B1151" s="88">
        <v>4.63</v>
      </c>
      <c r="E1151" s="90"/>
      <c r="F1151" s="91"/>
      <c r="G1151" s="90">
        <v>42500</v>
      </c>
      <c r="H1151" s="91">
        <v>239.36</v>
      </c>
      <c r="I1151" s="93">
        <f t="shared" si="17"/>
        <v>4.4481745698699005E-3</v>
      </c>
    </row>
    <row r="1152" spans="1:9" ht="15.6">
      <c r="A1152" s="148">
        <v>42479</v>
      </c>
      <c r="B1152" s="88">
        <v>4.6500000000000004</v>
      </c>
      <c r="E1152" s="90"/>
      <c r="F1152" s="91"/>
      <c r="G1152" s="90">
        <v>42501</v>
      </c>
      <c r="H1152" s="91">
        <v>237.97</v>
      </c>
      <c r="I1152" s="93">
        <f t="shared" si="17"/>
        <v>-5.8071524064171598E-3</v>
      </c>
    </row>
    <row r="1153" spans="1:9" ht="15.6">
      <c r="A1153" s="148">
        <v>42480</v>
      </c>
      <c r="B1153" s="88">
        <v>4.68</v>
      </c>
      <c r="E1153" s="90"/>
      <c r="F1153" s="91"/>
      <c r="G1153" s="90">
        <v>42502</v>
      </c>
      <c r="H1153" s="91">
        <v>237.79</v>
      </c>
      <c r="I1153" s="93">
        <f t="shared" si="17"/>
        <v>-7.5639786527714747E-4</v>
      </c>
    </row>
    <row r="1154" spans="1:9" ht="15.6">
      <c r="A1154" s="148">
        <v>42481</v>
      </c>
      <c r="B1154" s="88">
        <v>4.6900000000000004</v>
      </c>
      <c r="E1154" s="90"/>
      <c r="F1154" s="91"/>
      <c r="G1154" s="90">
        <v>42503</v>
      </c>
      <c r="H1154" s="91">
        <v>235.7</v>
      </c>
      <c r="I1154" s="93">
        <f t="shared" si="17"/>
        <v>-8.7892678413726832E-3</v>
      </c>
    </row>
    <row r="1155" spans="1:9" ht="15.6">
      <c r="A1155" s="148">
        <v>42482</v>
      </c>
      <c r="B1155" s="88">
        <v>4.6900000000000004</v>
      </c>
      <c r="E1155" s="90"/>
      <c r="F1155" s="91"/>
      <c r="G1155" s="90">
        <v>42504</v>
      </c>
      <c r="H1155" s="91">
        <v>235.82</v>
      </c>
      <c r="I1155" s="93">
        <f t="shared" si="17"/>
        <v>5.0912176495554462E-4</v>
      </c>
    </row>
    <row r="1156" spans="1:9" ht="15.6">
      <c r="A1156" s="148">
        <v>42483</v>
      </c>
      <c r="B1156" s="88">
        <v>4.7</v>
      </c>
      <c r="E1156" s="90"/>
      <c r="F1156" s="91"/>
      <c r="G1156" s="90">
        <v>42507</v>
      </c>
      <c r="H1156" s="91">
        <v>238.72</v>
      </c>
      <c r="I1156" s="93">
        <f t="shared" si="17"/>
        <v>1.229751505385468E-2</v>
      </c>
    </row>
    <row r="1157" spans="1:9" ht="15.6">
      <c r="A1157" s="148">
        <v>42486</v>
      </c>
      <c r="B1157" s="88">
        <v>4.72</v>
      </c>
      <c r="E1157" s="90"/>
      <c r="F1157" s="91"/>
      <c r="G1157" s="90">
        <v>42508</v>
      </c>
      <c r="H1157" s="91">
        <v>241.44</v>
      </c>
      <c r="I1157" s="93">
        <f t="shared" si="17"/>
        <v>1.1394101876675666E-2</v>
      </c>
    </row>
    <row r="1158" spans="1:9" ht="15.6">
      <c r="A1158" s="148">
        <v>42487</v>
      </c>
      <c r="B1158" s="88">
        <v>4.6900000000000004</v>
      </c>
      <c r="E1158" s="90"/>
      <c r="F1158" s="91"/>
      <c r="G1158" s="90">
        <v>42509</v>
      </c>
      <c r="H1158" s="91">
        <v>243.25</v>
      </c>
      <c r="I1158" s="93">
        <f t="shared" si="17"/>
        <v>7.4966865473824473E-3</v>
      </c>
    </row>
    <row r="1159" spans="1:9" ht="15.6">
      <c r="A1159" s="148">
        <v>42488</v>
      </c>
      <c r="B1159" s="88">
        <v>4.6100000000000003</v>
      </c>
      <c r="E1159" s="90"/>
      <c r="F1159" s="91"/>
      <c r="G1159" s="90">
        <v>42510</v>
      </c>
      <c r="H1159" s="91">
        <v>242.92</v>
      </c>
      <c r="I1159" s="93">
        <f t="shared" si="17"/>
        <v>-1.3566289825283073E-3</v>
      </c>
    </row>
    <row r="1160" spans="1:9" ht="15.6">
      <c r="A1160" s="148">
        <v>42489</v>
      </c>
      <c r="B1160" s="88">
        <v>4.51</v>
      </c>
      <c r="E1160" s="90"/>
      <c r="F1160" s="91"/>
      <c r="G1160" s="90">
        <v>42511</v>
      </c>
      <c r="H1160" s="91">
        <v>236.81</v>
      </c>
      <c r="I1160" s="93">
        <f t="shared" si="17"/>
        <v>-2.515231351885383E-2</v>
      </c>
    </row>
    <row r="1161" spans="1:9" ht="15.6">
      <c r="A1161" s="148">
        <v>42490</v>
      </c>
      <c r="B1161" s="88">
        <v>4.5</v>
      </c>
      <c r="E1161" s="90"/>
      <c r="F1161" s="91"/>
      <c r="G1161" s="90">
        <v>42514</v>
      </c>
      <c r="H1161" s="91">
        <v>238.6</v>
      </c>
      <c r="I1161" s="93">
        <f t="shared" si="17"/>
        <v>7.5588024154384925E-3</v>
      </c>
    </row>
    <row r="1162" spans="1:9" ht="15.6">
      <c r="A1162" s="148">
        <v>42493</v>
      </c>
      <c r="B1162" s="88">
        <v>4.5</v>
      </c>
      <c r="E1162" s="90"/>
      <c r="F1162" s="91"/>
      <c r="G1162" s="90">
        <v>42515</v>
      </c>
      <c r="H1162" s="91">
        <v>242.35</v>
      </c>
      <c r="I1162" s="93">
        <f t="shared" si="17"/>
        <v>1.5716680637049452E-2</v>
      </c>
    </row>
    <row r="1163" spans="1:9" ht="15.6">
      <c r="A1163" s="148">
        <v>42494</v>
      </c>
      <c r="B1163" s="88">
        <v>4.47</v>
      </c>
      <c r="E1163" s="90"/>
      <c r="F1163" s="91"/>
      <c r="G1163" s="90">
        <v>42516</v>
      </c>
      <c r="H1163" s="91">
        <v>242.7</v>
      </c>
      <c r="I1163" s="93">
        <f t="shared" si="17"/>
        <v>1.4441922838868138E-3</v>
      </c>
    </row>
    <row r="1164" spans="1:9" ht="15.6">
      <c r="A1164" s="148">
        <v>42495</v>
      </c>
      <c r="B1164" s="88">
        <v>4.4800000000000004</v>
      </c>
      <c r="E1164" s="90"/>
      <c r="F1164" s="91"/>
      <c r="G1164" s="90">
        <v>42517</v>
      </c>
      <c r="H1164" s="91">
        <v>242.42</v>
      </c>
      <c r="I1164" s="93">
        <f t="shared" si="17"/>
        <v>-1.1536876802636931E-3</v>
      </c>
    </row>
    <row r="1165" spans="1:9" ht="15.6">
      <c r="A1165" s="148">
        <v>42496</v>
      </c>
      <c r="B1165" s="88">
        <v>4.45</v>
      </c>
      <c r="E1165" s="90"/>
      <c r="F1165" s="91"/>
      <c r="G1165" s="90">
        <v>42518</v>
      </c>
      <c r="H1165" s="91">
        <v>243.9</v>
      </c>
      <c r="I1165" s="93">
        <f t="shared" si="17"/>
        <v>6.1051068393698227E-3</v>
      </c>
    </row>
    <row r="1166" spans="1:9" ht="15.6">
      <c r="A1166" s="148">
        <v>42497</v>
      </c>
      <c r="B1166" s="88">
        <v>4.4000000000000004</v>
      </c>
      <c r="E1166" s="90"/>
      <c r="F1166" s="91"/>
      <c r="G1166" s="90">
        <v>42521</v>
      </c>
      <c r="H1166" s="91">
        <v>249.33</v>
      </c>
      <c r="I1166" s="93">
        <f t="shared" si="17"/>
        <v>2.2263222632226354E-2</v>
      </c>
    </row>
    <row r="1167" spans="1:9" ht="15.6">
      <c r="A1167" s="148">
        <v>42500</v>
      </c>
      <c r="B1167" s="88">
        <v>4.3899999999999997</v>
      </c>
      <c r="E1167" s="90"/>
      <c r="F1167" s="91"/>
      <c r="G1167" s="90">
        <v>42522</v>
      </c>
      <c r="H1167" s="91">
        <v>253.66</v>
      </c>
      <c r="I1167" s="93">
        <f t="shared" ref="I1167:I1230" si="18">H1167/H1166-1</f>
        <v>1.7366542333453694E-2</v>
      </c>
    </row>
    <row r="1168" spans="1:9" ht="15.6">
      <c r="A1168" s="148">
        <v>42501</v>
      </c>
      <c r="B1168" s="88">
        <v>4.3499999999999996</v>
      </c>
      <c r="E1168" s="90"/>
      <c r="F1168" s="91"/>
      <c r="G1168" s="90">
        <v>42523</v>
      </c>
      <c r="H1168" s="91">
        <v>258.20999999999998</v>
      </c>
      <c r="I1168" s="93">
        <f t="shared" si="18"/>
        <v>1.7937396515020021E-2</v>
      </c>
    </row>
    <row r="1169" spans="1:9" ht="15.6">
      <c r="A1169" s="148">
        <v>42502</v>
      </c>
      <c r="B1169" s="88">
        <v>4.3499999999999996</v>
      </c>
      <c r="E1169" s="90"/>
      <c r="F1169" s="91"/>
      <c r="G1169" s="90">
        <v>42524</v>
      </c>
      <c r="H1169" s="91">
        <v>258.38</v>
      </c>
      <c r="I1169" s="93">
        <f t="shared" si="18"/>
        <v>6.5837883892960747E-4</v>
      </c>
    </row>
    <row r="1170" spans="1:9" ht="15.6">
      <c r="A1170" s="148">
        <v>42503</v>
      </c>
      <c r="B1170" s="88">
        <v>4.3600000000000003</v>
      </c>
      <c r="E1170" s="90"/>
      <c r="F1170" s="91"/>
      <c r="G1170" s="90">
        <v>42525</v>
      </c>
      <c r="H1170" s="91">
        <v>261.85000000000002</v>
      </c>
      <c r="I1170" s="93">
        <f t="shared" si="18"/>
        <v>1.3429832030342981E-2</v>
      </c>
    </row>
    <row r="1171" spans="1:9" ht="15.6">
      <c r="A1171" s="148">
        <v>42504</v>
      </c>
      <c r="B1171" s="88">
        <v>4.3099999999999996</v>
      </c>
      <c r="E1171" s="90"/>
      <c r="F1171" s="91"/>
      <c r="G1171" s="90">
        <v>42528</v>
      </c>
      <c r="H1171" s="91">
        <v>263.39</v>
      </c>
      <c r="I1171" s="93">
        <f t="shared" si="18"/>
        <v>5.8812297116668244E-3</v>
      </c>
    </row>
    <row r="1172" spans="1:9" ht="15.6">
      <c r="A1172" s="148">
        <v>42507</v>
      </c>
      <c r="B1172" s="88">
        <v>4.25</v>
      </c>
      <c r="E1172" s="90"/>
      <c r="F1172" s="91"/>
      <c r="G1172" s="90">
        <v>42529</v>
      </c>
      <c r="H1172" s="91">
        <v>263.62</v>
      </c>
      <c r="I1172" s="93">
        <f t="shared" si="18"/>
        <v>8.7322981130655286E-4</v>
      </c>
    </row>
    <row r="1173" spans="1:9" ht="15.6">
      <c r="A1173" s="148">
        <v>42508</v>
      </c>
      <c r="B1173" s="88">
        <v>4.22</v>
      </c>
      <c r="E1173" s="90"/>
      <c r="F1173" s="91"/>
      <c r="G1173" s="90">
        <v>42530</v>
      </c>
      <c r="H1173" s="91">
        <v>264.12</v>
      </c>
      <c r="I1173" s="93">
        <f t="shared" si="18"/>
        <v>1.8966694484485735E-3</v>
      </c>
    </row>
    <row r="1174" spans="1:9" ht="15.6">
      <c r="A1174" s="148">
        <v>42509</v>
      </c>
      <c r="B1174" s="88">
        <v>4.1399999999999997</v>
      </c>
      <c r="E1174" s="90"/>
      <c r="F1174" s="91"/>
      <c r="G1174" s="90">
        <v>42531</v>
      </c>
      <c r="H1174" s="91">
        <v>259.01</v>
      </c>
      <c r="I1174" s="93">
        <f t="shared" si="18"/>
        <v>-1.9347266394063367E-2</v>
      </c>
    </row>
    <row r="1175" spans="1:9" ht="15.6">
      <c r="A1175" s="148">
        <v>42510</v>
      </c>
      <c r="B1175" s="88">
        <v>4.05</v>
      </c>
      <c r="E1175" s="90"/>
      <c r="F1175" s="91"/>
      <c r="G1175" s="90">
        <v>42532</v>
      </c>
      <c r="H1175" s="91">
        <v>258.13</v>
      </c>
      <c r="I1175" s="93">
        <f t="shared" si="18"/>
        <v>-3.3975522180610396E-3</v>
      </c>
    </row>
    <row r="1176" spans="1:9" ht="15.6">
      <c r="A1176" s="148">
        <v>42511</v>
      </c>
      <c r="B1176" s="88">
        <v>4.0599999999999996</v>
      </c>
      <c r="E1176" s="90"/>
      <c r="F1176" s="91"/>
      <c r="G1176" s="90">
        <v>42535</v>
      </c>
      <c r="H1176" s="91">
        <v>254.1</v>
      </c>
      <c r="I1176" s="93">
        <f t="shared" si="18"/>
        <v>-1.5612288381823158E-2</v>
      </c>
    </row>
    <row r="1177" spans="1:9" ht="15.6">
      <c r="A1177" s="148">
        <v>42514</v>
      </c>
      <c r="B1177" s="88">
        <v>4.05</v>
      </c>
      <c r="E1177" s="90"/>
      <c r="F1177" s="91"/>
      <c r="G1177" s="90">
        <v>42536</v>
      </c>
      <c r="H1177" s="91">
        <v>259.01</v>
      </c>
      <c r="I1177" s="93">
        <f t="shared" si="18"/>
        <v>1.9323101141282883E-2</v>
      </c>
    </row>
    <row r="1178" spans="1:9" ht="15.6">
      <c r="A1178" s="148">
        <v>42515</v>
      </c>
      <c r="B1178" s="88">
        <v>4.01</v>
      </c>
      <c r="E1178" s="90"/>
      <c r="F1178" s="91"/>
      <c r="G1178" s="90">
        <v>42537</v>
      </c>
      <c r="H1178" s="91">
        <v>260.51</v>
      </c>
      <c r="I1178" s="93">
        <f t="shared" si="18"/>
        <v>5.7912821898769007E-3</v>
      </c>
    </row>
    <row r="1179" spans="1:9" ht="15.6">
      <c r="A1179" s="148">
        <v>42516</v>
      </c>
      <c r="B1179" s="88">
        <v>3.99</v>
      </c>
      <c r="E1179" s="90"/>
      <c r="F1179" s="91"/>
      <c r="G1179" s="90">
        <v>42538</v>
      </c>
      <c r="H1179" s="91">
        <v>260.85000000000002</v>
      </c>
      <c r="I1179" s="93">
        <f t="shared" si="18"/>
        <v>1.3051322406050225E-3</v>
      </c>
    </row>
    <row r="1180" spans="1:9" ht="15.6">
      <c r="A1180" s="148">
        <v>42517</v>
      </c>
      <c r="B1180" s="88">
        <v>3.98</v>
      </c>
      <c r="E1180" s="90"/>
      <c r="F1180" s="91"/>
      <c r="G1180" s="90">
        <v>42539</v>
      </c>
      <c r="H1180" s="91">
        <v>262.5</v>
      </c>
      <c r="I1180" s="93">
        <f t="shared" si="18"/>
        <v>6.3254744105807337E-3</v>
      </c>
    </row>
    <row r="1181" spans="1:9" ht="15.6">
      <c r="A1181" s="148">
        <v>42518</v>
      </c>
      <c r="B1181" s="88">
        <v>3.98</v>
      </c>
      <c r="E1181" s="90"/>
      <c r="F1181" s="91"/>
      <c r="G1181" s="90">
        <v>42542</v>
      </c>
      <c r="H1181" s="91">
        <v>262.77</v>
      </c>
      <c r="I1181" s="93">
        <f t="shared" si="18"/>
        <v>1.0285714285713787E-3</v>
      </c>
    </row>
    <row r="1182" spans="1:9" ht="15.6">
      <c r="A1182" s="148">
        <v>42520</v>
      </c>
      <c r="B1182" s="88">
        <v>3.99</v>
      </c>
      <c r="E1182" s="90"/>
      <c r="F1182" s="91"/>
      <c r="G1182" s="90">
        <v>42543</v>
      </c>
      <c r="H1182" s="91">
        <v>266.39999999999998</v>
      </c>
      <c r="I1182" s="93">
        <f t="shared" si="18"/>
        <v>1.381436237013367E-2</v>
      </c>
    </row>
    <row r="1183" spans="1:9" ht="15.6">
      <c r="A1183" s="148">
        <v>42521</v>
      </c>
      <c r="B1183" s="88">
        <v>3.96</v>
      </c>
      <c r="E1183" s="90"/>
      <c r="F1183" s="91"/>
      <c r="G1183" s="90">
        <v>42544</v>
      </c>
      <c r="H1183" s="91">
        <v>264.45999999999998</v>
      </c>
      <c r="I1183" s="93">
        <f t="shared" si="18"/>
        <v>-7.2822822822822264E-3</v>
      </c>
    </row>
    <row r="1184" spans="1:9" ht="15.6">
      <c r="A1184" s="148">
        <v>42522</v>
      </c>
      <c r="B1184" s="88">
        <v>3.93</v>
      </c>
      <c r="E1184" s="90"/>
      <c r="F1184" s="91"/>
      <c r="G1184" s="90">
        <v>42545</v>
      </c>
      <c r="H1184" s="91">
        <v>263.75</v>
      </c>
      <c r="I1184" s="93">
        <f t="shared" si="18"/>
        <v>-2.6847160251076696E-3</v>
      </c>
    </row>
    <row r="1185" spans="1:9" ht="15.6">
      <c r="A1185" s="148">
        <v>42523</v>
      </c>
      <c r="B1185" s="88">
        <v>3.88</v>
      </c>
      <c r="E1185" s="90"/>
      <c r="F1185" s="91"/>
      <c r="G1185" s="90">
        <v>42546</v>
      </c>
      <c r="H1185" s="91">
        <v>261.81</v>
      </c>
      <c r="I1185" s="93">
        <f t="shared" si="18"/>
        <v>-7.3554502369668207E-3</v>
      </c>
    </row>
    <row r="1186" spans="1:9" ht="15.6">
      <c r="A1186" s="148">
        <v>42524</v>
      </c>
      <c r="B1186" s="88">
        <v>3.87</v>
      </c>
      <c r="E1186" s="90"/>
      <c r="F1186" s="91"/>
      <c r="G1186" s="90">
        <v>42549</v>
      </c>
      <c r="H1186" s="91">
        <v>261.11</v>
      </c>
      <c r="I1186" s="93">
        <f t="shared" si="18"/>
        <v>-2.6736946640693038E-3</v>
      </c>
    </row>
    <row r="1187" spans="1:9" ht="15.6">
      <c r="A1187" s="148">
        <v>42525</v>
      </c>
      <c r="B1187" s="88">
        <v>3.82</v>
      </c>
      <c r="E1187" s="90"/>
      <c r="F1187" s="91"/>
      <c r="G1187" s="90">
        <v>42550</v>
      </c>
      <c r="H1187" s="91">
        <v>261.23</v>
      </c>
      <c r="I1187" s="93">
        <f t="shared" si="18"/>
        <v>4.5957642372940199E-4</v>
      </c>
    </row>
    <row r="1188" spans="1:9" ht="15.6">
      <c r="A1188" s="148">
        <v>42528</v>
      </c>
      <c r="B1188" s="88">
        <v>3.76</v>
      </c>
      <c r="E1188" s="90"/>
      <c r="F1188" s="91"/>
      <c r="G1188" s="90">
        <v>42551</v>
      </c>
      <c r="H1188" s="91">
        <v>262.85000000000002</v>
      </c>
      <c r="I1188" s="93">
        <f t="shared" si="18"/>
        <v>6.2014316885503629E-3</v>
      </c>
    </row>
    <row r="1189" spans="1:9" ht="15.6">
      <c r="A1189" s="148">
        <v>42529</v>
      </c>
      <c r="B1189" s="88">
        <v>3.74</v>
      </c>
      <c r="E1189" s="90"/>
      <c r="F1189" s="91"/>
      <c r="G1189" s="90">
        <v>42552</v>
      </c>
      <c r="H1189" s="91">
        <v>269.22000000000003</v>
      </c>
      <c r="I1189" s="93">
        <f t="shared" si="18"/>
        <v>2.4234354194407448E-2</v>
      </c>
    </row>
    <row r="1190" spans="1:9" ht="15.6">
      <c r="A1190" s="148">
        <v>42530</v>
      </c>
      <c r="B1190" s="88">
        <v>3.73</v>
      </c>
      <c r="E1190" s="90"/>
      <c r="F1190" s="91"/>
      <c r="G1190" s="90">
        <v>42553</v>
      </c>
      <c r="H1190" s="91">
        <v>271.7</v>
      </c>
      <c r="I1190" s="93">
        <f t="shared" si="18"/>
        <v>9.2117970433100993E-3</v>
      </c>
    </row>
    <row r="1191" spans="1:9" ht="15.6">
      <c r="A1191" s="148">
        <v>42531</v>
      </c>
      <c r="B1191" s="88">
        <v>3.75</v>
      </c>
      <c r="E1191" s="90"/>
      <c r="F1191" s="91"/>
      <c r="G1191" s="90">
        <v>42556</v>
      </c>
      <c r="H1191" s="91">
        <v>278.94</v>
      </c>
      <c r="I1191" s="93">
        <f t="shared" si="18"/>
        <v>2.6647037173352928E-2</v>
      </c>
    </row>
    <row r="1192" spans="1:9" ht="15.6">
      <c r="A1192" s="148">
        <v>42532</v>
      </c>
      <c r="B1192" s="88">
        <v>3.76</v>
      </c>
      <c r="E1192" s="90"/>
      <c r="F1192" s="91"/>
      <c r="G1192" s="90">
        <v>42557</v>
      </c>
      <c r="H1192" s="91">
        <v>277.2</v>
      </c>
      <c r="I1192" s="93">
        <f t="shared" si="18"/>
        <v>-6.2379006237901491E-3</v>
      </c>
    </row>
    <row r="1193" spans="1:9" ht="15.6">
      <c r="A1193" s="148">
        <v>42535</v>
      </c>
      <c r="B1193" s="88">
        <v>3.79</v>
      </c>
      <c r="E1193" s="90"/>
      <c r="F1193" s="91"/>
      <c r="G1193" s="90">
        <v>42558</v>
      </c>
      <c r="H1193" s="91">
        <v>281.73</v>
      </c>
      <c r="I1193" s="93">
        <f t="shared" si="18"/>
        <v>1.6341991341991546E-2</v>
      </c>
    </row>
    <row r="1194" spans="1:9" ht="15.6">
      <c r="A1194" s="148">
        <v>42536</v>
      </c>
      <c r="B1194" s="88">
        <v>3.74</v>
      </c>
      <c r="E1194" s="90"/>
      <c r="F1194" s="91"/>
      <c r="G1194" s="90">
        <v>42559</v>
      </c>
      <c r="H1194" s="91">
        <v>284.11</v>
      </c>
      <c r="I1194" s="93">
        <f t="shared" si="18"/>
        <v>8.4478046356439851E-3</v>
      </c>
    </row>
    <row r="1195" spans="1:9" ht="15.6">
      <c r="A1195" s="148">
        <v>42537</v>
      </c>
      <c r="B1195" s="88">
        <v>3.75</v>
      </c>
      <c r="E1195" s="90"/>
      <c r="F1195" s="91"/>
      <c r="G1195" s="90">
        <v>42560</v>
      </c>
      <c r="H1195" s="91">
        <v>281.41000000000003</v>
      </c>
      <c r="I1195" s="93">
        <f t="shared" si="18"/>
        <v>-9.5033613741156708E-3</v>
      </c>
    </row>
    <row r="1196" spans="1:9" ht="15.6">
      <c r="A1196" s="148">
        <v>42538</v>
      </c>
      <c r="B1196" s="88">
        <v>3.74</v>
      </c>
      <c r="E1196" s="90"/>
      <c r="F1196" s="91"/>
      <c r="G1196" s="90">
        <v>42563</v>
      </c>
      <c r="H1196" s="91">
        <v>281.77</v>
      </c>
      <c r="I1196" s="93">
        <f t="shared" si="18"/>
        <v>1.2792722362386932E-3</v>
      </c>
    </row>
    <row r="1197" spans="1:9" ht="15.6">
      <c r="A1197" s="148">
        <v>42539</v>
      </c>
      <c r="B1197" s="88">
        <v>3.72</v>
      </c>
      <c r="E1197" s="90"/>
      <c r="F1197" s="91"/>
      <c r="G1197" s="90">
        <v>42564</v>
      </c>
      <c r="H1197" s="91">
        <v>278.27</v>
      </c>
      <c r="I1197" s="93">
        <f t="shared" si="18"/>
        <v>-1.2421478510842188E-2</v>
      </c>
    </row>
    <row r="1198" spans="1:9" ht="15.6">
      <c r="A1198" s="148">
        <v>42542</v>
      </c>
      <c r="B1198" s="88">
        <v>3.72</v>
      </c>
      <c r="E1198" s="90"/>
      <c r="F1198" s="91"/>
      <c r="G1198" s="90">
        <v>42565</v>
      </c>
      <c r="H1198" s="91">
        <v>279.57</v>
      </c>
      <c r="I1198" s="93">
        <f t="shared" si="18"/>
        <v>4.6717217091314378E-3</v>
      </c>
    </row>
    <row r="1199" spans="1:9" ht="15.6">
      <c r="A1199" s="148">
        <v>42543</v>
      </c>
      <c r="B1199" s="88">
        <v>3.71</v>
      </c>
      <c r="E1199" s="90"/>
      <c r="F1199" s="91"/>
      <c r="G1199" s="90">
        <v>42566</v>
      </c>
      <c r="H1199" s="91">
        <v>274.64</v>
      </c>
      <c r="I1199" s="93">
        <f t="shared" si="18"/>
        <v>-1.7634223986837005E-2</v>
      </c>
    </row>
    <row r="1200" spans="1:9" ht="15.6">
      <c r="A1200" s="148">
        <v>42544</v>
      </c>
      <c r="B1200" s="88">
        <v>3.72</v>
      </c>
      <c r="E1200" s="90"/>
      <c r="F1200" s="91"/>
      <c r="G1200" s="90">
        <v>42567</v>
      </c>
      <c r="H1200" s="91">
        <v>276.79000000000002</v>
      </c>
      <c r="I1200" s="93">
        <f t="shared" si="18"/>
        <v>7.8284299446549355E-3</v>
      </c>
    </row>
    <row r="1201" spans="1:9" ht="15.6">
      <c r="A1201" s="148">
        <v>42545</v>
      </c>
      <c r="B1201" s="88">
        <v>3.72</v>
      </c>
      <c r="E1201" s="90"/>
      <c r="F1201" s="91"/>
      <c r="G1201" s="90">
        <v>42570</v>
      </c>
      <c r="H1201" s="91">
        <v>279.70999999999998</v>
      </c>
      <c r="I1201" s="93">
        <f t="shared" si="18"/>
        <v>1.0549514072039967E-2</v>
      </c>
    </row>
    <row r="1202" spans="1:9" ht="15.6">
      <c r="A1202" s="148">
        <v>42546</v>
      </c>
      <c r="B1202" s="88">
        <v>3.71</v>
      </c>
      <c r="E1202" s="90"/>
      <c r="F1202" s="91"/>
      <c r="G1202" s="90">
        <v>42571</v>
      </c>
      <c r="H1202" s="91">
        <v>284.60000000000002</v>
      </c>
      <c r="I1202" s="93">
        <f t="shared" si="18"/>
        <v>1.7482392477923714E-2</v>
      </c>
    </row>
    <row r="1203" spans="1:9" ht="15.6">
      <c r="A1203" s="148">
        <v>42549</v>
      </c>
      <c r="B1203" s="88">
        <v>3.71</v>
      </c>
      <c r="E1203" s="90"/>
      <c r="F1203" s="91"/>
      <c r="G1203" s="90">
        <v>42572</v>
      </c>
      <c r="H1203" s="91">
        <v>282.72000000000003</v>
      </c>
      <c r="I1203" s="93">
        <f t="shared" si="18"/>
        <v>-6.605762473647192E-3</v>
      </c>
    </row>
    <row r="1204" spans="1:9" ht="15.6">
      <c r="A1204" s="148">
        <v>42550</v>
      </c>
      <c r="B1204" s="88">
        <v>3.62</v>
      </c>
      <c r="E1204" s="90"/>
      <c r="F1204" s="91"/>
      <c r="G1204" s="90">
        <v>42573</v>
      </c>
      <c r="H1204" s="91">
        <v>282.89999999999998</v>
      </c>
      <c r="I1204" s="93">
        <f t="shared" si="18"/>
        <v>6.3667232597608425E-4</v>
      </c>
    </row>
    <row r="1205" spans="1:9" ht="15.6">
      <c r="A1205" s="148">
        <v>42551</v>
      </c>
      <c r="B1205" s="88">
        <v>3.62</v>
      </c>
      <c r="E1205" s="90"/>
      <c r="F1205" s="91"/>
      <c r="G1205" s="90">
        <v>42574</v>
      </c>
      <c r="H1205" s="91">
        <v>278.11</v>
      </c>
      <c r="I1205" s="93">
        <f t="shared" si="18"/>
        <v>-1.6931778013432153E-2</v>
      </c>
    </row>
    <row r="1206" spans="1:9" ht="15.6">
      <c r="A1206" s="148">
        <v>42552</v>
      </c>
      <c r="B1206" s="88">
        <v>3.6</v>
      </c>
      <c r="E1206" s="90"/>
      <c r="F1206" s="91"/>
      <c r="G1206" s="90">
        <v>42577</v>
      </c>
      <c r="H1206" s="91">
        <v>280.45999999999998</v>
      </c>
      <c r="I1206" s="93">
        <f t="shared" si="18"/>
        <v>8.4498939268633499E-3</v>
      </c>
    </row>
    <row r="1207" spans="1:9" ht="15.6">
      <c r="A1207" s="148">
        <v>42553</v>
      </c>
      <c r="B1207" s="88">
        <v>3.59</v>
      </c>
      <c r="E1207" s="90"/>
      <c r="F1207" s="91"/>
      <c r="G1207" s="90">
        <v>42578</v>
      </c>
      <c r="H1207" s="91">
        <v>282</v>
      </c>
      <c r="I1207" s="93">
        <f t="shared" si="18"/>
        <v>5.4909791057549118E-3</v>
      </c>
    </row>
    <row r="1208" spans="1:9" ht="15.6">
      <c r="A1208" s="148">
        <v>42556</v>
      </c>
      <c r="B1208" s="88">
        <v>3.55</v>
      </c>
      <c r="E1208" s="90"/>
      <c r="F1208" s="91"/>
      <c r="G1208" s="90">
        <v>42579</v>
      </c>
      <c r="H1208" s="91">
        <v>283.33</v>
      </c>
      <c r="I1208" s="93">
        <f t="shared" si="18"/>
        <v>4.7163120567375039E-3</v>
      </c>
    </row>
    <row r="1209" spans="1:9" ht="15.6">
      <c r="A1209" s="148">
        <v>42557</v>
      </c>
      <c r="B1209" s="88">
        <v>3.55</v>
      </c>
      <c r="E1209" s="90"/>
      <c r="F1209" s="91"/>
      <c r="G1209" s="90">
        <v>42580</v>
      </c>
      <c r="H1209" s="91">
        <v>281.89</v>
      </c>
      <c r="I1209" s="93">
        <f t="shared" si="18"/>
        <v>-5.0824127342674608E-3</v>
      </c>
    </row>
    <row r="1210" spans="1:9" ht="15.6">
      <c r="A1210" s="148">
        <v>42558</v>
      </c>
      <c r="B1210" s="88">
        <v>3.53</v>
      </c>
      <c r="E1210" s="90"/>
      <c r="F1210" s="91"/>
      <c r="G1210" s="90">
        <v>42581</v>
      </c>
      <c r="H1210" s="91">
        <v>281.56</v>
      </c>
      <c r="I1210" s="93">
        <f t="shared" si="18"/>
        <v>-1.1706694100535042E-3</v>
      </c>
    </row>
    <row r="1211" spans="1:9" ht="15.6">
      <c r="A1211" s="148">
        <v>42559</v>
      </c>
      <c r="B1211" s="88">
        <v>3.53</v>
      </c>
      <c r="E1211" s="90"/>
      <c r="F1211" s="91"/>
      <c r="G1211" s="90">
        <v>42584</v>
      </c>
      <c r="H1211" s="91">
        <v>281.20999999999998</v>
      </c>
      <c r="I1211" s="93">
        <f t="shared" si="18"/>
        <v>-1.2430743003268852E-3</v>
      </c>
    </row>
    <row r="1212" spans="1:9" ht="15.6">
      <c r="A1212" s="148">
        <v>42560</v>
      </c>
      <c r="B1212" s="88">
        <v>3.53</v>
      </c>
      <c r="E1212" s="90"/>
      <c r="F1212" s="91"/>
      <c r="G1212" s="90">
        <v>42585</v>
      </c>
      <c r="H1212" s="91">
        <v>284</v>
      </c>
      <c r="I1212" s="93">
        <f t="shared" si="18"/>
        <v>9.9214110451264492E-3</v>
      </c>
    </row>
    <row r="1213" spans="1:9" ht="15.6">
      <c r="A1213" s="148">
        <v>42563</v>
      </c>
      <c r="B1213" s="88">
        <v>3.52</v>
      </c>
      <c r="E1213" s="90"/>
      <c r="F1213" s="91"/>
      <c r="G1213" s="90">
        <v>42586</v>
      </c>
      <c r="H1213" s="91">
        <v>287.33999999999997</v>
      </c>
      <c r="I1213" s="93">
        <f t="shared" si="18"/>
        <v>1.176056338028153E-2</v>
      </c>
    </row>
    <row r="1214" spans="1:9" ht="15.6">
      <c r="A1214" s="148">
        <v>42564</v>
      </c>
      <c r="B1214" s="88">
        <v>3.52</v>
      </c>
      <c r="E1214" s="90"/>
      <c r="F1214" s="91"/>
      <c r="G1214" s="90">
        <v>42587</v>
      </c>
      <c r="H1214" s="91">
        <v>287.58999999999997</v>
      </c>
      <c r="I1214" s="93">
        <f t="shared" si="18"/>
        <v>8.7004941880697295E-4</v>
      </c>
    </row>
    <row r="1215" spans="1:9" ht="15.6">
      <c r="A1215" s="148">
        <v>42565</v>
      </c>
      <c r="B1215" s="88">
        <v>3.51</v>
      </c>
      <c r="E1215" s="90"/>
      <c r="F1215" s="91"/>
      <c r="G1215" s="90">
        <v>42588</v>
      </c>
      <c r="H1215" s="91">
        <v>283.29000000000002</v>
      </c>
      <c r="I1215" s="93">
        <f t="shared" si="18"/>
        <v>-1.4951841162766266E-2</v>
      </c>
    </row>
    <row r="1216" spans="1:9" ht="15.6">
      <c r="A1216" s="148">
        <v>42566</v>
      </c>
      <c r="B1216" s="88">
        <v>3.5</v>
      </c>
      <c r="E1216" s="90"/>
      <c r="F1216" s="91"/>
      <c r="G1216" s="90">
        <v>42591</v>
      </c>
      <c r="H1216" s="91">
        <v>282.39999999999998</v>
      </c>
      <c r="I1216" s="93">
        <f t="shared" si="18"/>
        <v>-3.1416569592997989E-3</v>
      </c>
    </row>
    <row r="1217" spans="1:9" ht="15.6">
      <c r="A1217" s="148">
        <v>42567</v>
      </c>
      <c r="B1217" s="88">
        <v>3.47</v>
      </c>
      <c r="E1217" s="90"/>
      <c r="F1217" s="91"/>
      <c r="G1217" s="90">
        <v>42592</v>
      </c>
      <c r="H1217" s="91">
        <v>283.31</v>
      </c>
      <c r="I1217" s="93">
        <f t="shared" si="18"/>
        <v>3.222379603399439E-3</v>
      </c>
    </row>
    <row r="1218" spans="1:9" ht="15.6">
      <c r="A1218" s="148">
        <v>42570</v>
      </c>
      <c r="B1218" s="88">
        <v>3.45</v>
      </c>
      <c r="E1218" s="90"/>
      <c r="F1218" s="91"/>
      <c r="G1218" s="90">
        <v>42593</v>
      </c>
      <c r="H1218" s="91">
        <v>283.63</v>
      </c>
      <c r="I1218" s="93">
        <f t="shared" si="18"/>
        <v>1.1295047827468707E-3</v>
      </c>
    </row>
    <row r="1219" spans="1:9" ht="15.6">
      <c r="A1219" s="148">
        <v>42571</v>
      </c>
      <c r="B1219" s="88">
        <v>3.4</v>
      </c>
      <c r="E1219" s="90"/>
      <c r="F1219" s="91"/>
      <c r="G1219" s="90">
        <v>42594</v>
      </c>
      <c r="H1219" s="91">
        <v>284.13</v>
      </c>
      <c r="I1219" s="93">
        <f t="shared" si="18"/>
        <v>1.762860064168148E-3</v>
      </c>
    </row>
    <row r="1220" spans="1:9" ht="15.6">
      <c r="A1220" s="148">
        <v>42572</v>
      </c>
      <c r="B1220" s="88">
        <v>3.35</v>
      </c>
      <c r="E1220" s="90"/>
      <c r="F1220" s="91"/>
      <c r="G1220" s="90">
        <v>42595</v>
      </c>
      <c r="H1220" s="91">
        <v>283.91000000000003</v>
      </c>
      <c r="I1220" s="93">
        <f t="shared" si="18"/>
        <v>-7.742934572201321E-4</v>
      </c>
    </row>
    <row r="1221" spans="1:9" ht="15.6">
      <c r="A1221" s="148">
        <v>42573</v>
      </c>
      <c r="B1221" s="88">
        <v>3.34</v>
      </c>
      <c r="E1221" s="90"/>
      <c r="F1221" s="91"/>
      <c r="G1221" s="90">
        <v>42598</v>
      </c>
      <c r="H1221" s="91">
        <v>285.83</v>
      </c>
      <c r="I1221" s="93">
        <f t="shared" si="18"/>
        <v>6.7627064914936863E-3</v>
      </c>
    </row>
    <row r="1222" spans="1:9" ht="15.6">
      <c r="A1222" s="148">
        <v>42574</v>
      </c>
      <c r="B1222" s="88">
        <v>3.35</v>
      </c>
      <c r="E1222" s="90"/>
      <c r="F1222" s="91"/>
      <c r="G1222" s="90">
        <v>42599</v>
      </c>
      <c r="H1222" s="91">
        <v>288.17</v>
      </c>
      <c r="I1222" s="93">
        <f t="shared" si="18"/>
        <v>8.1866843928211086E-3</v>
      </c>
    </row>
    <row r="1223" spans="1:9" ht="15.6">
      <c r="A1223" s="148">
        <v>42577</v>
      </c>
      <c r="B1223" s="88">
        <v>3.33</v>
      </c>
      <c r="E1223" s="90"/>
      <c r="F1223" s="91"/>
      <c r="G1223" s="90">
        <v>42600</v>
      </c>
      <c r="H1223" s="91">
        <v>286.83</v>
      </c>
      <c r="I1223" s="93">
        <f t="shared" si="18"/>
        <v>-4.6500329666517848E-3</v>
      </c>
    </row>
    <row r="1224" spans="1:9" ht="15.6">
      <c r="A1224" s="148">
        <v>42578</v>
      </c>
      <c r="B1224" s="88">
        <v>3.32</v>
      </c>
      <c r="E1224" s="90"/>
      <c r="F1224" s="91"/>
      <c r="G1224" s="90">
        <v>42601</v>
      </c>
      <c r="H1224" s="91">
        <v>282.97000000000003</v>
      </c>
      <c r="I1224" s="93">
        <f t="shared" si="18"/>
        <v>-1.3457448662970939E-2</v>
      </c>
    </row>
    <row r="1225" spans="1:9" ht="15.6">
      <c r="A1225" s="148">
        <v>42579</v>
      </c>
      <c r="B1225" s="88">
        <v>3.3</v>
      </c>
      <c r="E1225" s="90"/>
      <c r="F1225" s="91"/>
      <c r="G1225" s="90">
        <v>42602</v>
      </c>
      <c r="H1225" s="91">
        <v>285.62</v>
      </c>
      <c r="I1225" s="93">
        <f t="shared" si="18"/>
        <v>9.3649503480932594E-3</v>
      </c>
    </row>
    <row r="1226" spans="1:9" ht="15.6">
      <c r="A1226" s="148">
        <v>42580</v>
      </c>
      <c r="B1226" s="88">
        <v>3.28</v>
      </c>
      <c r="E1226" s="90"/>
      <c r="F1226" s="91"/>
      <c r="G1226" s="90">
        <v>42605</v>
      </c>
      <c r="H1226" s="91">
        <v>289.79000000000002</v>
      </c>
      <c r="I1226" s="93">
        <f t="shared" si="18"/>
        <v>1.4599817939920268E-2</v>
      </c>
    </row>
    <row r="1227" spans="1:9" ht="15.6">
      <c r="A1227" s="148">
        <v>42581</v>
      </c>
      <c r="B1227" s="88">
        <v>3.25</v>
      </c>
      <c r="E1227" s="90"/>
      <c r="F1227" s="91"/>
      <c r="G1227" s="90">
        <v>42606</v>
      </c>
      <c r="H1227" s="91">
        <v>290.89</v>
      </c>
      <c r="I1227" s="93">
        <f t="shared" si="18"/>
        <v>3.7958521688117308E-3</v>
      </c>
    </row>
    <row r="1228" spans="1:9" ht="15.6">
      <c r="A1228" s="148">
        <v>42584</v>
      </c>
      <c r="B1228" s="88">
        <v>3.24</v>
      </c>
      <c r="E1228" s="90"/>
      <c r="F1228" s="91"/>
      <c r="G1228" s="90">
        <v>42607</v>
      </c>
      <c r="H1228" s="91">
        <v>291.85000000000002</v>
      </c>
      <c r="I1228" s="93">
        <f t="shared" si="18"/>
        <v>3.3002165767128666E-3</v>
      </c>
    </row>
    <row r="1229" spans="1:9" ht="15.6">
      <c r="A1229" s="148">
        <v>42585</v>
      </c>
      <c r="B1229" s="88">
        <v>3.2</v>
      </c>
      <c r="E1229" s="90"/>
      <c r="F1229" s="91"/>
      <c r="G1229" s="90">
        <v>42608</v>
      </c>
      <c r="H1229" s="91">
        <v>291.77</v>
      </c>
      <c r="I1229" s="93">
        <f t="shared" si="18"/>
        <v>-2.7411341442540316E-4</v>
      </c>
    </row>
    <row r="1230" spans="1:9" ht="15.6">
      <c r="A1230" s="148">
        <v>42586</v>
      </c>
      <c r="B1230" s="88">
        <v>3.17</v>
      </c>
      <c r="E1230" s="90"/>
      <c r="F1230" s="91"/>
      <c r="G1230" s="90">
        <v>42609</v>
      </c>
      <c r="H1230" s="91">
        <v>293.3</v>
      </c>
      <c r="I1230" s="93">
        <f t="shared" si="18"/>
        <v>5.2438564622820927E-3</v>
      </c>
    </row>
    <row r="1231" spans="1:9" ht="15.6">
      <c r="A1231" s="148">
        <v>42587</v>
      </c>
      <c r="B1231" s="88">
        <v>3.14</v>
      </c>
      <c r="E1231" s="90"/>
      <c r="F1231" s="91"/>
      <c r="G1231" s="90">
        <v>42612</v>
      </c>
      <c r="H1231" s="91">
        <v>288.68</v>
      </c>
      <c r="I1231" s="93">
        <f t="shared" ref="I1231:I1294" si="19">H1231/H1230-1</f>
        <v>-1.575178997613369E-2</v>
      </c>
    </row>
    <row r="1232" spans="1:9" ht="15.6">
      <c r="A1232" s="148">
        <v>42588</v>
      </c>
      <c r="B1232" s="88">
        <v>3.13</v>
      </c>
      <c r="E1232" s="90"/>
      <c r="F1232" s="91"/>
      <c r="G1232" s="90">
        <v>42613</v>
      </c>
      <c r="H1232" s="91">
        <v>293.31</v>
      </c>
      <c r="I1232" s="93">
        <f t="shared" si="19"/>
        <v>1.6038520160731595E-2</v>
      </c>
    </row>
    <row r="1233" spans="1:9" ht="15.6">
      <c r="A1233" s="148">
        <v>42591</v>
      </c>
      <c r="B1233" s="88">
        <v>3.13</v>
      </c>
      <c r="E1233" s="90"/>
      <c r="F1233" s="91"/>
      <c r="G1233" s="90">
        <v>42614</v>
      </c>
      <c r="H1233" s="91">
        <v>293.01</v>
      </c>
      <c r="I1233" s="93">
        <f t="shared" si="19"/>
        <v>-1.0228086325049235E-3</v>
      </c>
    </row>
    <row r="1234" spans="1:9" ht="15.6">
      <c r="A1234" s="148">
        <v>42592</v>
      </c>
      <c r="B1234" s="88">
        <v>3.12</v>
      </c>
      <c r="E1234" s="90"/>
      <c r="F1234" s="91"/>
      <c r="G1234" s="90">
        <v>42615</v>
      </c>
      <c r="H1234" s="91">
        <v>289.95</v>
      </c>
      <c r="I1234" s="93">
        <f t="shared" si="19"/>
        <v>-1.0443329579195249E-2</v>
      </c>
    </row>
    <row r="1235" spans="1:9" ht="15.6">
      <c r="A1235" s="148">
        <v>42593</v>
      </c>
      <c r="B1235" s="88">
        <v>3.13</v>
      </c>
      <c r="E1235" s="90"/>
      <c r="F1235" s="91"/>
      <c r="G1235" s="90">
        <v>42616</v>
      </c>
      <c r="H1235" s="91">
        <v>287.88</v>
      </c>
      <c r="I1235" s="93">
        <f t="shared" si="19"/>
        <v>-7.139161924469728E-3</v>
      </c>
    </row>
    <row r="1236" spans="1:9" ht="15.6">
      <c r="A1236" s="148">
        <v>42594</v>
      </c>
      <c r="B1236" s="88">
        <v>3.14</v>
      </c>
      <c r="E1236" s="90"/>
      <c r="F1236" s="91"/>
      <c r="G1236" s="90">
        <v>42619</v>
      </c>
      <c r="H1236" s="91">
        <v>286.14</v>
      </c>
      <c r="I1236" s="93">
        <f t="shared" si="19"/>
        <v>-6.0441850771154604E-3</v>
      </c>
    </row>
    <row r="1237" spans="1:9" ht="15.6">
      <c r="A1237" s="148">
        <v>42595</v>
      </c>
      <c r="B1237" s="88">
        <v>3.16</v>
      </c>
      <c r="E1237" s="90"/>
      <c r="F1237" s="91"/>
      <c r="G1237" s="90">
        <v>42620</v>
      </c>
      <c r="H1237" s="91">
        <v>283.75</v>
      </c>
      <c r="I1237" s="93">
        <f t="shared" si="19"/>
        <v>-8.3525546935065975E-3</v>
      </c>
    </row>
    <row r="1238" spans="1:9" ht="15.6">
      <c r="A1238" s="148">
        <v>42598</v>
      </c>
      <c r="B1238" s="88">
        <v>3.16</v>
      </c>
      <c r="E1238" s="90"/>
      <c r="F1238" s="91"/>
      <c r="G1238" s="90">
        <v>42621</v>
      </c>
      <c r="H1238" s="91">
        <v>283.7</v>
      </c>
      <c r="I1238" s="93">
        <f t="shared" si="19"/>
        <v>-1.7621145374457914E-4</v>
      </c>
    </row>
    <row r="1239" spans="1:9" ht="15.6">
      <c r="A1239" s="148">
        <v>42599</v>
      </c>
      <c r="B1239" s="88">
        <v>3.16</v>
      </c>
      <c r="E1239" s="90"/>
      <c r="F1239" s="91"/>
      <c r="G1239" s="90">
        <v>42622</v>
      </c>
      <c r="H1239" s="91">
        <v>283.08</v>
      </c>
      <c r="I1239" s="93">
        <f t="shared" si="19"/>
        <v>-2.1854071201974357E-3</v>
      </c>
    </row>
    <row r="1240" spans="1:9" ht="15.6">
      <c r="A1240" s="148">
        <v>42600</v>
      </c>
      <c r="B1240" s="88">
        <v>3.15</v>
      </c>
      <c r="E1240" s="90"/>
      <c r="F1240" s="91"/>
      <c r="G1240" s="90">
        <v>42623</v>
      </c>
      <c r="H1240" s="91">
        <v>284.64999999999998</v>
      </c>
      <c r="I1240" s="93">
        <f t="shared" si="19"/>
        <v>5.5461353680938963E-3</v>
      </c>
    </row>
    <row r="1241" spans="1:9" ht="15.6">
      <c r="A1241" s="148">
        <v>42601</v>
      </c>
      <c r="B1241" s="88">
        <v>3.16</v>
      </c>
      <c r="E1241" s="90"/>
      <c r="F1241" s="91"/>
      <c r="G1241" s="90">
        <v>42626</v>
      </c>
      <c r="H1241" s="91">
        <v>287.67</v>
      </c>
      <c r="I1241" s="93">
        <f t="shared" si="19"/>
        <v>1.060952046372754E-2</v>
      </c>
    </row>
    <row r="1242" spans="1:9" ht="15.6">
      <c r="A1242" s="148">
        <v>42602</v>
      </c>
      <c r="B1242" s="88">
        <v>3.15</v>
      </c>
      <c r="E1242" s="90"/>
      <c r="F1242" s="91"/>
      <c r="G1242" s="90">
        <v>42627</v>
      </c>
      <c r="H1242" s="91">
        <v>289.66000000000003</v>
      </c>
      <c r="I1242" s="93">
        <f t="shared" si="19"/>
        <v>6.9176486946849192E-3</v>
      </c>
    </row>
    <row r="1243" spans="1:9" ht="15.6">
      <c r="A1243" s="148">
        <v>42605</v>
      </c>
      <c r="B1243" s="88">
        <v>3.14</v>
      </c>
      <c r="E1243" s="90"/>
      <c r="F1243" s="91"/>
      <c r="G1243" s="90">
        <v>42628</v>
      </c>
      <c r="H1243" s="91">
        <v>290.88</v>
      </c>
      <c r="I1243" s="93">
        <f t="shared" si="19"/>
        <v>4.2118345646620092E-3</v>
      </c>
    </row>
    <row r="1244" spans="1:9" ht="15.6">
      <c r="A1244" s="148">
        <v>42606</v>
      </c>
      <c r="B1244" s="88">
        <v>3.16</v>
      </c>
      <c r="E1244" s="90"/>
      <c r="F1244" s="91"/>
      <c r="G1244" s="90">
        <v>42629</v>
      </c>
      <c r="H1244" s="91">
        <v>288.68</v>
      </c>
      <c r="I1244" s="93">
        <f t="shared" si="19"/>
        <v>-7.5632563256324836E-3</v>
      </c>
    </row>
    <row r="1245" spans="1:9" ht="15.6">
      <c r="A1245" s="148">
        <v>42607</v>
      </c>
      <c r="B1245" s="88">
        <v>3.16</v>
      </c>
      <c r="E1245" s="90"/>
      <c r="F1245" s="91"/>
      <c r="G1245" s="90">
        <v>42630</v>
      </c>
      <c r="H1245" s="91">
        <v>288.88</v>
      </c>
      <c r="I1245" s="93">
        <f t="shared" si="19"/>
        <v>6.9280864625187455E-4</v>
      </c>
    </row>
    <row r="1246" spans="1:9" ht="15.6">
      <c r="A1246" s="148">
        <v>42608</v>
      </c>
      <c r="B1246" s="88">
        <v>3.16</v>
      </c>
      <c r="E1246" s="90"/>
      <c r="F1246" s="91"/>
      <c r="G1246" s="90">
        <v>42633</v>
      </c>
      <c r="H1246" s="91">
        <v>283.63</v>
      </c>
      <c r="I1246" s="93">
        <f t="shared" si="19"/>
        <v>-1.8173636111880387E-2</v>
      </c>
    </row>
    <row r="1247" spans="1:9" ht="15.6">
      <c r="A1247" s="148">
        <v>42609</v>
      </c>
      <c r="B1247" s="88">
        <v>3.17</v>
      </c>
      <c r="E1247" s="90"/>
      <c r="F1247" s="91"/>
      <c r="G1247" s="90">
        <v>42634</v>
      </c>
      <c r="H1247" s="91">
        <v>282.42</v>
      </c>
      <c r="I1247" s="93">
        <f t="shared" si="19"/>
        <v>-4.2661213552867006E-3</v>
      </c>
    </row>
    <row r="1248" spans="1:9" ht="15.6">
      <c r="A1248" s="148">
        <v>42612</v>
      </c>
      <c r="B1248" s="88">
        <v>3.13</v>
      </c>
      <c r="E1248" s="90"/>
      <c r="F1248" s="91"/>
      <c r="G1248" s="90">
        <v>42635</v>
      </c>
      <c r="H1248" s="91">
        <v>280.77999999999997</v>
      </c>
      <c r="I1248" s="93">
        <f t="shared" si="19"/>
        <v>-5.8069541817152848E-3</v>
      </c>
    </row>
    <row r="1249" spans="1:9" ht="15.6">
      <c r="A1249" s="148">
        <v>42613</v>
      </c>
      <c r="B1249" s="88">
        <v>3.11</v>
      </c>
      <c r="E1249" s="90"/>
      <c r="F1249" s="91"/>
      <c r="G1249" s="90">
        <v>42636</v>
      </c>
      <c r="H1249" s="91">
        <v>275.86</v>
      </c>
      <c r="I1249" s="93">
        <f t="shared" si="19"/>
        <v>-1.7522615570909506E-2</v>
      </c>
    </row>
    <row r="1250" spans="1:9" ht="15.6">
      <c r="A1250" s="148">
        <v>42614</v>
      </c>
      <c r="B1250" s="88">
        <v>3.07</v>
      </c>
      <c r="E1250" s="90"/>
      <c r="F1250" s="91"/>
      <c r="G1250" s="90">
        <v>42637</v>
      </c>
      <c r="H1250" s="91">
        <v>276.19</v>
      </c>
      <c r="I1250" s="93">
        <f t="shared" si="19"/>
        <v>1.19625897194231E-3</v>
      </c>
    </row>
    <row r="1251" spans="1:9" ht="15.6">
      <c r="A1251" s="148">
        <v>42615</v>
      </c>
      <c r="B1251" s="88">
        <v>3.07</v>
      </c>
      <c r="E1251" s="90"/>
      <c r="F1251" s="91"/>
      <c r="G1251" s="90">
        <v>42640</v>
      </c>
      <c r="H1251" s="91">
        <v>278.95999999999998</v>
      </c>
      <c r="I1251" s="93">
        <f t="shared" si="19"/>
        <v>1.0029327636771779E-2</v>
      </c>
    </row>
    <row r="1252" spans="1:9" ht="15.6">
      <c r="A1252" s="148">
        <v>42616</v>
      </c>
      <c r="B1252" s="88">
        <v>3.09</v>
      </c>
      <c r="E1252" s="90"/>
      <c r="F1252" s="91"/>
      <c r="G1252" s="90">
        <v>42641</v>
      </c>
      <c r="H1252" s="91">
        <v>278.41000000000003</v>
      </c>
      <c r="I1252" s="93">
        <f t="shared" si="19"/>
        <v>-1.9716088328074477E-3</v>
      </c>
    </row>
    <row r="1253" spans="1:9" ht="15.6">
      <c r="A1253" s="148">
        <v>42619</v>
      </c>
      <c r="B1253" s="88">
        <v>3.09</v>
      </c>
      <c r="E1253" s="90"/>
      <c r="F1253" s="91"/>
      <c r="G1253" s="90">
        <v>42642</v>
      </c>
      <c r="H1253" s="91">
        <v>281.88</v>
      </c>
      <c r="I1253" s="93">
        <f t="shared" si="19"/>
        <v>1.2463632771811284E-2</v>
      </c>
    </row>
    <row r="1254" spans="1:9" ht="15.6">
      <c r="A1254" s="148">
        <v>42620</v>
      </c>
      <c r="B1254" s="88">
        <v>3.11</v>
      </c>
      <c r="E1254" s="90"/>
      <c r="F1254" s="91"/>
      <c r="G1254" s="90">
        <v>42643</v>
      </c>
      <c r="H1254" s="91">
        <v>283.05</v>
      </c>
      <c r="I1254" s="93">
        <f t="shared" si="19"/>
        <v>4.1507024265645676E-3</v>
      </c>
    </row>
    <row r="1255" spans="1:9" ht="15.6">
      <c r="A1255" s="148">
        <v>42621</v>
      </c>
      <c r="B1255" s="88">
        <v>3.1</v>
      </c>
      <c r="E1255" s="90"/>
      <c r="F1255" s="91"/>
      <c r="G1255" s="90">
        <v>42644</v>
      </c>
      <c r="H1255" s="91">
        <v>282.19</v>
      </c>
      <c r="I1255" s="93">
        <f t="shared" si="19"/>
        <v>-3.0383324500972142E-3</v>
      </c>
    </row>
    <row r="1256" spans="1:9" ht="15.6">
      <c r="A1256" s="148">
        <v>42622</v>
      </c>
      <c r="B1256" s="88">
        <v>3.09</v>
      </c>
      <c r="E1256" s="90"/>
      <c r="F1256" s="91"/>
      <c r="G1256" s="90">
        <v>42647</v>
      </c>
      <c r="H1256" s="91">
        <v>284.37</v>
      </c>
      <c r="I1256" s="93">
        <f t="shared" si="19"/>
        <v>7.7252914702861109E-3</v>
      </c>
    </row>
    <row r="1257" spans="1:9" ht="15.6">
      <c r="A1257" s="148">
        <v>42623</v>
      </c>
      <c r="B1257" s="88">
        <v>3.1</v>
      </c>
      <c r="E1257" s="90"/>
      <c r="F1257" s="91"/>
      <c r="G1257" s="90">
        <v>42648</v>
      </c>
      <c r="H1257" s="91">
        <v>287.22000000000003</v>
      </c>
      <c r="I1257" s="93">
        <f t="shared" si="19"/>
        <v>1.0022154235678871E-2</v>
      </c>
    </row>
    <row r="1258" spans="1:9" ht="15.6">
      <c r="A1258" s="148">
        <v>42626</v>
      </c>
      <c r="B1258" s="88">
        <v>3.09</v>
      </c>
      <c r="E1258" s="90"/>
      <c r="F1258" s="91"/>
      <c r="G1258" s="90">
        <v>42649</v>
      </c>
      <c r="H1258" s="91">
        <v>288.2</v>
      </c>
      <c r="I1258" s="93">
        <f t="shared" si="19"/>
        <v>3.4120186616528603E-3</v>
      </c>
    </row>
    <row r="1259" spans="1:9" ht="15.6">
      <c r="A1259" s="148">
        <v>42627</v>
      </c>
      <c r="B1259" s="88">
        <v>3.09</v>
      </c>
      <c r="E1259" s="90"/>
      <c r="F1259" s="91"/>
      <c r="G1259" s="90">
        <v>42650</v>
      </c>
      <c r="H1259" s="91">
        <v>290.51</v>
      </c>
      <c r="I1259" s="93">
        <f t="shared" si="19"/>
        <v>8.0152671755724381E-3</v>
      </c>
    </row>
    <row r="1260" spans="1:9" ht="15.6">
      <c r="A1260" s="148">
        <v>42628</v>
      </c>
      <c r="B1260" s="88">
        <v>3.11</v>
      </c>
      <c r="E1260" s="90"/>
      <c r="F1260" s="91"/>
      <c r="G1260" s="90">
        <v>42651</v>
      </c>
      <c r="H1260" s="91">
        <v>292.33</v>
      </c>
      <c r="I1260" s="93">
        <f t="shared" si="19"/>
        <v>6.264844583663276E-3</v>
      </c>
    </row>
    <row r="1261" spans="1:9" ht="15.6">
      <c r="A1261" s="148">
        <v>42629</v>
      </c>
      <c r="B1261" s="88">
        <v>3.13</v>
      </c>
      <c r="E1261" s="90"/>
      <c r="F1261" s="91"/>
      <c r="G1261" s="90">
        <v>42654</v>
      </c>
      <c r="H1261" s="91">
        <v>295.73</v>
      </c>
      <c r="I1261" s="93">
        <f t="shared" si="19"/>
        <v>1.1630691341976584E-2</v>
      </c>
    </row>
    <row r="1262" spans="1:9" ht="15.6">
      <c r="A1262" s="148">
        <v>42630</v>
      </c>
      <c r="B1262" s="88">
        <v>3.13</v>
      </c>
      <c r="E1262" s="90"/>
      <c r="F1262" s="91"/>
      <c r="G1262" s="90">
        <v>42655</v>
      </c>
      <c r="H1262" s="91">
        <v>295.32</v>
      </c>
      <c r="I1262" s="93">
        <f t="shared" si="19"/>
        <v>-1.3863997565347619E-3</v>
      </c>
    </row>
    <row r="1263" spans="1:9" ht="15.6">
      <c r="A1263" s="148">
        <v>42633</v>
      </c>
      <c r="B1263" s="88">
        <v>3.18</v>
      </c>
      <c r="E1263" s="90"/>
      <c r="F1263" s="91"/>
      <c r="G1263" s="90">
        <v>42656</v>
      </c>
      <c r="H1263" s="91">
        <v>295.60000000000002</v>
      </c>
      <c r="I1263" s="93">
        <f t="shared" si="19"/>
        <v>9.4812406880673272E-4</v>
      </c>
    </row>
    <row r="1264" spans="1:9" ht="15.6">
      <c r="A1264" s="148">
        <v>42634</v>
      </c>
      <c r="B1264" s="88">
        <v>3.19</v>
      </c>
      <c r="E1264" s="90"/>
      <c r="F1264" s="91"/>
      <c r="G1264" s="90">
        <v>42657</v>
      </c>
      <c r="H1264" s="91">
        <v>291.56</v>
      </c>
      <c r="I1264" s="93">
        <f t="shared" si="19"/>
        <v>-1.366711772665774E-2</v>
      </c>
    </row>
    <row r="1265" spans="1:9" ht="15.6">
      <c r="A1265" s="148">
        <v>42635</v>
      </c>
      <c r="B1265" s="88">
        <v>3.23</v>
      </c>
      <c r="E1265" s="90"/>
      <c r="F1265" s="91"/>
      <c r="G1265" s="90">
        <v>42658</v>
      </c>
      <c r="H1265" s="91">
        <v>292.97000000000003</v>
      </c>
      <c r="I1265" s="93">
        <f t="shared" si="19"/>
        <v>4.8360543284402535E-3</v>
      </c>
    </row>
    <row r="1266" spans="1:9" ht="15.6">
      <c r="A1266" s="148">
        <v>42636</v>
      </c>
      <c r="B1266" s="88">
        <v>3.25</v>
      </c>
      <c r="E1266" s="90"/>
      <c r="F1266" s="91"/>
      <c r="G1266" s="90">
        <v>42661</v>
      </c>
      <c r="H1266" s="91">
        <v>293.43</v>
      </c>
      <c r="I1266" s="93">
        <f t="shared" si="19"/>
        <v>1.5701266341263675E-3</v>
      </c>
    </row>
    <row r="1267" spans="1:9" ht="15.6">
      <c r="A1267" s="148">
        <v>42637</v>
      </c>
      <c r="B1267" s="88">
        <v>3.25</v>
      </c>
      <c r="E1267" s="90"/>
      <c r="F1267" s="91"/>
      <c r="G1267" s="90">
        <v>42662</v>
      </c>
      <c r="H1267" s="91">
        <v>295.18</v>
      </c>
      <c r="I1267" s="93">
        <f t="shared" si="19"/>
        <v>5.9639437003715656E-3</v>
      </c>
    </row>
    <row r="1268" spans="1:9" ht="15.6">
      <c r="A1268" s="148">
        <v>42640</v>
      </c>
      <c r="B1268" s="88">
        <v>3.25</v>
      </c>
      <c r="E1268" s="90"/>
      <c r="F1268" s="91"/>
      <c r="G1268" s="90">
        <v>42663</v>
      </c>
      <c r="H1268" s="91">
        <v>295.88</v>
      </c>
      <c r="I1268" s="93">
        <f t="shared" si="19"/>
        <v>2.3714343790228742E-3</v>
      </c>
    </row>
    <row r="1269" spans="1:9" ht="15.6">
      <c r="A1269" s="148">
        <v>42641</v>
      </c>
      <c r="B1269" s="88">
        <v>3.26</v>
      </c>
      <c r="E1269" s="90"/>
      <c r="F1269" s="91"/>
      <c r="G1269" s="90">
        <v>42664</v>
      </c>
      <c r="H1269" s="91">
        <v>295.66000000000003</v>
      </c>
      <c r="I1269" s="93">
        <f t="shared" si="19"/>
        <v>-7.4354468027570952E-4</v>
      </c>
    </row>
    <row r="1270" spans="1:9" ht="15.6">
      <c r="A1270" s="148">
        <v>42642</v>
      </c>
      <c r="B1270" s="88">
        <v>3.19</v>
      </c>
      <c r="E1270" s="90"/>
      <c r="F1270" s="91"/>
      <c r="G1270" s="90">
        <v>42665</v>
      </c>
      <c r="H1270" s="91">
        <v>295.77</v>
      </c>
      <c r="I1270" s="93">
        <f t="shared" si="19"/>
        <v>3.720489751739553E-4</v>
      </c>
    </row>
    <row r="1271" spans="1:9" ht="15.6">
      <c r="A1271" s="148">
        <v>42643</v>
      </c>
      <c r="B1271" s="88">
        <v>3.2</v>
      </c>
      <c r="E1271" s="90"/>
      <c r="F1271" s="91"/>
      <c r="G1271" s="90">
        <v>42668</v>
      </c>
      <c r="H1271" s="91">
        <v>293.83</v>
      </c>
      <c r="I1271" s="93">
        <f t="shared" si="19"/>
        <v>-6.5591506914156605E-3</v>
      </c>
    </row>
    <row r="1272" spans="1:9" ht="15.6">
      <c r="A1272" s="148">
        <v>42644</v>
      </c>
      <c r="B1272" s="88">
        <v>3.2</v>
      </c>
      <c r="E1272" s="90"/>
      <c r="F1272" s="91"/>
      <c r="G1272" s="90">
        <v>42669</v>
      </c>
      <c r="H1272" s="91">
        <v>294.45</v>
      </c>
      <c r="I1272" s="93">
        <f t="shared" si="19"/>
        <v>2.1100636422421992E-3</v>
      </c>
    </row>
    <row r="1273" spans="1:9" ht="15.6">
      <c r="A1273" s="148">
        <v>42647</v>
      </c>
      <c r="B1273" s="88">
        <v>3.19</v>
      </c>
      <c r="E1273" s="90"/>
      <c r="F1273" s="91"/>
      <c r="G1273" s="90">
        <v>42670</v>
      </c>
      <c r="H1273" s="91">
        <v>290.74</v>
      </c>
      <c r="I1273" s="93">
        <f t="shared" si="19"/>
        <v>-1.259976226863635E-2</v>
      </c>
    </row>
    <row r="1274" spans="1:9" ht="15.6">
      <c r="A1274" s="148">
        <v>42648</v>
      </c>
      <c r="B1274" s="88">
        <v>3.17</v>
      </c>
      <c r="E1274" s="90"/>
      <c r="F1274" s="91"/>
      <c r="G1274" s="90">
        <v>42671</v>
      </c>
      <c r="H1274" s="91">
        <v>290.89999999999998</v>
      </c>
      <c r="I1274" s="93">
        <f t="shared" si="19"/>
        <v>5.5031987342624156E-4</v>
      </c>
    </row>
    <row r="1275" spans="1:9" ht="15.6">
      <c r="A1275" s="148">
        <v>42649</v>
      </c>
      <c r="B1275" s="88">
        <v>3.16</v>
      </c>
      <c r="E1275" s="90"/>
      <c r="F1275" s="91"/>
      <c r="G1275" s="90">
        <v>42672</v>
      </c>
      <c r="H1275" s="91">
        <v>287.35000000000002</v>
      </c>
      <c r="I1275" s="93">
        <f t="shared" si="19"/>
        <v>-1.2203506359573568E-2</v>
      </c>
    </row>
    <row r="1276" spans="1:9" ht="15.6">
      <c r="A1276" s="148">
        <v>42650</v>
      </c>
      <c r="B1276" s="88">
        <v>3.14</v>
      </c>
      <c r="E1276" s="90"/>
      <c r="F1276" s="91"/>
      <c r="G1276" s="90">
        <v>42675</v>
      </c>
      <c r="H1276" s="91">
        <v>289.58999999999997</v>
      </c>
      <c r="I1276" s="93">
        <f t="shared" si="19"/>
        <v>7.7953714981728872E-3</v>
      </c>
    </row>
    <row r="1277" spans="1:9" ht="15.6">
      <c r="A1277" s="148">
        <v>42651</v>
      </c>
      <c r="B1277" s="88">
        <v>3.11</v>
      </c>
      <c r="E1277" s="90"/>
      <c r="F1277" s="91"/>
      <c r="G1277" s="90">
        <v>42676</v>
      </c>
      <c r="H1277" s="91">
        <v>291.27</v>
      </c>
      <c r="I1277" s="93">
        <f t="shared" si="19"/>
        <v>5.8013052936911613E-3</v>
      </c>
    </row>
    <row r="1278" spans="1:9" ht="15.6">
      <c r="A1278" s="148">
        <v>42654</v>
      </c>
      <c r="B1278" s="88">
        <v>3.11</v>
      </c>
      <c r="E1278" s="90"/>
      <c r="F1278" s="91"/>
      <c r="G1278" s="90">
        <v>42677</v>
      </c>
      <c r="H1278" s="91">
        <v>295.14999999999998</v>
      </c>
      <c r="I1278" s="93">
        <f t="shared" si="19"/>
        <v>1.3320973667044322E-2</v>
      </c>
    </row>
    <row r="1279" spans="1:9" ht="15.6">
      <c r="A1279" s="148">
        <v>42655</v>
      </c>
      <c r="B1279" s="88">
        <v>3.09</v>
      </c>
      <c r="E1279" s="90"/>
      <c r="F1279" s="91"/>
      <c r="G1279" s="90">
        <v>42678</v>
      </c>
      <c r="H1279" s="91">
        <v>302.67</v>
      </c>
      <c r="I1279" s="93">
        <f t="shared" si="19"/>
        <v>2.547857021853317E-2</v>
      </c>
    </row>
    <row r="1280" spans="1:9" ht="15.6">
      <c r="A1280" s="148">
        <v>42656</v>
      </c>
      <c r="B1280" s="88">
        <v>3.09</v>
      </c>
      <c r="E1280" s="90"/>
      <c r="F1280" s="91"/>
      <c r="G1280" s="90">
        <v>42679</v>
      </c>
      <c r="H1280" s="91">
        <v>305.08999999999997</v>
      </c>
      <c r="I1280" s="93">
        <f t="shared" si="19"/>
        <v>7.995506657415552E-3</v>
      </c>
    </row>
    <row r="1281" spans="1:9" ht="15.6">
      <c r="A1281" s="148">
        <v>42657</v>
      </c>
      <c r="B1281" s="88">
        <v>3.1</v>
      </c>
      <c r="E1281" s="90"/>
      <c r="F1281" s="91"/>
      <c r="G1281" s="90">
        <v>42682</v>
      </c>
      <c r="H1281" s="91">
        <v>309.39</v>
      </c>
      <c r="I1281" s="93">
        <f t="shared" si="19"/>
        <v>1.4094201710970644E-2</v>
      </c>
    </row>
    <row r="1282" spans="1:9" ht="15.6">
      <c r="A1282" s="148">
        <v>42658</v>
      </c>
      <c r="B1282" s="88">
        <v>3.09</v>
      </c>
      <c r="E1282" s="90"/>
      <c r="F1282" s="91"/>
      <c r="G1282" s="90">
        <v>42683</v>
      </c>
      <c r="H1282" s="91">
        <v>306.37</v>
      </c>
      <c r="I1282" s="93">
        <f t="shared" si="19"/>
        <v>-9.761142894081809E-3</v>
      </c>
    </row>
    <row r="1283" spans="1:9" ht="15.6">
      <c r="A1283" s="148">
        <v>42661</v>
      </c>
      <c r="B1283" s="88">
        <v>3.1</v>
      </c>
      <c r="E1283" s="90"/>
      <c r="F1283" s="91"/>
      <c r="G1283" s="90">
        <v>42684</v>
      </c>
      <c r="H1283" s="91">
        <v>305.26</v>
      </c>
      <c r="I1283" s="93">
        <f t="shared" si="19"/>
        <v>-3.6230701439436963E-3</v>
      </c>
    </row>
    <row r="1284" spans="1:9" ht="15.6">
      <c r="A1284" s="148">
        <v>42662</v>
      </c>
      <c r="B1284" s="88">
        <v>3.11</v>
      </c>
      <c r="E1284" s="90"/>
      <c r="F1284" s="91"/>
      <c r="G1284" s="90">
        <v>42685</v>
      </c>
      <c r="H1284" s="91">
        <v>306.38</v>
      </c>
      <c r="I1284" s="93">
        <f t="shared" si="19"/>
        <v>3.6690034724498055E-3</v>
      </c>
    </row>
    <row r="1285" spans="1:9" ht="15.6">
      <c r="A1285" s="148">
        <v>42663</v>
      </c>
      <c r="B1285" s="88">
        <v>3.13</v>
      </c>
      <c r="E1285" s="90"/>
      <c r="F1285" s="91"/>
      <c r="G1285" s="90">
        <v>42686</v>
      </c>
      <c r="H1285" s="91">
        <v>307.75</v>
      </c>
      <c r="I1285" s="93">
        <f t="shared" si="19"/>
        <v>4.4715712513871964E-3</v>
      </c>
    </row>
    <row r="1286" spans="1:9" ht="15.6">
      <c r="A1286" s="148">
        <v>42664</v>
      </c>
      <c r="B1286" s="88">
        <v>3.14</v>
      </c>
      <c r="E1286" s="90"/>
      <c r="F1286" s="91"/>
      <c r="G1286" s="90">
        <v>42689</v>
      </c>
      <c r="H1286" s="91">
        <v>310.62</v>
      </c>
      <c r="I1286" s="93">
        <f t="shared" si="19"/>
        <v>9.3257514216085191E-3</v>
      </c>
    </row>
    <row r="1287" spans="1:9" ht="15.6">
      <c r="A1287" s="148">
        <v>42665</v>
      </c>
      <c r="B1287" s="88">
        <v>3.14</v>
      </c>
      <c r="E1287" s="90"/>
      <c r="F1287" s="91"/>
      <c r="G1287" s="90">
        <v>42690</v>
      </c>
      <c r="H1287" s="91">
        <v>310.72000000000003</v>
      </c>
      <c r="I1287" s="93">
        <f t="shared" si="19"/>
        <v>3.2193677161806988E-4</v>
      </c>
    </row>
    <row r="1288" spans="1:9" ht="15.6">
      <c r="A1288" s="148">
        <v>42668</v>
      </c>
      <c r="B1288" s="88">
        <v>3.13</v>
      </c>
      <c r="E1288" s="90"/>
      <c r="F1288" s="91"/>
      <c r="G1288" s="90">
        <v>42691</v>
      </c>
      <c r="H1288" s="91">
        <v>312.36</v>
      </c>
      <c r="I1288" s="93">
        <f t="shared" si="19"/>
        <v>5.2780638516991552E-3</v>
      </c>
    </row>
    <row r="1289" spans="1:9" ht="15.6">
      <c r="A1289" s="148">
        <v>42669</v>
      </c>
      <c r="B1289" s="88">
        <v>3.12</v>
      </c>
      <c r="E1289" s="90"/>
      <c r="F1289" s="91"/>
      <c r="G1289" s="90">
        <v>42692</v>
      </c>
      <c r="H1289" s="91">
        <v>311.08</v>
      </c>
      <c r="I1289" s="93">
        <f t="shared" si="19"/>
        <v>-4.0978358304520901E-3</v>
      </c>
    </row>
    <row r="1290" spans="1:9" ht="15.6">
      <c r="A1290" s="148">
        <v>42670</v>
      </c>
      <c r="B1290" s="88">
        <v>3.13</v>
      </c>
      <c r="E1290" s="90"/>
      <c r="F1290" s="91"/>
      <c r="G1290" s="90">
        <v>42693</v>
      </c>
      <c r="H1290" s="91">
        <v>313.57</v>
      </c>
      <c r="I1290" s="93">
        <f t="shared" si="19"/>
        <v>8.0043718657580865E-3</v>
      </c>
    </row>
    <row r="1291" spans="1:9" ht="15.6">
      <c r="A1291" s="148">
        <v>42671</v>
      </c>
      <c r="B1291" s="88">
        <v>3.16</v>
      </c>
      <c r="E1291" s="90"/>
      <c r="F1291" s="91"/>
      <c r="G1291" s="90">
        <v>42696</v>
      </c>
      <c r="H1291" s="91">
        <v>315.64999999999998</v>
      </c>
      <c r="I1291" s="93">
        <f t="shared" si="19"/>
        <v>6.6332876231782745E-3</v>
      </c>
    </row>
    <row r="1292" spans="1:9" ht="15.6">
      <c r="A1292" s="148">
        <v>42672</v>
      </c>
      <c r="B1292" s="88">
        <v>3.19</v>
      </c>
      <c r="E1292" s="90"/>
      <c r="F1292" s="91"/>
      <c r="G1292" s="90">
        <v>42697</v>
      </c>
      <c r="H1292" s="91">
        <v>317.08</v>
      </c>
      <c r="I1292" s="93">
        <f t="shared" si="19"/>
        <v>4.530334230951949E-3</v>
      </c>
    </row>
    <row r="1293" spans="1:9" ht="15.6">
      <c r="A1293" s="148">
        <v>42673</v>
      </c>
      <c r="B1293" s="88">
        <v>3.2</v>
      </c>
      <c r="E1293" s="90"/>
      <c r="F1293" s="91"/>
      <c r="G1293" s="90">
        <v>42698</v>
      </c>
      <c r="H1293" s="91">
        <v>314.89999999999998</v>
      </c>
      <c r="I1293" s="93">
        <f t="shared" si="19"/>
        <v>-6.8752365333669685E-3</v>
      </c>
    </row>
    <row r="1294" spans="1:9" ht="15.6">
      <c r="A1294" s="148">
        <v>42675</v>
      </c>
      <c r="B1294" s="88">
        <v>3.2</v>
      </c>
      <c r="E1294" s="90"/>
      <c r="F1294" s="91"/>
      <c r="G1294" s="90">
        <v>42699</v>
      </c>
      <c r="H1294" s="91">
        <v>317.52999999999997</v>
      </c>
      <c r="I1294" s="93">
        <f t="shared" si="19"/>
        <v>8.351857732613599E-3</v>
      </c>
    </row>
    <row r="1295" spans="1:9" ht="15.6">
      <c r="A1295" s="148">
        <v>42676</v>
      </c>
      <c r="B1295" s="88">
        <v>3.19</v>
      </c>
      <c r="E1295" s="90"/>
      <c r="F1295" s="91"/>
      <c r="G1295" s="90">
        <v>42700</v>
      </c>
      <c r="H1295" s="91">
        <v>318.27999999999997</v>
      </c>
      <c r="I1295" s="93">
        <f t="shared" ref="I1295:I1319" si="20">H1295/H1294-1</f>
        <v>2.3619815450508508E-3</v>
      </c>
    </row>
    <row r="1296" spans="1:9" ht="15.6">
      <c r="A1296" s="148">
        <v>42677</v>
      </c>
      <c r="B1296" s="88">
        <v>3.12</v>
      </c>
      <c r="E1296" s="90"/>
      <c r="F1296" s="91"/>
      <c r="G1296" s="90">
        <v>42703</v>
      </c>
      <c r="H1296" s="91">
        <v>312.62</v>
      </c>
      <c r="I1296" s="93">
        <f t="shared" si="20"/>
        <v>-1.7783084076913314E-2</v>
      </c>
    </row>
    <row r="1297" spans="1:9" ht="15.6">
      <c r="A1297" s="148">
        <v>42678</v>
      </c>
      <c r="B1297" s="88">
        <v>3.06</v>
      </c>
      <c r="E1297" s="90"/>
      <c r="F1297" s="91"/>
      <c r="G1297" s="90">
        <v>42704</v>
      </c>
      <c r="H1297" s="91">
        <v>317.3</v>
      </c>
      <c r="I1297" s="93">
        <f t="shared" si="20"/>
        <v>1.4970251423453318E-2</v>
      </c>
    </row>
    <row r="1298" spans="1:9" ht="15.6">
      <c r="A1298" s="148">
        <v>42679</v>
      </c>
      <c r="B1298" s="88">
        <v>3.07</v>
      </c>
      <c r="E1298" s="90"/>
      <c r="F1298" s="91"/>
      <c r="G1298" s="90">
        <v>42705</v>
      </c>
      <c r="H1298" s="91">
        <v>317.47000000000003</v>
      </c>
      <c r="I1298" s="93">
        <f t="shared" si="20"/>
        <v>5.3577056413489643E-4</v>
      </c>
    </row>
    <row r="1299" spans="1:9" ht="15.6">
      <c r="A1299" s="148">
        <v>42682</v>
      </c>
      <c r="B1299" s="88">
        <v>3.03</v>
      </c>
      <c r="E1299" s="90"/>
      <c r="F1299" s="91"/>
      <c r="G1299" s="90">
        <v>42706</v>
      </c>
      <c r="H1299" s="91">
        <v>319.77999999999997</v>
      </c>
      <c r="I1299" s="93">
        <f t="shared" si="20"/>
        <v>7.276278073518494E-3</v>
      </c>
    </row>
    <row r="1300" spans="1:9" ht="15.6">
      <c r="A1300" s="148">
        <v>42683</v>
      </c>
      <c r="B1300" s="88">
        <v>3.05</v>
      </c>
      <c r="E1300" s="90"/>
      <c r="F1300" s="91"/>
      <c r="G1300" s="90">
        <v>42707</v>
      </c>
      <c r="H1300" s="91">
        <v>321.8</v>
      </c>
      <c r="I1300" s="93">
        <f t="shared" si="20"/>
        <v>6.3168428294453349E-3</v>
      </c>
    </row>
    <row r="1301" spans="1:9" ht="15.6">
      <c r="A1301" s="148">
        <v>42684</v>
      </c>
      <c r="B1301" s="88">
        <v>3.04</v>
      </c>
      <c r="E1301" s="90"/>
      <c r="F1301" s="91"/>
      <c r="G1301" s="90">
        <v>42710</v>
      </c>
      <c r="H1301" s="91">
        <v>322.02</v>
      </c>
      <c r="I1301" s="93">
        <f t="shared" si="20"/>
        <v>6.8365444375384499E-4</v>
      </c>
    </row>
    <row r="1302" spans="1:9" ht="15.6">
      <c r="A1302" s="148">
        <v>42685</v>
      </c>
      <c r="B1302" s="88">
        <v>3.03</v>
      </c>
      <c r="E1302" s="90"/>
      <c r="F1302" s="91"/>
      <c r="G1302" s="90">
        <v>42711</v>
      </c>
      <c r="H1302" s="91">
        <v>323.22000000000003</v>
      </c>
      <c r="I1302" s="93">
        <f t="shared" si="20"/>
        <v>3.7264766163593865E-3</v>
      </c>
    </row>
    <row r="1303" spans="1:9" ht="15.6">
      <c r="A1303" s="148">
        <v>42686</v>
      </c>
      <c r="B1303" s="88">
        <v>3.02</v>
      </c>
      <c r="E1303" s="90"/>
      <c r="F1303" s="91"/>
      <c r="G1303" s="90">
        <v>42712</v>
      </c>
      <c r="H1303" s="91">
        <v>322.69</v>
      </c>
      <c r="I1303" s="93">
        <f t="shared" si="20"/>
        <v>-1.6397500154694544E-3</v>
      </c>
    </row>
    <row r="1304" spans="1:9" ht="15.6">
      <c r="A1304" s="148">
        <v>42689</v>
      </c>
      <c r="B1304" s="88">
        <v>3.01</v>
      </c>
      <c r="E1304" s="90"/>
      <c r="F1304" s="91"/>
      <c r="G1304" s="90">
        <v>42713</v>
      </c>
      <c r="H1304" s="91">
        <v>322.68</v>
      </c>
      <c r="I1304" s="93">
        <f t="shared" si="20"/>
        <v>-3.0989494561262099E-5</v>
      </c>
    </row>
    <row r="1305" spans="1:9" ht="15.6">
      <c r="A1305" s="148">
        <v>42690</v>
      </c>
      <c r="B1305" s="88">
        <v>3.02</v>
      </c>
      <c r="E1305" s="90"/>
      <c r="F1305" s="91"/>
      <c r="G1305" s="90">
        <v>42714</v>
      </c>
      <c r="H1305" s="91">
        <v>323.02</v>
      </c>
      <c r="I1305" s="93">
        <f t="shared" si="20"/>
        <v>1.0536754679557614E-3</v>
      </c>
    </row>
    <row r="1306" spans="1:9" ht="15.6">
      <c r="A1306" s="148">
        <v>42691</v>
      </c>
      <c r="B1306" s="88">
        <v>3.01</v>
      </c>
      <c r="E1306" s="90"/>
      <c r="F1306" s="91"/>
      <c r="G1306" s="90">
        <v>42717</v>
      </c>
      <c r="H1306" s="91">
        <v>321.62</v>
      </c>
      <c r="I1306" s="93">
        <f t="shared" si="20"/>
        <v>-4.33409695994047E-3</v>
      </c>
    </row>
    <row r="1307" spans="1:9" ht="15.6">
      <c r="A1307" s="148">
        <v>42692</v>
      </c>
      <c r="B1307" s="88">
        <v>3.01</v>
      </c>
      <c r="E1307" s="90"/>
      <c r="F1307" s="91"/>
      <c r="G1307" s="90">
        <v>42718</v>
      </c>
      <c r="H1307" s="91">
        <v>321.77</v>
      </c>
      <c r="I1307" s="93">
        <f t="shared" si="20"/>
        <v>4.6638890616246265E-4</v>
      </c>
    </row>
    <row r="1308" spans="1:9" ht="15.6">
      <c r="A1308" s="148">
        <v>42693</v>
      </c>
      <c r="B1308" s="88">
        <v>3</v>
      </c>
      <c r="E1308" s="90"/>
      <c r="F1308" s="91"/>
      <c r="G1308" s="90">
        <v>42719</v>
      </c>
      <c r="H1308" s="91">
        <v>325.44</v>
      </c>
      <c r="I1308" s="93">
        <f t="shared" si="20"/>
        <v>1.1405662429685881E-2</v>
      </c>
    </row>
    <row r="1309" spans="1:9" ht="15.6">
      <c r="A1309" s="148">
        <v>42696</v>
      </c>
      <c r="B1309" s="88">
        <v>2.99</v>
      </c>
      <c r="E1309" s="90"/>
      <c r="F1309" s="91"/>
      <c r="G1309" s="90">
        <v>42720</v>
      </c>
      <c r="H1309" s="91">
        <v>328.17</v>
      </c>
      <c r="I1309" s="93">
        <f t="shared" si="20"/>
        <v>8.3886430678465906E-3</v>
      </c>
    </row>
    <row r="1310" spans="1:9" ht="15.6">
      <c r="A1310" s="148">
        <v>42697</v>
      </c>
      <c r="B1310" s="88">
        <v>2.99</v>
      </c>
      <c r="E1310" s="90"/>
      <c r="F1310" s="91"/>
      <c r="G1310" s="90">
        <v>42721</v>
      </c>
      <c r="H1310" s="91">
        <v>327.2</v>
      </c>
      <c r="I1310" s="93">
        <f t="shared" si="20"/>
        <v>-2.9557851113752864E-3</v>
      </c>
    </row>
    <row r="1311" spans="1:9" ht="15.6">
      <c r="A1311" s="148">
        <v>42698</v>
      </c>
      <c r="B1311" s="88">
        <v>2.98</v>
      </c>
      <c r="E1311" s="90"/>
      <c r="F1311" s="91"/>
      <c r="G1311" s="90">
        <v>42724</v>
      </c>
      <c r="H1311" s="91">
        <v>323.8</v>
      </c>
      <c r="I1311" s="93">
        <f t="shared" si="20"/>
        <v>-1.0391198044009675E-2</v>
      </c>
    </row>
    <row r="1312" spans="1:9" ht="15.6">
      <c r="A1312" s="148">
        <v>42699</v>
      </c>
      <c r="B1312" s="88">
        <v>2.98</v>
      </c>
      <c r="E1312" s="90"/>
      <c r="F1312" s="91"/>
      <c r="G1312" s="90">
        <v>42725</v>
      </c>
      <c r="H1312" s="91">
        <v>322.20999999999998</v>
      </c>
      <c r="I1312" s="93">
        <f t="shared" si="20"/>
        <v>-4.9104385423102137E-3</v>
      </c>
    </row>
    <row r="1313" spans="1:9" ht="15.6">
      <c r="A1313" s="148">
        <v>42700</v>
      </c>
      <c r="B1313" s="88">
        <v>2.96</v>
      </c>
      <c r="E1313" s="90"/>
      <c r="F1313" s="91"/>
      <c r="G1313" s="90">
        <v>42726</v>
      </c>
      <c r="H1313" s="91">
        <v>324.62</v>
      </c>
      <c r="I1313" s="93">
        <f t="shared" si="20"/>
        <v>7.4795940535676841E-3</v>
      </c>
    </row>
    <row r="1314" spans="1:9" ht="15.6">
      <c r="A1314" s="148">
        <v>42703</v>
      </c>
      <c r="B1314" s="88">
        <v>2.92</v>
      </c>
      <c r="E1314" s="90"/>
      <c r="F1314" s="91"/>
      <c r="G1314" s="90">
        <v>42727</v>
      </c>
      <c r="H1314" s="91">
        <v>322.79000000000002</v>
      </c>
      <c r="I1314" s="93">
        <f t="shared" si="20"/>
        <v>-5.6373606062473103E-3</v>
      </c>
    </row>
    <row r="1315" spans="1:9" ht="15.6">
      <c r="A1315" s="148">
        <v>42704</v>
      </c>
      <c r="B1315" s="88">
        <v>2.92</v>
      </c>
      <c r="E1315" s="90"/>
      <c r="F1315" s="91"/>
      <c r="G1315" s="90">
        <v>42728</v>
      </c>
      <c r="H1315" s="91">
        <v>323.16000000000003</v>
      </c>
      <c r="I1315" s="93">
        <f t="shared" si="20"/>
        <v>1.1462560798041199E-3</v>
      </c>
    </row>
    <row r="1316" spans="1:9" ht="15.6">
      <c r="A1316" s="148">
        <v>42705</v>
      </c>
      <c r="B1316" s="88">
        <v>2.92</v>
      </c>
      <c r="E1316" s="90"/>
      <c r="F1316" s="91"/>
      <c r="G1316" s="90">
        <v>42731</v>
      </c>
      <c r="H1316" s="91">
        <v>322.52999999999997</v>
      </c>
      <c r="I1316" s="93">
        <f t="shared" si="20"/>
        <v>-1.94949870033434E-3</v>
      </c>
    </row>
    <row r="1317" spans="1:9" ht="15.6">
      <c r="A1317" s="148">
        <v>42706</v>
      </c>
      <c r="B1317" s="88">
        <v>2.9</v>
      </c>
      <c r="E1317" s="90"/>
      <c r="F1317" s="91"/>
      <c r="G1317" s="90">
        <v>42732</v>
      </c>
      <c r="H1317" s="91">
        <v>325.83999999999997</v>
      </c>
      <c r="I1317" s="93">
        <f t="shared" si="20"/>
        <v>1.0262611229963081E-2</v>
      </c>
    </row>
    <row r="1318" spans="1:9" ht="15.6">
      <c r="A1318" s="148">
        <v>42707</v>
      </c>
      <c r="B1318" s="88">
        <v>2.89</v>
      </c>
      <c r="E1318" s="90"/>
      <c r="F1318" s="91"/>
      <c r="G1318" s="90">
        <v>42733</v>
      </c>
      <c r="H1318" s="91">
        <v>330.6</v>
      </c>
      <c r="I1318" s="93">
        <f t="shared" si="20"/>
        <v>1.4608396759145714E-2</v>
      </c>
    </row>
    <row r="1319" spans="1:9" ht="15.6">
      <c r="A1319" s="148">
        <v>42710</v>
      </c>
      <c r="B1319" s="88">
        <v>2.88</v>
      </c>
      <c r="G1319" s="90">
        <v>42734</v>
      </c>
      <c r="H1319" s="91">
        <v>331.34</v>
      </c>
      <c r="I1319" s="93">
        <f t="shared" si="20"/>
        <v>2.2383545069568633E-3</v>
      </c>
    </row>
    <row r="1320" spans="1:9">
      <c r="A1320" s="148">
        <v>42711</v>
      </c>
      <c r="B1320" s="88">
        <v>2.87</v>
      </c>
    </row>
    <row r="1321" spans="1:9">
      <c r="A1321" s="148">
        <v>42712</v>
      </c>
      <c r="B1321" s="88">
        <v>2.88</v>
      </c>
    </row>
    <row r="1322" spans="1:9">
      <c r="A1322" s="148">
        <v>42713</v>
      </c>
      <c r="B1322" s="88">
        <v>2.86</v>
      </c>
    </row>
    <row r="1323" spans="1:9">
      <c r="A1323" s="148">
        <v>42714</v>
      </c>
      <c r="B1323" s="88">
        <v>2.84</v>
      </c>
    </row>
    <row r="1324" spans="1:9">
      <c r="A1324" s="148">
        <v>42717</v>
      </c>
      <c r="B1324" s="88">
        <v>2.82</v>
      </c>
    </row>
    <row r="1325" spans="1:9">
      <c r="A1325" s="148">
        <v>42718</v>
      </c>
      <c r="B1325" s="88">
        <v>2.81</v>
      </c>
    </row>
    <row r="1326" spans="1:9">
      <c r="A1326" s="148">
        <v>42719</v>
      </c>
      <c r="B1326" s="88">
        <v>2.8</v>
      </c>
    </row>
    <row r="1327" spans="1:9">
      <c r="A1327" s="148">
        <v>42720</v>
      </c>
      <c r="B1327" s="88">
        <v>2.79</v>
      </c>
    </row>
    <row r="1328" spans="1:9">
      <c r="A1328" s="148">
        <v>42721</v>
      </c>
      <c r="B1328" s="88">
        <v>2.79</v>
      </c>
    </row>
    <row r="1329" spans="1:2">
      <c r="A1329" s="148">
        <v>42724</v>
      </c>
      <c r="B1329" s="88">
        <v>2.8</v>
      </c>
    </row>
    <row r="1330" spans="1:2">
      <c r="A1330" s="148">
        <v>42725</v>
      </c>
      <c r="B1330" s="88">
        <v>2.79</v>
      </c>
    </row>
    <row r="1331" spans="1:2">
      <c r="A1331" s="148">
        <v>42726</v>
      </c>
      <c r="B1331" s="88">
        <v>2.8</v>
      </c>
    </row>
    <row r="1332" spans="1:2">
      <c r="A1332" s="148">
        <v>42727</v>
      </c>
      <c r="B1332" s="88">
        <v>2.8</v>
      </c>
    </row>
    <row r="1333" spans="1:2">
      <c r="A1333" s="148">
        <v>42728</v>
      </c>
      <c r="B1333" s="179">
        <v>2.8</v>
      </c>
    </row>
    <row r="1334" spans="1:2">
      <c r="A1334" s="148">
        <v>42731</v>
      </c>
      <c r="B1334" s="88">
        <v>2.79</v>
      </c>
    </row>
    <row r="1335" spans="1:2">
      <c r="A1335" s="148">
        <v>42732</v>
      </c>
      <c r="B1335" s="88">
        <v>2.77</v>
      </c>
    </row>
    <row r="1336" spans="1:2">
      <c r="A1336" s="148">
        <v>42733</v>
      </c>
      <c r="B1336" s="88">
        <v>2.77</v>
      </c>
    </row>
    <row r="1337" spans="1:2">
      <c r="A1337" s="148">
        <v>42734</v>
      </c>
      <c r="B1337" s="88">
        <v>2.79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D9" sqref="D9"/>
    </sheetView>
  </sheetViews>
  <sheetFormatPr defaultColWidth="11" defaultRowHeight="11.4"/>
  <cols>
    <col min="1" max="1" width="22" bestFit="1" customWidth="1"/>
    <col min="2" max="2" width="23.5" bestFit="1" customWidth="1"/>
    <col min="3" max="3" width="25.125" bestFit="1" customWidth="1"/>
    <col min="4" max="4" width="24" bestFit="1" customWidth="1"/>
    <col min="5" max="5" width="23.5" bestFit="1" customWidth="1"/>
  </cols>
  <sheetData>
    <row r="3" spans="1:5">
      <c r="B3" s="25" t="s">
        <v>174</v>
      </c>
    </row>
    <row r="4" spans="1:5">
      <c r="A4" s="25" t="s">
        <v>171</v>
      </c>
      <c r="B4" t="s">
        <v>173</v>
      </c>
      <c r="C4" t="s">
        <v>175</v>
      </c>
      <c r="D4" t="s">
        <v>497</v>
      </c>
      <c r="E4" t="s">
        <v>499</v>
      </c>
    </row>
    <row r="5" spans="1:5">
      <c r="A5" s="22" t="s">
        <v>128</v>
      </c>
      <c r="B5" s="26">
        <v>4.9614743545878588E-2</v>
      </c>
      <c r="C5" s="26">
        <v>5.4373952887241235E-2</v>
      </c>
      <c r="D5" s="26">
        <v>0.10157395288724122</v>
      </c>
      <c r="E5" s="26">
        <v>0.27883928571428568</v>
      </c>
    </row>
    <row r="6" spans="1:5">
      <c r="A6" s="22" t="s">
        <v>129</v>
      </c>
      <c r="B6" s="26">
        <v>2.575819464812892E-2</v>
      </c>
      <c r="C6" s="26">
        <v>2.8229005375441353E-2</v>
      </c>
      <c r="D6" s="26">
        <v>7.5429005375441352E-2</v>
      </c>
      <c r="E6" s="26">
        <v>0.23277391304347828</v>
      </c>
    </row>
    <row r="7" spans="1:5">
      <c r="A7" s="22" t="s">
        <v>53</v>
      </c>
      <c r="B7" s="26">
        <v>1.3260969810100734E-2</v>
      </c>
      <c r="C7" s="26">
        <v>1.4533005638269432E-2</v>
      </c>
      <c r="D7" s="26">
        <v>6.1733005638269424E-2</v>
      </c>
      <c r="E7" s="26">
        <v>0.28810000000000002</v>
      </c>
    </row>
    <row r="8" spans="1:5">
      <c r="A8" s="22" t="s">
        <v>54</v>
      </c>
      <c r="B8" s="26">
        <v>3.0210182440273858E-2</v>
      </c>
      <c r="C8" s="26">
        <v>3.3108042475387636E-2</v>
      </c>
      <c r="D8" s="26">
        <v>8.0308042475387628E-2</v>
      </c>
      <c r="E8" s="26">
        <v>0.16979285714285713</v>
      </c>
    </row>
    <row r="9" spans="1:5">
      <c r="A9" s="22" t="s">
        <v>51</v>
      </c>
      <c r="B9" s="26">
        <v>4.4189945155435867E-2</v>
      </c>
      <c r="C9" s="26">
        <v>4.8428789997666713E-2</v>
      </c>
      <c r="D9" s="26">
        <v>9.5628789997666705E-2</v>
      </c>
      <c r="E9" s="26">
        <v>0.27597222222222217</v>
      </c>
    </row>
    <row r="10" spans="1:5">
      <c r="A10" s="22" t="s">
        <v>125</v>
      </c>
      <c r="B10" s="26">
        <v>2.790089150203558E-2</v>
      </c>
      <c r="C10" s="26">
        <v>3.0577236757071451E-2</v>
      </c>
      <c r="D10" s="26">
        <v>7.7777236757071419E-2</v>
      </c>
      <c r="E10" s="26">
        <v>0.1565259259259259</v>
      </c>
    </row>
    <row r="11" spans="1:5">
      <c r="A11" s="22" t="s">
        <v>127</v>
      </c>
      <c r="B11" s="26">
        <v>3.1620501745510218E-2</v>
      </c>
      <c r="C11" s="26">
        <v>3.4653644245715813E-2</v>
      </c>
      <c r="D11" s="26">
        <v>8.1853644245715812E-2</v>
      </c>
      <c r="E11" s="26">
        <v>0.18846153846153849</v>
      </c>
    </row>
    <row r="12" spans="1:5">
      <c r="A12" s="22" t="s">
        <v>130</v>
      </c>
      <c r="B12" s="26">
        <v>0</v>
      </c>
      <c r="C12" s="26">
        <v>0</v>
      </c>
      <c r="D12" s="26">
        <v>4.7199999999999999E-2</v>
      </c>
      <c r="E12" s="26">
        <v>0.26750000000000002</v>
      </c>
    </row>
    <row r="13" spans="1:5">
      <c r="A13" s="22" t="s">
        <v>126</v>
      </c>
      <c r="B13" s="26">
        <v>1.0621858969212796E-2</v>
      </c>
      <c r="C13" s="26">
        <v>1.1640742607745948E-2</v>
      </c>
      <c r="D13" s="26">
        <v>5.8840742607745931E-2</v>
      </c>
      <c r="E13" s="26">
        <v>0.19218461538461543</v>
      </c>
    </row>
    <row r="14" spans="1:5">
      <c r="A14" s="22" t="s">
        <v>172</v>
      </c>
      <c r="B14" s="26">
        <v>3.0391913630062814E-2</v>
      </c>
      <c r="C14" s="26">
        <v>3.3307205918459537E-2</v>
      </c>
      <c r="D14" s="26">
        <v>8.0507205918459598E-2</v>
      </c>
      <c r="E14" s="26">
        <v>0.2180402597402597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opLeftCell="A166" zoomScaleNormal="100" workbookViewId="0">
      <selection activeCell="D190" sqref="D190"/>
    </sheetView>
  </sheetViews>
  <sheetFormatPr defaultColWidth="11" defaultRowHeight="11.4"/>
  <cols>
    <col min="1" max="1" width="24.625" bestFit="1" customWidth="1"/>
    <col min="2" max="2" width="20.875" style="31" bestFit="1" customWidth="1"/>
    <col min="3" max="6" width="20.875" style="31" customWidth="1"/>
    <col min="7" max="7" width="26.125" style="31" customWidth="1"/>
    <col min="8" max="8" width="37" customWidth="1"/>
    <col min="9" max="9" width="20.875" customWidth="1"/>
    <col min="10" max="10" width="25.125" bestFit="1" customWidth="1"/>
    <col min="11" max="11" width="23.625" bestFit="1" customWidth="1"/>
    <col min="12" max="13" width="20.375" bestFit="1" customWidth="1"/>
  </cols>
  <sheetData>
    <row r="1" spans="1:13" s="67" customFormat="1" ht="15.6">
      <c r="A1" s="57" t="s">
        <v>75</v>
      </c>
      <c r="B1" s="139" t="s">
        <v>547</v>
      </c>
      <c r="C1" s="11" t="s">
        <v>271</v>
      </c>
      <c r="D1" s="57" t="s">
        <v>36</v>
      </c>
      <c r="E1" s="57" t="s">
        <v>486</v>
      </c>
      <c r="F1" s="59" t="s">
        <v>37</v>
      </c>
      <c r="G1" s="59" t="s">
        <v>358</v>
      </c>
      <c r="H1" s="57" t="s">
        <v>52</v>
      </c>
      <c r="I1" s="67" t="s">
        <v>295</v>
      </c>
      <c r="J1" s="67" t="s">
        <v>301</v>
      </c>
      <c r="K1" s="67" t="s">
        <v>296</v>
      </c>
      <c r="L1" s="67" t="s">
        <v>297</v>
      </c>
      <c r="M1" s="67" t="s">
        <v>359</v>
      </c>
    </row>
    <row r="2" spans="1:13" s="44" customFormat="1" ht="15.6">
      <c r="A2" s="10" t="str">
        <f>'Sovereign Ratings (Moody''s,S&amp;P)'!A5</f>
        <v>Angola</v>
      </c>
      <c r="B2" s="139">
        <f>'Country GDP'!B5</f>
        <v>94.6</v>
      </c>
      <c r="C2" s="11" t="str">
        <f>'Sovereign Ratings (Moody''s,S&amp;P)'!C5</f>
        <v>Caa1</v>
      </c>
      <c r="D2" s="24">
        <f>'ERPs by country'!D11</f>
        <v>6.6251698870904069E-2</v>
      </c>
      <c r="E2" s="12">
        <f>'ERPs by country'!E11</f>
        <v>0.1198067796717549</v>
      </c>
      <c r="F2" s="16">
        <f>'ERPs by country'!F11</f>
        <v>7.2606779671754898E-2</v>
      </c>
      <c r="G2" s="16">
        <f>'Country Tax Rates'!C5</f>
        <v>0.3</v>
      </c>
      <c r="H2" s="17" t="str">
        <f>VLOOKUP(A2,'Regional lookup table'!$A$2:$B$161,2)</f>
        <v>Africa</v>
      </c>
      <c r="I2" s="68">
        <f t="shared" ref="I2:I28" si="0">B2/$B$31</f>
        <v>4.5962491497424929E-2</v>
      </c>
      <c r="J2" s="68">
        <f t="shared" ref="J2:J28" si="1">I2*D2</f>
        <v>3.0450931460438849E-3</v>
      </c>
      <c r="K2" s="68">
        <f t="shared" ref="K2:K28" si="2">I2*E2</f>
        <v>5.5066180919968967E-3</v>
      </c>
      <c r="L2" s="68">
        <f t="shared" ref="L2:L28" si="3">I2*F2</f>
        <v>3.3371884933184395E-3</v>
      </c>
      <c r="M2" s="68">
        <f>I2*G2</f>
        <v>1.3788747449227479E-2</v>
      </c>
    </row>
    <row r="3" spans="1:13" s="44" customFormat="1" ht="15.6">
      <c r="A3" s="10" t="str">
        <f>'Sovereign Ratings (Moody''s,S&amp;P)'!A19</f>
        <v>Benin</v>
      </c>
      <c r="B3" s="139">
        <f>'Country GDP'!B19</f>
        <v>14.4</v>
      </c>
      <c r="C3" s="11" t="str">
        <f>'Sovereign Ratings (Moody''s,S&amp;P)'!C19</f>
        <v>B2</v>
      </c>
      <c r="D3" s="24">
        <f>'ERPs by country'!D25</f>
        <v>4.8632414333635951E-2</v>
      </c>
      <c r="E3" s="12">
        <f>'ERPs by country'!E25</f>
        <v>0.10049739542691996</v>
      </c>
      <c r="F3" s="16">
        <f>'ERPs by country'!F25</f>
        <v>5.3297395426919955E-2</v>
      </c>
      <c r="G3" s="16">
        <f>'Country Tax Rates'!C19</f>
        <v>0.3</v>
      </c>
      <c r="H3" s="17" t="str">
        <f>VLOOKUP(A3,'Regional lookup table'!$A$2:$B$161,2)</f>
        <v>Africa</v>
      </c>
      <c r="I3" s="68">
        <f t="shared" ref="I3" si="4">B3/$B$31</f>
        <v>6.9964046254008348E-3</v>
      </c>
      <c r="J3" s="68">
        <f t="shared" ref="J3" si="5">I3*D3</f>
        <v>3.402520485882604E-4</v>
      </c>
      <c r="K3" s="68">
        <f t="shared" ref="K3" si="6">I3*E3</f>
        <v>7.0312044220563951E-4</v>
      </c>
      <c r="L3" s="68">
        <f t="shared" ref="L3" si="7">I3*F3</f>
        <v>3.7289014388672005E-4</v>
      </c>
      <c r="M3" s="68">
        <f>I3*G3</f>
        <v>2.0989213876202503E-3</v>
      </c>
    </row>
    <row r="4" spans="1:13" s="44" customFormat="1" ht="15.6">
      <c r="A4" s="10" t="str">
        <f>'Sovereign Ratings (Moody''s,S&amp;P)'!A23</f>
        <v>Botswana</v>
      </c>
      <c r="B4" s="139">
        <f>'Country GDP'!B23</f>
        <v>18.3</v>
      </c>
      <c r="C4" s="11" t="str">
        <f>'Sovereign Ratings (Moody''s,S&amp;P)'!C23</f>
        <v>A2</v>
      </c>
      <c r="D4" s="24">
        <f>'ERPs by country'!D29</f>
        <v>7.4941753235439005E-3</v>
      </c>
      <c r="E4" s="12">
        <f>'ERPs by country'!E29</f>
        <v>5.5413041262508976E-2</v>
      </c>
      <c r="F4" s="16">
        <f>'ERPs by country'!F29</f>
        <v>8.2130412625089771E-3</v>
      </c>
      <c r="G4" s="16">
        <f>'Country Tax Rates'!C23</f>
        <v>0.22</v>
      </c>
      <c r="H4" s="17" t="str">
        <f>VLOOKUP(A4,'Regional lookup table'!$A$2:$B$161,2)</f>
        <v>Africa</v>
      </c>
      <c r="I4" s="68">
        <f t="shared" si="0"/>
        <v>8.8912642114468941E-3</v>
      </c>
      <c r="J4" s="68">
        <f t="shared" si="1"/>
        <v>6.6632692848534331E-5</v>
      </c>
      <c r="K4" s="68">
        <f t="shared" si="2"/>
        <v>4.9269199062477607E-4</v>
      </c>
      <c r="L4" s="68">
        <f t="shared" si="3"/>
        <v>7.3024319844482684E-5</v>
      </c>
      <c r="M4" s="68">
        <f t="shared" ref="M4:M76" si="8">I4*G4</f>
        <v>1.9560781265183166E-3</v>
      </c>
    </row>
    <row r="5" spans="1:13" s="44" customFormat="1" ht="15.6">
      <c r="A5" s="10" t="str">
        <f>'Sovereign Ratings (Moody''s,S&amp;P)'!A26</f>
        <v>Burkina Faso</v>
      </c>
      <c r="B5" s="139">
        <f>'Country GDP'!B26</f>
        <v>15.7</v>
      </c>
      <c r="C5" s="11" t="str">
        <f>'Sovereign Ratings (Moody''s,S&amp;P)'!C26</f>
        <v>B2</v>
      </c>
      <c r="D5" s="24">
        <f>'ERPs by country'!D32</f>
        <v>4.8632414333635951E-2</v>
      </c>
      <c r="E5" s="12">
        <f>'ERPs by country'!E32</f>
        <v>0.10049739542691996</v>
      </c>
      <c r="F5" s="16">
        <f>'ERPs by country'!F32</f>
        <v>5.3297395426919955E-2</v>
      </c>
      <c r="G5" s="16">
        <f>'Country Tax Rates'!C26</f>
        <v>0.28000000000000003</v>
      </c>
      <c r="H5" s="17" t="str">
        <f>VLOOKUP(A5,'Regional lookup table'!$A$2:$B$161,2)</f>
        <v>Africa</v>
      </c>
      <c r="I5" s="68">
        <f t="shared" si="0"/>
        <v>7.6280244874161879E-3</v>
      </c>
      <c r="J5" s="68">
        <f t="shared" si="1"/>
        <v>3.7096924741914503E-4</v>
      </c>
      <c r="K5" s="68">
        <f t="shared" si="2"/>
        <v>7.6659659323809312E-4</v>
      </c>
      <c r="L5" s="68">
        <f t="shared" si="3"/>
        <v>4.0655383743204898E-4</v>
      </c>
      <c r="M5" s="68">
        <f t="shared" si="8"/>
        <v>2.1358468564765328E-3</v>
      </c>
    </row>
    <row r="6" spans="1:13" s="44" customFormat="1" ht="15.6">
      <c r="A6" s="10" t="str">
        <f>'Sovereign Ratings (Moody''s,S&amp;P)'!A28</f>
        <v>Cameroon</v>
      </c>
      <c r="B6" s="139">
        <f>'Country GDP'!B28</f>
        <v>38.799999999999997</v>
      </c>
      <c r="C6" s="11" t="str">
        <f>'Sovereign Ratings (Moody''s,S&amp;P)'!C28</f>
        <v>B2</v>
      </c>
      <c r="D6" s="24">
        <f>'ERPs by country'!D34</f>
        <v>4.8632414333635951E-2</v>
      </c>
      <c r="E6" s="12">
        <f>'ERPs by country'!E34</f>
        <v>0.10049739542691996</v>
      </c>
      <c r="F6" s="16">
        <f>'ERPs by country'!F34</f>
        <v>5.3297395426919955E-2</v>
      </c>
      <c r="G6" s="16">
        <f>'Country Tax Rates'!C28</f>
        <v>0.33</v>
      </c>
      <c r="H6" s="17" t="str">
        <f>VLOOKUP(A6,'Regional lookup table'!$A$2:$B$161,2)</f>
        <v>Africa</v>
      </c>
      <c r="I6" s="68">
        <f t="shared" si="0"/>
        <v>1.8851423573996693E-2</v>
      </c>
      <c r="J6" s="68">
        <f t="shared" si="1"/>
        <v>9.1679024202947948E-4</v>
      </c>
      <c r="K6" s="68">
        <f t="shared" si="2"/>
        <v>1.8945189692763063E-3</v>
      </c>
      <c r="L6" s="68">
        <f t="shared" si="3"/>
        <v>1.0047317765836624E-3</v>
      </c>
      <c r="M6" s="68">
        <f t="shared" si="8"/>
        <v>6.2209697794189086E-3</v>
      </c>
    </row>
    <row r="7" spans="1:13" s="44" customFormat="1" ht="15.6">
      <c r="A7" s="10" t="str">
        <f>'Sovereign Ratings (Moody''s,S&amp;P)'!A30</f>
        <v>Cape Verde</v>
      </c>
      <c r="B7" s="139">
        <f>'Country GDP'!B30</f>
        <v>2</v>
      </c>
      <c r="C7" s="11" t="str">
        <f>'Sovereign Ratings (Moody''s,S&amp;P)'!C30</f>
        <v>B2</v>
      </c>
      <c r="D7" s="24">
        <f>'ERPs by country'!D36</f>
        <v>4.8632414333635951E-2</v>
      </c>
      <c r="E7" s="12">
        <f>'ERPs by country'!E36</f>
        <v>0.10049739542691996</v>
      </c>
      <c r="F7" s="16">
        <f>'ERPs by country'!F36</f>
        <v>5.3297395426919955E-2</v>
      </c>
      <c r="G7" s="16">
        <f>'Country Tax Rates'!C30</f>
        <v>0</v>
      </c>
      <c r="H7" s="17" t="str">
        <f>VLOOKUP(A7,'Regional lookup table'!$A$2:$B$161,2)</f>
        <v>Africa</v>
      </c>
      <c r="I7" s="68">
        <f t="shared" si="0"/>
        <v>9.7172286463900488E-4</v>
      </c>
      <c r="J7" s="68">
        <f t="shared" si="1"/>
        <v>4.7257228970591726E-5</v>
      </c>
      <c r="K7" s="68">
        <f t="shared" si="2"/>
        <v>9.7655616973005494E-5</v>
      </c>
      <c r="L7" s="68">
        <f t="shared" si="3"/>
        <v>5.1790297762044456E-5</v>
      </c>
      <c r="M7" s="68">
        <f t="shared" si="8"/>
        <v>0</v>
      </c>
    </row>
    <row r="8" spans="1:13" s="44" customFormat="1" ht="15.6">
      <c r="A8" s="10" t="str">
        <f>'Sovereign Ratings (Moody''s,S&amp;P)'!A35</f>
        <v>Congo (Democratic Republic of)</v>
      </c>
      <c r="B8" s="139">
        <f>'Country GDP'!B35</f>
        <v>47.3</v>
      </c>
      <c r="C8" s="11" t="str">
        <f>'Sovereign Ratings (Moody''s,S&amp;P)'!C35</f>
        <v>Caa1</v>
      </c>
      <c r="D8" s="24">
        <f>'ERPs by country'!D41</f>
        <v>6.6251698870904069E-2</v>
      </c>
      <c r="E8" s="12">
        <f>'ERPs by country'!E41</f>
        <v>0.1198067796717549</v>
      </c>
      <c r="F8" s="16">
        <f>'ERPs by country'!F41</f>
        <v>7.2606779671754898E-2</v>
      </c>
      <c r="G8" s="16">
        <f>'Country Tax Rates'!C35</f>
        <v>0.35</v>
      </c>
      <c r="H8" s="17" t="str">
        <f>VLOOKUP(A8,'Regional lookup table'!$A$2:$B$161,2)</f>
        <v>Africa</v>
      </c>
      <c r="I8" s="68">
        <f t="shared" si="0"/>
        <v>2.2981245748712464E-2</v>
      </c>
      <c r="J8" s="68">
        <f t="shared" si="1"/>
        <v>1.5225465730219425E-3</v>
      </c>
      <c r="K8" s="68">
        <f t="shared" si="2"/>
        <v>2.7533090459984483E-3</v>
      </c>
      <c r="L8" s="68">
        <f t="shared" si="3"/>
        <v>1.6685942466592198E-3</v>
      </c>
      <c r="M8" s="68">
        <f t="shared" si="8"/>
        <v>8.0434360120493625E-3</v>
      </c>
    </row>
    <row r="9" spans="1:13" s="44" customFormat="1" ht="15.6">
      <c r="A9" s="10" t="str">
        <f>'Sovereign Ratings (Moody''s,S&amp;P)'!A36</f>
        <v>Congo (Republic of)</v>
      </c>
      <c r="B9" s="139">
        <f>'Country GDP'!B36</f>
        <v>10.8</v>
      </c>
      <c r="C9" s="11" t="str">
        <f>'Sovereign Ratings (Moody''s,S&amp;P)'!C36</f>
        <v>Caa2</v>
      </c>
      <c r="D9" s="24">
        <f>'ERPs by country'!D42</f>
        <v>7.9565818860604404E-2</v>
      </c>
      <c r="E9" s="12">
        <f>'ERPs by country'!E42</f>
        <v>0.1343980338296166</v>
      </c>
      <c r="F9" s="16">
        <f>'ERPs by country'!F42</f>
        <v>8.7198033829616592E-2</v>
      </c>
      <c r="G9" s="16">
        <f>'Country Tax Rates'!C36</f>
        <v>0.3</v>
      </c>
      <c r="H9" s="17" t="str">
        <f>VLOOKUP(A9,'Regional lookup table'!$A$2:$B$161,2)</f>
        <v>Africa</v>
      </c>
      <c r="I9" s="68">
        <f t="shared" si="0"/>
        <v>5.2473034690506265E-3</v>
      </c>
      <c r="J9" s="68">
        <f t="shared" si="1"/>
        <v>4.1750599732510323E-4</v>
      </c>
      <c r="K9" s="68">
        <f t="shared" si="2"/>
        <v>7.0522726914773058E-4</v>
      </c>
      <c r="L9" s="68">
        <f t="shared" si="3"/>
        <v>4.5755454540854102E-4</v>
      </c>
      <c r="M9" s="68">
        <f t="shared" si="8"/>
        <v>1.5741910407151879E-3</v>
      </c>
    </row>
    <row r="10" spans="1:13" s="44" customFormat="1" ht="15.6">
      <c r="A10" s="10" t="str">
        <f>'Sovereign Ratings (Moody''s,S&amp;P)'!A39</f>
        <v>Côte d'Ivoire</v>
      </c>
      <c r="B10" s="139">
        <f>'Country GDP'!B39</f>
        <v>58.8</v>
      </c>
      <c r="C10" s="11" t="str">
        <f>'Sovereign Ratings (Moody''s,S&amp;P)'!C39</f>
        <v>Ba3</v>
      </c>
      <c r="D10" s="24">
        <f>'ERPs by country'!D45</f>
        <v>3.1810382490361881E-2</v>
      </c>
      <c r="E10" s="12">
        <f>'ERPs by country'!E45</f>
        <v>8.2061738975968967E-2</v>
      </c>
      <c r="F10" s="16">
        <f>'ERPs by country'!F45</f>
        <v>3.4861738975968962E-2</v>
      </c>
      <c r="G10" s="16">
        <f>'Country Tax Rates'!C39</f>
        <v>0.25</v>
      </c>
      <c r="H10" s="17" t="str">
        <f>VLOOKUP(A10,'Regional lookup table'!$A$2:$B$161,2)</f>
        <v>Africa</v>
      </c>
      <c r="I10" s="68">
        <f t="shared" si="0"/>
        <v>2.856865222038674E-2</v>
      </c>
      <c r="J10" s="68">
        <f t="shared" si="1"/>
        <v>9.0877975436462846E-4</v>
      </c>
      <c r="K10" s="68">
        <f t="shared" si="2"/>
        <v>2.3443932814046129E-3</v>
      </c>
      <c r="L10" s="68">
        <f t="shared" si="3"/>
        <v>9.9595289660235858E-4</v>
      </c>
      <c r="M10" s="68">
        <f t="shared" si="8"/>
        <v>7.142163055096685E-3</v>
      </c>
    </row>
    <row r="11" spans="1:13" s="44" customFormat="1" ht="15.6">
      <c r="A11" s="10" t="str">
        <f>'Sovereign Ratings (Moody''s,S&amp;P)'!A48</f>
        <v>Egypt</v>
      </c>
      <c r="B11" s="139">
        <f>'Country GDP'!B48</f>
        <v>303.2</v>
      </c>
      <c r="C11" s="11" t="str">
        <f>'Sovereign Ratings (Moody''s,S&amp;P)'!C48</f>
        <v>B2</v>
      </c>
      <c r="D11" s="24">
        <f>'ERPs by country'!D54</f>
        <v>4.8632414333635951E-2</v>
      </c>
      <c r="E11" s="12">
        <f>'ERPs by country'!E54</f>
        <v>0.10049739542691996</v>
      </c>
      <c r="F11" s="16">
        <f>'ERPs by country'!F54</f>
        <v>5.3297395426919955E-2</v>
      </c>
      <c r="G11" s="16">
        <f>'Country Tax Rates'!C48</f>
        <v>0.22500000000000001</v>
      </c>
      <c r="H11" s="17" t="str">
        <f>VLOOKUP(A11,'Regional lookup table'!$A$2:$B$161,2)</f>
        <v>Africa</v>
      </c>
      <c r="I11" s="68">
        <f t="shared" si="0"/>
        <v>0.14731318627927312</v>
      </c>
      <c r="J11" s="68">
        <f t="shared" si="1"/>
        <v>7.1641959119417052E-3</v>
      </c>
      <c r="K11" s="68">
        <f t="shared" si="2"/>
        <v>1.480459153310763E-2</v>
      </c>
      <c r="L11" s="68">
        <f t="shared" si="3"/>
        <v>7.851409140725938E-3</v>
      </c>
      <c r="M11" s="68">
        <f t="shared" si="8"/>
        <v>3.3145466912836451E-2</v>
      </c>
    </row>
    <row r="12" spans="1:13" s="44" customFormat="1" ht="15.6">
      <c r="A12" s="10" t="str">
        <f>'Sovereign Ratings (Moody''s,S&amp;P)'!A51</f>
        <v>Ethiopia</v>
      </c>
      <c r="B12" s="139">
        <f>'Country GDP'!B51</f>
        <v>96.1</v>
      </c>
      <c r="C12" s="11" t="str">
        <f>'Sovereign Ratings (Moody''s,S&amp;P)'!C51</f>
        <v>B2</v>
      </c>
      <c r="D12" s="24">
        <f>'ERPs by country'!D57</f>
        <v>4.8632414333635951E-2</v>
      </c>
      <c r="E12" s="12">
        <f>'ERPs by country'!E57</f>
        <v>0.10049739542691996</v>
      </c>
      <c r="F12" s="16">
        <f>'ERPs by country'!F57</f>
        <v>5.3297395426919955E-2</v>
      </c>
      <c r="G12" s="16">
        <f>'Country Tax Rates'!C51</f>
        <v>0.3</v>
      </c>
      <c r="H12" s="17" t="str">
        <f>VLOOKUP(A12,'Regional lookup table'!$A$2:$B$161,2)</f>
        <v>Africa</v>
      </c>
      <c r="I12" s="68">
        <f t="shared" si="0"/>
        <v>4.6691283645904177E-2</v>
      </c>
      <c r="J12" s="68">
        <f t="shared" si="1"/>
        <v>2.270709852036932E-3</v>
      </c>
      <c r="K12" s="68">
        <f t="shared" si="2"/>
        <v>4.6923523955529137E-3</v>
      </c>
      <c r="L12" s="68">
        <f t="shared" si="3"/>
        <v>2.4885238074662357E-3</v>
      </c>
      <c r="M12" s="68">
        <f t="shared" si="8"/>
        <v>1.4007385093771254E-2</v>
      </c>
    </row>
    <row r="13" spans="1:13" s="44" customFormat="1" ht="15.6">
      <c r="A13" s="10" t="str">
        <f>'Sovereign Ratings (Moody''s,S&amp;P)'!A55</f>
        <v>Gabon</v>
      </c>
      <c r="B13" s="139">
        <f>'Country GDP'!B55</f>
        <v>16.7</v>
      </c>
      <c r="C13" s="11" t="str">
        <f>'Sovereign Ratings (Moody''s,S&amp;P)'!C55</f>
        <v>Caa1</v>
      </c>
      <c r="D13" s="24">
        <f>'ERPs by country'!D61</f>
        <v>6.6251698870904069E-2</v>
      </c>
      <c r="E13" s="12">
        <f>'ERPs by country'!E61</f>
        <v>0.1198067796717549</v>
      </c>
      <c r="F13" s="16">
        <f>'ERPs by country'!F61</f>
        <v>7.2606779671754898E-2</v>
      </c>
      <c r="G13" s="16">
        <f>'Country Tax Rates'!C55</f>
        <v>0.3</v>
      </c>
      <c r="H13" s="17" t="str">
        <f>VLOOKUP(A13,'Regional lookup table'!$A$2:$B$161,2)</f>
        <v>Africa</v>
      </c>
      <c r="I13" s="68">
        <f t="shared" si="0"/>
        <v>8.1138859197356899E-3</v>
      </c>
      <c r="J13" s="68">
        <f t="shared" si="1"/>
        <v>5.3755872662719748E-4</v>
      </c>
      <c r="K13" s="68">
        <f t="shared" si="2"/>
        <v>9.7209854266752823E-4</v>
      </c>
      <c r="L13" s="68">
        <f t="shared" si="3"/>
        <v>5.8912312725600358E-4</v>
      </c>
      <c r="M13" s="68">
        <f t="shared" si="8"/>
        <v>2.4341657759207069E-3</v>
      </c>
    </row>
    <row r="14" spans="1:13" s="44" customFormat="1" ht="15.6">
      <c r="A14" s="10" t="str">
        <f>'Sovereign Ratings (Moody''s,S&amp;P)'!A58</f>
        <v>Ghana</v>
      </c>
      <c r="B14" s="139">
        <f>'Country GDP'!B58</f>
        <v>67</v>
      </c>
      <c r="C14" s="11" t="str">
        <f>'Sovereign Ratings (Moody''s,S&amp;P)'!C58</f>
        <v>B3</v>
      </c>
      <c r="D14" s="24">
        <f>'ERPs by country'!D64</f>
        <v>5.74819192369697E-2</v>
      </c>
      <c r="E14" s="12">
        <f>'ERPs by country'!E64</f>
        <v>0.1101957739390316</v>
      </c>
      <c r="F14" s="16">
        <f>'ERPs by country'!F64</f>
        <v>6.2995773939031607E-2</v>
      </c>
      <c r="G14" s="16">
        <f>'Country Tax Rates'!C58</f>
        <v>0.25</v>
      </c>
      <c r="H14" s="17" t="str">
        <f>VLOOKUP(A14,'Regional lookup table'!$A$2:$B$161,2)</f>
        <v>Africa</v>
      </c>
      <c r="I14" s="68">
        <f t="shared" si="0"/>
        <v>3.255271596540666E-2</v>
      </c>
      <c r="J14" s="68">
        <f t="shared" si="1"/>
        <v>1.8711925900675198E-3</v>
      </c>
      <c r="K14" s="68">
        <f t="shared" si="2"/>
        <v>3.587171729625457E-3</v>
      </c>
      <c r="L14" s="68">
        <f t="shared" si="3"/>
        <v>2.0506835360582631E-3</v>
      </c>
      <c r="M14" s="68">
        <f t="shared" si="8"/>
        <v>8.1381789913516651E-3</v>
      </c>
    </row>
    <row r="15" spans="1:13" s="44" customFormat="1" ht="15.6">
      <c r="A15" s="10" t="str">
        <f>'Sovereign Ratings (Moody''s,S&amp;P)'!A78</f>
        <v>Kenya</v>
      </c>
      <c r="B15" s="139">
        <f>'Country GDP'!B78</f>
        <v>95.5</v>
      </c>
      <c r="C15" s="11" t="str">
        <f>'Sovereign Ratings (Moody''s,S&amp;P)'!C78</f>
        <v>B2</v>
      </c>
      <c r="D15" s="24">
        <f>'ERPs by country'!D84</f>
        <v>4.8632414333635951E-2</v>
      </c>
      <c r="E15" s="12">
        <f>'ERPs by country'!E84</f>
        <v>0.10049739542691996</v>
      </c>
      <c r="F15" s="16">
        <f>'ERPs by country'!F84</f>
        <v>5.3297395426919955E-2</v>
      </c>
      <c r="G15" s="16">
        <f>'Country Tax Rates'!C78</f>
        <v>0.3</v>
      </c>
      <c r="H15" s="17" t="str">
        <f>VLOOKUP(A15,'Regional lookup table'!$A$2:$B$161,2)</f>
        <v>Africa</v>
      </c>
      <c r="I15" s="68">
        <f t="shared" si="0"/>
        <v>4.6399766786512482E-2</v>
      </c>
      <c r="J15" s="68">
        <f t="shared" si="1"/>
        <v>2.2565326833457549E-3</v>
      </c>
      <c r="K15" s="68">
        <f t="shared" si="2"/>
        <v>4.6630557104610122E-3</v>
      </c>
      <c r="L15" s="68">
        <f t="shared" si="3"/>
        <v>2.4729867181376227E-3</v>
      </c>
      <c r="M15" s="68">
        <f t="shared" si="8"/>
        <v>1.3919930035953744E-2</v>
      </c>
    </row>
    <row r="16" spans="1:13" s="44" customFormat="1" ht="15.6">
      <c r="A16" s="10" t="str">
        <f>'Sovereign Ratings (Moody''s,S&amp;P)'!A92</f>
        <v>Mali</v>
      </c>
      <c r="B16" s="139">
        <f>'Country GDP'!B92</f>
        <v>17.5</v>
      </c>
      <c r="C16" s="11" t="str">
        <f>'Sovereign Ratings (Moody''s,S&amp;P)'!C92</f>
        <v>Caa1</v>
      </c>
      <c r="D16" s="24">
        <f>'ERPs by country'!D98</f>
        <v>6.6251698870904069E-2</v>
      </c>
      <c r="E16" s="12">
        <f>'ERPs by country'!E98</f>
        <v>0.1198067796717549</v>
      </c>
      <c r="F16" s="16">
        <f>'ERPs by country'!F98</f>
        <v>7.2606779671754898E-2</v>
      </c>
      <c r="G16" s="16">
        <f>'Country Tax Rates'!C92</f>
        <v>0.28249999999999997</v>
      </c>
      <c r="H16" s="17" t="str">
        <f>VLOOKUP(A16,'Regional lookup table'!$A$2:$B$161,2)</f>
        <v>Africa</v>
      </c>
      <c r="I16" s="68">
        <f t="shared" si="0"/>
        <v>8.5025750655912929E-3</v>
      </c>
      <c r="J16" s="68">
        <f t="shared" si="1"/>
        <v>5.6331004287281177E-4</v>
      </c>
      <c r="K16" s="68">
        <f t="shared" si="2"/>
        <v>1.018666137525853E-3</v>
      </c>
      <c r="L16" s="68">
        <f t="shared" si="3"/>
        <v>6.1734459442994399E-4</v>
      </c>
      <c r="M16" s="68">
        <f t="shared" si="8"/>
        <v>2.4019774560295401E-3</v>
      </c>
    </row>
    <row r="17" spans="1:13" s="44" customFormat="1" ht="15.6">
      <c r="A17" s="10" t="str">
        <f>'Sovereign Ratings (Moody''s,S&amp;P)'!A100</f>
        <v>Morocco</v>
      </c>
      <c r="B17" s="139">
        <f>'Country GDP'!B100</f>
        <v>118.7</v>
      </c>
      <c r="C17" s="11" t="str">
        <f>'Sovereign Ratings (Moody''s,S&amp;P)'!C100</f>
        <v>Ba1</v>
      </c>
      <c r="D17" s="24">
        <f>'ERPs by country'!D106</f>
        <v>2.208389962363469E-2</v>
      </c>
      <c r="E17" s="12">
        <f>'ERPs by country'!E106</f>
        <v>7.1402259890584963E-2</v>
      </c>
      <c r="F17" s="16">
        <f>'ERPs by country'!F106</f>
        <v>2.4202259890584967E-2</v>
      </c>
      <c r="G17" s="16">
        <f>'Country Tax Rates'!C100</f>
        <v>0.31</v>
      </c>
      <c r="H17" s="17" t="str">
        <f>VLOOKUP(A17,'Regional lookup table'!$A$2:$B$161,2)</f>
        <v>Africa</v>
      </c>
      <c r="I17" s="68">
        <f t="shared" si="0"/>
        <v>5.7671752016324941E-2</v>
      </c>
      <c r="J17" s="68">
        <f t="shared" si="1"/>
        <v>1.2736171826476716E-3</v>
      </c>
      <c r="K17" s="68">
        <f t="shared" si="2"/>
        <v>4.1178934258150005E-3</v>
      </c>
      <c r="L17" s="68">
        <f t="shared" si="3"/>
        <v>1.3957867306444638E-3</v>
      </c>
      <c r="M17" s="68">
        <f t="shared" si="8"/>
        <v>1.7878243125060731E-2</v>
      </c>
    </row>
    <row r="18" spans="1:13" s="44" customFormat="1" ht="15.6">
      <c r="A18" s="10" t="str">
        <f>'Sovereign Ratings (Moody''s,S&amp;P)'!A101</f>
        <v>Mozambique</v>
      </c>
      <c r="B18" s="139">
        <f>'Country GDP'!B101</f>
        <v>14.9</v>
      </c>
      <c r="C18" s="11" t="str">
        <f>'Sovereign Ratings (Moody''s,S&amp;P)'!C101</f>
        <v>Caa2</v>
      </c>
      <c r="D18" s="24">
        <f>'ERPs by country'!D107</f>
        <v>7.9565818860604404E-2</v>
      </c>
      <c r="E18" s="12">
        <f>'ERPs by country'!E107</f>
        <v>0.1343980338296166</v>
      </c>
      <c r="F18" s="16">
        <f>'ERPs by country'!F107</f>
        <v>8.7198033829616592E-2</v>
      </c>
      <c r="G18" s="16">
        <f>'Country Tax Rates'!C101</f>
        <v>0.32</v>
      </c>
      <c r="H18" s="17" t="str">
        <f>VLOOKUP(A18,'Regional lookup table'!$A$2:$B$161,2)</f>
        <v>Africa</v>
      </c>
      <c r="I18" s="68">
        <f t="shared" si="0"/>
        <v>7.2393353415605858E-3</v>
      </c>
      <c r="J18" s="68">
        <f t="shared" si="1"/>
        <v>5.7600364445778126E-4</v>
      </c>
      <c r="K18" s="68">
        <f t="shared" si="2"/>
        <v>9.7295243613899863E-4</v>
      </c>
      <c r="L18" s="68">
        <f t="shared" si="3"/>
        <v>6.3125580801733896E-4</v>
      </c>
      <c r="M18" s="68">
        <f t="shared" si="8"/>
        <v>2.3165873092993875E-3</v>
      </c>
    </row>
    <row r="19" spans="1:13" s="44" customFormat="1" ht="15.6">
      <c r="A19" s="10" t="str">
        <f>'Sovereign Ratings (Moody''s,S&amp;P)'!A102</f>
        <v>Namibia</v>
      </c>
      <c r="B19" s="139">
        <f>'Country GDP'!B102</f>
        <v>12.4</v>
      </c>
      <c r="C19" s="11" t="str">
        <f>'Sovereign Ratings (Moody''s,S&amp;P)'!C102</f>
        <v>Ba3</v>
      </c>
      <c r="D19" s="24">
        <f>'ERPs by country'!D108</f>
        <v>3.1810382490361881E-2</v>
      </c>
      <c r="E19" s="12">
        <f>'ERPs by country'!E108</f>
        <v>8.2061738975968967E-2</v>
      </c>
      <c r="F19" s="16">
        <f>'ERPs by country'!F108</f>
        <v>3.4861738975968962E-2</v>
      </c>
      <c r="G19" s="16">
        <f>'Country Tax Rates'!C102</f>
        <v>0.32</v>
      </c>
      <c r="H19" s="17" t="str">
        <f>VLOOKUP(A19,'Regional lookup table'!$A$2:$B$161,2)</f>
        <v>Africa</v>
      </c>
      <c r="I19" s="68">
        <f t="shared" si="0"/>
        <v>6.0246817607618299E-3</v>
      </c>
      <c r="J19" s="68">
        <f t="shared" si="1"/>
        <v>1.9164743119254069E-4</v>
      </c>
      <c r="K19" s="68">
        <f t="shared" si="2"/>
        <v>4.9439586206491838E-4</v>
      </c>
      <c r="L19" s="68">
        <f t="shared" si="3"/>
        <v>2.1003088295696001E-4</v>
      </c>
      <c r="M19" s="68">
        <f t="shared" si="8"/>
        <v>1.9278981634437856E-3</v>
      </c>
    </row>
    <row r="20" spans="1:13" s="44" customFormat="1" ht="15.6">
      <c r="A20" s="10" t="str">
        <f>'Sovereign Ratings (Moody''s,S&amp;P)'!A106</f>
        <v>Niger</v>
      </c>
      <c r="B20" s="139">
        <f>'Country GDP'!B106</f>
        <v>12.9</v>
      </c>
      <c r="C20" s="11" t="str">
        <f>'Sovereign Ratings (Moody''s,S&amp;P)'!C106</f>
        <v>B3</v>
      </c>
      <c r="D20" s="24">
        <f>'ERPs by country'!D112</f>
        <v>5.74819192369697E-2</v>
      </c>
      <c r="E20" s="12">
        <f>'ERPs by country'!E112</f>
        <v>0.1101957739390316</v>
      </c>
      <c r="F20" s="16">
        <f>'ERPs by country'!F112</f>
        <v>6.2995773939031607E-2</v>
      </c>
      <c r="G20" s="16">
        <f>'Country Tax Rates'!C106</f>
        <v>0.28249999999999997</v>
      </c>
      <c r="H20" s="17" t="str">
        <f>VLOOKUP(A20,'Regional lookup table'!$A$2:$B$161,2)</f>
        <v>Africa</v>
      </c>
      <c r="I20" s="68">
        <f t="shared" ref="I20" si="9">B20/$B$31</f>
        <v>6.2676124769215809E-3</v>
      </c>
      <c r="J20" s="68">
        <f t="shared" ref="J20" si="10">I20*D20</f>
        <v>3.6027439420702992E-4</v>
      </c>
      <c r="K20" s="68">
        <f t="shared" ref="K20" si="11">I20*E20</f>
        <v>6.9066440764430439E-4</v>
      </c>
      <c r="L20" s="68">
        <f t="shared" ref="L20" si="12">I20*F20</f>
        <v>3.9483309873360585E-4</v>
      </c>
      <c r="M20" s="68">
        <f t="shared" ref="M20" si="13">I20*G20</f>
        <v>1.7706005247303464E-3</v>
      </c>
    </row>
    <row r="21" spans="1:13" s="44" customFormat="1" ht="15.6">
      <c r="A21" s="10" t="str">
        <f>'Sovereign Ratings (Moody''s,S&amp;P)'!A107</f>
        <v>Nigeria</v>
      </c>
      <c r="B21" s="139">
        <f>'Country GDP'!B107</f>
        <v>448.1</v>
      </c>
      <c r="C21" s="11" t="str">
        <f>'Sovereign Ratings (Moody''s,S&amp;P)'!C107</f>
        <v>B2</v>
      </c>
      <c r="D21" s="24">
        <f>'ERPs by country'!D113</f>
        <v>4.8632414333635951E-2</v>
      </c>
      <c r="E21" s="12">
        <f>'ERPs by country'!E113</f>
        <v>0.10049739542691996</v>
      </c>
      <c r="F21" s="16">
        <f>'ERPs by country'!F113</f>
        <v>5.3297395426919955E-2</v>
      </c>
      <c r="G21" s="16">
        <f>'Country Tax Rates'!C107</f>
        <v>0.3</v>
      </c>
      <c r="H21" s="17" t="str">
        <f>VLOOKUP(A21,'Regional lookup table'!$A$2:$B$161,2)</f>
        <v>Africa</v>
      </c>
      <c r="I21" s="68">
        <f t="shared" si="0"/>
        <v>0.21771450782236904</v>
      </c>
      <c r="J21" s="68">
        <f t="shared" si="1"/>
        <v>1.0587982150861076E-2</v>
      </c>
      <c r="K21" s="68">
        <f t="shared" si="2"/>
        <v>2.187974098280188E-2</v>
      </c>
      <c r="L21" s="68">
        <f t="shared" si="3"/>
        <v>1.1603616213586061E-2</v>
      </c>
      <c r="M21" s="68">
        <f t="shared" si="8"/>
        <v>6.5314352346710708E-2</v>
      </c>
    </row>
    <row r="22" spans="1:13" s="44" customFormat="1" ht="15.6">
      <c r="A22" s="10" t="str">
        <f>'Sovereign Ratings (Moody''s,S&amp;P)'!A122</f>
        <v>Rwanda</v>
      </c>
      <c r="B22" s="139">
        <f>'Country GDP'!B122</f>
        <v>10.1</v>
      </c>
      <c r="C22" s="11" t="str">
        <f>'Sovereign Ratings (Moody''s,S&amp;P)'!C122</f>
        <v>B2</v>
      </c>
      <c r="D22" s="24">
        <f>'ERPs by country'!D128</f>
        <v>4.8632414333635951E-2</v>
      </c>
      <c r="E22" s="12">
        <f>'ERPs by country'!E128</f>
        <v>0.10049739542691996</v>
      </c>
      <c r="F22" s="16">
        <f>'ERPs by country'!F128</f>
        <v>5.3297395426919955E-2</v>
      </c>
      <c r="G22" s="16">
        <f>'Country Tax Rates'!C122</f>
        <v>0.3</v>
      </c>
      <c r="H22" s="17" t="str">
        <f>VLOOKUP(A22,'Regional lookup table'!$A$2:$B$161,2)</f>
        <v>Africa</v>
      </c>
      <c r="I22" s="68">
        <f t="shared" si="0"/>
        <v>4.9072004664269739E-3</v>
      </c>
      <c r="J22" s="68">
        <f t="shared" si="1"/>
        <v>2.3864900630148818E-4</v>
      </c>
      <c r="K22" s="68">
        <f t="shared" si="2"/>
        <v>4.9316086571367769E-4</v>
      </c>
      <c r="L22" s="68">
        <f t="shared" si="3"/>
        <v>2.6154100369832448E-4</v>
      </c>
      <c r="M22" s="68">
        <f t="shared" si="8"/>
        <v>1.472160139928092E-3</v>
      </c>
    </row>
    <row r="23" spans="1:13" s="44" customFormat="1" ht="15.6">
      <c r="A23" s="10" t="str">
        <f>'Sovereign Ratings (Moody''s,S&amp;P)'!A124</f>
        <v>Senegal</v>
      </c>
      <c r="B23" s="139">
        <f>'Country GDP'!B124</f>
        <v>23.6</v>
      </c>
      <c r="C23" s="11" t="str">
        <f>'Sovereign Ratings (Moody''s,S&amp;P)'!C124</f>
        <v>Ba3</v>
      </c>
      <c r="D23" s="24">
        <f>'ERPs by country'!D130</f>
        <v>3.1810382490361881E-2</v>
      </c>
      <c r="E23" s="12">
        <f>'ERPs by country'!E130</f>
        <v>8.2061738975968967E-2</v>
      </c>
      <c r="F23" s="16">
        <f>'ERPs by country'!F130</f>
        <v>3.4861738975968962E-2</v>
      </c>
      <c r="G23" s="16">
        <f>'Country Tax Rates'!C124</f>
        <v>0.3</v>
      </c>
      <c r="H23" s="17" t="str">
        <f>VLOOKUP(A23,'Regional lookup table'!$A$2:$B$161,2)</f>
        <v>Africa</v>
      </c>
      <c r="I23" s="68">
        <f t="shared" si="0"/>
        <v>1.1466329802740257E-2</v>
      </c>
      <c r="J23" s="68">
        <f t="shared" si="1"/>
        <v>3.6474833678580326E-4</v>
      </c>
      <c r="K23" s="68">
        <f t="shared" si="2"/>
        <v>9.409469632848447E-4</v>
      </c>
      <c r="L23" s="68">
        <f t="shared" si="3"/>
        <v>3.9973619659550451E-4</v>
      </c>
      <c r="M23" s="68">
        <f t="shared" si="8"/>
        <v>3.4398989408220772E-3</v>
      </c>
    </row>
    <row r="24" spans="1:13" s="44" customFormat="1" ht="15.6">
      <c r="A24" s="10" t="str">
        <f>'Sovereign Ratings (Moody''s,S&amp;P)'!A131</f>
        <v>South Africa</v>
      </c>
      <c r="B24" s="139">
        <f>'Country GDP'!B131</f>
        <v>351.4</v>
      </c>
      <c r="C24" s="11" t="str">
        <f>'Sovereign Ratings (Moody''s,S&amp;P)'!C131</f>
        <v>Ba2</v>
      </c>
      <c r="D24" s="24">
        <f>'ERPs by country'!D137</f>
        <v>2.6548514710001261E-2</v>
      </c>
      <c r="E24" s="12">
        <f>'ERPs by country'!E137</f>
        <v>7.629513553633499E-2</v>
      </c>
      <c r="F24" s="16">
        <f>'ERPs by country'!F137</f>
        <v>2.9095135536334988E-2</v>
      </c>
      <c r="G24" s="16">
        <f>'Country Tax Rates'!C131</f>
        <v>0.28000000000000003</v>
      </c>
      <c r="H24" s="17" t="str">
        <f>VLOOKUP(A24,'Regional lookup table'!$A$2:$B$161,2)</f>
        <v>Africa</v>
      </c>
      <c r="I24" s="68">
        <f t="shared" si="0"/>
        <v>0.17073170731707313</v>
      </c>
      <c r="J24" s="68">
        <f t="shared" si="1"/>
        <v>4.5326732431709461E-3</v>
      </c>
      <c r="K24" s="68">
        <f t="shared" si="2"/>
        <v>1.3025998750105971E-2</v>
      </c>
      <c r="L24" s="68">
        <f t="shared" si="3"/>
        <v>4.9674621647401189E-3</v>
      </c>
      <c r="M24" s="68">
        <f t="shared" si="8"/>
        <v>4.7804878048780482E-2</v>
      </c>
    </row>
    <row r="25" spans="1:13" ht="15.6">
      <c r="A25" s="10" t="str">
        <f>'Sovereign Ratings (Moody''s,S&amp;P)'!A137</f>
        <v>Swaziland</v>
      </c>
      <c r="B25" s="139">
        <f>'Country GDP'!B137</f>
        <v>4.4000000000000004</v>
      </c>
      <c r="C25" s="11" t="str">
        <f>'Sovereign Ratings (Moody''s,S&amp;P)'!C137</f>
        <v>B3</v>
      </c>
      <c r="D25" s="24">
        <f>'ERPs by country'!D143</f>
        <v>5.74819192369697E-2</v>
      </c>
      <c r="E25" s="12">
        <f>'ERPs by country'!E143</f>
        <v>0.1101957739390316</v>
      </c>
      <c r="F25" s="16">
        <f>'ERPs by country'!F143</f>
        <v>6.2995773939031607E-2</v>
      </c>
      <c r="G25" s="16">
        <f>'Country Tax Rates'!C137</f>
        <v>0.27500000000000002</v>
      </c>
      <c r="H25" s="17" t="str">
        <f>VLOOKUP(A25,'Regional lookup table'!$A$2:$B$161,2)</f>
        <v>Africa</v>
      </c>
      <c r="I25" s="68">
        <f t="shared" ref="I25" si="14">B25/$B$31</f>
        <v>2.1377903022058108E-3</v>
      </c>
      <c r="J25" s="68">
        <f t="shared" ref="J25" si="15">I25*D25</f>
        <v>1.2288428949697148E-4</v>
      </c>
      <c r="K25" s="68">
        <f t="shared" ref="K25" si="16">I25*E25</f>
        <v>2.3557545687092558E-4</v>
      </c>
      <c r="L25" s="68">
        <f t="shared" ref="L25" si="17">I25*F25</f>
        <v>1.3467175460681131E-4</v>
      </c>
      <c r="M25" s="68">
        <f t="shared" ref="M25" si="18">I25*G25</f>
        <v>5.8789233310659798E-4</v>
      </c>
    </row>
    <row r="26" spans="1:13" s="44" customFormat="1" ht="15.6">
      <c r="A26" s="10" t="str">
        <f>'Sovereign Ratings (Moody''s,S&amp;P)'!A142</f>
        <v>Tanzania</v>
      </c>
      <c r="B26" s="139">
        <f>'Country GDP'!B142</f>
        <v>63.2</v>
      </c>
      <c r="C26" s="11" t="str">
        <f>'Sovereign Ratings (Moody''s,S&amp;P)'!C142</f>
        <v>B2</v>
      </c>
      <c r="D26" s="24">
        <f>'ERPs by country'!D148</f>
        <v>4.8632414333635951E-2</v>
      </c>
      <c r="E26" s="12">
        <f>'ERPs by country'!E148</f>
        <v>0.10049739542691996</v>
      </c>
      <c r="F26" s="16">
        <f>'ERPs by country'!F148</f>
        <v>5.3297395426919955E-2</v>
      </c>
      <c r="G26" s="16">
        <f>'Country Tax Rates'!C142</f>
        <v>0.3</v>
      </c>
      <c r="H26" s="17" t="str">
        <f>VLOOKUP(A26,'Regional lookup table'!$A$2:$B$161,2)</f>
        <v>Africa</v>
      </c>
      <c r="I26" s="68">
        <f t="shared" si="0"/>
        <v>3.0706442522592553E-2</v>
      </c>
      <c r="J26" s="68">
        <f t="shared" si="1"/>
        <v>1.4933284354706985E-3</v>
      </c>
      <c r="K26" s="68">
        <f t="shared" si="2"/>
        <v>3.0859174963469736E-3</v>
      </c>
      <c r="L26" s="68">
        <f t="shared" si="3"/>
        <v>1.6365734092806047E-3</v>
      </c>
      <c r="M26" s="68">
        <f t="shared" si="8"/>
        <v>9.2119327567777663E-3</v>
      </c>
    </row>
    <row r="27" spans="1:13" s="44" customFormat="1" ht="15.6">
      <c r="A27" s="10" t="str">
        <f>'Sovereign Ratings (Moody''s,S&amp;P)'!A144</f>
        <v>Togo</v>
      </c>
      <c r="B27" s="139">
        <f>'Country GDP'!B144</f>
        <v>5.5</v>
      </c>
      <c r="C27" s="11" t="str">
        <f>'Sovereign Ratings (Moody''s,S&amp;P)'!C144</f>
        <v>B3</v>
      </c>
      <c r="D27" s="24">
        <f>'ERPs by country'!D150</f>
        <v>5.74819192369697E-2</v>
      </c>
      <c r="E27" s="12">
        <f>'ERPs by country'!E150</f>
        <v>0.1101957739390316</v>
      </c>
      <c r="F27" s="16">
        <f>'ERPs by country'!F150</f>
        <v>6.2995773939031607E-2</v>
      </c>
      <c r="G27" s="16">
        <f>'Country Tax Rates'!C144</f>
        <v>0.28249999999999997</v>
      </c>
      <c r="H27" s="17" t="str">
        <f>VLOOKUP(A27,'Regional lookup table'!$A$2:$B$161,2)</f>
        <v>Africa</v>
      </c>
      <c r="I27" s="68">
        <f>B27/$B$31</f>
        <v>2.6722378777572632E-3</v>
      </c>
      <c r="J27" s="68">
        <f>I27*D27</f>
        <v>1.5360536187121433E-4</v>
      </c>
      <c r="K27" s="68">
        <f>I27*E27</f>
        <v>2.9446932108865691E-4</v>
      </c>
      <c r="L27" s="68">
        <f>I27*F27</f>
        <v>1.6833969325851414E-4</v>
      </c>
      <c r="M27" s="68">
        <f>I27*G27</f>
        <v>7.5490720046642674E-4</v>
      </c>
    </row>
    <row r="28" spans="1:13" s="44" customFormat="1" ht="15.6">
      <c r="A28" s="10" t="str">
        <f>'Sovereign Ratings (Moody''s,S&amp;P)'!A146</f>
        <v>Tunisia</v>
      </c>
      <c r="B28" s="139">
        <f>'Country GDP'!B146</f>
        <v>38.799999999999997</v>
      </c>
      <c r="C28" s="11" t="str">
        <f>'Sovereign Ratings (Moody''s,S&amp;P)'!C146</f>
        <v>B2</v>
      </c>
      <c r="D28" s="24">
        <f>'ERPs by country'!D152</f>
        <v>4.8632414333635951E-2</v>
      </c>
      <c r="E28" s="12">
        <f>'ERPs by country'!E152</f>
        <v>0.10049739542691996</v>
      </c>
      <c r="F28" s="16">
        <f>'ERPs by country'!F152</f>
        <v>5.3297395426919955E-2</v>
      </c>
      <c r="G28" s="16">
        <f>'Country Tax Rates'!C146</f>
        <v>0.25</v>
      </c>
      <c r="H28" s="17" t="str">
        <f>VLOOKUP(A28,'Regional lookup table'!$A$2:$B$161,2)</f>
        <v>Africa</v>
      </c>
      <c r="I28" s="68">
        <f t="shared" si="0"/>
        <v>1.8851423573996693E-2</v>
      </c>
      <c r="J28" s="68">
        <f t="shared" si="1"/>
        <v>9.1679024202947948E-4</v>
      </c>
      <c r="K28" s="68">
        <f t="shared" si="2"/>
        <v>1.8945189692763063E-3</v>
      </c>
      <c r="L28" s="68">
        <f t="shared" si="3"/>
        <v>1.0047317765836624E-3</v>
      </c>
      <c r="M28" s="68">
        <f t="shared" si="8"/>
        <v>4.7128558934991733E-3</v>
      </c>
    </row>
    <row r="29" spans="1:13" s="44" customFormat="1" ht="15.6">
      <c r="A29" s="10" t="str">
        <f>'Sovereign Ratings (Moody''s,S&amp;P)'!A149</f>
        <v>Uganda</v>
      </c>
      <c r="B29" s="139">
        <f>'Country GDP'!B149</f>
        <v>34.4</v>
      </c>
      <c r="C29" s="11" t="str">
        <f>'Sovereign Ratings (Moody''s,S&amp;P)'!C149</f>
        <v>B2</v>
      </c>
      <c r="D29" s="24">
        <f>'ERPs by country'!D155</f>
        <v>4.8632414333635951E-2</v>
      </c>
      <c r="E29" s="12">
        <f>'ERPs by country'!E155</f>
        <v>0.10049739542691996</v>
      </c>
      <c r="F29" s="16">
        <f>'ERPs by country'!F155</f>
        <v>5.3297395426919955E-2</v>
      </c>
      <c r="G29" s="16">
        <f>'Country Tax Rates'!C149</f>
        <v>0.3</v>
      </c>
      <c r="H29" s="17" t="str">
        <f>VLOOKUP(A29,'Regional lookup table'!$A$2:$B$161,2)</f>
        <v>Africa</v>
      </c>
      <c r="I29" s="68">
        <f t="shared" ref="I29:I30" si="19">B29/$B$31</f>
        <v>1.6713633271790884E-2</v>
      </c>
      <c r="J29" s="68">
        <f t="shared" ref="J29:J30" si="20">I29*D29</f>
        <v>8.1282433829417769E-4</v>
      </c>
      <c r="K29" s="68">
        <f t="shared" ref="K29:K30" si="21">I29*E29</f>
        <v>1.6796766119356943E-3</v>
      </c>
      <c r="L29" s="68">
        <f t="shared" ref="L29:L30" si="22">I29*F29</f>
        <v>8.9079312150716465E-4</v>
      </c>
      <c r="M29" s="68">
        <f t="shared" ref="M29:M30" si="23">I29*G29</f>
        <v>5.0140899815372649E-3</v>
      </c>
    </row>
    <row r="30" spans="1:13" s="44" customFormat="1" ht="15.6">
      <c r="A30" s="10" t="str">
        <f>'Sovereign Ratings (Moody''s,S&amp;P)'!A158</f>
        <v>Zambia</v>
      </c>
      <c r="B30" s="139">
        <f>'Country GDP'!B158</f>
        <v>23.1</v>
      </c>
      <c r="C30" s="11" t="str">
        <f>'Sovereign Ratings (Moody''s,S&amp;P)'!C158</f>
        <v>Ca</v>
      </c>
      <c r="D30" s="24">
        <f>'ERPs by country'!D164</f>
        <v>0.10603460830120626</v>
      </c>
      <c r="E30" s="12">
        <f>'ERPs by country'!E164</f>
        <v>0.16340579658656318</v>
      </c>
      <c r="F30" s="16">
        <f>'ERPs by country'!F164</f>
        <v>0.11620579658656319</v>
      </c>
      <c r="G30" s="16">
        <f>'Country Tax Rates'!C158</f>
        <v>0.35</v>
      </c>
      <c r="H30" s="17" t="str">
        <f>VLOOKUP(A30,'Regional lookup table'!$A$2:$B$161,2)</f>
        <v>Africa</v>
      </c>
      <c r="I30" s="68">
        <f t="shared" si="19"/>
        <v>1.1223399086580507E-2</v>
      </c>
      <c r="J30" s="68">
        <f t="shared" si="20"/>
        <v>1.1900687259536801E-3</v>
      </c>
      <c r="K30" s="68">
        <f t="shared" si="21"/>
        <v>1.8339684681515933E-3</v>
      </c>
      <c r="L30" s="68">
        <f t="shared" si="22"/>
        <v>1.3042240312649935E-3</v>
      </c>
      <c r="M30" s="68">
        <f t="shared" si="23"/>
        <v>3.928189680303177E-3</v>
      </c>
    </row>
    <row r="31" spans="1:13" s="36" customFormat="1" ht="15.6">
      <c r="A31" s="66" t="s">
        <v>128</v>
      </c>
      <c r="B31" s="178">
        <f>SUM(B2:B30)</f>
        <v>2058.2000000000003</v>
      </c>
      <c r="C31" s="61"/>
      <c r="D31" s="62">
        <f>SUM(J2:J30)</f>
        <v>4.511442352024405E-2</v>
      </c>
      <c r="E31" s="62">
        <f>SUM(K2:K30)</f>
        <v>9.664194736704565E-2</v>
      </c>
      <c r="F31" s="62">
        <f>SUM(L2:L30)</f>
        <v>4.9441947367045644E-2</v>
      </c>
      <c r="G31" s="62">
        <f>SUM(M2:M30)</f>
        <v>0.28314194441745216</v>
      </c>
      <c r="H31" s="66"/>
      <c r="I31" s="69">
        <f>SUM(I2:I30)</f>
        <v>0.99999999999999989</v>
      </c>
    </row>
    <row r="32" spans="1:13" s="44" customFormat="1" ht="15.6">
      <c r="A32" s="10" t="s">
        <v>132</v>
      </c>
      <c r="B32" s="139">
        <v>302.60000000000002</v>
      </c>
      <c r="C32" s="11" t="s">
        <v>81</v>
      </c>
      <c r="D32" s="24">
        <v>3.1810382490361881E-2</v>
      </c>
      <c r="E32" s="12">
        <v>8.2061738975968967E-2</v>
      </c>
      <c r="F32" s="16">
        <v>3.4861738975968962E-2</v>
      </c>
      <c r="G32" s="16">
        <v>0.25</v>
      </c>
      <c r="H32" s="17" t="s">
        <v>129</v>
      </c>
      <c r="I32" s="68">
        <f t="shared" ref="I32:I55" si="24">B32/$B$56</f>
        <v>1.0376802052041752E-2</v>
      </c>
      <c r="J32" s="68">
        <f t="shared" ref="J32:J55" si="25">I32*D32</f>
        <v>3.3009004230222016E-4</v>
      </c>
      <c r="K32" s="68">
        <f t="shared" ref="K32:K55" si="26">I32*E32</f>
        <v>8.5153842139994943E-4</v>
      </c>
      <c r="L32" s="68">
        <f t="shared" ref="L32:L55" si="27">I32*F32</f>
        <v>3.6175336454357862E-4</v>
      </c>
      <c r="M32" s="68">
        <f t="shared" si="8"/>
        <v>2.594200513010438E-3</v>
      </c>
    </row>
    <row r="33" spans="1:13" s="44" customFormat="1" ht="15.6">
      <c r="A33" s="10" t="s">
        <v>6</v>
      </c>
      <c r="B33" s="139">
        <v>27.1</v>
      </c>
      <c r="C33" s="11" t="s">
        <v>49</v>
      </c>
      <c r="D33" s="24">
        <v>4.8632414333635951E-2</v>
      </c>
      <c r="E33" s="12">
        <v>0.10049739542691996</v>
      </c>
      <c r="F33" s="16">
        <v>5.3297395426919955E-2</v>
      </c>
      <c r="G33" s="16">
        <v>0.2</v>
      </c>
      <c r="H33" s="17" t="s">
        <v>129</v>
      </c>
      <c r="I33" s="68">
        <f t="shared" si="24"/>
        <v>9.2931703770763869E-4</v>
      </c>
      <c r="J33" s="68">
        <f t="shared" si="25"/>
        <v>4.5194931225105072E-5</v>
      </c>
      <c r="K33" s="68">
        <f t="shared" si="26"/>
        <v>9.3393941815478448E-5</v>
      </c>
      <c r="L33" s="68">
        <f t="shared" si="27"/>
        <v>4.9530177635677904E-5</v>
      </c>
      <c r="M33" s="68">
        <f t="shared" si="8"/>
        <v>1.8586340754152774E-4</v>
      </c>
    </row>
    <row r="34" spans="1:13" s="44" customFormat="1" ht="15.6">
      <c r="A34" s="10" t="s">
        <v>97</v>
      </c>
      <c r="B34" s="139">
        <v>14342.9</v>
      </c>
      <c r="C34" s="11" t="s">
        <v>41</v>
      </c>
      <c r="D34" s="24">
        <v>6.2185710131534505E-3</v>
      </c>
      <c r="E34" s="12">
        <v>5.4015076792294683E-2</v>
      </c>
      <c r="F34" s="16">
        <v>6.8150767922946836E-3</v>
      </c>
      <c r="G34" s="16">
        <v>0.25</v>
      </c>
      <c r="H34" s="17" t="s">
        <v>129</v>
      </c>
      <c r="I34" s="68">
        <f t="shared" si="24"/>
        <v>0.49184875793863064</v>
      </c>
      <c r="J34" s="68">
        <f t="shared" si="25"/>
        <v>3.0585964289726966E-3</v>
      </c>
      <c r="K34" s="68">
        <f t="shared" si="26"/>
        <v>2.6567248430249893E-2</v>
      </c>
      <c r="L34" s="68">
        <f t="shared" si="27"/>
        <v>3.3519870555465273E-3</v>
      </c>
      <c r="M34" s="68">
        <f t="shared" si="8"/>
        <v>0.12296218948465766</v>
      </c>
    </row>
    <row r="35" spans="1:13" s="44" customFormat="1" ht="15.6">
      <c r="A35" s="10" t="s">
        <v>219</v>
      </c>
      <c r="B35" s="139">
        <v>5.5</v>
      </c>
      <c r="C35" s="11" t="s">
        <v>81</v>
      </c>
      <c r="D35" s="24">
        <v>3.1810382490361881E-2</v>
      </c>
      <c r="E35" s="12">
        <v>8.2061738975968967E-2</v>
      </c>
      <c r="F35" s="16">
        <v>3.4861738975968962E-2</v>
      </c>
      <c r="G35" s="16">
        <v>0.2</v>
      </c>
      <c r="H35" s="17" t="s">
        <v>129</v>
      </c>
      <c r="I35" s="68">
        <f t="shared" si="24"/>
        <v>1.8860677887055398E-4</v>
      </c>
      <c r="J35" s="68">
        <f t="shared" si="25"/>
        <v>5.9996537761474256E-6</v>
      </c>
      <c r="K35" s="68">
        <f t="shared" si="26"/>
        <v>1.54774002567737E-5</v>
      </c>
      <c r="L35" s="68">
        <f t="shared" si="27"/>
        <v>6.5751602940835508E-6</v>
      </c>
      <c r="M35" s="68">
        <f t="shared" si="8"/>
        <v>3.7721355774110801E-5</v>
      </c>
    </row>
    <row r="36" spans="1:13" s="44" customFormat="1" ht="15.6">
      <c r="A36" s="10" t="s">
        <v>59</v>
      </c>
      <c r="B36" s="139">
        <v>366</v>
      </c>
      <c r="C36" s="11" t="s">
        <v>46</v>
      </c>
      <c r="D36" s="24">
        <v>5.3415930497600151E-3</v>
      </c>
      <c r="E36" s="12">
        <v>5.3053976219022358E-2</v>
      </c>
      <c r="F36" s="16">
        <v>5.8539762190223561E-3</v>
      </c>
      <c r="G36" s="16">
        <v>0.16500000000000001</v>
      </c>
      <c r="H36" s="17" t="s">
        <v>129</v>
      </c>
      <c r="I36" s="68">
        <f t="shared" si="24"/>
        <v>1.2550923830295047E-2</v>
      </c>
      <c r="J36" s="68">
        <f t="shared" si="25"/>
        <v>6.7041927499971368E-5</v>
      </c>
      <c r="K36" s="68">
        <f t="shared" si="26"/>
        <v>6.6587641441923442E-4</v>
      </c>
      <c r="L36" s="68">
        <f t="shared" si="27"/>
        <v>7.347280962930818E-5</v>
      </c>
      <c r="M36" s="68">
        <f t="shared" si="8"/>
        <v>2.0709024319986828E-3</v>
      </c>
    </row>
    <row r="37" spans="1:13" s="44" customFormat="1" ht="15.6">
      <c r="A37" s="10" t="s">
        <v>111</v>
      </c>
      <c r="B37" s="139">
        <v>2875.1</v>
      </c>
      <c r="C37" s="11" t="s">
        <v>124</v>
      </c>
      <c r="D37" s="24">
        <v>1.9452965733454383E-2</v>
      </c>
      <c r="E37" s="12">
        <v>6.8518958170767988E-2</v>
      </c>
      <c r="F37" s="16">
        <v>2.1318958170767986E-2</v>
      </c>
      <c r="G37" s="16">
        <v>0.3</v>
      </c>
      <c r="H37" s="17" t="s">
        <v>129</v>
      </c>
      <c r="I37" s="68">
        <f t="shared" si="24"/>
        <v>9.8593336351041769E-2</v>
      </c>
      <c r="J37" s="68">
        <f t="shared" si="25"/>
        <v>1.917932793583758E-3</v>
      </c>
      <c r="K37" s="68">
        <f t="shared" si="26"/>
        <v>6.7555126893534901E-3</v>
      </c>
      <c r="L37" s="68">
        <f t="shared" si="27"/>
        <v>2.1019072135843183E-3</v>
      </c>
      <c r="M37" s="68">
        <f t="shared" si="8"/>
        <v>2.957800090531253E-2</v>
      </c>
    </row>
    <row r="38" spans="1:13" s="44" customFormat="1" ht="15.6">
      <c r="A38" s="10" t="s">
        <v>112</v>
      </c>
      <c r="B38" s="139">
        <v>1119.2</v>
      </c>
      <c r="C38" s="11" t="s">
        <v>83</v>
      </c>
      <c r="D38" s="24">
        <v>1.6822031843274077E-2</v>
      </c>
      <c r="E38" s="12">
        <v>6.5635656450950999E-2</v>
      </c>
      <c r="F38" s="16">
        <v>1.8435656450951004E-2</v>
      </c>
      <c r="G38" s="16">
        <v>0.15</v>
      </c>
      <c r="H38" s="17" t="s">
        <v>129</v>
      </c>
      <c r="I38" s="68">
        <f t="shared" si="24"/>
        <v>3.8379764893077095E-2</v>
      </c>
      <c r="J38" s="68">
        <f t="shared" si="25"/>
        <v>6.4562562716871544E-4</v>
      </c>
      <c r="K38" s="68">
        <f t="shared" si="26"/>
        <v>2.5190810631902784E-3</v>
      </c>
      <c r="L38" s="68">
        <f t="shared" si="27"/>
        <v>7.0755616023703959E-4</v>
      </c>
      <c r="M38" s="68">
        <f t="shared" si="8"/>
        <v>5.7569647339615641E-3</v>
      </c>
    </row>
    <row r="39" spans="1:13" s="44" customFormat="1" ht="15.6">
      <c r="A39" s="10" t="s">
        <v>116</v>
      </c>
      <c r="B39" s="139">
        <v>5081.8</v>
      </c>
      <c r="C39" s="11" t="s">
        <v>41</v>
      </c>
      <c r="D39" s="24">
        <v>6.2185710131534505E-3</v>
      </c>
      <c r="E39" s="12">
        <v>5.4015076792294683E-2</v>
      </c>
      <c r="F39" s="16">
        <v>6.8150767922946836E-3</v>
      </c>
      <c r="G39" s="16">
        <v>0.30620000000000003</v>
      </c>
      <c r="H39" s="17" t="s">
        <v>129</v>
      </c>
      <c r="I39" s="68">
        <f t="shared" si="24"/>
        <v>0.17426580524806931</v>
      </c>
      <c r="J39" s="68">
        <f t="shared" si="25"/>
        <v>1.0836842850994882E-3</v>
      </c>
      <c r="K39" s="68">
        <f t="shared" si="26"/>
        <v>9.4129808527455335E-3</v>
      </c>
      <c r="L39" s="68">
        <f t="shared" si="27"/>
        <v>1.1876348450366623E-3</v>
      </c>
      <c r="M39" s="68">
        <f t="shared" si="8"/>
        <v>5.3360189566958829E-2</v>
      </c>
    </row>
    <row r="40" spans="1:13" s="44" customFormat="1" ht="15.6">
      <c r="A40" s="10" t="s">
        <v>119</v>
      </c>
      <c r="B40" s="139">
        <v>1642.4</v>
      </c>
      <c r="C40" s="11" t="s">
        <v>45</v>
      </c>
      <c r="D40" s="24">
        <v>4.3848898169671765E-3</v>
      </c>
      <c r="E40" s="12">
        <v>5.2005502866361637E-2</v>
      </c>
      <c r="F40" s="16">
        <v>4.8055028663616358E-3</v>
      </c>
      <c r="G40" s="16">
        <v>0.25</v>
      </c>
      <c r="H40" s="17" t="s">
        <v>129</v>
      </c>
      <c r="I40" s="68">
        <f t="shared" si="24"/>
        <v>5.6321413384908703E-2</v>
      </c>
      <c r="J40" s="68">
        <f t="shared" si="25"/>
        <v>2.46963192028685E-4</v>
      </c>
      <c r="K40" s="68">
        <f t="shared" si="26"/>
        <v>2.9290234252264081E-3</v>
      </c>
      <c r="L40" s="68">
        <f t="shared" si="27"/>
        <v>2.7065271345871737E-4</v>
      </c>
      <c r="M40" s="68">
        <f t="shared" si="8"/>
        <v>1.4080353346227176E-2</v>
      </c>
    </row>
    <row r="41" spans="1:13" s="44" customFormat="1" ht="15.6">
      <c r="A41" s="10" t="s">
        <v>343</v>
      </c>
      <c r="B41" s="139">
        <v>18.2</v>
      </c>
      <c r="C41" s="11" t="s">
        <v>58</v>
      </c>
      <c r="D41" s="24">
        <v>7.9600000000000004E-2</v>
      </c>
      <c r="E41" s="12">
        <v>0.13439999999999999</v>
      </c>
      <c r="F41" s="16">
        <v>8.72E-2</v>
      </c>
      <c r="G41" s="16">
        <v>0.21129999999999999</v>
      </c>
      <c r="H41" s="17" t="s">
        <v>129</v>
      </c>
      <c r="I41" s="68">
        <f t="shared" si="24"/>
        <v>6.241169773534695E-4</v>
      </c>
      <c r="J41" s="68">
        <f t="shared" ref="J41" si="28">I41*D41</f>
        <v>4.9679711397336178E-5</v>
      </c>
      <c r="K41" s="68">
        <f t="shared" ref="K41" si="29">I41*E41</f>
        <v>8.3881321756306296E-5</v>
      </c>
      <c r="L41" s="68">
        <f t="shared" ref="L41" si="30">I41*F41</f>
        <v>5.4423000425222537E-5</v>
      </c>
      <c r="M41" s="68">
        <f t="shared" ref="M41" si="31">I41*G41</f>
        <v>1.3187591731478809E-4</v>
      </c>
    </row>
    <row r="42" spans="1:13" s="44" customFormat="1" ht="15.6">
      <c r="A42" s="10" t="s">
        <v>32</v>
      </c>
      <c r="B42" s="139">
        <v>53.9</v>
      </c>
      <c r="C42" s="11" t="s">
        <v>46</v>
      </c>
      <c r="D42" s="24">
        <v>5.3415930497600151E-3</v>
      </c>
      <c r="E42" s="12">
        <v>5.3053976219022358E-2</v>
      </c>
      <c r="F42" s="16">
        <v>5.8539762190223561E-3</v>
      </c>
      <c r="G42" s="16">
        <v>0.12</v>
      </c>
      <c r="H42" s="17" t="s">
        <v>129</v>
      </c>
      <c r="I42" s="68">
        <f t="shared" si="24"/>
        <v>1.8483464329314288E-3</v>
      </c>
      <c r="J42" s="68">
        <f t="shared" si="25"/>
        <v>9.8731144596952366E-6</v>
      </c>
      <c r="K42" s="68">
        <f t="shared" si="26"/>
        <v>9.8062127697258824E-5</v>
      </c>
      <c r="L42" s="68">
        <f t="shared" si="27"/>
        <v>1.0820176062895384E-5</v>
      </c>
      <c r="M42" s="68">
        <f t="shared" si="8"/>
        <v>2.2180157195177144E-4</v>
      </c>
    </row>
    <row r="43" spans="1:13" s="44" customFormat="1" ht="15.6">
      <c r="A43" s="10" t="s">
        <v>14</v>
      </c>
      <c r="B43" s="139">
        <v>364.7</v>
      </c>
      <c r="C43" s="11" t="s">
        <v>43</v>
      </c>
      <c r="D43" s="24">
        <v>1.0603460830120627E-2</v>
      </c>
      <c r="E43" s="12">
        <v>5.8820579658656322E-2</v>
      </c>
      <c r="F43" s="16">
        <v>1.1620579658656319E-2</v>
      </c>
      <c r="G43" s="16">
        <v>0.24</v>
      </c>
      <c r="H43" s="17" t="s">
        <v>129</v>
      </c>
      <c r="I43" s="68">
        <f t="shared" si="24"/>
        <v>1.2506344046198369E-2</v>
      </c>
      <c r="J43" s="68">
        <f t="shared" si="25"/>
        <v>1.3261052922187671E-4</v>
      </c>
      <c r="K43" s="68">
        <f t="shared" si="26"/>
        <v>7.3563040620797332E-4</v>
      </c>
      <c r="L43" s="68">
        <f t="shared" si="27"/>
        <v>1.4533096722741033E-4</v>
      </c>
      <c r="M43" s="68">
        <f t="shared" si="8"/>
        <v>3.0015225710876086E-3</v>
      </c>
    </row>
    <row r="44" spans="1:13" s="44" customFormat="1" ht="15.6">
      <c r="A44" s="10" t="s">
        <v>416</v>
      </c>
      <c r="B44" s="139">
        <v>5.7</v>
      </c>
      <c r="C44" s="11" t="s">
        <v>78</v>
      </c>
      <c r="D44" s="24">
        <v>5.74819192369697E-2</v>
      </c>
      <c r="E44" s="12">
        <v>0.1101957739390316</v>
      </c>
      <c r="F44" s="16">
        <v>6.2995773939031607E-2</v>
      </c>
      <c r="G44" s="16">
        <v>0.21129999999999999</v>
      </c>
      <c r="H44" s="17" t="s">
        <v>129</v>
      </c>
      <c r="I44" s="68">
        <f t="shared" ref="I44" si="32">B44/$B$56</f>
        <v>1.9546520719311957E-4</v>
      </c>
      <c r="J44" s="68">
        <f t="shared" ref="J44" si="33">I44*D44</f>
        <v>1.1235715253512447E-5</v>
      </c>
      <c r="K44" s="68">
        <f t="shared" ref="K44" si="34">I44*E44</f>
        <v>2.1539439784798976E-5</v>
      </c>
      <c r="L44" s="68">
        <f t="shared" ref="L44" si="35">I44*F44</f>
        <v>1.2313482005283735E-5</v>
      </c>
      <c r="M44" s="68">
        <f t="shared" ref="M44" si="36">I44*G44</f>
        <v>4.1301798279906164E-5</v>
      </c>
    </row>
    <row r="45" spans="1:13" s="44" customFormat="1" ht="15.6">
      <c r="A45" s="10" t="s">
        <v>15</v>
      </c>
      <c r="B45" s="139">
        <v>14.2</v>
      </c>
      <c r="C45" s="11" t="s">
        <v>82</v>
      </c>
      <c r="D45" s="24">
        <v>1.4111372683694367E-2</v>
      </c>
      <c r="E45" s="12">
        <v>6.2664981951745621E-2</v>
      </c>
      <c r="F45" s="16">
        <v>1.5464981951745628E-2</v>
      </c>
      <c r="G45" s="16">
        <v>0.15</v>
      </c>
      <c r="H45" s="17" t="s">
        <v>129</v>
      </c>
      <c r="I45" s="68">
        <f t="shared" si="24"/>
        <v>4.8694841090215753E-4</v>
      </c>
      <c r="J45" s="68">
        <f t="shared" si="25"/>
        <v>6.8715105039730866E-6</v>
      </c>
      <c r="K45" s="68">
        <f t="shared" si="26"/>
        <v>3.0514613380614912E-5</v>
      </c>
      <c r="L45" s="68">
        <f t="shared" si="27"/>
        <v>7.5306483860330804E-6</v>
      </c>
      <c r="M45" s="68">
        <f t="shared" si="8"/>
        <v>7.3042261635323632E-5</v>
      </c>
    </row>
    <row r="46" spans="1:13" s="44" customFormat="1" ht="15.6">
      <c r="A46" s="10" t="s">
        <v>63</v>
      </c>
      <c r="B46" s="139">
        <v>13.9</v>
      </c>
      <c r="C46" s="11" t="s">
        <v>78</v>
      </c>
      <c r="D46" s="24">
        <v>5.74819192369697E-2</v>
      </c>
      <c r="E46" s="12">
        <v>0.1101957739390316</v>
      </c>
      <c r="F46" s="16">
        <v>6.2995773939031607E-2</v>
      </c>
      <c r="G46" s="16">
        <v>0.25</v>
      </c>
      <c r="H46" s="17" t="s">
        <v>129</v>
      </c>
      <c r="I46" s="68">
        <f t="shared" si="24"/>
        <v>4.7666076841830913E-4</v>
      </c>
      <c r="J46" s="68">
        <f t="shared" si="25"/>
        <v>2.7399375793653164E-5</v>
      </c>
      <c r="K46" s="68">
        <f t="shared" si="26"/>
        <v>5.2526002282229085E-5</v>
      </c>
      <c r="L46" s="68">
        <f t="shared" si="27"/>
        <v>3.0027614012884898E-5</v>
      </c>
      <c r="M46" s="68">
        <f t="shared" si="8"/>
        <v>1.1916519210457728E-4</v>
      </c>
    </row>
    <row r="47" spans="1:13" s="44" customFormat="1" ht="15.6">
      <c r="A47" s="10" t="s">
        <v>25</v>
      </c>
      <c r="B47" s="139">
        <v>278.2</v>
      </c>
      <c r="C47" s="11" t="s">
        <v>78</v>
      </c>
      <c r="D47" s="24">
        <v>5.74819192369697E-2</v>
      </c>
      <c r="E47" s="12">
        <v>0.1101957739390316</v>
      </c>
      <c r="F47" s="16">
        <v>6.2995773939031607E-2</v>
      </c>
      <c r="G47" s="16">
        <v>0.35</v>
      </c>
      <c r="H47" s="17" t="s">
        <v>129</v>
      </c>
      <c r="I47" s="68">
        <f t="shared" si="24"/>
        <v>9.5400737966887476E-3</v>
      </c>
      <c r="J47" s="68">
        <f t="shared" si="25"/>
        <v>5.4838175149599349E-4</v>
      </c>
      <c r="K47" s="68">
        <f t="shared" si="26"/>
        <v>1.0512758154615921E-3</v>
      </c>
      <c r="L47" s="68">
        <f t="shared" si="27"/>
        <v>6.0098433225788336E-4</v>
      </c>
      <c r="M47" s="68">
        <f t="shared" si="8"/>
        <v>3.3390258288410616E-3</v>
      </c>
    </row>
    <row r="48" spans="1:13" s="44" customFormat="1" ht="15.6">
      <c r="A48" s="10" t="s">
        <v>9</v>
      </c>
      <c r="B48" s="139">
        <v>25</v>
      </c>
      <c r="C48" s="11" t="s">
        <v>49</v>
      </c>
      <c r="D48" s="24">
        <v>4.8632414333635951E-2</v>
      </c>
      <c r="E48" s="12">
        <v>0.10049739542691996</v>
      </c>
      <c r="F48" s="16">
        <v>5.3297395426919955E-2</v>
      </c>
      <c r="G48" s="16">
        <v>0.3</v>
      </c>
      <c r="H48" s="17" t="s">
        <v>129</v>
      </c>
      <c r="I48" s="68">
        <f t="shared" si="24"/>
        <v>8.5730354032069987E-4</v>
      </c>
      <c r="J48" s="68">
        <f t="shared" si="25"/>
        <v>4.1692740982569248E-5</v>
      </c>
      <c r="K48" s="68">
        <f t="shared" si="26"/>
        <v>8.61567728925078E-5</v>
      </c>
      <c r="L48" s="68">
        <f t="shared" si="27"/>
        <v>4.5692045789370758E-5</v>
      </c>
      <c r="M48" s="68">
        <f t="shared" si="8"/>
        <v>2.5719106209620994E-4</v>
      </c>
    </row>
    <row r="49" spans="1:13" s="44" customFormat="1" ht="15.6">
      <c r="A49" s="10" t="s">
        <v>29</v>
      </c>
      <c r="B49" s="139">
        <v>376.8</v>
      </c>
      <c r="C49" s="11" t="s">
        <v>83</v>
      </c>
      <c r="D49" s="24">
        <v>1.6822031843274077E-2</v>
      </c>
      <c r="E49" s="12">
        <v>6.5635656450950999E-2</v>
      </c>
      <c r="F49" s="16">
        <v>1.8435656450951004E-2</v>
      </c>
      <c r="G49" s="16">
        <v>0.3</v>
      </c>
      <c r="H49" s="17" t="s">
        <v>129</v>
      </c>
      <c r="I49" s="68">
        <f t="shared" si="24"/>
        <v>1.2921278959713589E-2</v>
      </c>
      <c r="J49" s="68">
        <f t="shared" si="25"/>
        <v>2.1736216611612934E-4</v>
      </c>
      <c r="K49" s="68">
        <f t="shared" si="26"/>
        <v>8.480966267066627E-4</v>
      </c>
      <c r="L49" s="68">
        <f t="shared" si="27"/>
        <v>2.3821225980818131E-4</v>
      </c>
      <c r="M49" s="68">
        <f t="shared" si="8"/>
        <v>3.8763836879140766E-3</v>
      </c>
    </row>
    <row r="50" spans="1:13" s="44" customFormat="1" ht="15.6">
      <c r="A50" s="10" t="s">
        <v>3</v>
      </c>
      <c r="B50" s="139">
        <v>372.1</v>
      </c>
      <c r="C50" s="11" t="s">
        <v>47</v>
      </c>
      <c r="D50" s="24">
        <v>0</v>
      </c>
      <c r="E50" s="12">
        <v>4.7199999999999999E-2</v>
      </c>
      <c r="F50" s="16">
        <v>0</v>
      </c>
      <c r="G50" s="16">
        <v>0.17</v>
      </c>
      <c r="H50" s="17" t="s">
        <v>129</v>
      </c>
      <c r="I50" s="68">
        <f t="shared" si="24"/>
        <v>1.2760105894133298E-2</v>
      </c>
      <c r="J50" s="68">
        <f t="shared" si="25"/>
        <v>0</v>
      </c>
      <c r="K50" s="68">
        <f t="shared" si="26"/>
        <v>6.0227699820309159E-4</v>
      </c>
      <c r="L50" s="68">
        <f t="shared" si="27"/>
        <v>0</v>
      </c>
      <c r="M50" s="68">
        <f t="shared" si="8"/>
        <v>2.1692180020026607E-3</v>
      </c>
    </row>
    <row r="51" spans="1:13" s="44" customFormat="1" ht="15.6">
      <c r="A51" s="10" t="s">
        <v>428</v>
      </c>
      <c r="B51" s="139">
        <v>1.4</v>
      </c>
      <c r="C51" s="11" t="s">
        <v>78</v>
      </c>
      <c r="D51" s="24">
        <v>5.74819192369697E-2</v>
      </c>
      <c r="E51" s="12">
        <v>0.1101957739390316</v>
      </c>
      <c r="F51" s="16">
        <v>6.2995773939031607E-2</v>
      </c>
      <c r="G51" s="16">
        <v>0.3</v>
      </c>
      <c r="H51" s="17" t="s">
        <v>129</v>
      </c>
      <c r="I51" s="68">
        <f t="shared" ref="I51" si="37">B51/$B$56</f>
        <v>4.800899825795919E-5</v>
      </c>
      <c r="J51" s="68">
        <f t="shared" ref="J51" si="38">I51*D51</f>
        <v>2.7596493605118291E-6</v>
      </c>
      <c r="K51" s="68">
        <f t="shared" ref="K51" si="39">I51*E51</f>
        <v>5.2903887190734331E-6</v>
      </c>
      <c r="L51" s="68">
        <f t="shared" ref="L51" si="40">I51*F51</f>
        <v>3.0243640012977596E-6</v>
      </c>
      <c r="M51" s="68">
        <f t="shared" ref="M51" si="41">I51*G51</f>
        <v>1.4402699477387756E-5</v>
      </c>
    </row>
    <row r="52" spans="1:13" s="44" customFormat="1" ht="15.6">
      <c r="A52" s="10" t="s">
        <v>134</v>
      </c>
      <c r="B52" s="139">
        <v>84</v>
      </c>
      <c r="C52" s="11" t="s">
        <v>100</v>
      </c>
      <c r="D52" s="24">
        <v>6.6251698870904069E-2</v>
      </c>
      <c r="E52" s="12">
        <v>0.1198067796717549</v>
      </c>
      <c r="F52" s="16">
        <v>7.2606779671754898E-2</v>
      </c>
      <c r="G52" s="16">
        <v>0.28000000000000003</v>
      </c>
      <c r="H52" s="17" t="s">
        <v>129</v>
      </c>
      <c r="I52" s="68">
        <f t="shared" si="24"/>
        <v>2.8805398954775516E-3</v>
      </c>
      <c r="J52" s="68">
        <f t="shared" si="25"/>
        <v>1.9084066174080423E-4</v>
      </c>
      <c r="K52" s="68">
        <f t="shared" si="26"/>
        <v>3.4510820859317892E-4</v>
      </c>
      <c r="L52" s="68">
        <f t="shared" si="27"/>
        <v>2.0914672552663848E-4</v>
      </c>
      <c r="M52" s="68">
        <f t="shared" si="8"/>
        <v>8.0655117073371457E-4</v>
      </c>
    </row>
    <row r="53" spans="1:13" s="44" customFormat="1" ht="15.6">
      <c r="A53" s="10" t="s">
        <v>64</v>
      </c>
      <c r="B53" s="139">
        <v>985</v>
      </c>
      <c r="C53" s="11" t="s">
        <v>46</v>
      </c>
      <c r="D53" s="24">
        <v>5.3415930497600151E-3</v>
      </c>
      <c r="E53" s="12">
        <v>5.3053976219022358E-2</v>
      </c>
      <c r="F53" s="16">
        <v>5.8539762190223561E-3</v>
      </c>
      <c r="G53" s="16">
        <v>0.2</v>
      </c>
      <c r="H53" s="17" t="s">
        <v>129</v>
      </c>
      <c r="I53" s="68">
        <f t="shared" si="24"/>
        <v>3.3777759488635574E-2</v>
      </c>
      <c r="J53" s="68">
        <f t="shared" si="25"/>
        <v>1.8042704532096119E-4</v>
      </c>
      <c r="K53" s="68">
        <f t="shared" si="26"/>
        <v>1.7920444486419285E-3</v>
      </c>
      <c r="L53" s="68">
        <f t="shared" si="27"/>
        <v>1.977342007783294E-4</v>
      </c>
      <c r="M53" s="68">
        <f t="shared" si="8"/>
        <v>6.7555518977271151E-3</v>
      </c>
    </row>
    <row r="54" spans="1:13" s="44" customFormat="1" ht="15.6">
      <c r="A54" s="10" t="s">
        <v>65</v>
      </c>
      <c r="B54" s="139">
        <v>543.6</v>
      </c>
      <c r="C54" s="11" t="s">
        <v>82</v>
      </c>
      <c r="D54" s="24">
        <v>1.4111372683694367E-2</v>
      </c>
      <c r="E54" s="12">
        <v>6.2664981951745621E-2</v>
      </c>
      <c r="F54" s="16">
        <v>1.5464981951745628E-2</v>
      </c>
      <c r="G54" s="16">
        <v>0.2</v>
      </c>
      <c r="H54" s="17" t="s">
        <v>129</v>
      </c>
      <c r="I54" s="68">
        <f t="shared" si="24"/>
        <v>1.8641208180733299E-2</v>
      </c>
      <c r="J54" s="68">
        <f t="shared" si="25"/>
        <v>2.6305303591265985E-4</v>
      </c>
      <c r="K54" s="68">
        <f t="shared" si="26"/>
        <v>1.1681509742043851E-3</v>
      </c>
      <c r="L54" s="68">
        <f t="shared" si="27"/>
        <v>2.882859480737734E-4</v>
      </c>
      <c r="M54" s="68">
        <f t="shared" si="8"/>
        <v>3.7282416361466598E-3</v>
      </c>
    </row>
    <row r="55" spans="1:13" s="44" customFormat="1" ht="15.6">
      <c r="A55" s="10" t="s">
        <v>71</v>
      </c>
      <c r="B55" s="139">
        <v>261.89999999999998</v>
      </c>
      <c r="C55" s="11" t="s">
        <v>81</v>
      </c>
      <c r="D55" s="24">
        <v>3.1810382490361881E-2</v>
      </c>
      <c r="E55" s="12">
        <v>8.2061738975968967E-2</v>
      </c>
      <c r="F55" s="16">
        <v>3.4861738975968962E-2</v>
      </c>
      <c r="G55" s="16">
        <v>0.2</v>
      </c>
      <c r="H55" s="17" t="s">
        <v>129</v>
      </c>
      <c r="I55" s="68">
        <f t="shared" si="24"/>
        <v>8.9811118883996507E-3</v>
      </c>
      <c r="J55" s="68">
        <f t="shared" si="25"/>
        <v>2.8569260435872917E-4</v>
      </c>
      <c r="K55" s="68">
        <f t="shared" si="26"/>
        <v>7.3700565949982389E-4</v>
      </c>
      <c r="L55" s="68">
        <f t="shared" si="27"/>
        <v>3.130971783673603E-4</v>
      </c>
      <c r="M55" s="68">
        <f t="shared" si="8"/>
        <v>1.7962223776799302E-3</v>
      </c>
    </row>
    <row r="56" spans="1:13" s="36" customFormat="1" ht="15.6">
      <c r="A56" s="66" t="s">
        <v>129</v>
      </c>
      <c r="B56" s="61">
        <f>SUM(B32:B55)</f>
        <v>29161.200000000008</v>
      </c>
      <c r="C56" s="61"/>
      <c r="D56" s="62">
        <f>SUM(J32:J55)</f>
        <v>9.3690084935751893E-3</v>
      </c>
      <c r="E56" s="62">
        <f>SUM(K32:K55)</f>
        <v>5.7467692442688456E-2</v>
      </c>
      <c r="F56" s="63">
        <f>SUM(L32:L55)</f>
        <v>1.0267692442688476E-2</v>
      </c>
      <c r="G56" s="63">
        <f>SUM(M32:M55)</f>
        <v>0.25695788342043535</v>
      </c>
      <c r="H56" s="66"/>
      <c r="I56" s="69">
        <f>SUM(I32:I55)</f>
        <v>0.99999999999999978</v>
      </c>
    </row>
    <row r="57" spans="1:13" s="44" customFormat="1" ht="15.6">
      <c r="A57" s="10" t="s">
        <v>85</v>
      </c>
      <c r="B57" s="139">
        <v>1392.7</v>
      </c>
      <c r="C57" s="11" t="s">
        <v>47</v>
      </c>
      <c r="D57" s="24">
        <v>0</v>
      </c>
      <c r="E57" s="12">
        <v>4.7199999999999999E-2</v>
      </c>
      <c r="F57" s="16">
        <v>0</v>
      </c>
      <c r="G57" s="16">
        <v>0.3</v>
      </c>
      <c r="H57" s="17" t="s">
        <v>53</v>
      </c>
      <c r="I57" s="68">
        <f>B57/$B$60</f>
        <v>0.87000249875062463</v>
      </c>
      <c r="J57" s="68">
        <f>I57*D57</f>
        <v>0</v>
      </c>
      <c r="K57" s="68">
        <f>I57*E57</f>
        <v>4.1064117941029481E-2</v>
      </c>
      <c r="L57" s="68">
        <f>I57*F57</f>
        <v>0</v>
      </c>
      <c r="M57" s="68">
        <f t="shared" si="8"/>
        <v>0.26100074962518738</v>
      </c>
    </row>
    <row r="58" spans="1:13" s="44" customFormat="1" ht="15.6">
      <c r="A58" s="10" t="s">
        <v>214</v>
      </c>
      <c r="B58" s="139">
        <v>1.2</v>
      </c>
      <c r="C58" s="11" t="s">
        <v>48</v>
      </c>
      <c r="D58" s="24">
        <v>3.9782909430302202E-2</v>
      </c>
      <c r="E58" s="12">
        <v>9.0799016914808295E-2</v>
      </c>
      <c r="F58" s="16">
        <v>4.3599016914808296E-2</v>
      </c>
      <c r="G58" s="16">
        <v>0.2843</v>
      </c>
      <c r="H58" s="17" t="s">
        <v>53</v>
      </c>
      <c r="I58" s="68">
        <f>B58/$B$60</f>
        <v>7.4962518740629672E-4</v>
      </c>
      <c r="J58" s="68">
        <f>I58*D58</f>
        <v>2.9822270937258018E-5</v>
      </c>
      <c r="K58" s="68">
        <f>I58*E58</f>
        <v>6.8065230071070668E-5</v>
      </c>
      <c r="L58" s="68">
        <f>I58*F58</f>
        <v>3.2682921225493468E-5</v>
      </c>
      <c r="M58" s="68">
        <f t="shared" si="8"/>
        <v>2.1311844077961015E-4</v>
      </c>
    </row>
    <row r="59" spans="1:13" s="44" customFormat="1" ht="15.6">
      <c r="A59" s="10" t="s">
        <v>21</v>
      </c>
      <c r="B59" s="139">
        <v>206.9</v>
      </c>
      <c r="C59" s="11" t="s">
        <v>47</v>
      </c>
      <c r="D59" s="24">
        <v>0</v>
      </c>
      <c r="E59" s="12">
        <v>4.7199999999999999E-2</v>
      </c>
      <c r="F59" s="16">
        <v>0</v>
      </c>
      <c r="G59" s="16">
        <v>0.28000000000000003</v>
      </c>
      <c r="H59" s="17" t="s">
        <v>53</v>
      </c>
      <c r="I59" s="68">
        <f>B59/$B$60</f>
        <v>0.129247876061969</v>
      </c>
      <c r="J59" s="68">
        <f>I59*D59</f>
        <v>0</v>
      </c>
      <c r="K59" s="68">
        <f>I59*E59</f>
        <v>6.1004997501249367E-3</v>
      </c>
      <c r="L59" s="68">
        <f>I59*F59</f>
        <v>0</v>
      </c>
      <c r="M59" s="68">
        <f t="shared" si="8"/>
        <v>3.6189405297351325E-2</v>
      </c>
    </row>
    <row r="60" spans="1:13" s="36" customFormat="1" ht="15.6">
      <c r="A60" s="66" t="s">
        <v>53</v>
      </c>
      <c r="B60" s="61">
        <f>SUM(B57:B59)</f>
        <v>1600.8000000000002</v>
      </c>
      <c r="C60" s="61"/>
      <c r="D60" s="62">
        <f>SUM(J57:J59)</f>
        <v>2.9822270937258018E-5</v>
      </c>
      <c r="E60" s="62">
        <f>SUM(K57:K59)</f>
        <v>4.723268292122549E-2</v>
      </c>
      <c r="F60" s="62">
        <f>SUM(L57:L59)</f>
        <v>3.2682921225493468E-5</v>
      </c>
      <c r="G60" s="62">
        <f>SUM(M57:M59)</f>
        <v>0.29740327336331829</v>
      </c>
      <c r="H60" s="66"/>
      <c r="I60" s="69">
        <f>SUM(I57:I59)</f>
        <v>0.99999999999999989</v>
      </c>
    </row>
    <row r="61" spans="1:13" s="44" customFormat="1" ht="15.6">
      <c r="A61" s="10" t="s">
        <v>201</v>
      </c>
      <c r="B61" s="139">
        <v>3.1</v>
      </c>
      <c r="C61" s="11" t="s">
        <v>82</v>
      </c>
      <c r="D61" s="24">
        <v>1.4111372683694367E-2</v>
      </c>
      <c r="E61" s="12">
        <v>6.2664981951745621E-2</v>
      </c>
      <c r="F61" s="16">
        <v>1.5464981951745628E-2</v>
      </c>
      <c r="G61" s="16">
        <v>0.25</v>
      </c>
      <c r="H61" s="17" t="s">
        <v>54</v>
      </c>
      <c r="I61" s="68">
        <f t="shared" ref="I61:I73" si="42">B61/$B$75</f>
        <v>1.1494252873563216E-2</v>
      </c>
      <c r="J61" s="68">
        <f t="shared" ref="J61:J73" si="43">I61*D61</f>
        <v>1.6219968601947546E-4</v>
      </c>
      <c r="K61" s="68">
        <f t="shared" ref="K61:K73" si="44">I61*E61</f>
        <v>7.2028714887063924E-4</v>
      </c>
      <c r="L61" s="68">
        <f t="shared" ref="L61:L73" si="45">I61*F61</f>
        <v>1.7775841323845547E-4</v>
      </c>
      <c r="M61" s="68">
        <f t="shared" si="8"/>
        <v>2.8735632183908041E-3</v>
      </c>
    </row>
    <row r="62" spans="1:13" s="44" customFormat="1" ht="15.6">
      <c r="A62" s="10" t="s">
        <v>86</v>
      </c>
      <c r="B62" s="139">
        <v>12.8</v>
      </c>
      <c r="C62" s="11" t="s">
        <v>80</v>
      </c>
      <c r="D62" s="24">
        <v>2.6548514710001261E-2</v>
      </c>
      <c r="E62" s="12">
        <v>7.629513553633499E-2</v>
      </c>
      <c r="F62" s="16">
        <v>2.9095135536334988E-2</v>
      </c>
      <c r="G62" s="16">
        <v>0</v>
      </c>
      <c r="H62" s="17" t="s">
        <v>54</v>
      </c>
      <c r="I62" s="68">
        <f t="shared" si="42"/>
        <v>4.7460140897293286E-2</v>
      </c>
      <c r="J62" s="68">
        <f t="shared" si="43"/>
        <v>1.2599962487505232E-3</v>
      </c>
      <c r="K62" s="68">
        <f t="shared" si="44"/>
        <v>3.6209778823325465E-3</v>
      </c>
      <c r="L62" s="68">
        <f t="shared" si="45"/>
        <v>1.3808592319803034E-3</v>
      </c>
      <c r="M62" s="68">
        <f t="shared" si="8"/>
        <v>0</v>
      </c>
    </row>
    <row r="63" spans="1:13" s="44" customFormat="1" ht="15.6">
      <c r="A63" s="10" t="s">
        <v>88</v>
      </c>
      <c r="B63" s="139">
        <v>5.2</v>
      </c>
      <c r="C63" s="11" t="s">
        <v>100</v>
      </c>
      <c r="D63" s="24">
        <v>6.6251698870904069E-2</v>
      </c>
      <c r="E63" s="12">
        <v>0.1198067796717549</v>
      </c>
      <c r="F63" s="16">
        <v>7.2606779671754898E-2</v>
      </c>
      <c r="G63" s="16">
        <v>5.5E-2</v>
      </c>
      <c r="H63" s="17" t="s">
        <v>54</v>
      </c>
      <c r="I63" s="68">
        <f t="shared" si="42"/>
        <v>1.9280682239525396E-2</v>
      </c>
      <c r="J63" s="68">
        <f t="shared" si="43"/>
        <v>1.2773779537586249E-3</v>
      </c>
      <c r="K63" s="68">
        <f t="shared" si="44"/>
        <v>2.3099564489919371E-3</v>
      </c>
      <c r="L63" s="68">
        <f t="shared" si="45"/>
        <v>1.3999082472863382E-3</v>
      </c>
      <c r="M63" s="68">
        <f t="shared" si="8"/>
        <v>1.0604375231738968E-3</v>
      </c>
    </row>
    <row r="64" spans="1:13" s="44" customFormat="1" ht="15.6">
      <c r="A64" s="10" t="s">
        <v>90</v>
      </c>
      <c r="B64" s="139">
        <v>5.7</v>
      </c>
      <c r="C64" s="11" t="s">
        <v>42</v>
      </c>
      <c r="D64" s="24">
        <v>7.4941753235439005E-3</v>
      </c>
      <c r="E64" s="12">
        <v>5.5413041262508976E-2</v>
      </c>
      <c r="F64" s="16">
        <v>8.2130412625089771E-3</v>
      </c>
      <c r="G64" s="16">
        <v>0</v>
      </c>
      <c r="H64" s="17" t="s">
        <v>54</v>
      </c>
      <c r="I64" s="68">
        <f t="shared" si="42"/>
        <v>2.1134593993325915E-2</v>
      </c>
      <c r="J64" s="68">
        <f t="shared" si="43"/>
        <v>1.5838635277790221E-4</v>
      </c>
      <c r="K64" s="68">
        <f t="shared" si="44"/>
        <v>1.1711321290185433E-3</v>
      </c>
      <c r="L64" s="68">
        <f t="shared" si="45"/>
        <v>1.7357929253356011E-4</v>
      </c>
      <c r="M64" s="68">
        <f t="shared" si="8"/>
        <v>0</v>
      </c>
    </row>
    <row r="65" spans="1:13" s="44" customFormat="1" ht="15.6">
      <c r="A65" s="10" t="s">
        <v>55</v>
      </c>
      <c r="B65" s="139">
        <v>5.5</v>
      </c>
      <c r="C65" s="11" t="s">
        <v>46</v>
      </c>
      <c r="D65" s="24">
        <v>5.3415930497600151E-3</v>
      </c>
      <c r="E65" s="12">
        <v>5.3053976219022358E-2</v>
      </c>
      <c r="F65" s="16">
        <v>5.8539762190223561E-3</v>
      </c>
      <c r="G65" s="16">
        <v>0</v>
      </c>
      <c r="H65" s="17" t="s">
        <v>54</v>
      </c>
      <c r="I65" s="68">
        <f t="shared" si="42"/>
        <v>2.0393029291805708E-2</v>
      </c>
      <c r="J65" s="68">
        <f t="shared" si="43"/>
        <v>1.0893126352866177E-4</v>
      </c>
      <c r="K65" s="68">
        <f t="shared" si="44"/>
        <v>1.0819312910812864E-3</v>
      </c>
      <c r="L65" s="68">
        <f t="shared" si="45"/>
        <v>1.1938030850805694E-4</v>
      </c>
      <c r="M65" s="68">
        <f t="shared" si="8"/>
        <v>0</v>
      </c>
    </row>
    <row r="66" spans="1:13" s="44" customFormat="1" ht="15.6">
      <c r="A66" s="10" t="s">
        <v>99</v>
      </c>
      <c r="B66" s="139">
        <v>100</v>
      </c>
      <c r="C66" s="11" t="s">
        <v>58</v>
      </c>
      <c r="D66" s="24">
        <v>7.9565818860604404E-2</v>
      </c>
      <c r="E66" s="12">
        <v>0.1343980338296166</v>
      </c>
      <c r="F66" s="16">
        <v>8.7198033829616592E-2</v>
      </c>
      <c r="G66" s="16">
        <v>0.27360000000000001</v>
      </c>
      <c r="H66" s="17" t="s">
        <v>54</v>
      </c>
      <c r="I66" s="68">
        <f t="shared" si="42"/>
        <v>0.37078235076010374</v>
      </c>
      <c r="J66" s="68">
        <f t="shared" si="43"/>
        <v>2.95016013572875E-2</v>
      </c>
      <c r="K66" s="68">
        <f t="shared" si="44"/>
        <v>4.9832418920881187E-2</v>
      </c>
      <c r="L66" s="68">
        <f t="shared" si="45"/>
        <v>3.2331491965004289E-2</v>
      </c>
      <c r="M66" s="68">
        <f t="shared" si="8"/>
        <v>0.10144605116796439</v>
      </c>
    </row>
    <row r="67" spans="1:13" s="44" customFormat="1" ht="15.6">
      <c r="A67" s="10" t="s">
        <v>217</v>
      </c>
      <c r="B67" s="139">
        <v>3.1</v>
      </c>
      <c r="C67" s="11" t="s">
        <v>43</v>
      </c>
      <c r="D67" s="24">
        <v>1.0603460830120627E-2</v>
      </c>
      <c r="E67" s="12">
        <v>5.8820579658656322E-2</v>
      </c>
      <c r="F67" s="16">
        <v>1.1620579658656319E-2</v>
      </c>
      <c r="G67" s="16">
        <v>0.22</v>
      </c>
      <c r="H67" s="17" t="s">
        <v>54</v>
      </c>
      <c r="I67" s="68">
        <f t="shared" si="42"/>
        <v>1.1494252873563216E-2</v>
      </c>
      <c r="J67" s="68">
        <f t="shared" si="43"/>
        <v>1.2187886011632903E-4</v>
      </c>
      <c r="K67" s="68">
        <f t="shared" si="44"/>
        <v>6.7609861676616448E-4</v>
      </c>
      <c r="L67" s="68">
        <f t="shared" si="45"/>
        <v>1.3356988113398066E-4</v>
      </c>
      <c r="M67" s="68">
        <f t="shared" si="8"/>
        <v>2.5287356321839075E-3</v>
      </c>
    </row>
    <row r="68" spans="1:13" s="44" customFormat="1" ht="15.6">
      <c r="A68" s="10" t="s">
        <v>103</v>
      </c>
      <c r="B68" s="139">
        <v>88.9</v>
      </c>
      <c r="C68" s="11" t="s">
        <v>81</v>
      </c>
      <c r="D68" s="24">
        <v>3.1810382490361881E-2</v>
      </c>
      <c r="E68" s="12">
        <v>8.2061738975968967E-2</v>
      </c>
      <c r="F68" s="16">
        <v>3.4861738975968962E-2</v>
      </c>
      <c r="G68" s="16">
        <v>0.27</v>
      </c>
      <c r="H68" s="17" t="s">
        <v>54</v>
      </c>
      <c r="I68" s="68">
        <f t="shared" si="42"/>
        <v>0.32962550982573224</v>
      </c>
      <c r="J68" s="68">
        <f t="shared" si="43"/>
        <v>1.0485513546137082E-2</v>
      </c>
      <c r="K68" s="68">
        <f t="shared" si="44"/>
        <v>2.7049642547139933E-2</v>
      </c>
      <c r="L68" s="68">
        <f t="shared" si="45"/>
        <v>1.1491318483365369E-2</v>
      </c>
      <c r="M68" s="68">
        <f t="shared" si="8"/>
        <v>8.8998887652947709E-2</v>
      </c>
    </row>
    <row r="69" spans="1:13" s="44" customFormat="1" ht="15.6">
      <c r="A69" s="10" t="s">
        <v>115</v>
      </c>
      <c r="B69" s="139">
        <v>16.5</v>
      </c>
      <c r="C69" s="11" t="s">
        <v>49</v>
      </c>
      <c r="D69" s="24">
        <v>4.8632414333635951E-2</v>
      </c>
      <c r="E69" s="12">
        <v>0.10049739542691996</v>
      </c>
      <c r="F69" s="16">
        <v>5.3297395426919955E-2</v>
      </c>
      <c r="G69" s="16">
        <v>0.25</v>
      </c>
      <c r="H69" s="17" t="s">
        <v>54</v>
      </c>
      <c r="I69" s="68">
        <f t="shared" si="42"/>
        <v>6.1179087875417121E-2</v>
      </c>
      <c r="J69" s="68">
        <f t="shared" si="43"/>
        <v>2.975286750111209E-3</v>
      </c>
      <c r="K69" s="68">
        <f t="shared" si="44"/>
        <v>6.1483389860740789E-3</v>
      </c>
      <c r="L69" s="68">
        <f t="shared" si="45"/>
        <v>3.2606860383543905E-3</v>
      </c>
      <c r="M69" s="68">
        <f t="shared" si="8"/>
        <v>1.529477196885428E-2</v>
      </c>
    </row>
    <row r="70" spans="1:13" s="44" customFormat="1" ht="15.6">
      <c r="A70" s="10" t="s">
        <v>225</v>
      </c>
      <c r="B70" s="139">
        <v>1.5</v>
      </c>
      <c r="C70" s="11" t="s">
        <v>124</v>
      </c>
      <c r="D70" s="24">
        <v>1.9452965733454383E-2</v>
      </c>
      <c r="E70" s="12">
        <v>6.8518958170767988E-2</v>
      </c>
      <c r="F70" s="16">
        <v>2.1318958170767986E-2</v>
      </c>
      <c r="G70" s="16">
        <v>0.21129999999999999</v>
      </c>
      <c r="H70" s="17" t="s">
        <v>54</v>
      </c>
      <c r="I70" s="68">
        <f t="shared" si="42"/>
        <v>5.5617352614015566E-3</v>
      </c>
      <c r="J70" s="68">
        <f t="shared" si="43"/>
        <v>1.0819224545858943E-4</v>
      </c>
      <c r="K70" s="68">
        <f t="shared" si="44"/>
        <v>3.8108430573285864E-4</v>
      </c>
      <c r="L70" s="68">
        <f t="shared" si="45"/>
        <v>1.1857040139470514E-4</v>
      </c>
      <c r="M70" s="68">
        <f t="shared" si="8"/>
        <v>1.1751946607341489E-3</v>
      </c>
    </row>
    <row r="71" spans="1:13" s="44" customFormat="1" ht="15.6">
      <c r="A71" s="10" t="s">
        <v>191</v>
      </c>
      <c r="B71" s="139">
        <v>1.5</v>
      </c>
      <c r="C71" s="11" t="s">
        <v>124</v>
      </c>
      <c r="D71" s="24">
        <v>1.9452965733454383E-2</v>
      </c>
      <c r="E71" s="12">
        <v>6.8518958170767988E-2</v>
      </c>
      <c r="F71" s="16">
        <v>2.1318958170767986E-2</v>
      </c>
      <c r="G71" s="16">
        <v>0.27360000000000001</v>
      </c>
      <c r="H71" s="17" t="s">
        <v>54</v>
      </c>
      <c r="I71" s="68">
        <f t="shared" si="42"/>
        <v>5.5617352614015566E-3</v>
      </c>
      <c r="J71" s="68">
        <f t="shared" si="43"/>
        <v>1.0819224545858943E-4</v>
      </c>
      <c r="K71" s="68">
        <f t="shared" si="44"/>
        <v>3.8108430573285864E-4</v>
      </c>
      <c r="L71" s="68">
        <f t="shared" si="45"/>
        <v>1.1857040139470514E-4</v>
      </c>
      <c r="M71" s="68">
        <f t="shared" si="8"/>
        <v>1.521690767519466E-3</v>
      </c>
    </row>
    <row r="72" spans="1:13" s="44" customFormat="1" ht="15.6">
      <c r="A72" s="10" t="s">
        <v>10</v>
      </c>
      <c r="B72" s="139">
        <v>0.8</v>
      </c>
      <c r="C72" s="11" t="s">
        <v>78</v>
      </c>
      <c r="D72" s="24">
        <v>5.74819192369697E-2</v>
      </c>
      <c r="E72" s="12">
        <v>0.1101957739390316</v>
      </c>
      <c r="F72" s="16">
        <v>6.2995773939031607E-2</v>
      </c>
      <c r="G72" s="16">
        <v>0.27360000000000001</v>
      </c>
      <c r="H72" s="17" t="s">
        <v>54</v>
      </c>
      <c r="I72" s="68">
        <f t="shared" si="42"/>
        <v>2.9662588060808304E-3</v>
      </c>
      <c r="J72" s="68">
        <f t="shared" si="43"/>
        <v>1.7050624912708846E-4</v>
      </c>
      <c r="K72" s="68">
        <f t="shared" si="44"/>
        <v>3.2686918483954496E-4</v>
      </c>
      <c r="L72" s="68">
        <f t="shared" si="45"/>
        <v>1.8686176919252979E-4</v>
      </c>
      <c r="M72" s="68">
        <f t="shared" si="8"/>
        <v>8.1156840934371521E-4</v>
      </c>
    </row>
    <row r="73" spans="1:13" s="44" customFormat="1" ht="15.6">
      <c r="A73" s="10" t="s">
        <v>11</v>
      </c>
      <c r="B73" s="139">
        <v>24.1</v>
      </c>
      <c r="C73" s="11" t="s">
        <v>79</v>
      </c>
      <c r="D73" s="24">
        <v>2.208389962363469E-2</v>
      </c>
      <c r="E73" s="12">
        <v>7.1402259890584963E-2</v>
      </c>
      <c r="F73" s="16">
        <v>2.4202259890584967E-2</v>
      </c>
      <c r="G73" s="16">
        <v>0.3</v>
      </c>
      <c r="H73" s="17" t="s">
        <v>54</v>
      </c>
      <c r="I73" s="68">
        <f t="shared" si="42"/>
        <v>8.9358546533185007E-2</v>
      </c>
      <c r="J73" s="68">
        <f t="shared" si="43"/>
        <v>1.9733851721527472E-3</v>
      </c>
      <c r="K73" s="68">
        <f t="shared" si="44"/>
        <v>6.3804021630074056E-3</v>
      </c>
      <c r="L73" s="68">
        <f t="shared" si="45"/>
        <v>2.1626787666410739E-3</v>
      </c>
      <c r="M73" s="68">
        <f t="shared" si="8"/>
        <v>2.68075639599555E-2</v>
      </c>
    </row>
    <row r="74" spans="1:13" s="44" customFormat="1" ht="15.6">
      <c r="A74" s="10" t="s">
        <v>292</v>
      </c>
      <c r="B74" s="139">
        <v>1</v>
      </c>
      <c r="C74" s="11" t="s">
        <v>82</v>
      </c>
      <c r="D74" s="24">
        <v>1.4111372683694367E-2</v>
      </c>
      <c r="E74" s="12">
        <v>6.2664981951745621E-2</v>
      </c>
      <c r="F74" s="16">
        <v>1.5464981951745628E-2</v>
      </c>
      <c r="G74" s="16">
        <v>0</v>
      </c>
      <c r="H74" s="17" t="s">
        <v>54</v>
      </c>
      <c r="I74" s="68">
        <f>B74/$B$75</f>
        <v>3.7078235076010374E-3</v>
      </c>
      <c r="J74" s="68">
        <f>I74*D74</f>
        <v>5.2322479361121115E-5</v>
      </c>
      <c r="K74" s="68">
        <f>I74*E74</f>
        <v>2.3235069318407715E-4</v>
      </c>
      <c r="L74" s="68">
        <f>I74*F74</f>
        <v>5.7341423625308212E-5</v>
      </c>
      <c r="M74" s="68">
        <f>I74*G74</f>
        <v>0</v>
      </c>
    </row>
    <row r="75" spans="1:13" s="36" customFormat="1" ht="15.6">
      <c r="A75" s="66" t="s">
        <v>54</v>
      </c>
      <c r="B75" s="61">
        <f>SUM(B61:B74)</f>
        <v>269.70000000000005</v>
      </c>
      <c r="C75" s="61"/>
      <c r="D75" s="62">
        <f>SUM(J61:J74)</f>
        <v>4.8463770410045445E-2</v>
      </c>
      <c r="E75" s="62">
        <f>SUM(K61:K74)</f>
        <v>0.10031257462365305</v>
      </c>
      <c r="F75" s="62">
        <f>SUM(L61:L74)</f>
        <v>5.3112574623653069E-2</v>
      </c>
      <c r="G75" s="62">
        <f>SUM(M61:M74)</f>
        <v>0.24251846496106783</v>
      </c>
      <c r="H75" s="66"/>
      <c r="I75" s="69">
        <f>SUM(I61:I74)</f>
        <v>0.99999999999999989</v>
      </c>
      <c r="J75" s="69"/>
      <c r="K75" s="69"/>
      <c r="L75" s="69">
        <f>SUM(L61:L74)</f>
        <v>5.3112574623653069E-2</v>
      </c>
    </row>
    <row r="76" spans="1:13" s="44" customFormat="1" ht="15.6">
      <c r="A76" s="10" t="s">
        <v>84</v>
      </c>
      <c r="B76" s="139">
        <v>449.7</v>
      </c>
      <c r="C76" s="11" t="s">
        <v>346</v>
      </c>
      <c r="D76" s="24">
        <v>0.10603460830120626</v>
      </c>
      <c r="E76" s="12">
        <v>0.16340579658656318</v>
      </c>
      <c r="F76" s="16">
        <v>0.11620579658656319</v>
      </c>
      <c r="G76" s="16">
        <v>0.3</v>
      </c>
      <c r="H76" s="17" t="s">
        <v>51</v>
      </c>
      <c r="I76" s="68">
        <f t="shared" ref="I76:I94" si="46">B76/$B$95</f>
        <v>8.7850905467971627E-2</v>
      </c>
      <c r="J76" s="68">
        <f t="shared" ref="J76:J94" si="47">I76*D76</f>
        <v>9.31523635020267E-3</v>
      </c>
      <c r="K76" s="68">
        <f t="shared" ref="K76:K94" si="48">I76*E76</f>
        <v>1.4355347188844762E-2</v>
      </c>
      <c r="L76" s="68">
        <f t="shared" ref="L76:L94" si="49">I76*F76</f>
        <v>1.0208784450756502E-2</v>
      </c>
      <c r="M76" s="68">
        <f t="shared" si="8"/>
        <v>2.6355271640391486E-2</v>
      </c>
    </row>
    <row r="77" spans="1:13" s="44" customFormat="1" ht="15.6">
      <c r="A77" s="10" t="s">
        <v>89</v>
      </c>
      <c r="B77" s="139">
        <v>1.9</v>
      </c>
      <c r="C77" s="11" t="s">
        <v>62</v>
      </c>
      <c r="D77" s="24">
        <v>8.8335598494538758E-2</v>
      </c>
      <c r="E77" s="12">
        <v>0.14400903956233987</v>
      </c>
      <c r="F77" s="16">
        <v>9.6809039562339869E-2</v>
      </c>
      <c r="G77" s="16">
        <v>0.28249999999999997</v>
      </c>
      <c r="H77" s="17" t="s">
        <v>51</v>
      </c>
      <c r="I77" s="68">
        <f t="shared" si="46"/>
        <v>3.7117349430541711E-4</v>
      </c>
      <c r="J77" s="68">
        <f t="shared" si="47"/>
        <v>3.2787832764778295E-5</v>
      </c>
      <c r="K77" s="68">
        <f t="shared" si="48"/>
        <v>5.3452338425920747E-5</v>
      </c>
      <c r="L77" s="68">
        <f t="shared" si="49"/>
        <v>3.5932949494705056E-5</v>
      </c>
      <c r="M77" s="68">
        <f t="shared" ref="M77:M144" si="50">I77*G77</f>
        <v>1.0485651214128033E-4</v>
      </c>
    </row>
    <row r="78" spans="1:13" s="44" customFormat="1" ht="15.6">
      <c r="A78" s="10" t="s">
        <v>91</v>
      </c>
      <c r="B78" s="139">
        <v>40.9</v>
      </c>
      <c r="C78" s="11" t="s">
        <v>49</v>
      </c>
      <c r="D78" s="24">
        <v>4.8632414333635951E-2</v>
      </c>
      <c r="E78" s="12">
        <v>0.10049739542691996</v>
      </c>
      <c r="F78" s="16">
        <v>5.3297395426919955E-2</v>
      </c>
      <c r="G78" s="16">
        <v>0.25</v>
      </c>
      <c r="H78" s="17" t="s">
        <v>51</v>
      </c>
      <c r="I78" s="68">
        <f t="shared" si="46"/>
        <v>7.9899978511008204E-3</v>
      </c>
      <c r="J78" s="68">
        <f t="shared" si="47"/>
        <v>3.8857288601959597E-4</v>
      </c>
      <c r="K78" s="68">
        <f t="shared" si="48"/>
        <v>8.0297397350231989E-4</v>
      </c>
      <c r="L78" s="68">
        <f t="shared" si="49"/>
        <v>4.2584607493036114E-4</v>
      </c>
      <c r="M78" s="68">
        <f t="shared" si="50"/>
        <v>1.9974994627752051E-3</v>
      </c>
    </row>
    <row r="79" spans="1:13" s="44" customFormat="1" ht="15.6">
      <c r="A79" s="10" t="s">
        <v>92</v>
      </c>
      <c r="B79" s="139">
        <v>1839.8</v>
      </c>
      <c r="C79" s="11" t="s">
        <v>80</v>
      </c>
      <c r="D79" s="24">
        <v>2.6548514710001261E-2</v>
      </c>
      <c r="E79" s="12">
        <v>7.629513553633499E-2</v>
      </c>
      <c r="F79" s="16">
        <v>2.9095135536334988E-2</v>
      </c>
      <c r="G79" s="16">
        <v>0.34</v>
      </c>
      <c r="H79" s="17" t="s">
        <v>51</v>
      </c>
      <c r="I79" s="68">
        <f t="shared" si="46"/>
        <v>0.35941315517005601</v>
      </c>
      <c r="J79" s="68">
        <f t="shared" si="47"/>
        <v>9.5418854370001981E-3</v>
      </c>
      <c r="K79" s="68">
        <f t="shared" si="48"/>
        <v>2.7421475387241222E-2</v>
      </c>
      <c r="L79" s="68">
        <f t="shared" si="49"/>
        <v>1.0457174463214577E-2</v>
      </c>
      <c r="M79" s="68">
        <f t="shared" si="50"/>
        <v>0.12220047275781905</v>
      </c>
    </row>
    <row r="80" spans="1:13" s="44" customFormat="1" ht="15.6">
      <c r="A80" s="10" t="s">
        <v>96</v>
      </c>
      <c r="B80" s="139">
        <v>282.3</v>
      </c>
      <c r="C80" s="11" t="s">
        <v>41</v>
      </c>
      <c r="D80" s="24">
        <v>6.2185710131534505E-3</v>
      </c>
      <c r="E80" s="12">
        <v>5.4015076792294683E-2</v>
      </c>
      <c r="F80" s="16">
        <v>6.8150767922946836E-3</v>
      </c>
      <c r="G80" s="16">
        <v>0.27</v>
      </c>
      <c r="H80" s="17" t="s">
        <v>51</v>
      </c>
      <c r="I80" s="68">
        <f t="shared" si="46"/>
        <v>5.5148567074957508E-2</v>
      </c>
      <c r="J80" s="68">
        <f t="shared" si="47"/>
        <v>3.4294528062927952E-4</v>
      </c>
      <c r="K80" s="68">
        <f t="shared" si="48"/>
        <v>2.9788540855388438E-3</v>
      </c>
      <c r="L80" s="68">
        <f t="shared" si="49"/>
        <v>3.7584171960084963E-4</v>
      </c>
      <c r="M80" s="68">
        <f t="shared" si="50"/>
        <v>1.4890113110238528E-2</v>
      </c>
    </row>
    <row r="81" spans="1:13" s="44" customFormat="1" ht="15.6">
      <c r="A81" s="10" t="s">
        <v>50</v>
      </c>
      <c r="B81" s="139">
        <v>323.8</v>
      </c>
      <c r="C81" s="11" t="s">
        <v>83</v>
      </c>
      <c r="D81" s="24">
        <v>1.6822031843274077E-2</v>
      </c>
      <c r="E81" s="12">
        <v>6.5635656450950999E-2</v>
      </c>
      <c r="F81" s="16">
        <v>1.8435656450951004E-2</v>
      </c>
      <c r="G81" s="16">
        <v>0.32</v>
      </c>
      <c r="H81" s="17" t="s">
        <v>51</v>
      </c>
      <c r="I81" s="68">
        <f t="shared" si="46"/>
        <v>6.3255777608470565E-2</v>
      </c>
      <c r="J81" s="68">
        <f t="shared" si="47"/>
        <v>1.0640907052007552E-3</v>
      </c>
      <c r="K81" s="68">
        <f t="shared" si="48"/>
        <v>4.1518344876473332E-3</v>
      </c>
      <c r="L81" s="68">
        <f t="shared" si="49"/>
        <v>1.1661617845275224E-3</v>
      </c>
      <c r="M81" s="68">
        <f t="shared" si="50"/>
        <v>2.0241848834710582E-2</v>
      </c>
    </row>
    <row r="82" spans="1:13" s="44" customFormat="1" ht="15.6">
      <c r="A82" s="10" t="s">
        <v>56</v>
      </c>
      <c r="B82" s="139">
        <v>61.8</v>
      </c>
      <c r="C82" s="11" t="s">
        <v>49</v>
      </c>
      <c r="D82" s="24">
        <v>4.8632414333635951E-2</v>
      </c>
      <c r="E82" s="12">
        <v>0.10049739542691996</v>
      </c>
      <c r="F82" s="16">
        <v>5.3297395426919955E-2</v>
      </c>
      <c r="G82" s="16">
        <v>0.3</v>
      </c>
      <c r="H82" s="17" t="s">
        <v>51</v>
      </c>
      <c r="I82" s="68">
        <f t="shared" si="46"/>
        <v>1.207290628846041E-2</v>
      </c>
      <c r="J82" s="68">
        <f t="shared" si="47"/>
        <v>5.8713458083156568E-4</v>
      </c>
      <c r="K82" s="68">
        <f t="shared" si="48"/>
        <v>1.2132956372235544E-3</v>
      </c>
      <c r="L82" s="68">
        <f t="shared" si="49"/>
        <v>6.4345446040822306E-4</v>
      </c>
      <c r="M82" s="68">
        <f t="shared" si="50"/>
        <v>3.6218718865381229E-3</v>
      </c>
    </row>
    <row r="83" spans="1:13" s="44" customFormat="1" ht="15.6">
      <c r="A83" s="10" t="s">
        <v>104</v>
      </c>
      <c r="B83" s="139">
        <v>107.4</v>
      </c>
      <c r="C83" s="11" t="s">
        <v>62</v>
      </c>
      <c r="D83" s="24">
        <v>8.8335598494538758E-2</v>
      </c>
      <c r="E83" s="12">
        <v>0.14400903956233987</v>
      </c>
      <c r="F83" s="16">
        <v>9.6809039562339869E-2</v>
      </c>
      <c r="G83" s="16">
        <v>0.25</v>
      </c>
      <c r="H83" s="17" t="s">
        <v>51</v>
      </c>
      <c r="I83" s="68">
        <f t="shared" si="46"/>
        <v>2.0981070151790421E-2</v>
      </c>
      <c r="J83" s="68">
        <f t="shared" si="47"/>
        <v>1.85337538891431E-3</v>
      </c>
      <c r="K83" s="68">
        <f t="shared" si="48"/>
        <v>3.0214637615494149E-3</v>
      </c>
      <c r="L83" s="68">
        <f t="shared" si="49"/>
        <v>2.0311572503849073E-3</v>
      </c>
      <c r="M83" s="68">
        <f t="shared" si="50"/>
        <v>5.2452675379476054E-3</v>
      </c>
    </row>
    <row r="84" spans="1:13" s="44" customFormat="1" ht="15.6">
      <c r="A84" s="10" t="s">
        <v>31</v>
      </c>
      <c r="B84" s="139">
        <v>27</v>
      </c>
      <c r="C84" s="11" t="s">
        <v>78</v>
      </c>
      <c r="D84" s="24">
        <v>5.74819192369697E-2</v>
      </c>
      <c r="E84" s="12">
        <v>0.1101957739390316</v>
      </c>
      <c r="F84" s="16">
        <v>6.2995773939031607E-2</v>
      </c>
      <c r="G84" s="16">
        <v>0.3</v>
      </c>
      <c r="H84" s="17" t="s">
        <v>51</v>
      </c>
      <c r="I84" s="68">
        <f t="shared" si="46"/>
        <v>5.2745707085506644E-3</v>
      </c>
      <c r="J84" s="68">
        <f t="shared" si="47"/>
        <v>3.0319244747859534E-4</v>
      </c>
      <c r="K84" s="68">
        <f t="shared" si="48"/>
        <v>5.8123540142488675E-4</v>
      </c>
      <c r="L84" s="68">
        <f t="shared" si="49"/>
        <v>3.3227566398129544E-4</v>
      </c>
      <c r="M84" s="68">
        <f t="shared" si="50"/>
        <v>1.5823712125651993E-3</v>
      </c>
    </row>
    <row r="85" spans="1:13" s="44" customFormat="1" ht="15.6">
      <c r="A85" s="10" t="s">
        <v>107</v>
      </c>
      <c r="B85" s="139">
        <v>76.7</v>
      </c>
      <c r="C85" s="11" t="s">
        <v>79</v>
      </c>
      <c r="D85" s="24">
        <v>2.208389962363469E-2</v>
      </c>
      <c r="E85" s="12">
        <v>7.1402259890584963E-2</v>
      </c>
      <c r="F85" s="16">
        <v>2.4202259890584967E-2</v>
      </c>
      <c r="G85" s="16">
        <v>0.25</v>
      </c>
      <c r="H85" s="17" t="s">
        <v>51</v>
      </c>
      <c r="I85" s="68">
        <f t="shared" si="46"/>
        <v>1.4983687901697629E-2</v>
      </c>
      <c r="J85" s="68">
        <f t="shared" si="47"/>
        <v>3.3089825961295992E-4</v>
      </c>
      <c r="K85" s="68">
        <f t="shared" si="48"/>
        <v>1.0698691776764278E-3</v>
      </c>
      <c r="L85" s="68">
        <f t="shared" si="49"/>
        <v>3.6263910871629974E-4</v>
      </c>
      <c r="M85" s="68">
        <f t="shared" si="50"/>
        <v>3.7459219754244072E-3</v>
      </c>
    </row>
    <row r="86" spans="1:13" s="44" customFormat="1" ht="15.6">
      <c r="A86" s="10" t="s">
        <v>108</v>
      </c>
      <c r="B86" s="139">
        <v>25.1</v>
      </c>
      <c r="C86" s="11" t="s">
        <v>48</v>
      </c>
      <c r="D86" s="24">
        <v>3.9782909430302202E-2</v>
      </c>
      <c r="E86" s="12">
        <v>9.0799016914808295E-2</v>
      </c>
      <c r="F86" s="16">
        <v>4.3599016914808296E-2</v>
      </c>
      <c r="G86" s="16">
        <v>0.25</v>
      </c>
      <c r="H86" s="17" t="s">
        <v>51</v>
      </c>
      <c r="I86" s="68">
        <f t="shared" si="46"/>
        <v>4.9033972142452477E-3</v>
      </c>
      <c r="J86" s="68">
        <f t="shared" si="47"/>
        <v>1.9507140727511481E-4</v>
      </c>
      <c r="K86" s="68">
        <f t="shared" si="48"/>
        <v>4.4522364659627811E-4</v>
      </c>
      <c r="L86" s="68">
        <f t="shared" si="49"/>
        <v>2.1378329808390245E-4</v>
      </c>
      <c r="M86" s="68">
        <f t="shared" si="50"/>
        <v>1.2258493035613119E-3</v>
      </c>
    </row>
    <row r="87" spans="1:13" s="44" customFormat="1" ht="15.6">
      <c r="A87" s="10" t="s">
        <v>16</v>
      </c>
      <c r="B87" s="139">
        <v>1258.3</v>
      </c>
      <c r="C87" s="11" t="s">
        <v>82</v>
      </c>
      <c r="D87" s="24">
        <v>1.4111372683694367E-2</v>
      </c>
      <c r="E87" s="12">
        <v>6.2664981951745621E-2</v>
      </c>
      <c r="F87" s="16">
        <v>1.5464981951745628E-2</v>
      </c>
      <c r="G87" s="16">
        <v>0.3</v>
      </c>
      <c r="H87" s="17" t="s">
        <v>51</v>
      </c>
      <c r="I87" s="68">
        <f t="shared" si="46"/>
        <v>0.24581453046552967</v>
      </c>
      <c r="J87" s="68">
        <f t="shared" si="47"/>
        <v>3.4687804504664323E-3</v>
      </c>
      <c r="K87" s="68">
        <f t="shared" si="48"/>
        <v>1.5403963115099241E-2</v>
      </c>
      <c r="L87" s="68">
        <f t="shared" si="49"/>
        <v>3.801517277126242E-3</v>
      </c>
      <c r="M87" s="68">
        <f t="shared" si="50"/>
        <v>7.3744359139658905E-2</v>
      </c>
    </row>
    <row r="88" spans="1:13" s="44" customFormat="1" ht="15.6">
      <c r="A88" s="10" t="s">
        <v>22</v>
      </c>
      <c r="B88" s="139">
        <v>12.5</v>
      </c>
      <c r="C88" s="11" t="s">
        <v>78</v>
      </c>
      <c r="D88" s="24">
        <v>5.74819192369697E-2</v>
      </c>
      <c r="E88" s="12">
        <v>0.1101957739390316</v>
      </c>
      <c r="F88" s="16">
        <v>6.2995773939031607E-2</v>
      </c>
      <c r="G88" s="16">
        <v>0.3</v>
      </c>
      <c r="H88" s="17" t="s">
        <v>51</v>
      </c>
      <c r="I88" s="68">
        <f t="shared" si="46"/>
        <v>2.4419308835882708E-3</v>
      </c>
      <c r="J88" s="68">
        <f t="shared" si="47"/>
        <v>1.4036687383268306E-4</v>
      </c>
      <c r="K88" s="68">
        <f t="shared" si="48"/>
        <v>2.6909046362263278E-4</v>
      </c>
      <c r="L88" s="68">
        <f t="shared" si="49"/>
        <v>1.5383132591726643E-4</v>
      </c>
      <c r="M88" s="68">
        <f t="shared" si="50"/>
        <v>7.3257926507648119E-4</v>
      </c>
    </row>
    <row r="89" spans="1:13" s="44" customFormat="1" ht="15.6">
      <c r="A89" s="10" t="s">
        <v>26</v>
      </c>
      <c r="B89" s="139">
        <v>66.8</v>
      </c>
      <c r="C89" s="11" t="s">
        <v>82</v>
      </c>
      <c r="D89" s="24">
        <v>1.4111372683694367E-2</v>
      </c>
      <c r="E89" s="12">
        <v>6.2664981951745621E-2</v>
      </c>
      <c r="F89" s="16">
        <v>1.5464981951745628E-2</v>
      </c>
      <c r="G89" s="16">
        <v>0.25</v>
      </c>
      <c r="H89" s="17" t="s">
        <v>51</v>
      </c>
      <c r="I89" s="68">
        <f t="shared" si="46"/>
        <v>1.3049678641895717E-2</v>
      </c>
      <c r="J89" s="68">
        <f t="shared" si="47"/>
        <v>1.8414887871823704E-4</v>
      </c>
      <c r="K89" s="68">
        <f t="shared" si="48"/>
        <v>8.177578765704754E-4</v>
      </c>
      <c r="L89" s="68">
        <f t="shared" si="49"/>
        <v>2.0181304467299766E-4</v>
      </c>
      <c r="M89" s="68">
        <f t="shared" si="50"/>
        <v>3.2624196604739294E-3</v>
      </c>
    </row>
    <row r="90" spans="1:13" s="44" customFormat="1" ht="15.6">
      <c r="A90" s="10" t="s">
        <v>27</v>
      </c>
      <c r="B90" s="139">
        <v>38.1</v>
      </c>
      <c r="C90" s="11" t="s">
        <v>79</v>
      </c>
      <c r="D90" s="24">
        <v>2.208389962363469E-2</v>
      </c>
      <c r="E90" s="12">
        <v>7.1402259890584963E-2</v>
      </c>
      <c r="F90" s="16">
        <v>2.4202259890584967E-2</v>
      </c>
      <c r="G90" s="16">
        <v>0.1</v>
      </c>
      <c r="H90" s="17" t="s">
        <v>51</v>
      </c>
      <c r="I90" s="68">
        <f t="shared" si="46"/>
        <v>7.4430053331770493E-3</v>
      </c>
      <c r="J90" s="68">
        <f t="shared" si="47"/>
        <v>1.6437058267605964E-4</v>
      </c>
      <c r="K90" s="68">
        <f t="shared" si="48"/>
        <v>5.3144740116651754E-4</v>
      </c>
      <c r="L90" s="68">
        <f t="shared" si="49"/>
        <v>1.8013754944056089E-4</v>
      </c>
      <c r="M90" s="68">
        <f t="shared" si="50"/>
        <v>7.4430053331770493E-4</v>
      </c>
    </row>
    <row r="91" spans="1:13" s="44" customFormat="1" ht="15.6">
      <c r="A91" s="10" t="s">
        <v>28</v>
      </c>
      <c r="B91" s="139">
        <v>226.8</v>
      </c>
      <c r="C91" s="11" t="s">
        <v>43</v>
      </c>
      <c r="D91" s="24">
        <v>1.0603460830120627E-2</v>
      </c>
      <c r="E91" s="12">
        <v>5.8820579658656322E-2</v>
      </c>
      <c r="F91" s="16">
        <v>1.1620579658656319E-2</v>
      </c>
      <c r="G91" s="16">
        <v>0.29499999999999998</v>
      </c>
      <c r="H91" s="17" t="s">
        <v>51</v>
      </c>
      <c r="I91" s="68">
        <f t="shared" si="46"/>
        <v>4.4306393951825583E-2</v>
      </c>
      <c r="J91" s="68">
        <f t="shared" si="47"/>
        <v>4.6980111279207602E-4</v>
      </c>
      <c r="K91" s="68">
        <f t="shared" si="48"/>
        <v>2.6061277748311656E-3</v>
      </c>
      <c r="L91" s="68">
        <f t="shared" si="49"/>
        <v>5.1486598030499775E-4</v>
      </c>
      <c r="M91" s="68">
        <f t="shared" si="50"/>
        <v>1.3070386215788547E-2</v>
      </c>
    </row>
    <row r="92" spans="1:13" s="44" customFormat="1" ht="15.6">
      <c r="A92" s="10" t="s">
        <v>33</v>
      </c>
      <c r="B92" s="139">
        <v>4</v>
      </c>
      <c r="C92" s="11" t="s">
        <v>62</v>
      </c>
      <c r="D92" s="24">
        <v>8.8335598494538758E-2</v>
      </c>
      <c r="E92" s="12">
        <v>0.14400903956233987</v>
      </c>
      <c r="F92" s="16">
        <v>9.6809039562339869E-2</v>
      </c>
      <c r="G92" s="16">
        <v>0.36</v>
      </c>
      <c r="H92" s="17" t="s">
        <v>51</v>
      </c>
      <c r="I92" s="68">
        <f t="shared" si="46"/>
        <v>7.8141788274824664E-4</v>
      </c>
      <c r="J92" s="68">
        <f t="shared" si="47"/>
        <v>6.9027016346901685E-5</v>
      </c>
      <c r="K92" s="68">
        <f t="shared" si="48"/>
        <v>1.1253123879141211E-4</v>
      </c>
      <c r="L92" s="68">
        <f t="shared" si="49"/>
        <v>7.5648314725694865E-5</v>
      </c>
      <c r="M92" s="68">
        <f t="shared" si="50"/>
        <v>2.8131043778936878E-4</v>
      </c>
    </row>
    <row r="93" spans="1:13" s="44" customFormat="1" ht="15.6">
      <c r="A93" s="10" t="s">
        <v>69</v>
      </c>
      <c r="B93" s="139">
        <v>56</v>
      </c>
      <c r="C93" s="11" t="s">
        <v>48</v>
      </c>
      <c r="D93" s="24">
        <v>3.9782909430302202E-2</v>
      </c>
      <c r="E93" s="12">
        <v>9.0799016914808295E-2</v>
      </c>
      <c r="F93" s="16">
        <v>4.3599016914808296E-2</v>
      </c>
      <c r="G93" s="16">
        <v>0.25</v>
      </c>
      <c r="H93" s="17" t="s">
        <v>51</v>
      </c>
      <c r="I93" s="68">
        <f t="shared" si="46"/>
        <v>1.0939850358475453E-2</v>
      </c>
      <c r="J93" s="68">
        <f t="shared" si="47"/>
        <v>4.3521907599228802E-4</v>
      </c>
      <c r="K93" s="68">
        <f t="shared" si="48"/>
        <v>9.9332765774468425E-4</v>
      </c>
      <c r="L93" s="68">
        <f t="shared" si="49"/>
        <v>4.7696672082464287E-4</v>
      </c>
      <c r="M93" s="68">
        <f t="shared" si="50"/>
        <v>2.7349625896188634E-3</v>
      </c>
    </row>
    <row r="94" spans="1:13" s="44" customFormat="1" ht="15.6">
      <c r="A94" s="10" t="s">
        <v>70</v>
      </c>
      <c r="B94" s="139">
        <v>220</v>
      </c>
      <c r="C94" s="11" t="s">
        <v>137</v>
      </c>
      <c r="D94" s="24">
        <v>0.17499999999999999</v>
      </c>
      <c r="E94" s="12">
        <v>0.23898657542527282</v>
      </c>
      <c r="F94" s="16">
        <v>0.19178657542527283</v>
      </c>
      <c r="G94" s="16">
        <v>0.34</v>
      </c>
      <c r="H94" s="17" t="s">
        <v>51</v>
      </c>
      <c r="I94" s="68">
        <f t="shared" si="46"/>
        <v>4.2977983551153565E-2</v>
      </c>
      <c r="J94" s="68">
        <f t="shared" si="47"/>
        <v>7.5211471214518735E-3</v>
      </c>
      <c r="K94" s="68">
        <f t="shared" si="48"/>
        <v>1.0271161107573897E-2</v>
      </c>
      <c r="L94" s="68">
        <f t="shared" si="49"/>
        <v>8.2426002839594489E-3</v>
      </c>
      <c r="M94" s="68">
        <f t="shared" si="50"/>
        <v>1.4612514407392214E-2</v>
      </c>
    </row>
    <row r="95" spans="1:13" s="36" customFormat="1" ht="15.6">
      <c r="A95" s="66" t="s">
        <v>51</v>
      </c>
      <c r="B95" s="61">
        <f>SUM(B76:B94)</f>
        <v>5118.9000000000005</v>
      </c>
      <c r="C95" s="61"/>
      <c r="D95" s="62">
        <f>SUM(J76:J94)</f>
        <v>3.6408051688206385E-2</v>
      </c>
      <c r="E95" s="62">
        <f>SUM(K76:K94)</f>
        <v>8.7100431721070987E-2</v>
      </c>
      <c r="F95" s="62">
        <f>SUM(L76:L94)</f>
        <v>3.9900431721070995E-2</v>
      </c>
      <c r="G95" s="62">
        <f>SUM(M76:M94)</f>
        <v>0.31039417648322876</v>
      </c>
      <c r="H95" s="66"/>
      <c r="I95" s="69">
        <f>SUM(I76:I94)</f>
        <v>0.99999999999999989</v>
      </c>
    </row>
    <row r="96" spans="1:13" s="44" customFormat="1" ht="15.6">
      <c r="A96" s="10" t="s">
        <v>4</v>
      </c>
      <c r="B96" s="139">
        <v>15.3</v>
      </c>
      <c r="C96" s="11" t="s">
        <v>48</v>
      </c>
      <c r="D96" s="24">
        <v>3.9782909430302202E-2</v>
      </c>
      <c r="E96" s="12">
        <v>9.0799016914808295E-2</v>
      </c>
      <c r="F96" s="16">
        <v>4.3599016914808296E-2</v>
      </c>
      <c r="G96" s="16">
        <v>0.15</v>
      </c>
      <c r="H96" s="17" t="s">
        <v>125</v>
      </c>
      <c r="I96" s="68">
        <f t="shared" ref="I96:I121" si="51">B96/$B$123</f>
        <v>3.8015255795463016E-3</v>
      </c>
      <c r="J96" s="68">
        <f t="shared" ref="J96:J121" si="52">I96*D96</f>
        <v>1.5123574782806762E-4</v>
      </c>
      <c r="K96" s="68">
        <f t="shared" ref="K96:K121" si="53">I96*E96</f>
        <v>3.4517478539930105E-4</v>
      </c>
      <c r="L96" s="68">
        <f t="shared" ref="L96:L121" si="54">I96*F96</f>
        <v>1.6574277804471562E-4</v>
      </c>
      <c r="M96" s="68">
        <f t="shared" si="50"/>
        <v>5.7022883693194518E-4</v>
      </c>
    </row>
    <row r="97" spans="1:13" s="44" customFormat="1" ht="15.6">
      <c r="A97" s="10" t="s">
        <v>19</v>
      </c>
      <c r="B97" s="139">
        <v>13.7</v>
      </c>
      <c r="C97" s="11" t="s">
        <v>81</v>
      </c>
      <c r="D97" s="24">
        <v>3.1810382490361881E-2</v>
      </c>
      <c r="E97" s="12">
        <v>8.2061738975968967E-2</v>
      </c>
      <c r="F97" s="16">
        <v>3.4861738975968962E-2</v>
      </c>
      <c r="G97" s="16">
        <v>0.18</v>
      </c>
      <c r="H97" s="17" t="s">
        <v>125</v>
      </c>
      <c r="I97" s="68">
        <f t="shared" si="51"/>
        <v>3.4039804209009361E-3</v>
      </c>
      <c r="J97" s="68">
        <f t="shared" si="52"/>
        <v>1.082819191785618E-4</v>
      </c>
      <c r="K97" s="68">
        <f t="shared" si="53"/>
        <v>2.7933655277928159E-4</v>
      </c>
      <c r="L97" s="68">
        <f t="shared" si="54"/>
        <v>1.186686769127574E-4</v>
      </c>
      <c r="M97" s="68">
        <f t="shared" si="50"/>
        <v>6.1271647576216851E-4</v>
      </c>
    </row>
    <row r="98" spans="1:13" s="44" customFormat="1" ht="15.6">
      <c r="A98" s="10" t="s">
        <v>20</v>
      </c>
      <c r="B98" s="139">
        <v>48</v>
      </c>
      <c r="C98" s="11" t="s">
        <v>80</v>
      </c>
      <c r="D98" s="24">
        <v>2.6548514710001261E-2</v>
      </c>
      <c r="E98" s="12">
        <v>7.629513553633499E-2</v>
      </c>
      <c r="F98" s="16">
        <v>2.9095135536334988E-2</v>
      </c>
      <c r="G98" s="16">
        <v>0.2</v>
      </c>
      <c r="H98" s="17" t="s">
        <v>125</v>
      </c>
      <c r="I98" s="68">
        <f t="shared" si="51"/>
        <v>1.1926354759360946E-2</v>
      </c>
      <c r="J98" s="68">
        <f t="shared" si="52"/>
        <v>3.166270047655876E-4</v>
      </c>
      <c r="K98" s="68">
        <f t="shared" si="53"/>
        <v>9.0992285281985723E-4</v>
      </c>
      <c r="L98" s="68">
        <f t="shared" si="54"/>
        <v>3.4699890817802058E-4</v>
      </c>
      <c r="M98" s="68">
        <f t="shared" si="50"/>
        <v>2.3852709518721892E-3</v>
      </c>
    </row>
    <row r="99" spans="1:13" s="44" customFormat="1" ht="15.6">
      <c r="A99" s="10" t="s">
        <v>5</v>
      </c>
      <c r="B99" s="139">
        <v>63.1</v>
      </c>
      <c r="C99" s="11" t="s">
        <v>78</v>
      </c>
      <c r="D99" s="24">
        <v>5.74819192369697E-2</v>
      </c>
      <c r="E99" s="12">
        <v>0.1101957739390316</v>
      </c>
      <c r="F99" s="16">
        <v>6.2995773939031607E-2</v>
      </c>
      <c r="G99" s="16">
        <v>0.18</v>
      </c>
      <c r="H99" s="17" t="s">
        <v>125</v>
      </c>
      <c r="I99" s="68">
        <f t="shared" si="51"/>
        <v>1.5678187194076577E-2</v>
      </c>
      <c r="J99" s="68">
        <f t="shared" si="52"/>
        <v>9.0121229007200242E-4</v>
      </c>
      <c r="K99" s="68">
        <f t="shared" si="53"/>
        <v>1.7276699718122826E-3</v>
      </c>
      <c r="L99" s="68">
        <f t="shared" si="54"/>
        <v>9.8765953625186832E-4</v>
      </c>
      <c r="M99" s="68">
        <f t="shared" si="50"/>
        <v>2.8220736949337837E-3</v>
      </c>
    </row>
    <row r="100" spans="1:13" s="44" customFormat="1" ht="15.6">
      <c r="A100" s="10" t="s">
        <v>7</v>
      </c>
      <c r="B100" s="139">
        <v>20</v>
      </c>
      <c r="C100" s="11" t="s">
        <v>78</v>
      </c>
      <c r="D100" s="24">
        <v>5.74819192369697E-2</v>
      </c>
      <c r="E100" s="12">
        <v>0.1101957739390316</v>
      </c>
      <c r="F100" s="16">
        <v>6.2995773939031607E-2</v>
      </c>
      <c r="G100" s="16">
        <v>0.1</v>
      </c>
      <c r="H100" s="17" t="s">
        <v>125</v>
      </c>
      <c r="I100" s="68">
        <f t="shared" si="51"/>
        <v>4.9693144830670602E-3</v>
      </c>
      <c r="J100" s="68">
        <f t="shared" si="52"/>
        <v>2.8564573377876459E-4</v>
      </c>
      <c r="K100" s="68">
        <f t="shared" si="53"/>
        <v>5.4759745540801342E-4</v>
      </c>
      <c r="L100" s="68">
        <f t="shared" si="54"/>
        <v>3.1304581180724824E-4</v>
      </c>
      <c r="M100" s="68">
        <f t="shared" si="50"/>
        <v>4.9693144830670604E-4</v>
      </c>
    </row>
    <row r="101" spans="1:13" s="44" customFormat="1" ht="15.6">
      <c r="A101" s="10" t="s">
        <v>94</v>
      </c>
      <c r="B101" s="139">
        <v>67.900000000000006</v>
      </c>
      <c r="C101" s="11" t="s">
        <v>82</v>
      </c>
      <c r="D101" s="24">
        <v>1.4111372683694367E-2</v>
      </c>
      <c r="E101" s="12">
        <v>6.2664981951745621E-2</v>
      </c>
      <c r="F101" s="16">
        <v>1.5464981951745628E-2</v>
      </c>
      <c r="G101" s="16">
        <v>0.1</v>
      </c>
      <c r="H101" s="17" t="s">
        <v>125</v>
      </c>
      <c r="I101" s="68">
        <f t="shared" si="51"/>
        <v>1.6870822670012671E-2</v>
      </c>
      <c r="J101" s="68">
        <f t="shared" si="52"/>
        <v>2.3807046617706847E-4</v>
      </c>
      <c r="K101" s="68">
        <f t="shared" si="53"/>
        <v>1.0572097981274449E-3</v>
      </c>
      <c r="L101" s="68">
        <f t="shared" si="54"/>
        <v>2.6090696810284695E-4</v>
      </c>
      <c r="M101" s="68">
        <f t="shared" si="50"/>
        <v>1.6870822670012671E-3</v>
      </c>
    </row>
    <row r="102" spans="1:13" s="44" customFormat="1" ht="15.6">
      <c r="A102" s="10" t="s">
        <v>98</v>
      </c>
      <c r="B102" s="139">
        <v>60.4</v>
      </c>
      <c r="C102" s="11" t="s">
        <v>79</v>
      </c>
      <c r="D102" s="24">
        <v>2.208389962363469E-2</v>
      </c>
      <c r="E102" s="12">
        <v>7.1402259890584963E-2</v>
      </c>
      <c r="F102" s="16">
        <v>2.4202259890584967E-2</v>
      </c>
      <c r="G102" s="16">
        <v>0.18</v>
      </c>
      <c r="H102" s="17" t="s">
        <v>125</v>
      </c>
      <c r="I102" s="68">
        <f t="shared" si="51"/>
        <v>1.5007329738862523E-2</v>
      </c>
      <c r="J102" s="68">
        <f t="shared" si="52"/>
        <v>3.3142036357182778E-4</v>
      </c>
      <c r="K102" s="68">
        <f t="shared" si="53"/>
        <v>1.0715572582779664E-3</v>
      </c>
      <c r="L102" s="68">
        <f t="shared" si="54"/>
        <v>3.6321129460365538E-4</v>
      </c>
      <c r="M102" s="68">
        <f t="shared" si="50"/>
        <v>2.7013193529952539E-3</v>
      </c>
    </row>
    <row r="103" spans="1:13" s="44" customFormat="1" ht="15.6">
      <c r="A103" s="10" t="s">
        <v>101</v>
      </c>
      <c r="B103" s="139">
        <v>246.5</v>
      </c>
      <c r="C103" s="11" t="s">
        <v>46</v>
      </c>
      <c r="D103" s="24">
        <v>5.3415930497600151E-3</v>
      </c>
      <c r="E103" s="12">
        <v>5.3053976219022358E-2</v>
      </c>
      <c r="F103" s="16">
        <v>5.8539762190223561E-3</v>
      </c>
      <c r="G103" s="16">
        <v>0.19</v>
      </c>
      <c r="H103" s="17" t="s">
        <v>125</v>
      </c>
      <c r="I103" s="68">
        <f t="shared" si="51"/>
        <v>6.1246801003801518E-2</v>
      </c>
      <c r="J103" s="68">
        <f t="shared" si="52"/>
        <v>3.2715548656194089E-4</v>
      </c>
      <c r="K103" s="68">
        <f t="shared" si="53"/>
        <v>3.2493863239468805E-3</v>
      </c>
      <c r="L103" s="68">
        <f t="shared" si="54"/>
        <v>3.5853731656744866E-4</v>
      </c>
      <c r="M103" s="68">
        <f t="shared" si="50"/>
        <v>1.1636892190722288E-2</v>
      </c>
    </row>
    <row r="104" spans="1:13" s="44" customFormat="1" ht="15.6">
      <c r="A104" s="10" t="s">
        <v>106</v>
      </c>
      <c r="B104" s="139">
        <v>31.4</v>
      </c>
      <c r="C104" s="11" t="s">
        <v>41</v>
      </c>
      <c r="D104" s="24">
        <v>6.2185710131534505E-3</v>
      </c>
      <c r="E104" s="12">
        <v>5.4015076792294683E-2</v>
      </c>
      <c r="F104" s="16">
        <v>6.8150767922946836E-3</v>
      </c>
      <c r="G104" s="16">
        <v>0.2</v>
      </c>
      <c r="H104" s="17" t="s">
        <v>125</v>
      </c>
      <c r="I104" s="68">
        <f t="shared" si="51"/>
        <v>7.8018237384152849E-3</v>
      </c>
      <c r="J104" s="68">
        <f t="shared" si="52"/>
        <v>4.8516194949441777E-5</v>
      </c>
      <c r="K104" s="68">
        <f t="shared" si="53"/>
        <v>4.214161083504492E-4</v>
      </c>
      <c r="L104" s="68">
        <f t="shared" si="54"/>
        <v>5.3170027897247759E-5</v>
      </c>
      <c r="M104" s="68">
        <f t="shared" si="50"/>
        <v>1.560364747683057E-3</v>
      </c>
    </row>
    <row r="105" spans="1:13" s="44" customFormat="1" ht="15.6">
      <c r="A105" s="10" t="s">
        <v>133</v>
      </c>
      <c r="B105" s="139">
        <v>17.7</v>
      </c>
      <c r="C105" s="11" t="s">
        <v>80</v>
      </c>
      <c r="D105" s="24">
        <v>2.6548514710001261E-2</v>
      </c>
      <c r="E105" s="12">
        <v>7.629513553633499E-2</v>
      </c>
      <c r="F105" s="16">
        <v>2.9095135536334988E-2</v>
      </c>
      <c r="G105" s="16">
        <v>0.15</v>
      </c>
      <c r="H105" s="17" t="s">
        <v>125</v>
      </c>
      <c r="I105" s="68">
        <f t="shared" si="51"/>
        <v>4.3978433175143484E-3</v>
      </c>
      <c r="J105" s="68">
        <f t="shared" si="52"/>
        <v>1.1675620800731042E-4</v>
      </c>
      <c r="K105" s="68">
        <f t="shared" si="53"/>
        <v>3.3553405197732231E-4</v>
      </c>
      <c r="L105" s="68">
        <f t="shared" si="54"/>
        <v>1.2795584739064508E-4</v>
      </c>
      <c r="M105" s="68">
        <f t="shared" si="50"/>
        <v>6.5967649762715226E-4</v>
      </c>
    </row>
    <row r="106" spans="1:13" s="44" customFormat="1" ht="15.6">
      <c r="A106" s="10" t="s">
        <v>109</v>
      </c>
      <c r="B106" s="139">
        <v>161</v>
      </c>
      <c r="C106" s="11" t="s">
        <v>124</v>
      </c>
      <c r="D106" s="24">
        <v>1.9452965733454383E-2</v>
      </c>
      <c r="E106" s="12">
        <v>6.8518958170767988E-2</v>
      </c>
      <c r="F106" s="16">
        <v>2.1318958170767986E-2</v>
      </c>
      <c r="G106" s="16">
        <v>0.09</v>
      </c>
      <c r="H106" s="17" t="s">
        <v>125</v>
      </c>
      <c r="I106" s="68">
        <f t="shared" si="51"/>
        <v>4.000298158868984E-2</v>
      </c>
      <c r="J106" s="68">
        <f t="shared" si="52"/>
        <v>7.7817663008079006E-4</v>
      </c>
      <c r="K106" s="68">
        <f t="shared" si="53"/>
        <v>2.7409626221814409E-3</v>
      </c>
      <c r="L106" s="68">
        <f t="shared" si="54"/>
        <v>8.5282189119528058E-4</v>
      </c>
      <c r="M106" s="68">
        <f t="shared" si="50"/>
        <v>3.6002683429820857E-3</v>
      </c>
    </row>
    <row r="107" spans="1:13" s="44" customFormat="1" ht="15.6">
      <c r="A107" s="10" t="s">
        <v>118</v>
      </c>
      <c r="B107" s="139">
        <v>180.2</v>
      </c>
      <c r="C107" s="11" t="s">
        <v>124</v>
      </c>
      <c r="D107" s="24">
        <v>1.9452965733454383E-2</v>
      </c>
      <c r="E107" s="12">
        <v>6.8518958170767988E-2</v>
      </c>
      <c r="F107" s="16">
        <v>2.1318958170767986E-2</v>
      </c>
      <c r="G107" s="16">
        <v>0.2</v>
      </c>
      <c r="H107" s="17" t="s">
        <v>125</v>
      </c>
      <c r="I107" s="68">
        <f t="shared" si="51"/>
        <v>4.4773523492434214E-2</v>
      </c>
      <c r="J107" s="68">
        <f t="shared" si="52"/>
        <v>8.7097781826433757E-4</v>
      </c>
      <c r="K107" s="68">
        <f t="shared" si="53"/>
        <v>3.067835183335998E-3</v>
      </c>
      <c r="L107" s="68">
        <f t="shared" si="54"/>
        <v>9.5452487449310271E-4</v>
      </c>
      <c r="M107" s="68">
        <f t="shared" si="50"/>
        <v>8.9547046984868438E-3</v>
      </c>
    </row>
    <row r="108" spans="1:13" s="44" customFormat="1" ht="15.6">
      <c r="A108" s="10" t="s">
        <v>353</v>
      </c>
      <c r="B108" s="139">
        <v>8.5</v>
      </c>
      <c r="C108" s="11" t="s">
        <v>49</v>
      </c>
      <c r="D108" s="24">
        <v>4.8632414333635951E-2</v>
      </c>
      <c r="E108" s="12">
        <v>0.10049739542691996</v>
      </c>
      <c r="F108" s="16">
        <v>5.3297395426919955E-2</v>
      </c>
      <c r="G108" s="16">
        <v>0.1</v>
      </c>
      <c r="H108" s="17" t="s">
        <v>125</v>
      </c>
      <c r="I108" s="68">
        <f t="shared" si="51"/>
        <v>2.1119586553035009E-3</v>
      </c>
      <c r="J108" s="68">
        <f t="shared" si="52"/>
        <v>1.0270964838022848E-4</v>
      </c>
      <c r="K108" s="68">
        <f t="shared" si="53"/>
        <v>2.1224634410734207E-4</v>
      </c>
      <c r="L108" s="68">
        <f t="shared" si="54"/>
        <v>1.1256189557701682E-4</v>
      </c>
      <c r="M108" s="68">
        <f t="shared" si="50"/>
        <v>2.111958655303501E-4</v>
      </c>
    </row>
    <row r="109" spans="1:13" s="44" customFormat="1" ht="15.6">
      <c r="A109" s="10" t="s">
        <v>121</v>
      </c>
      <c r="B109" s="139">
        <v>34.1</v>
      </c>
      <c r="C109" s="11" t="s">
        <v>43</v>
      </c>
      <c r="D109" s="24">
        <v>1.0603460830120627E-2</v>
      </c>
      <c r="E109" s="12">
        <v>5.8820579658656322E-2</v>
      </c>
      <c r="F109" s="16">
        <v>1.1620579658656319E-2</v>
      </c>
      <c r="G109" s="16">
        <v>0.2</v>
      </c>
      <c r="H109" s="17" t="s">
        <v>125</v>
      </c>
      <c r="I109" s="68">
        <f t="shared" si="51"/>
        <v>8.4726811936293393E-3</v>
      </c>
      <c r="J109" s="68">
        <f t="shared" si="52"/>
        <v>8.9839743162748373E-5</v>
      </c>
      <c r="K109" s="68">
        <f t="shared" si="53"/>
        <v>4.9836801907227383E-4</v>
      </c>
      <c r="L109" s="68">
        <f t="shared" si="54"/>
        <v>9.8457466732969042E-5</v>
      </c>
      <c r="M109" s="68">
        <f t="shared" si="50"/>
        <v>1.694536238725868E-3</v>
      </c>
    </row>
    <row r="110" spans="1:13" s="44" customFormat="1" ht="15.6">
      <c r="A110" s="10" t="s">
        <v>13</v>
      </c>
      <c r="B110" s="139">
        <v>54.2</v>
      </c>
      <c r="C110" s="11" t="s">
        <v>43</v>
      </c>
      <c r="D110" s="24">
        <v>1.0603460830120627E-2</v>
      </c>
      <c r="E110" s="12">
        <v>5.8820579658656322E-2</v>
      </c>
      <c r="F110" s="16">
        <v>1.1620579658656319E-2</v>
      </c>
      <c r="G110" s="16">
        <v>0.15</v>
      </c>
      <c r="H110" s="17" t="s">
        <v>125</v>
      </c>
      <c r="I110" s="68">
        <f t="shared" si="51"/>
        <v>1.3466842249111734E-2</v>
      </c>
      <c r="J110" s="68">
        <f t="shared" si="52"/>
        <v>1.4279513429386984E-4</v>
      </c>
      <c r="K110" s="68">
        <f t="shared" si="53"/>
        <v>7.9212746726443526E-4</v>
      </c>
      <c r="L110" s="68">
        <f t="shared" si="54"/>
        <v>1.5649251310636135E-4</v>
      </c>
      <c r="M110" s="68">
        <f t="shared" si="50"/>
        <v>2.0200263373667602E-3</v>
      </c>
    </row>
    <row r="111" spans="1:13" s="44" customFormat="1" ht="15.6">
      <c r="A111" s="10" t="s">
        <v>146</v>
      </c>
      <c r="B111" s="139">
        <v>12.7</v>
      </c>
      <c r="C111" s="11" t="s">
        <v>81</v>
      </c>
      <c r="D111" s="24">
        <v>3.1810382490361881E-2</v>
      </c>
      <c r="E111" s="12">
        <v>8.2061738975968967E-2</v>
      </c>
      <c r="F111" s="16">
        <v>3.4861738975968962E-2</v>
      </c>
      <c r="G111" s="16">
        <v>0.1</v>
      </c>
      <c r="H111" s="17" t="s">
        <v>125</v>
      </c>
      <c r="I111" s="68">
        <f t="shared" si="51"/>
        <v>3.1555146967475831E-3</v>
      </c>
      <c r="J111" s="68">
        <f t="shared" si="52"/>
        <v>1.003781294574989E-4</v>
      </c>
      <c r="K111" s="68">
        <f t="shared" si="53"/>
        <v>2.5894702337933404E-4</v>
      </c>
      <c r="L111" s="68">
        <f t="shared" si="54"/>
        <v>1.100067296928481E-4</v>
      </c>
      <c r="M111" s="68">
        <f t="shared" si="50"/>
        <v>3.1555146967475836E-4</v>
      </c>
    </row>
    <row r="112" spans="1:13" s="44" customFormat="1" ht="15.6">
      <c r="A112" s="10" t="s">
        <v>17</v>
      </c>
      <c r="B112" s="139">
        <v>12</v>
      </c>
      <c r="C112" s="11" t="s">
        <v>78</v>
      </c>
      <c r="D112" s="24">
        <v>5.74819192369697E-2</v>
      </c>
      <c r="E112" s="12">
        <v>0.1101957739390316</v>
      </c>
      <c r="F112" s="16">
        <v>6.2995773939031607E-2</v>
      </c>
      <c r="G112" s="16">
        <v>0.12</v>
      </c>
      <c r="H112" s="17" t="s">
        <v>125</v>
      </c>
      <c r="I112" s="68">
        <f t="shared" si="51"/>
        <v>2.9815886898402364E-3</v>
      </c>
      <c r="J112" s="68">
        <f t="shared" si="52"/>
        <v>1.7138744026725877E-4</v>
      </c>
      <c r="K112" s="68">
        <f t="shared" si="53"/>
        <v>3.2855847324480809E-4</v>
      </c>
      <c r="L112" s="68">
        <f t="shared" si="54"/>
        <v>1.8782748708434896E-4</v>
      </c>
      <c r="M112" s="68">
        <f t="shared" si="50"/>
        <v>3.5779064278082838E-4</v>
      </c>
    </row>
    <row r="113" spans="1:13" s="44" customFormat="1" ht="15.6">
      <c r="A113" s="10" t="s">
        <v>8</v>
      </c>
      <c r="B113" s="139">
        <v>5.5</v>
      </c>
      <c r="C113" s="11" t="s">
        <v>48</v>
      </c>
      <c r="D113" s="24">
        <v>3.9782909430302202E-2</v>
      </c>
      <c r="E113" s="12">
        <v>9.0799016914808295E-2</v>
      </c>
      <c r="F113" s="16">
        <v>4.3599016914808296E-2</v>
      </c>
      <c r="G113" s="16">
        <v>0.09</v>
      </c>
      <c r="H113" s="17" t="s">
        <v>125</v>
      </c>
      <c r="I113" s="68">
        <f t="shared" si="51"/>
        <v>1.3665614828434417E-3</v>
      </c>
      <c r="J113" s="68">
        <f t="shared" si="52"/>
        <v>5.4365791702900116E-5</v>
      </c>
      <c r="K113" s="68">
        <f t="shared" si="53"/>
        <v>1.2408243919582716E-4</v>
      </c>
      <c r="L113" s="68">
        <f t="shared" si="54"/>
        <v>5.9580737205616724E-5</v>
      </c>
      <c r="M113" s="68">
        <f t="shared" si="50"/>
        <v>1.2299053345590975E-4</v>
      </c>
    </row>
    <row r="114" spans="1:13" s="44" customFormat="1" ht="15.6">
      <c r="A114" s="10" t="s">
        <v>30</v>
      </c>
      <c r="B114" s="139">
        <v>592.20000000000005</v>
      </c>
      <c r="C114" s="11" t="s">
        <v>42</v>
      </c>
      <c r="D114" s="24">
        <v>7.4941753235439005E-3</v>
      </c>
      <c r="E114" s="12">
        <v>5.5413041262508976E-2</v>
      </c>
      <c r="F114" s="16">
        <v>8.2130412625089771E-3</v>
      </c>
      <c r="G114" s="16">
        <v>0.19</v>
      </c>
      <c r="H114" s="17" t="s">
        <v>125</v>
      </c>
      <c r="I114" s="68">
        <f t="shared" si="51"/>
        <v>0.14714140184361568</v>
      </c>
      <c r="J114" s="68">
        <f t="shared" si="52"/>
        <v>1.1027034627680817E-3</v>
      </c>
      <c r="K114" s="68">
        <f t="shared" si="53"/>
        <v>8.1535525717836895E-3</v>
      </c>
      <c r="L114" s="68">
        <f t="shared" si="54"/>
        <v>1.2084784047650301E-3</v>
      </c>
      <c r="M114" s="68">
        <f t="shared" si="50"/>
        <v>2.795686635028698E-2</v>
      </c>
    </row>
    <row r="115" spans="1:13" s="44" customFormat="1" ht="15.6">
      <c r="A115" s="10" t="s">
        <v>0</v>
      </c>
      <c r="B115" s="139">
        <v>250.1</v>
      </c>
      <c r="C115" s="11" t="s">
        <v>124</v>
      </c>
      <c r="D115" s="24">
        <v>1.9452965733454383E-2</v>
      </c>
      <c r="E115" s="12">
        <v>6.8518958170767988E-2</v>
      </c>
      <c r="F115" s="16">
        <v>2.1318958170767986E-2</v>
      </c>
      <c r="G115" s="16">
        <v>0.16</v>
      </c>
      <c r="H115" s="17" t="s">
        <v>125</v>
      </c>
      <c r="I115" s="68">
        <f t="shared" si="51"/>
        <v>6.2141277610753588E-2</v>
      </c>
      <c r="J115" s="68">
        <f t="shared" si="52"/>
        <v>1.2088321439950656E-3</v>
      </c>
      <c r="K115" s="68">
        <f t="shared" si="53"/>
        <v>4.2578556012893062E-3</v>
      </c>
      <c r="L115" s="68">
        <f t="shared" si="54"/>
        <v>1.324787298061737E-3</v>
      </c>
      <c r="M115" s="68">
        <f t="shared" si="50"/>
        <v>9.9426044177205741E-3</v>
      </c>
    </row>
    <row r="116" spans="1:13" s="44" customFormat="1" ht="15.6">
      <c r="A116" s="10" t="s">
        <v>1</v>
      </c>
      <c r="B116" s="139">
        <v>1699.9</v>
      </c>
      <c r="C116" s="11" t="s">
        <v>124</v>
      </c>
      <c r="D116" s="24">
        <v>1.9452965733454383E-2</v>
      </c>
      <c r="E116" s="12">
        <v>6.8518958170767988E-2</v>
      </c>
      <c r="F116" s="16">
        <v>2.1318958170767986E-2</v>
      </c>
      <c r="G116" s="16">
        <v>0.2</v>
      </c>
      <c r="H116" s="17" t="s">
        <v>125</v>
      </c>
      <c r="I116" s="68">
        <f t="shared" si="51"/>
        <v>0.42236688448828485</v>
      </c>
      <c r="J116" s="68">
        <f t="shared" si="52"/>
        <v>8.2162885308964904E-3</v>
      </c>
      <c r="K116" s="68">
        <f t="shared" si="53"/>
        <v>2.8940138890970385E-2</v>
      </c>
      <c r="L116" s="68">
        <f t="shared" si="54"/>
        <v>9.0044219431233384E-3</v>
      </c>
      <c r="M116" s="68">
        <f t="shared" si="50"/>
        <v>8.4473376897656979E-2</v>
      </c>
    </row>
    <row r="117" spans="1:13" s="44" customFormat="1" ht="15.6">
      <c r="A117" s="10" t="s">
        <v>147</v>
      </c>
      <c r="B117" s="139">
        <v>51.4</v>
      </c>
      <c r="C117" s="11" t="s">
        <v>81</v>
      </c>
      <c r="D117" s="24">
        <v>3.1810382490361881E-2</v>
      </c>
      <c r="E117" s="12">
        <v>8.2061738975968967E-2</v>
      </c>
      <c r="F117" s="16">
        <v>3.4861738975968962E-2</v>
      </c>
      <c r="G117" s="16">
        <v>0.15</v>
      </c>
      <c r="H117" s="17" t="s">
        <v>125</v>
      </c>
      <c r="I117" s="68">
        <f t="shared" si="51"/>
        <v>1.2771138221482346E-2</v>
      </c>
      <c r="J117" s="68">
        <f t="shared" si="52"/>
        <v>4.0625479166263339E-4</v>
      </c>
      <c r="K117" s="68">
        <f t="shared" si="53"/>
        <v>1.0480218111573048E-3</v>
      </c>
      <c r="L117" s="68">
        <f t="shared" si="54"/>
        <v>4.4522408710333803E-4</v>
      </c>
      <c r="M117" s="68">
        <f t="shared" si="50"/>
        <v>1.9156707332223517E-3</v>
      </c>
    </row>
    <row r="118" spans="1:13" s="44" customFormat="1" ht="15.6">
      <c r="A118" s="10" t="s">
        <v>61</v>
      </c>
      <c r="B118" s="139">
        <v>105.4</v>
      </c>
      <c r="C118" s="11" t="s">
        <v>42</v>
      </c>
      <c r="D118" s="24">
        <v>7.4941753235439005E-3</v>
      </c>
      <c r="E118" s="12">
        <v>5.5413041262508976E-2</v>
      </c>
      <c r="F118" s="16">
        <v>8.2130412625089771E-3</v>
      </c>
      <c r="G118" s="16">
        <v>0.21</v>
      </c>
      <c r="H118" s="17" t="s">
        <v>125</v>
      </c>
      <c r="I118" s="68">
        <f t="shared" si="51"/>
        <v>2.618828732576341E-2</v>
      </c>
      <c r="J118" s="68">
        <f t="shared" si="52"/>
        <v>1.9625961664261363E-4</v>
      </c>
      <c r="K118" s="68">
        <f t="shared" si="53"/>
        <v>1.4511726461769686E-3</v>
      </c>
      <c r="L118" s="68">
        <f t="shared" si="54"/>
        <v>2.1508548440093576E-4</v>
      </c>
      <c r="M118" s="68">
        <f t="shared" si="50"/>
        <v>5.4995403384103161E-3</v>
      </c>
    </row>
    <row r="119" spans="1:13" s="44" customFormat="1" ht="15.6">
      <c r="A119" s="10" t="s">
        <v>190</v>
      </c>
      <c r="B119" s="139">
        <v>53.7</v>
      </c>
      <c r="C119" s="11" t="s">
        <v>43</v>
      </c>
      <c r="D119" s="24">
        <v>1.0603460830120627E-2</v>
      </c>
      <c r="E119" s="12">
        <v>5.8820579658656322E-2</v>
      </c>
      <c r="F119" s="16">
        <v>1.1620579658656319E-2</v>
      </c>
      <c r="G119" s="16">
        <v>0.19</v>
      </c>
      <c r="H119" s="17" t="s">
        <v>125</v>
      </c>
      <c r="I119" s="68">
        <f>B119/$B$123</f>
        <v>1.3342609387035059E-2</v>
      </c>
      <c r="J119" s="68">
        <f>I119*D119</f>
        <v>1.4147783600702604E-4</v>
      </c>
      <c r="K119" s="68">
        <f>I119*E119</f>
        <v>7.8482001830443131E-4</v>
      </c>
      <c r="L119" s="68">
        <f>I119*F119</f>
        <v>1.5504885523637645E-4</v>
      </c>
      <c r="M119" s="68">
        <f>I119*G119</f>
        <v>2.5350957835366611E-3</v>
      </c>
    </row>
    <row r="120" spans="1:13" s="44" customFormat="1" ht="15.6">
      <c r="A120" s="10" t="s">
        <v>412</v>
      </c>
      <c r="B120" s="139">
        <v>8.1</v>
      </c>
      <c r="C120" s="11" t="s">
        <v>78</v>
      </c>
      <c r="D120" s="24">
        <v>5.74819192369697E-2</v>
      </c>
      <c r="E120" s="12">
        <v>0.1101957739390316</v>
      </c>
      <c r="F120" s="16">
        <v>6.2995773939031607E-2</v>
      </c>
      <c r="G120" s="16">
        <v>0.19120000000000001</v>
      </c>
      <c r="H120" s="17" t="s">
        <v>125</v>
      </c>
      <c r="I120" s="68">
        <f>B120/$B$123</f>
        <v>2.0125723656421596E-3</v>
      </c>
      <c r="J120" s="68">
        <f>I120*D120</f>
        <v>1.1568652218039967E-4</v>
      </c>
      <c r="K120" s="68">
        <f>I120*E120</f>
        <v>2.2177696944024547E-4</v>
      </c>
      <c r="L120" s="68">
        <f>I120*F120</f>
        <v>1.2678355378193556E-4</v>
      </c>
      <c r="M120" s="68">
        <f>I120*G120</f>
        <v>3.848038363107809E-4</v>
      </c>
    </row>
    <row r="121" spans="1:13" s="44" customFormat="1" ht="15.6">
      <c r="A121" s="10" t="s">
        <v>68</v>
      </c>
      <c r="B121" s="139">
        <v>153.80000000000001</v>
      </c>
      <c r="C121" s="11" t="s">
        <v>78</v>
      </c>
      <c r="D121" s="24">
        <v>5.74819192369697E-2</v>
      </c>
      <c r="E121" s="12">
        <v>0.1101957739390316</v>
      </c>
      <c r="F121" s="16">
        <v>6.2995773939031607E-2</v>
      </c>
      <c r="G121" s="16">
        <v>0.18</v>
      </c>
      <c r="H121" s="17" t="s">
        <v>125</v>
      </c>
      <c r="I121" s="68">
        <f t="shared" si="51"/>
        <v>3.82140283747857E-2</v>
      </c>
      <c r="J121" s="68">
        <f t="shared" si="52"/>
        <v>2.1966156927587001E-3</v>
      </c>
      <c r="K121" s="68">
        <f t="shared" si="53"/>
        <v>4.2110244320876242E-3</v>
      </c>
      <c r="L121" s="68">
        <f t="shared" si="54"/>
        <v>2.4073222927977395E-3</v>
      </c>
      <c r="M121" s="68">
        <f t="shared" si="50"/>
        <v>6.878525107461426E-3</v>
      </c>
    </row>
    <row r="122" spans="1:13" s="44" customFormat="1" ht="15.6">
      <c r="A122" s="10" t="s">
        <v>403</v>
      </c>
      <c r="B122" s="139">
        <v>57.9</v>
      </c>
      <c r="C122" s="11" t="s">
        <v>83</v>
      </c>
      <c r="D122" s="24">
        <v>1.6822031843274077E-2</v>
      </c>
      <c r="E122" s="12">
        <v>6.5635656450950999E-2</v>
      </c>
      <c r="F122" s="16">
        <v>1.8435656450951004E-2</v>
      </c>
      <c r="G122" s="16">
        <v>7.4999999999999997E-2</v>
      </c>
      <c r="H122" s="17" t="s">
        <v>125</v>
      </c>
      <c r="I122" s="68">
        <f t="shared" ref="I122" si="55">B122/$B$123</f>
        <v>1.438616542847914E-2</v>
      </c>
      <c r="J122" s="68">
        <f t="shared" ref="J122" si="56">I122*D122</f>
        <v>2.4200453294048475E-4</v>
      </c>
      <c r="K122" s="68">
        <f t="shared" ref="K122" si="57">I122*E122</f>
        <v>9.4424541171020512E-4</v>
      </c>
      <c r="L122" s="68">
        <f t="shared" ref="L122" si="58">I122*F122</f>
        <v>2.652184034859898E-4</v>
      </c>
      <c r="M122" s="68">
        <f t="shared" ref="M122" si="59">I122*G122</f>
        <v>1.0789624071359356E-3</v>
      </c>
    </row>
    <row r="123" spans="1:13" s="36" customFormat="1" ht="15.6">
      <c r="A123" s="66" t="s">
        <v>125</v>
      </c>
      <c r="B123" s="178">
        <f>SUM(B96:B122)</f>
        <v>4024.7000000000003</v>
      </c>
      <c r="C123" s="61"/>
      <c r="D123" s="62">
        <f>SUM(J96:J122)</f>
        <v>1.8961674880351699E-2</v>
      </c>
      <c r="E123" s="62">
        <f>SUM(K96:K122)</f>
        <v>6.798054108360041E-2</v>
      </c>
      <c r="F123" s="62">
        <f>SUM(L96:L122)</f>
        <v>2.0780541083600421E-2</v>
      </c>
      <c r="G123" s="62">
        <f>SUM(M96:M122)</f>
        <v>0.18307506646458122</v>
      </c>
      <c r="H123" s="66"/>
      <c r="I123" s="69">
        <f>SUM(I96:I122)</f>
        <v>0.99999999999999989</v>
      </c>
    </row>
    <row r="124" spans="1:13" s="44" customFormat="1" ht="15.6">
      <c r="A124" s="10" t="s">
        <v>272</v>
      </c>
      <c r="B124" s="139">
        <v>915</v>
      </c>
      <c r="C124" s="11" t="s">
        <v>45</v>
      </c>
      <c r="D124" s="24">
        <v>4.3848898169671765E-3</v>
      </c>
      <c r="E124" s="12">
        <v>5.2005502866361637E-2</v>
      </c>
      <c r="F124" s="16">
        <v>4.8055028663616358E-3</v>
      </c>
      <c r="G124" s="16">
        <v>0.55000000000000004</v>
      </c>
      <c r="H124" s="17" t="s">
        <v>127</v>
      </c>
      <c r="I124" s="68">
        <f t="shared" ref="I124:I136" si="60">B124/$B$137</f>
        <v>0.27731474465828154</v>
      </c>
      <c r="J124" s="68">
        <f t="shared" ref="J124:J136" si="61">I124*D124</f>
        <v>1.2159945999469515E-3</v>
      </c>
      <c r="K124" s="68">
        <f t="shared" ref="K124:K136" si="62">I124*E124</f>
        <v>1.4421892748210607E-2</v>
      </c>
      <c r="L124" s="68">
        <f t="shared" ref="L124:L136" si="63">I124*F124</f>
        <v>1.3326368003397171E-3</v>
      </c>
      <c r="M124" s="68">
        <f t="shared" si="50"/>
        <v>0.15252310956205486</v>
      </c>
    </row>
    <row r="125" spans="1:13" s="44" customFormat="1" ht="15.6">
      <c r="A125" s="10" t="s">
        <v>87</v>
      </c>
      <c r="B125" s="139">
        <v>38.6</v>
      </c>
      <c r="C125" s="11" t="s">
        <v>49</v>
      </c>
      <c r="D125" s="24">
        <v>4.8632414333635951E-2</v>
      </c>
      <c r="E125" s="12">
        <v>0.10049739542691996</v>
      </c>
      <c r="F125" s="16">
        <v>5.3297395426919955E-2</v>
      </c>
      <c r="G125" s="16">
        <v>0</v>
      </c>
      <c r="H125" s="17" t="s">
        <v>127</v>
      </c>
      <c r="I125" s="68">
        <f t="shared" si="60"/>
        <v>1.1698742233671769E-2</v>
      </c>
      <c r="J125" s="68">
        <f t="shared" si="61"/>
        <v>5.6893807949033126E-4</v>
      </c>
      <c r="K125" s="68">
        <f t="shared" si="62"/>
        <v>1.1756931242549206E-3</v>
      </c>
      <c r="L125" s="68">
        <f t="shared" si="63"/>
        <v>6.2351249082561312E-4</v>
      </c>
      <c r="M125" s="68">
        <f t="shared" si="50"/>
        <v>0</v>
      </c>
    </row>
    <row r="126" spans="1:13" s="44" customFormat="1" ht="15.6">
      <c r="A126" s="10" t="s">
        <v>331</v>
      </c>
      <c r="B126" s="139">
        <v>234.1</v>
      </c>
      <c r="C126" s="11" t="s">
        <v>100</v>
      </c>
      <c r="D126" s="24">
        <v>6.6251698870904069E-2</v>
      </c>
      <c r="E126" s="12">
        <v>0.1198067796717549</v>
      </c>
      <c r="F126" s="16">
        <v>7.2606779671754898E-2</v>
      </c>
      <c r="G126" s="16">
        <v>0.15</v>
      </c>
      <c r="H126" s="17" t="s">
        <v>127</v>
      </c>
      <c r="I126" s="68">
        <f>B126/$B$137</f>
        <v>7.0950143961206247E-2</v>
      </c>
      <c r="J126" s="68">
        <f>I126*D126</f>
        <v>4.7005675725651291E-3</v>
      </c>
      <c r="K126" s="68">
        <f>I126*E126</f>
        <v>8.5003082652395281E-3</v>
      </c>
      <c r="L126" s="68">
        <f>I126*F126</f>
        <v>5.1514614702705928E-3</v>
      </c>
      <c r="M126" s="68">
        <f>I126*G126</f>
        <v>1.0642521594180937E-2</v>
      </c>
    </row>
    <row r="127" spans="1:13" s="44" customFormat="1" ht="15.6">
      <c r="A127" s="10" t="s">
        <v>114</v>
      </c>
      <c r="B127" s="139">
        <v>395.1</v>
      </c>
      <c r="C127" s="11" t="s">
        <v>41</v>
      </c>
      <c r="D127" s="24">
        <v>6.2185710131534505E-3</v>
      </c>
      <c r="E127" s="12">
        <v>5.4015076792294683E-2</v>
      </c>
      <c r="F127" s="16">
        <v>6.8150767922946836E-3</v>
      </c>
      <c r="G127" s="16">
        <v>0.23</v>
      </c>
      <c r="H127" s="17" t="s">
        <v>127</v>
      </c>
      <c r="I127" s="68">
        <f t="shared" si="60"/>
        <v>0.11974541597211699</v>
      </c>
      <c r="J127" s="68">
        <f t="shared" si="61"/>
        <v>7.4464537272220894E-4</v>
      </c>
      <c r="K127" s="68">
        <f t="shared" si="62"/>
        <v>6.4680578392591693E-3</v>
      </c>
      <c r="L127" s="68">
        <f t="shared" si="63"/>
        <v>8.1607420537524759E-4</v>
      </c>
      <c r="M127" s="68">
        <f t="shared" si="50"/>
        <v>2.754144567358691E-2</v>
      </c>
    </row>
    <row r="128" spans="1:13" s="44" customFormat="1" ht="15.6">
      <c r="A128" s="10" t="s">
        <v>117</v>
      </c>
      <c r="B128" s="139">
        <v>43.7</v>
      </c>
      <c r="C128" s="11" t="s">
        <v>48</v>
      </c>
      <c r="D128" s="24">
        <v>3.9782909430302202E-2</v>
      </c>
      <c r="E128" s="12">
        <v>9.0799016914808295E-2</v>
      </c>
      <c r="F128" s="16">
        <v>4.3599016914808296E-2</v>
      </c>
      <c r="G128" s="16">
        <v>0.2</v>
      </c>
      <c r="H128" s="17" t="s">
        <v>127</v>
      </c>
      <c r="I128" s="68">
        <f t="shared" si="60"/>
        <v>1.324443097439006E-2</v>
      </c>
      <c r="J128" s="68">
        <f t="shared" si="61"/>
        <v>5.2690199791004884E-4</v>
      </c>
      <c r="K128" s="68">
        <f t="shared" si="62"/>
        <v>1.2025813120706539E-3</v>
      </c>
      <c r="L128" s="68">
        <f t="shared" si="63"/>
        <v>5.7744417007944313E-4</v>
      </c>
      <c r="M128" s="68">
        <f t="shared" si="50"/>
        <v>2.6488861948780122E-3</v>
      </c>
    </row>
    <row r="129" spans="1:13" s="44" customFormat="1" ht="15.6">
      <c r="A129" s="10" t="s">
        <v>120</v>
      </c>
      <c r="B129" s="139">
        <v>134.80000000000001</v>
      </c>
      <c r="C129" s="11" t="s">
        <v>41</v>
      </c>
      <c r="D129" s="24">
        <v>6.2185710131534505E-3</v>
      </c>
      <c r="E129" s="12">
        <v>5.4015076792294683E-2</v>
      </c>
      <c r="F129" s="16">
        <v>6.8150767922946836E-3</v>
      </c>
      <c r="G129" s="16">
        <v>0.15</v>
      </c>
      <c r="H129" s="17" t="s">
        <v>127</v>
      </c>
      <c r="I129" s="68">
        <f t="shared" si="60"/>
        <v>4.0854674950750118E-2</v>
      </c>
      <c r="J129" s="68">
        <f t="shared" si="61"/>
        <v>2.5405769740054104E-4</v>
      </c>
      <c r="K129" s="68">
        <f t="shared" si="62"/>
        <v>2.2067684047890057E-3</v>
      </c>
      <c r="L129" s="68">
        <f t="shared" si="63"/>
        <v>2.7842774711360008E-4</v>
      </c>
      <c r="M129" s="68">
        <f t="shared" si="50"/>
        <v>6.1282012426125175E-3</v>
      </c>
    </row>
    <row r="130" spans="1:13" s="44" customFormat="1" ht="15.6">
      <c r="A130" s="10" t="s">
        <v>122</v>
      </c>
      <c r="B130" s="139">
        <v>53.4</v>
      </c>
      <c r="C130" s="11" t="s">
        <v>137</v>
      </c>
      <c r="D130" s="24">
        <v>0.17499999999999999</v>
      </c>
      <c r="E130" s="12">
        <v>0.23898657542527282</v>
      </c>
      <c r="F130" s="16">
        <v>0.19178657542527283</v>
      </c>
      <c r="G130" s="16">
        <v>0.17</v>
      </c>
      <c r="H130" s="17" t="s">
        <v>127</v>
      </c>
      <c r="I130" s="68">
        <f t="shared" si="60"/>
        <v>1.6184270343991513E-2</v>
      </c>
      <c r="J130" s="68">
        <f t="shared" si="61"/>
        <v>2.8322473101985144E-3</v>
      </c>
      <c r="K130" s="68">
        <f t="shared" si="62"/>
        <v>3.8678233452673337E-3</v>
      </c>
      <c r="L130" s="68">
        <f t="shared" si="63"/>
        <v>3.1039257850309348E-3</v>
      </c>
      <c r="M130" s="68">
        <f t="shared" si="50"/>
        <v>2.7513259584785576E-3</v>
      </c>
    </row>
    <row r="131" spans="1:13" s="44" customFormat="1" ht="15.6">
      <c r="A131" s="10" t="s">
        <v>24</v>
      </c>
      <c r="B131" s="139">
        <v>77</v>
      </c>
      <c r="C131" s="11" t="s">
        <v>81</v>
      </c>
      <c r="D131" s="24">
        <v>3.1810382490361881E-2</v>
      </c>
      <c r="E131" s="12">
        <v>8.2061738975968967E-2</v>
      </c>
      <c r="F131" s="16">
        <v>3.4861738975968962E-2</v>
      </c>
      <c r="G131" s="16">
        <v>0.15</v>
      </c>
      <c r="H131" s="17" t="s">
        <v>127</v>
      </c>
      <c r="I131" s="68">
        <f t="shared" si="60"/>
        <v>2.3336869222609486E-2</v>
      </c>
      <c r="J131" s="68">
        <f t="shared" si="61"/>
        <v>7.4235473609876189E-4</v>
      </c>
      <c r="K131" s="68">
        <f t="shared" si="62"/>
        <v>1.9150640706621035E-3</v>
      </c>
      <c r="L131" s="68">
        <f t="shared" si="63"/>
        <v>8.1356384335493559E-4</v>
      </c>
      <c r="M131" s="68">
        <f t="shared" si="50"/>
        <v>3.5005303833914227E-3</v>
      </c>
    </row>
    <row r="132" spans="1:13" s="44" customFormat="1" ht="15.6">
      <c r="A132" s="10" t="s">
        <v>74</v>
      </c>
      <c r="B132" s="139">
        <v>183.5</v>
      </c>
      <c r="C132" s="11" t="s">
        <v>46</v>
      </c>
      <c r="D132" s="24">
        <v>5.3415930497600151E-3</v>
      </c>
      <c r="E132" s="12">
        <v>5.3053976219022358E-2</v>
      </c>
      <c r="F132" s="16">
        <v>5.8539762190223561E-3</v>
      </c>
      <c r="G132" s="16">
        <v>0.1</v>
      </c>
      <c r="H132" s="17" t="s">
        <v>127</v>
      </c>
      <c r="I132" s="68">
        <f t="shared" si="60"/>
        <v>5.5614487043491437E-2</v>
      </c>
      <c r="J132" s="68">
        <f t="shared" si="61"/>
        <v>2.9706995745748229E-4</v>
      </c>
      <c r="K132" s="68">
        <f t="shared" si="62"/>
        <v>2.9505696730385217E-3</v>
      </c>
      <c r="L132" s="68">
        <f t="shared" si="63"/>
        <v>3.2556588458572584E-4</v>
      </c>
      <c r="M132" s="68">
        <f t="shared" si="50"/>
        <v>5.5614487043491442E-3</v>
      </c>
    </row>
    <row r="133" spans="1:13" s="44" customFormat="1" ht="15.6">
      <c r="A133" s="10" t="s">
        <v>291</v>
      </c>
      <c r="B133" s="139">
        <v>5.2</v>
      </c>
      <c r="C133" s="11" t="s">
        <v>47</v>
      </c>
      <c r="D133" s="24">
        <v>0</v>
      </c>
      <c r="E133" s="12">
        <v>4.7199999999999999E-2</v>
      </c>
      <c r="F133" s="16">
        <v>0</v>
      </c>
      <c r="G133" s="16">
        <v>0</v>
      </c>
      <c r="H133" s="17" t="s">
        <v>127</v>
      </c>
      <c r="I133" s="68">
        <f t="shared" si="60"/>
        <v>1.575996363085316E-3</v>
      </c>
      <c r="J133" s="68">
        <f t="shared" si="61"/>
        <v>0</v>
      </c>
      <c r="K133" s="68">
        <f t="shared" si="62"/>
        <v>7.4387028337626914E-5</v>
      </c>
      <c r="L133" s="68">
        <f t="shared" si="63"/>
        <v>0</v>
      </c>
      <c r="M133" s="68">
        <f t="shared" si="50"/>
        <v>0</v>
      </c>
    </row>
    <row r="134" spans="1:13" s="44" customFormat="1" ht="15.6">
      <c r="A134" s="10" t="s">
        <v>2</v>
      </c>
      <c r="B134" s="139">
        <v>793</v>
      </c>
      <c r="C134" s="11" t="s">
        <v>41</v>
      </c>
      <c r="D134" s="24">
        <v>6.2185710131534505E-3</v>
      </c>
      <c r="E134" s="12">
        <v>5.4015076792294683E-2</v>
      </c>
      <c r="F134" s="16">
        <v>6.8150767922946836E-3</v>
      </c>
      <c r="G134" s="16">
        <v>0.2</v>
      </c>
      <c r="H134" s="17" t="s">
        <v>127</v>
      </c>
      <c r="I134" s="68">
        <f t="shared" si="60"/>
        <v>0.24033944537051069</v>
      </c>
      <c r="J134" s="68">
        <f t="shared" si="61"/>
        <v>1.494567908298435E-3</v>
      </c>
      <c r="K134" s="68">
        <f t="shared" si="62"/>
        <v>1.2981953597905648E-2</v>
      </c>
      <c r="L134" s="68">
        <f t="shared" si="63"/>
        <v>1.6379317764175433E-3</v>
      </c>
      <c r="M134" s="68">
        <f t="shared" si="50"/>
        <v>4.8067889074102144E-2</v>
      </c>
    </row>
    <row r="135" spans="1:13" s="44" customFormat="1" ht="15.6">
      <c r="A135" s="10" t="s">
        <v>285</v>
      </c>
      <c r="B135" s="139">
        <v>5</v>
      </c>
      <c r="C135" s="11" t="s">
        <v>83</v>
      </c>
      <c r="D135" s="24">
        <v>1.6822031843274077E-2</v>
      </c>
      <c r="E135" s="12">
        <v>6.5635656450950999E-2</v>
      </c>
      <c r="F135" s="16">
        <v>1.8435656450951004E-2</v>
      </c>
      <c r="G135" s="16">
        <v>0</v>
      </c>
      <c r="H135" s="17" t="s">
        <v>127</v>
      </c>
      <c r="I135" s="68">
        <f t="shared" si="60"/>
        <v>1.5153811183512653E-3</v>
      </c>
      <c r="J135" s="68">
        <f t="shared" si="61"/>
        <v>2.5491789427601268E-5</v>
      </c>
      <c r="K135" s="68">
        <f t="shared" si="62"/>
        <v>9.9463034476361564E-5</v>
      </c>
      <c r="L135" s="68">
        <f t="shared" si="63"/>
        <v>2.7937045690181849E-5</v>
      </c>
      <c r="M135" s="68">
        <f t="shared" si="50"/>
        <v>0</v>
      </c>
    </row>
    <row r="136" spans="1:13" s="44" customFormat="1" ht="15.6">
      <c r="A136" s="10" t="s">
        <v>60</v>
      </c>
      <c r="B136" s="139">
        <v>421.1</v>
      </c>
      <c r="C136" s="11" t="s">
        <v>45</v>
      </c>
      <c r="D136" s="24">
        <v>4.3848898169671765E-3</v>
      </c>
      <c r="E136" s="12">
        <v>5.2005502866361637E-2</v>
      </c>
      <c r="F136" s="16">
        <v>4.8055028663616358E-3</v>
      </c>
      <c r="G136" s="16">
        <v>0.55000000000000004</v>
      </c>
      <c r="H136" s="17" t="s">
        <v>127</v>
      </c>
      <c r="I136" s="68">
        <f t="shared" si="60"/>
        <v>0.12762539778754359</v>
      </c>
      <c r="J136" s="68">
        <f t="shared" si="61"/>
        <v>5.596233071449851E-4</v>
      </c>
      <c r="K136" s="68">
        <f t="shared" si="62"/>
        <v>6.6372229904606422E-3</v>
      </c>
      <c r="L136" s="68">
        <f t="shared" si="63"/>
        <v>6.1330421488858464E-4</v>
      </c>
      <c r="M136" s="68">
        <f t="shared" si="50"/>
        <v>7.0193968783148986E-2</v>
      </c>
    </row>
    <row r="137" spans="1:13" s="36" customFormat="1" ht="15.6">
      <c r="A137" s="66" t="s">
        <v>127</v>
      </c>
      <c r="B137" s="61">
        <f>SUM(B124:B136)</f>
        <v>3299.5</v>
      </c>
      <c r="C137" s="61"/>
      <c r="D137" s="62">
        <f>SUM(J124:J136)</f>
        <v>1.396246032866099E-2</v>
      </c>
      <c r="E137" s="62">
        <f>SUM(K124:K136)</f>
        <v>6.2501785433972112E-2</v>
      </c>
      <c r="F137" s="62">
        <f>SUM(L124:L136)</f>
        <v>1.530178543397212E-2</v>
      </c>
      <c r="G137" s="63">
        <f>SUM(M124:M136)</f>
        <v>0.32955932717078351</v>
      </c>
      <c r="H137" s="66"/>
      <c r="I137" s="69">
        <f>SUM(I124:I136)</f>
        <v>1</v>
      </c>
    </row>
    <row r="138" spans="1:13" s="44" customFormat="1" ht="15.6">
      <c r="A138" s="10" t="s">
        <v>95</v>
      </c>
      <c r="B138" s="139">
        <v>1736.4</v>
      </c>
      <c r="C138" s="11" t="s">
        <v>47</v>
      </c>
      <c r="D138" s="24">
        <v>0</v>
      </c>
      <c r="E138" s="12">
        <v>4.7199999999999999E-2</v>
      </c>
      <c r="F138" s="16">
        <v>0</v>
      </c>
      <c r="G138" s="16">
        <v>0.26500000000000001</v>
      </c>
      <c r="H138" s="17" t="s">
        <v>130</v>
      </c>
      <c r="I138" s="68">
        <f>B138/B140</f>
        <v>7.5133703722934722E-2</v>
      </c>
      <c r="J138" s="68">
        <f>I138*D138</f>
        <v>0</v>
      </c>
      <c r="K138" s="68">
        <f>I138*E138</f>
        <v>3.5463108157225186E-3</v>
      </c>
      <c r="L138" s="68">
        <f>I138*F138</f>
        <v>0</v>
      </c>
      <c r="M138" s="68">
        <f t="shared" si="50"/>
        <v>1.9910431486577701E-2</v>
      </c>
    </row>
    <row r="139" spans="1:13" s="44" customFormat="1" ht="15.6">
      <c r="A139" s="10" t="s">
        <v>356</v>
      </c>
      <c r="B139" s="139">
        <v>21374.400000000001</v>
      </c>
      <c r="C139" s="11" t="s">
        <v>47</v>
      </c>
      <c r="D139" s="24">
        <v>0</v>
      </c>
      <c r="E139" s="12">
        <v>4.7199999999999999E-2</v>
      </c>
      <c r="F139" s="16">
        <v>0</v>
      </c>
      <c r="G139" s="16">
        <v>0.27</v>
      </c>
      <c r="H139" s="17" t="s">
        <v>130</v>
      </c>
      <c r="I139" s="68">
        <f>B139/B140</f>
        <v>0.92486629627706518</v>
      </c>
      <c r="J139" s="68">
        <f>I139*D139</f>
        <v>0</v>
      </c>
      <c r="K139" s="68">
        <f>I139*E139</f>
        <v>4.3653689184277478E-2</v>
      </c>
      <c r="L139" s="68">
        <f>I139*F139</f>
        <v>0</v>
      </c>
      <c r="M139" s="68">
        <f t="shared" si="50"/>
        <v>0.24971389999480761</v>
      </c>
    </row>
    <row r="140" spans="1:13" s="36" customFormat="1" ht="15.6">
      <c r="A140" s="66" t="s">
        <v>130</v>
      </c>
      <c r="B140" s="61">
        <f>SUM(B138:B139)</f>
        <v>23110.800000000003</v>
      </c>
      <c r="C140" s="61"/>
      <c r="D140" s="62">
        <f>SUM(J138:J139)</f>
        <v>0</v>
      </c>
      <c r="E140" s="62">
        <f>SUM(K138:K139)</f>
        <v>4.7199999999999999E-2</v>
      </c>
      <c r="F140" s="62">
        <f>SUM(L138:L139)</f>
        <v>0</v>
      </c>
      <c r="G140" s="63">
        <f>SUM(M138:M139)</f>
        <v>0.26962433148138532</v>
      </c>
      <c r="H140" s="66"/>
    </row>
    <row r="141" spans="1:13" s="44" customFormat="1" ht="15.6">
      <c r="A141" s="10" t="s">
        <v>286</v>
      </c>
      <c r="B141" s="139">
        <v>3.2</v>
      </c>
      <c r="C141" s="11" t="s">
        <v>100</v>
      </c>
      <c r="D141" s="24">
        <v>6.6251698870904069E-2</v>
      </c>
      <c r="E141" s="12">
        <v>0.1198067796717549</v>
      </c>
      <c r="F141" s="16">
        <v>7.2606779671754898E-2</v>
      </c>
      <c r="G141" s="16">
        <v>0.1</v>
      </c>
      <c r="H141" s="17" t="s">
        <v>126</v>
      </c>
      <c r="I141" s="68">
        <f>B141/$B$167</f>
        <v>1.7141540917393842E-4</v>
      </c>
      <c r="J141" s="68">
        <f t="shared" ref="J141:J166" si="64">I141*D141</f>
        <v>1.1356562070424576E-5</v>
      </c>
      <c r="K141" s="68">
        <f t="shared" ref="K141:K166" si="65">I141*E141</f>
        <v>2.0536728159245754E-5</v>
      </c>
      <c r="L141" s="68">
        <f t="shared" ref="L141:L166" si="66">I141*F141</f>
        <v>1.2445920846235861E-5</v>
      </c>
      <c r="M141" s="68">
        <f t="shared" si="50"/>
        <v>1.7141540917393844E-5</v>
      </c>
    </row>
    <row r="142" spans="1:13" s="44" customFormat="1" ht="15.6">
      <c r="A142" s="10" t="s">
        <v>176</v>
      </c>
      <c r="B142" s="139">
        <v>446.3</v>
      </c>
      <c r="C142" s="11" t="s">
        <v>44</v>
      </c>
      <c r="D142" s="24">
        <v>3.5079118535737406E-3</v>
      </c>
      <c r="E142" s="12">
        <v>5.1044402293089305E-2</v>
      </c>
      <c r="F142" s="16">
        <v>3.8444022930893078E-3</v>
      </c>
      <c r="G142" s="16">
        <v>0.25</v>
      </c>
      <c r="H142" s="17" t="s">
        <v>126</v>
      </c>
      <c r="I142" s="68">
        <f t="shared" ref="I142:I166" si="67">B142/$B$167</f>
        <v>2.3907092848227722E-2</v>
      </c>
      <c r="J142" s="68">
        <f t="shared" si="64"/>
        <v>8.3863974386786026E-5</v>
      </c>
      <c r="K142" s="68">
        <f t="shared" si="65"/>
        <v>1.2203232650031741E-3</v>
      </c>
      <c r="L142" s="68">
        <f t="shared" si="66"/>
        <v>9.1908482566825653E-5</v>
      </c>
      <c r="M142" s="68">
        <f t="shared" si="50"/>
        <v>5.9767732120569305E-3</v>
      </c>
    </row>
    <row r="143" spans="1:13" s="44" customFormat="1" ht="15.6">
      <c r="A143" s="10" t="s">
        <v>177</v>
      </c>
      <c r="B143" s="139">
        <v>529.6</v>
      </c>
      <c r="C143" s="11" t="s">
        <v>46</v>
      </c>
      <c r="D143" s="24">
        <v>5.3415930497600151E-3</v>
      </c>
      <c r="E143" s="12">
        <v>5.3053976219022358E-2</v>
      </c>
      <c r="F143" s="16">
        <v>5.8539762190223561E-3</v>
      </c>
      <c r="G143" s="16">
        <v>0.28999999999999998</v>
      </c>
      <c r="H143" s="17" t="s">
        <v>126</v>
      </c>
      <c r="I143" s="68">
        <f t="shared" si="67"/>
        <v>2.8369250218286807E-2</v>
      </c>
      <c r="J143" s="68">
        <f t="shared" si="64"/>
        <v>1.5153698979290361E-4</v>
      </c>
      <c r="K143" s="68">
        <f t="shared" si="65"/>
        <v>1.5051015264324831E-3</v>
      </c>
      <c r="L143" s="68">
        <f t="shared" si="66"/>
        <v>1.6607291612934574E-4</v>
      </c>
      <c r="M143" s="68">
        <f t="shared" si="50"/>
        <v>8.2270825633031733E-3</v>
      </c>
    </row>
    <row r="144" spans="1:13" s="44" customFormat="1" ht="15.6">
      <c r="A144" s="10" t="s">
        <v>178</v>
      </c>
      <c r="B144" s="139">
        <v>24.6</v>
      </c>
      <c r="C144" s="11" t="s">
        <v>80</v>
      </c>
      <c r="D144" s="24">
        <v>2.6548514710001261E-2</v>
      </c>
      <c r="E144" s="12">
        <v>7.629513553633499E-2</v>
      </c>
      <c r="F144" s="16">
        <v>2.9095135536334988E-2</v>
      </c>
      <c r="G144" s="16">
        <v>0.125</v>
      </c>
      <c r="H144" s="17" t="s">
        <v>126</v>
      </c>
      <c r="I144" s="68">
        <f t="shared" si="67"/>
        <v>1.3177559580246517E-3</v>
      </c>
      <c r="J144" s="68">
        <f t="shared" si="64"/>
        <v>3.4984463435809269E-5</v>
      </c>
      <c r="K144" s="68">
        <f t="shared" si="65"/>
        <v>1.0053836942130376E-4</v>
      </c>
      <c r="L144" s="68">
        <f t="shared" si="66"/>
        <v>3.8340288202540197E-5</v>
      </c>
      <c r="M144" s="68">
        <f t="shared" si="50"/>
        <v>1.6471949475308146E-4</v>
      </c>
    </row>
    <row r="145" spans="1:13" s="44" customFormat="1" ht="15.6">
      <c r="A145" s="10" t="s">
        <v>102</v>
      </c>
      <c r="B145" s="139">
        <v>348.1</v>
      </c>
      <c r="C145" s="11" t="s">
        <v>47</v>
      </c>
      <c r="D145" s="24">
        <v>0</v>
      </c>
      <c r="E145" s="12">
        <v>4.7199999999999999E-2</v>
      </c>
      <c r="F145" s="16">
        <v>0</v>
      </c>
      <c r="G145" s="16">
        <v>0.22</v>
      </c>
      <c r="H145" s="17" t="s">
        <v>126</v>
      </c>
      <c r="I145" s="68">
        <f t="shared" si="67"/>
        <v>1.8646782479202487E-2</v>
      </c>
      <c r="J145" s="68">
        <f t="shared" si="64"/>
        <v>0</v>
      </c>
      <c r="K145" s="68">
        <f t="shared" si="65"/>
        <v>8.8012813301835738E-4</v>
      </c>
      <c r="L145" s="68">
        <f t="shared" si="66"/>
        <v>0</v>
      </c>
      <c r="M145" s="68">
        <f t="shared" ref="M145:M166" si="68">I145*G145</f>
        <v>4.102292145424547E-3</v>
      </c>
    </row>
    <row r="146" spans="1:13" s="44" customFormat="1" ht="15.6">
      <c r="A146" s="10" t="s">
        <v>179</v>
      </c>
      <c r="B146" s="139">
        <v>268.8</v>
      </c>
      <c r="C146" s="11" t="s">
        <v>44</v>
      </c>
      <c r="D146" s="24">
        <v>3.5079118535737406E-3</v>
      </c>
      <c r="E146" s="12">
        <v>5.1044402293089305E-2</v>
      </c>
      <c r="F146" s="16">
        <v>3.8444022930893078E-3</v>
      </c>
      <c r="G146" s="16">
        <v>0.2</v>
      </c>
      <c r="H146" s="17" t="s">
        <v>126</v>
      </c>
      <c r="I146" s="68">
        <f t="shared" si="67"/>
        <v>1.4398894370610827E-2</v>
      </c>
      <c r="J146" s="68">
        <f t="shared" si="64"/>
        <v>5.0510052241021929E-5</v>
      </c>
      <c r="K146" s="68">
        <f t="shared" si="65"/>
        <v>7.3498295682915802E-4</v>
      </c>
      <c r="L146" s="68">
        <f t="shared" si="66"/>
        <v>5.5355142536326988E-5</v>
      </c>
      <c r="M146" s="68">
        <f t="shared" si="68"/>
        <v>2.8797788741221656E-3</v>
      </c>
    </row>
    <row r="147" spans="1:13" s="44" customFormat="1" ht="15.6">
      <c r="A147" s="10" t="s">
        <v>180</v>
      </c>
      <c r="B147" s="139">
        <v>2715.5</v>
      </c>
      <c r="C147" s="11" t="s">
        <v>45</v>
      </c>
      <c r="D147" s="24">
        <v>4.3848898169671765E-3</v>
      </c>
      <c r="E147" s="12">
        <v>5.2005502866361637E-2</v>
      </c>
      <c r="F147" s="16">
        <v>4.8055028663616358E-3</v>
      </c>
      <c r="G147" s="16">
        <v>0.28000000000000003</v>
      </c>
      <c r="H147" s="17" t="s">
        <v>126</v>
      </c>
      <c r="I147" s="68">
        <f t="shared" si="67"/>
        <v>0.14546204487869679</v>
      </c>
      <c r="J147" s="68">
        <f t="shared" si="64"/>
        <v>6.3783503934381998E-4</v>
      </c>
      <c r="K147" s="68">
        <f t="shared" si="65"/>
        <v>7.5648267918858913E-3</v>
      </c>
      <c r="L147" s="68">
        <f t="shared" si="66"/>
        <v>6.9901827361140234E-4</v>
      </c>
      <c r="M147" s="68">
        <f t="shared" si="68"/>
        <v>4.0729372566035107E-2</v>
      </c>
    </row>
    <row r="148" spans="1:13" s="44" customFormat="1" ht="15.6">
      <c r="A148" s="10" t="s">
        <v>181</v>
      </c>
      <c r="B148" s="139">
        <v>3845.6</v>
      </c>
      <c r="C148" s="11" t="s">
        <v>47</v>
      </c>
      <c r="D148" s="24">
        <v>0</v>
      </c>
      <c r="E148" s="12">
        <v>4.7199999999999999E-2</v>
      </c>
      <c r="F148" s="16">
        <v>0</v>
      </c>
      <c r="G148" s="16">
        <v>0.3</v>
      </c>
      <c r="H148" s="17" t="s">
        <v>126</v>
      </c>
      <c r="I148" s="68">
        <f t="shared" si="67"/>
        <v>0.20599846797478047</v>
      </c>
      <c r="J148" s="68">
        <f t="shared" si="64"/>
        <v>0</v>
      </c>
      <c r="K148" s="68">
        <f t="shared" si="65"/>
        <v>9.7231276884096381E-3</v>
      </c>
      <c r="L148" s="68">
        <f t="shared" si="66"/>
        <v>0</v>
      </c>
      <c r="M148" s="68">
        <f t="shared" si="68"/>
        <v>6.1799540392434141E-2</v>
      </c>
    </row>
    <row r="149" spans="1:13" s="44" customFormat="1" ht="15.6">
      <c r="A149" s="10" t="s">
        <v>182</v>
      </c>
      <c r="B149" s="139">
        <v>209.9</v>
      </c>
      <c r="C149" s="11" t="s">
        <v>81</v>
      </c>
      <c r="D149" s="24">
        <v>3.1810382490361881E-2</v>
      </c>
      <c r="E149" s="12">
        <v>8.2061738975968967E-2</v>
      </c>
      <c r="F149" s="16">
        <v>3.4861738975968962E-2</v>
      </c>
      <c r="G149" s="16">
        <v>0.24</v>
      </c>
      <c r="H149" s="17" t="s">
        <v>126</v>
      </c>
      <c r="I149" s="68">
        <f t="shared" si="67"/>
        <v>1.1243779495503023E-2</v>
      </c>
      <c r="J149" s="68">
        <f t="shared" si="64"/>
        <v>3.576689263892393E-4</v>
      </c>
      <c r="K149" s="68">
        <f t="shared" si="65"/>
        <v>9.2268409806332114E-4</v>
      </c>
      <c r="L149" s="68">
        <f t="shared" si="66"/>
        <v>3.9197770587557837E-4</v>
      </c>
      <c r="M149" s="68">
        <f t="shared" si="68"/>
        <v>2.6985070789207256E-3</v>
      </c>
    </row>
    <row r="150" spans="1:13" s="44" customFormat="1" ht="15.6">
      <c r="A150" s="10" t="s">
        <v>289</v>
      </c>
      <c r="B150" s="139">
        <v>2.5</v>
      </c>
      <c r="C150" s="11" t="s">
        <v>47</v>
      </c>
      <c r="D150" s="24">
        <v>0</v>
      </c>
      <c r="E150" s="12">
        <v>4.7199999999999999E-2</v>
      </c>
      <c r="F150" s="16">
        <v>0</v>
      </c>
      <c r="G150" s="16">
        <v>0</v>
      </c>
      <c r="H150" s="17" t="s">
        <v>126</v>
      </c>
      <c r="I150" s="68">
        <f t="shared" si="67"/>
        <v>1.3391828841713939E-4</v>
      </c>
      <c r="J150" s="68">
        <f t="shared" si="64"/>
        <v>0</v>
      </c>
      <c r="K150" s="68">
        <f t="shared" si="65"/>
        <v>6.3209432132889787E-6</v>
      </c>
      <c r="L150" s="68">
        <f t="shared" si="66"/>
        <v>0</v>
      </c>
      <c r="M150" s="68">
        <f t="shared" si="68"/>
        <v>0</v>
      </c>
    </row>
    <row r="151" spans="1:13" s="44" customFormat="1" ht="15.6">
      <c r="A151" s="10" t="s">
        <v>110</v>
      </c>
      <c r="B151" s="139">
        <v>24.2</v>
      </c>
      <c r="C151" s="11" t="s">
        <v>42</v>
      </c>
      <c r="D151" s="24">
        <v>7.4941753235439005E-3</v>
      </c>
      <c r="E151" s="12">
        <v>5.5413041262508976E-2</v>
      </c>
      <c r="F151" s="16">
        <v>8.2130412625089771E-3</v>
      </c>
      <c r="G151" s="16">
        <v>0.2</v>
      </c>
      <c r="H151" s="17" t="s">
        <v>126</v>
      </c>
      <c r="I151" s="68">
        <f t="shared" si="67"/>
        <v>1.2963290318779091E-3</v>
      </c>
      <c r="J151" s="68">
        <f t="shared" si="64"/>
        <v>9.7149170418929813E-6</v>
      </c>
      <c r="K151" s="68">
        <f t="shared" si="65"/>
        <v>7.1833534133238888E-5</v>
      </c>
      <c r="L151" s="68">
        <f t="shared" si="66"/>
        <v>1.0646803828601582E-5</v>
      </c>
      <c r="M151" s="68">
        <f t="shared" si="68"/>
        <v>2.5926580637558182E-4</v>
      </c>
    </row>
    <row r="152" spans="1:13" s="44" customFormat="1" ht="15.6">
      <c r="A152" s="10" t="s">
        <v>183</v>
      </c>
      <c r="B152" s="139">
        <v>388.7</v>
      </c>
      <c r="C152" s="11" t="s">
        <v>42</v>
      </c>
      <c r="D152" s="24">
        <v>7.4941753235439005E-3</v>
      </c>
      <c r="E152" s="12">
        <v>5.5413041262508976E-2</v>
      </c>
      <c r="F152" s="16">
        <v>8.2130412625089771E-3</v>
      </c>
      <c r="G152" s="16">
        <v>0.125</v>
      </c>
      <c r="H152" s="17" t="s">
        <v>126</v>
      </c>
      <c r="I152" s="68">
        <f t="shared" si="67"/>
        <v>2.0821615483096832E-2</v>
      </c>
      <c r="J152" s="68">
        <f t="shared" si="64"/>
        <v>1.5604083694974389E-4</v>
      </c>
      <c r="K152" s="68">
        <f t="shared" si="65"/>
        <v>1.1537890379169405E-3</v>
      </c>
      <c r="L152" s="68">
        <f t="shared" si="66"/>
        <v>1.7100878711477006E-4</v>
      </c>
      <c r="M152" s="68">
        <f t="shared" si="68"/>
        <v>2.6027019353871039E-3</v>
      </c>
    </row>
    <row r="153" spans="1:13" s="44" customFormat="1" ht="15.6">
      <c r="A153" s="10" t="s">
        <v>113</v>
      </c>
      <c r="B153" s="139">
        <v>6.8</v>
      </c>
      <c r="C153" s="11" t="s">
        <v>46</v>
      </c>
      <c r="D153" s="24">
        <v>5.3415930497600151E-3</v>
      </c>
      <c r="E153" s="12">
        <v>5.3053976219022358E-2</v>
      </c>
      <c r="F153" s="16">
        <v>5.8539762190223561E-3</v>
      </c>
      <c r="G153" s="16">
        <v>0</v>
      </c>
      <c r="H153" s="17" t="s">
        <v>126</v>
      </c>
      <c r="I153" s="68">
        <f t="shared" si="67"/>
        <v>3.642577444946191E-4</v>
      </c>
      <c r="J153" s="68">
        <f t="shared" si="64"/>
        <v>1.9457166363137169E-6</v>
      </c>
      <c r="K153" s="68">
        <f t="shared" si="65"/>
        <v>1.9325321714012244E-5</v>
      </c>
      <c r="L153" s="68">
        <f t="shared" si="66"/>
        <v>2.1323561738662219E-6</v>
      </c>
      <c r="M153" s="68">
        <f t="shared" si="68"/>
        <v>0</v>
      </c>
    </row>
    <row r="154" spans="1:13" s="44" customFormat="1" ht="15.6">
      <c r="A154" s="10" t="s">
        <v>145</v>
      </c>
      <c r="B154" s="139">
        <v>2001.2</v>
      </c>
      <c r="C154" s="11" t="s">
        <v>124</v>
      </c>
      <c r="D154" s="24">
        <v>1.9452965733454383E-2</v>
      </c>
      <c r="E154" s="12">
        <v>6.8518958170767988E-2</v>
      </c>
      <c r="F154" s="16">
        <v>2.1318958170767986E-2</v>
      </c>
      <c r="G154" s="16">
        <v>0.24</v>
      </c>
      <c r="H154" s="17" t="s">
        <v>126</v>
      </c>
      <c r="I154" s="68">
        <f t="shared" si="67"/>
        <v>0.10719891151215173</v>
      </c>
      <c r="J154" s="68">
        <f t="shared" si="64"/>
        <v>2.0853367523094961E-3</v>
      </c>
      <c r="K154" s="68">
        <f t="shared" si="65"/>
        <v>7.3451577338529833E-3</v>
      </c>
      <c r="L154" s="68">
        <f t="shared" si="66"/>
        <v>2.2853691104794214E-3</v>
      </c>
      <c r="M154" s="68">
        <f t="shared" si="68"/>
        <v>2.5727738762916414E-2</v>
      </c>
    </row>
    <row r="155" spans="1:13" s="44" customFormat="1" ht="15.6">
      <c r="A155" s="10" t="s">
        <v>290</v>
      </c>
      <c r="B155" s="139">
        <v>1</v>
      </c>
      <c r="C155" s="11" t="s">
        <v>47</v>
      </c>
      <c r="D155" s="24">
        <v>0</v>
      </c>
      <c r="E155" s="12">
        <v>4.7199999999999999E-2</v>
      </c>
      <c r="F155" s="16">
        <v>0</v>
      </c>
      <c r="G155" s="16">
        <v>0</v>
      </c>
      <c r="H155" s="17" t="s">
        <v>126</v>
      </c>
      <c r="I155" s="68">
        <f t="shared" si="67"/>
        <v>5.3567315366855755E-5</v>
      </c>
      <c r="J155" s="68">
        <f t="shared" si="64"/>
        <v>0</v>
      </c>
      <c r="K155" s="68">
        <f t="shared" si="65"/>
        <v>2.5283772853155916E-6</v>
      </c>
      <c r="L155" s="68">
        <f t="shared" si="66"/>
        <v>0</v>
      </c>
      <c r="M155" s="68">
        <f t="shared" si="68"/>
        <v>0</v>
      </c>
    </row>
    <row r="156" spans="1:13" s="44" customFormat="1" ht="15.6">
      <c r="A156" s="10" t="s">
        <v>223</v>
      </c>
      <c r="B156" s="139">
        <v>6.6</v>
      </c>
      <c r="C156" s="11" t="s">
        <v>47</v>
      </c>
      <c r="D156" s="24">
        <v>0</v>
      </c>
      <c r="E156" s="12">
        <v>4.7199999999999999E-2</v>
      </c>
      <c r="F156" s="16">
        <v>0</v>
      </c>
      <c r="G156" s="16">
        <v>0.125</v>
      </c>
      <c r="H156" s="17" t="s">
        <v>126</v>
      </c>
      <c r="I156" s="68">
        <f t="shared" si="67"/>
        <v>3.5354428142124797E-4</v>
      </c>
      <c r="J156" s="68">
        <f t="shared" si="64"/>
        <v>0</v>
      </c>
      <c r="K156" s="68">
        <f t="shared" si="65"/>
        <v>1.6687290083082905E-5</v>
      </c>
      <c r="L156" s="68">
        <f t="shared" si="66"/>
        <v>0</v>
      </c>
      <c r="M156" s="68">
        <f t="shared" si="68"/>
        <v>4.4193035177655997E-5</v>
      </c>
    </row>
    <row r="157" spans="1:13" s="44" customFormat="1" ht="15.6">
      <c r="A157" s="10" t="s">
        <v>185</v>
      </c>
      <c r="B157" s="139">
        <v>71.099999999999994</v>
      </c>
      <c r="C157" s="11" t="s">
        <v>47</v>
      </c>
      <c r="D157" s="24">
        <v>0</v>
      </c>
      <c r="E157" s="12">
        <v>4.7199999999999999E-2</v>
      </c>
      <c r="F157" s="16">
        <v>0</v>
      </c>
      <c r="G157" s="16">
        <v>0.24940000000000001</v>
      </c>
      <c r="H157" s="17" t="s">
        <v>126</v>
      </c>
      <c r="I157" s="68">
        <f t="shared" si="67"/>
        <v>3.8086361225834436E-3</v>
      </c>
      <c r="J157" s="68">
        <f t="shared" si="64"/>
        <v>0</v>
      </c>
      <c r="K157" s="68">
        <f t="shared" si="65"/>
        <v>1.7976762498593855E-4</v>
      </c>
      <c r="L157" s="68">
        <f t="shared" si="66"/>
        <v>0</v>
      </c>
      <c r="M157" s="68">
        <f t="shared" si="68"/>
        <v>9.4987384897231091E-4</v>
      </c>
    </row>
    <row r="158" spans="1:13" s="44" customFormat="1" ht="15.6">
      <c r="A158" s="10" t="s">
        <v>186</v>
      </c>
      <c r="B158" s="139">
        <v>14.8</v>
      </c>
      <c r="C158" s="11" t="s">
        <v>42</v>
      </c>
      <c r="D158" s="24">
        <v>7.4941753235439005E-3</v>
      </c>
      <c r="E158" s="12">
        <v>5.5413041262508976E-2</v>
      </c>
      <c r="F158" s="16">
        <v>8.2130412625089771E-3</v>
      </c>
      <c r="G158" s="16">
        <v>0.35</v>
      </c>
      <c r="H158" s="17" t="s">
        <v>126</v>
      </c>
      <c r="I158" s="68">
        <f t="shared" si="67"/>
        <v>7.927962674294652E-4</v>
      </c>
      <c r="J158" s="68">
        <f t="shared" si="64"/>
        <v>5.941354223967609E-6</v>
      </c>
      <c r="K158" s="68">
        <f t="shared" si="65"/>
        <v>4.3931252279832058E-5</v>
      </c>
      <c r="L158" s="68">
        <f t="shared" si="66"/>
        <v>6.5112684571612997E-6</v>
      </c>
      <c r="M158" s="68">
        <f t="shared" si="68"/>
        <v>2.7747869360031282E-4</v>
      </c>
    </row>
    <row r="159" spans="1:13" s="44" customFormat="1" ht="15.6">
      <c r="A159" s="10" t="s">
        <v>187</v>
      </c>
      <c r="B159" s="139">
        <v>909.1</v>
      </c>
      <c r="C159" s="11" t="s">
        <v>47</v>
      </c>
      <c r="D159" s="24">
        <v>0</v>
      </c>
      <c r="E159" s="12">
        <v>4.7199999999999999E-2</v>
      </c>
      <c r="F159" s="16">
        <v>0</v>
      </c>
      <c r="G159" s="16">
        <v>0.25</v>
      </c>
      <c r="H159" s="17" t="s">
        <v>126</v>
      </c>
      <c r="I159" s="68">
        <f t="shared" si="67"/>
        <v>4.869804640000857E-2</v>
      </c>
      <c r="J159" s="68">
        <f t="shared" si="64"/>
        <v>0</v>
      </c>
      <c r="K159" s="68">
        <f t="shared" si="65"/>
        <v>2.2985477900804045E-3</v>
      </c>
      <c r="L159" s="68">
        <f t="shared" si="66"/>
        <v>0</v>
      </c>
      <c r="M159" s="68">
        <f t="shared" si="68"/>
        <v>1.2174511600002142E-2</v>
      </c>
    </row>
    <row r="160" spans="1:13" s="44" customFormat="1" ht="15.6">
      <c r="A160" s="10" t="s">
        <v>23</v>
      </c>
      <c r="B160" s="139">
        <v>403.3</v>
      </c>
      <c r="C160" s="11" t="s">
        <v>47</v>
      </c>
      <c r="D160" s="24">
        <v>0</v>
      </c>
      <c r="E160" s="12">
        <v>4.7199999999999999E-2</v>
      </c>
      <c r="F160" s="16">
        <v>0</v>
      </c>
      <c r="G160" s="16">
        <v>0.22</v>
      </c>
      <c r="H160" s="17" t="s">
        <v>126</v>
      </c>
      <c r="I160" s="68">
        <f t="shared" si="67"/>
        <v>2.1603698287452927E-2</v>
      </c>
      <c r="J160" s="68">
        <f t="shared" si="64"/>
        <v>0</v>
      </c>
      <c r="K160" s="68">
        <f t="shared" si="65"/>
        <v>1.0196945591677781E-3</v>
      </c>
      <c r="L160" s="68">
        <f t="shared" si="66"/>
        <v>0</v>
      </c>
      <c r="M160" s="68">
        <f t="shared" si="68"/>
        <v>4.7528136232396438E-3</v>
      </c>
    </row>
    <row r="161" spans="1:13" s="44" customFormat="1" ht="15.6">
      <c r="A161" s="10" t="s">
        <v>189</v>
      </c>
      <c r="B161" s="139">
        <v>237.7</v>
      </c>
      <c r="C161" s="11" t="s">
        <v>124</v>
      </c>
      <c r="D161" s="24">
        <v>1.9452965733454383E-2</v>
      </c>
      <c r="E161" s="12">
        <v>6.8518958170767988E-2</v>
      </c>
      <c r="F161" s="16">
        <v>2.1318958170767986E-2</v>
      </c>
      <c r="G161" s="16">
        <v>0.21</v>
      </c>
      <c r="H161" s="17" t="s">
        <v>126</v>
      </c>
      <c r="I161" s="68">
        <f t="shared" si="67"/>
        <v>1.2732950862701611E-2</v>
      </c>
      <c r="J161" s="68">
        <f t="shared" si="64"/>
        <v>2.4769365681789288E-4</v>
      </c>
      <c r="K161" s="68">
        <f t="shared" si="65"/>
        <v>8.7244852755189589E-4</v>
      </c>
      <c r="L161" s="68">
        <f t="shared" si="66"/>
        <v>2.7145324683237979E-4</v>
      </c>
      <c r="M161" s="68">
        <f t="shared" si="68"/>
        <v>2.6739196811673381E-3</v>
      </c>
    </row>
    <row r="162" spans="1:13" s="44" customFormat="1" ht="15.6">
      <c r="A162" s="10" t="s">
        <v>138</v>
      </c>
      <c r="B162" s="139">
        <v>1394.1</v>
      </c>
      <c r="C162" s="11" t="s">
        <v>82</v>
      </c>
      <c r="D162" s="24">
        <v>1.4111372683694367E-2</v>
      </c>
      <c r="E162" s="12">
        <v>6.2664981951745621E-2</v>
      </c>
      <c r="F162" s="16">
        <v>1.5464981951745628E-2</v>
      </c>
      <c r="G162" s="16">
        <v>0.25</v>
      </c>
      <c r="H162" s="17" t="s">
        <v>126</v>
      </c>
      <c r="I162" s="68">
        <f t="shared" si="67"/>
        <v>7.4678194352933602E-2</v>
      </c>
      <c r="J162" s="68">
        <f t="shared" si="64"/>
        <v>1.0538118318596061E-3</v>
      </c>
      <c r="K162" s="68">
        <f t="shared" si="65"/>
        <v>4.679707701315536E-3</v>
      </c>
      <c r="L162" s="68">
        <f t="shared" si="66"/>
        <v>1.1548969278570703E-3</v>
      </c>
      <c r="M162" s="68">
        <f t="shared" si="68"/>
        <v>1.8669548588233401E-2</v>
      </c>
    </row>
    <row r="163" spans="1:13" s="44" customFormat="1" ht="15.6">
      <c r="A163" s="10" t="s">
        <v>34</v>
      </c>
      <c r="B163" s="139">
        <v>530.79999999999995</v>
      </c>
      <c r="C163" s="11" t="s">
        <v>47</v>
      </c>
      <c r="D163" s="24">
        <v>0</v>
      </c>
      <c r="E163" s="12">
        <v>4.7199999999999999E-2</v>
      </c>
      <c r="F163" s="16">
        <v>0</v>
      </c>
      <c r="G163" s="16">
        <v>0.214</v>
      </c>
      <c r="H163" s="17" t="s">
        <v>126</v>
      </c>
      <c r="I163" s="68">
        <f t="shared" si="67"/>
        <v>2.8433530996727033E-2</v>
      </c>
      <c r="J163" s="68">
        <f t="shared" si="64"/>
        <v>0</v>
      </c>
      <c r="K163" s="68">
        <f t="shared" si="65"/>
        <v>1.3420626630455158E-3</v>
      </c>
      <c r="L163" s="68">
        <f t="shared" si="66"/>
        <v>0</v>
      </c>
      <c r="M163" s="68">
        <f t="shared" si="68"/>
        <v>6.0847756332995852E-3</v>
      </c>
    </row>
    <row r="164" spans="1:13" s="44" customFormat="1" ht="15.6">
      <c r="A164" s="10" t="s">
        <v>35</v>
      </c>
      <c r="B164" s="139">
        <v>703.1</v>
      </c>
      <c r="C164" s="11" t="s">
        <v>47</v>
      </c>
      <c r="D164" s="24">
        <v>0</v>
      </c>
      <c r="E164" s="12">
        <v>4.7199999999999999E-2</v>
      </c>
      <c r="F164" s="16">
        <v>0</v>
      </c>
      <c r="G164" s="16">
        <v>0.1484</v>
      </c>
      <c r="H164" s="17" t="s">
        <v>126</v>
      </c>
      <c r="I164" s="68">
        <f t="shared" si="67"/>
        <v>3.7663179434436284E-2</v>
      </c>
      <c r="J164" s="68">
        <f t="shared" si="64"/>
        <v>0</v>
      </c>
      <c r="K164" s="68">
        <f t="shared" si="65"/>
        <v>1.7777020693053925E-3</v>
      </c>
      <c r="L164" s="68">
        <f t="shared" si="66"/>
        <v>0</v>
      </c>
      <c r="M164" s="68">
        <f t="shared" si="68"/>
        <v>5.5892158280703447E-3</v>
      </c>
    </row>
    <row r="165" spans="1:13" s="44" customFormat="1" ht="15.6">
      <c r="A165" s="10" t="s">
        <v>66</v>
      </c>
      <c r="B165" s="139">
        <v>754.4</v>
      </c>
      <c r="C165" s="11" t="s">
        <v>49</v>
      </c>
      <c r="D165" s="24">
        <v>4.8632414333635951E-2</v>
      </c>
      <c r="E165" s="12">
        <v>0.10049739542691996</v>
      </c>
      <c r="F165" s="16">
        <v>5.3297395426919955E-2</v>
      </c>
      <c r="G165" s="16">
        <v>0.22</v>
      </c>
      <c r="H165" s="17" t="s">
        <v>126</v>
      </c>
      <c r="I165" s="68">
        <f t="shared" si="67"/>
        <v>4.0411182712755976E-2</v>
      </c>
      <c r="J165" s="68">
        <f t="shared" si="64"/>
        <v>1.9652933813990151E-3</v>
      </c>
      <c r="K165" s="68">
        <f t="shared" si="65"/>
        <v>4.0612186087533491E-3</v>
      </c>
      <c r="L165" s="68">
        <f t="shared" si="66"/>
        <v>2.1538107847112672E-3</v>
      </c>
      <c r="M165" s="68">
        <f t="shared" si="68"/>
        <v>8.8904601968063154E-3</v>
      </c>
    </row>
    <row r="166" spans="1:13" s="44" customFormat="1" ht="15.6">
      <c r="A166" s="10" t="s">
        <v>57</v>
      </c>
      <c r="B166" s="139">
        <v>2827.1</v>
      </c>
      <c r="C166" s="11" t="s">
        <v>46</v>
      </c>
      <c r="D166" s="24">
        <v>5.3415930497600151E-3</v>
      </c>
      <c r="E166" s="12">
        <v>5.3053976219022358E-2</v>
      </c>
      <c r="F166" s="16">
        <v>5.8539762190223561E-3</v>
      </c>
      <c r="G166" s="16">
        <v>0.19</v>
      </c>
      <c r="H166" s="17" t="s">
        <v>126</v>
      </c>
      <c r="I166" s="68">
        <f t="shared" si="67"/>
        <v>0.15144015727363788</v>
      </c>
      <c r="J166" s="68">
        <f t="shared" si="64"/>
        <v>8.0893169154742765E-4</v>
      </c>
      <c r="K166" s="68">
        <f t="shared" si="65"/>
        <v>8.0345025026005903E-3</v>
      </c>
      <c r="L166" s="68">
        <f t="shared" si="66"/>
        <v>8.8652707928488163E-4</v>
      </c>
      <c r="M166" s="68">
        <f t="shared" si="68"/>
        <v>2.8773629881991197E-2</v>
      </c>
    </row>
    <row r="167" spans="1:13" s="36" customFormat="1" ht="15.6">
      <c r="A167" s="66" t="s">
        <v>126</v>
      </c>
      <c r="B167" s="61">
        <f>SUM(B141:B166)</f>
        <v>18668.100000000002</v>
      </c>
      <c r="C167" s="61"/>
      <c r="D167" s="70">
        <f>SUM(J141:J166)</f>
        <v>7.6624661464453608E-3</v>
      </c>
      <c r="E167" s="70">
        <f>SUM(K141:K166)</f>
        <v>5.5597475094507666E-2</v>
      </c>
      <c r="F167" s="70">
        <f>SUM(L141:L166)</f>
        <v>8.3974750945076757E-3</v>
      </c>
      <c r="G167" s="63">
        <f>SUM(M141:M166)</f>
        <v>0.24406533498320665</v>
      </c>
      <c r="H167" s="66"/>
      <c r="I167" s="69">
        <f>SUM(I141:I166)</f>
        <v>1</v>
      </c>
    </row>
    <row r="170" spans="1:13">
      <c r="A170" s="72" t="s">
        <v>52</v>
      </c>
      <c r="B170" s="20" t="s">
        <v>540</v>
      </c>
      <c r="C170" s="20" t="s">
        <v>278</v>
      </c>
      <c r="D170" s="20" t="s">
        <v>281</v>
      </c>
      <c r="E170" s="20" t="s">
        <v>357</v>
      </c>
      <c r="F170" s="145" t="s">
        <v>299</v>
      </c>
      <c r="G170" s="145" t="s">
        <v>276</v>
      </c>
      <c r="H170" s="31" t="s">
        <v>300</v>
      </c>
      <c r="I170" s="31" t="s">
        <v>297</v>
      </c>
      <c r="J170" s="31" t="s">
        <v>301</v>
      </c>
      <c r="K170" s="31" t="s">
        <v>360</v>
      </c>
    </row>
    <row r="171" spans="1:13">
      <c r="A171" s="17" t="str">
        <f>A31</f>
        <v>Africa</v>
      </c>
      <c r="B171" s="73">
        <f>E31</f>
        <v>9.664194736704565E-2</v>
      </c>
      <c r="C171" s="73">
        <f>F31</f>
        <v>4.9441947367045644E-2</v>
      </c>
      <c r="D171" s="73">
        <f>D31</f>
        <v>4.511442352024405E-2</v>
      </c>
      <c r="E171" s="73">
        <f>G31</f>
        <v>0.28314194441745216</v>
      </c>
      <c r="F171" s="145">
        <f>B31</f>
        <v>2058.2000000000003</v>
      </c>
      <c r="G171" s="146">
        <f>F171/$F$180</f>
        <v>2.3572960844970729E-2</v>
      </c>
      <c r="H171" s="53">
        <f t="shared" ref="H171:H179" si="69">G171*B171</f>
        <v>2.2781368412650893E-3</v>
      </c>
      <c r="I171" s="53">
        <f t="shared" ref="I171:I179" si="70">G171*C171</f>
        <v>1.1654930893824707E-3</v>
      </c>
      <c r="J171" s="53">
        <f t="shared" ref="J171:J179" si="71">G171*D171</f>
        <v>1.0634805391861394E-3</v>
      </c>
      <c r="K171" s="53">
        <f>G171*E171</f>
        <v>6.6744939693214782E-3</v>
      </c>
    </row>
    <row r="172" spans="1:13">
      <c r="A172" s="17" t="str">
        <f>A56</f>
        <v>Asia</v>
      </c>
      <c r="B172" s="73">
        <f>E56</f>
        <v>5.7467692442688456E-2</v>
      </c>
      <c r="C172" s="73">
        <f>F56</f>
        <v>1.0267692442688476E-2</v>
      </c>
      <c r="D172" s="73">
        <f>D56</f>
        <v>9.3690084935751893E-3</v>
      </c>
      <c r="E172" s="73">
        <f>G56</f>
        <v>0.25695788342043535</v>
      </c>
      <c r="F172" s="145">
        <f>B56</f>
        <v>29161.200000000008</v>
      </c>
      <c r="G172" s="146">
        <f t="shared" ref="G172:G179" si="72">F172/$F$180</f>
        <v>0.33398883771856985</v>
      </c>
      <c r="H172" s="53">
        <f t="shared" si="69"/>
        <v>1.9193567805301757E-2</v>
      </c>
      <c r="I172" s="53">
        <f t="shared" si="70"/>
        <v>3.4292946649852676E-3</v>
      </c>
      <c r="J172" s="53">
        <f t="shared" si="71"/>
        <v>3.1291442573445865E-3</v>
      </c>
      <c r="K172" s="53">
        <f t="shared" ref="K172:K179" si="73">G172*E172</f>
        <v>8.5821064826214974E-2</v>
      </c>
    </row>
    <row r="173" spans="1:13">
      <c r="A173" s="17" t="str">
        <f>A60</f>
        <v>Australia &amp; New Zealand</v>
      </c>
      <c r="B173" s="73">
        <f>E60</f>
        <v>4.723268292122549E-2</v>
      </c>
      <c r="C173" s="73">
        <f>F60</f>
        <v>3.2682921225493468E-5</v>
      </c>
      <c r="D173" s="73">
        <f>D60</f>
        <v>2.9822270937258018E-5</v>
      </c>
      <c r="E173" s="73">
        <f>G60</f>
        <v>0.29740327336331829</v>
      </c>
      <c r="F173" s="145">
        <f>B60</f>
        <v>1600.8000000000002</v>
      </c>
      <c r="G173" s="146">
        <f t="shared" si="72"/>
        <v>1.8334270586254562E-2</v>
      </c>
      <c r="H173" s="53">
        <f t="shared" si="69"/>
        <v>8.6597678919251274E-4</v>
      </c>
      <c r="I173" s="53">
        <f t="shared" si="70"/>
        <v>5.992175212974398E-7</v>
      </c>
      <c r="J173" s="53">
        <f t="shared" si="71"/>
        <v>5.4676958486028392E-7</v>
      </c>
      <c r="K173" s="53">
        <f t="shared" si="73"/>
        <v>5.4526720870809115E-3</v>
      </c>
    </row>
    <row r="174" spans="1:13">
      <c r="A174" s="17" t="str">
        <f>A75</f>
        <v>Caribbean</v>
      </c>
      <c r="B174" s="73">
        <f>E75</f>
        <v>0.10031257462365305</v>
      </c>
      <c r="C174" s="73">
        <f>F75</f>
        <v>5.3112574623653069E-2</v>
      </c>
      <c r="D174" s="73">
        <f>D75</f>
        <v>4.8463770410045445E-2</v>
      </c>
      <c r="E174" s="73">
        <f>G75</f>
        <v>0.24251846496106783</v>
      </c>
      <c r="F174" s="145">
        <f>B75</f>
        <v>269.70000000000005</v>
      </c>
      <c r="G174" s="146">
        <f t="shared" si="72"/>
        <v>3.0889260226841927E-3</v>
      </c>
      <c r="H174" s="53">
        <f t="shared" si="69"/>
        <v>3.0985812215745189E-4</v>
      </c>
      <c r="I174" s="53">
        <f t="shared" si="70"/>
        <v>1.6406081388675806E-4</v>
      </c>
      <c r="J174" s="53">
        <f t="shared" si="71"/>
        <v>1.4970100157698154E-4</v>
      </c>
      <c r="K174" s="53">
        <f t="shared" si="73"/>
        <v>7.4912159739966701E-4</v>
      </c>
    </row>
    <row r="175" spans="1:13">
      <c r="A175" s="17" t="str">
        <f>A95</f>
        <v>Central and South America</v>
      </c>
      <c r="B175" s="73">
        <f>E95</f>
        <v>8.7100431721070987E-2</v>
      </c>
      <c r="C175" s="73">
        <f>F95</f>
        <v>3.9900431721070995E-2</v>
      </c>
      <c r="D175" s="73">
        <f>D95</f>
        <v>3.6408051688206385E-2</v>
      </c>
      <c r="E175" s="73">
        <f>G95</f>
        <v>0.31039417648322876</v>
      </c>
      <c r="F175" s="145">
        <f>B95</f>
        <v>5118.9000000000005</v>
      </c>
      <c r="G175" s="146">
        <f t="shared" si="72"/>
        <v>5.8627747191390855E-2</v>
      </c>
      <c r="H175" s="53">
        <f t="shared" si="69"/>
        <v>5.1065020912039504E-3</v>
      </c>
      <c r="I175" s="53">
        <f t="shared" si="70"/>
        <v>2.3392724237703026E-3</v>
      </c>
      <c r="J175" s="53">
        <f t="shared" si="71"/>
        <v>2.134522050107255E-3</v>
      </c>
      <c r="K175" s="53">
        <f t="shared" si="73"/>
        <v>1.8197711308538693E-2</v>
      </c>
    </row>
    <row r="176" spans="1:13">
      <c r="A176" s="17" t="str">
        <f>A123</f>
        <v>Eastern Europe &amp; Russia</v>
      </c>
      <c r="B176" s="73">
        <f>E123</f>
        <v>6.798054108360041E-2</v>
      </c>
      <c r="C176" s="73">
        <f>F123</f>
        <v>2.0780541083600421E-2</v>
      </c>
      <c r="D176" s="73">
        <f>D123</f>
        <v>1.8961674880351699E-2</v>
      </c>
      <c r="E176" s="73">
        <f>G123</f>
        <v>0.18307506646458122</v>
      </c>
      <c r="F176" s="145">
        <f>B123</f>
        <v>4024.7000000000003</v>
      </c>
      <c r="G176" s="146">
        <f t="shared" si="72"/>
        <v>4.6095663935843786E-2</v>
      </c>
      <c r="H176" s="53">
        <f t="shared" si="69"/>
        <v>3.1336081759664662E-3</v>
      </c>
      <c r="I176" s="53">
        <f t="shared" si="70"/>
        <v>9.5789283819464012E-4</v>
      </c>
      <c r="J176" s="53">
        <f t="shared" si="71"/>
        <v>8.7405099294542285E-4</v>
      </c>
      <c r="K176" s="53">
        <f t="shared" si="73"/>
        <v>8.4389667387836011E-3</v>
      </c>
    </row>
    <row r="177" spans="1:11">
      <c r="A177" s="17" t="str">
        <f>A137</f>
        <v>Middle East</v>
      </c>
      <c r="B177" s="73">
        <f>E137</f>
        <v>6.2501785433972112E-2</v>
      </c>
      <c r="C177" s="73">
        <f>F137</f>
        <v>1.530178543397212E-2</v>
      </c>
      <c r="D177" s="73">
        <f>D137</f>
        <v>1.396246032866099E-2</v>
      </c>
      <c r="E177" s="73">
        <f>G137</f>
        <v>0.32955932717078351</v>
      </c>
      <c r="F177" s="145">
        <f>B137</f>
        <v>3299.5</v>
      </c>
      <c r="G177" s="146">
        <f t="shared" si="72"/>
        <v>3.7789808720231709E-2</v>
      </c>
      <c r="H177" s="53">
        <f t="shared" si="69"/>
        <v>2.3619305162227706E-3</v>
      </c>
      <c r="I177" s="53">
        <f t="shared" si="70"/>
        <v>5.7825154462783415E-4</v>
      </c>
      <c r="J177" s="53">
        <f t="shared" si="71"/>
        <v>5.2763870508392243E-4</v>
      </c>
      <c r="K177" s="53">
        <f t="shared" si="73"/>
        <v>1.245398393575217E-2</v>
      </c>
    </row>
    <row r="178" spans="1:11">
      <c r="A178" s="17" t="str">
        <f>A140</f>
        <v>North America</v>
      </c>
      <c r="B178" s="73">
        <f>E140</f>
        <v>4.7199999999999999E-2</v>
      </c>
      <c r="C178" s="73">
        <f>F140</f>
        <v>0</v>
      </c>
      <c r="D178" s="73">
        <f>D140</f>
        <v>0</v>
      </c>
      <c r="E178" s="73">
        <f>G140</f>
        <v>0.26962433148138532</v>
      </c>
      <c r="F178" s="145">
        <f>B140</f>
        <v>23110.800000000003</v>
      </c>
      <c r="G178" s="146">
        <f t="shared" si="72"/>
        <v>0.26469244169466016</v>
      </c>
      <c r="H178" s="53">
        <f t="shared" si="69"/>
        <v>1.249348324798796E-2</v>
      </c>
      <c r="I178" s="53">
        <f t="shared" si="70"/>
        <v>0</v>
      </c>
      <c r="J178" s="53">
        <f t="shared" si="71"/>
        <v>0</v>
      </c>
      <c r="K178" s="53">
        <f t="shared" si="73"/>
        <v>7.136752264009831E-2</v>
      </c>
    </row>
    <row r="179" spans="1:11">
      <c r="A179" s="17" t="str">
        <f>A167</f>
        <v>Western Europe</v>
      </c>
      <c r="B179" s="73">
        <f>E167</f>
        <v>5.5597475094507666E-2</v>
      </c>
      <c r="C179" s="73">
        <f>F167</f>
        <v>8.3974750945076757E-3</v>
      </c>
      <c r="D179" s="73">
        <f>D167</f>
        <v>7.6624661464453608E-3</v>
      </c>
      <c r="E179" s="73">
        <f>G167</f>
        <v>0.24406533498320665</v>
      </c>
      <c r="F179" s="145">
        <f>B167</f>
        <v>18668.100000000002</v>
      </c>
      <c r="G179" s="146">
        <f t="shared" si="72"/>
        <v>0.21380934328539405</v>
      </c>
      <c r="H179" s="53">
        <f t="shared" si="69"/>
        <v>1.1887259638282736E-2</v>
      </c>
      <c r="I179" s="53">
        <f t="shared" si="70"/>
        <v>1.7954586352121385E-3</v>
      </c>
      <c r="J179" s="53">
        <f t="shared" si="71"/>
        <v>1.6383068547180467E-3</v>
      </c>
      <c r="K179" s="53">
        <f t="shared" si="73"/>
        <v>5.2183448991489127E-2</v>
      </c>
    </row>
    <row r="180" spans="1:11">
      <c r="A180" s="17" t="s">
        <v>282</v>
      </c>
      <c r="B180" s="73">
        <f>SUM(H171:H179)</f>
        <v>5.7630323227580695E-2</v>
      </c>
      <c r="C180" s="73">
        <f>SUM(I171:I179)</f>
        <v>1.0430323227580708E-2</v>
      </c>
      <c r="D180" s="73">
        <f>SUM(J171:J179)</f>
        <v>9.5173911705472153E-3</v>
      </c>
      <c r="E180" s="73">
        <f>SUM(K171:K179)</f>
        <v>0.26133898609467893</v>
      </c>
      <c r="F180" s="31">
        <f>SUM(F171:F179)</f>
        <v>87311.900000000023</v>
      </c>
      <c r="H180" s="37"/>
    </row>
    <row r="181" spans="1:11">
      <c r="A181" s="22"/>
      <c r="B181" s="71"/>
      <c r="C181" s="71"/>
    </row>
    <row r="182" spans="1:11">
      <c r="A182" s="266" t="s">
        <v>309</v>
      </c>
      <c r="B182" s="266"/>
      <c r="C182" s="266"/>
    </row>
    <row r="183" spans="1:11">
      <c r="A183" s="20"/>
      <c r="B183" s="20" t="s">
        <v>312</v>
      </c>
      <c r="C183" s="20" t="s">
        <v>313</v>
      </c>
      <c r="D183" s="5" t="s">
        <v>314</v>
      </c>
    </row>
    <row r="184" spans="1:11">
      <c r="A184" s="17" t="s">
        <v>305</v>
      </c>
      <c r="B184" s="80">
        <f>(B171*F171+B177*F176)/(F171+F176)</f>
        <v>7.4053394253885629E-2</v>
      </c>
      <c r="C184" s="80">
        <f>(D171*F171+D177*F176)/(F171+F176)</f>
        <v>2.4502987156476055E-2</v>
      </c>
      <c r="D184" s="73">
        <f>(E171*F171+E177*F176)/(F171+F176)</f>
        <v>0.31385361818610408</v>
      </c>
    </row>
    <row r="185" spans="1:11">
      <c r="A185" s="17" t="s">
        <v>311</v>
      </c>
      <c r="B185" s="80">
        <f>(B173*F173+E138*B138)/(F173+B138)</f>
        <v>4.7215677460235451E-2</v>
      </c>
      <c r="C185" s="80">
        <f>(D173*F173+D138*B138)/(F173+B138)</f>
        <v>1.4305253301079538E-5</v>
      </c>
      <c r="D185" s="73">
        <f>(E173*F173+G138*B138)/(F173+B138)</f>
        <v>0.28054331775140839</v>
      </c>
    </row>
    <row r="186" spans="1:11">
      <c r="A186" s="17" t="s">
        <v>306</v>
      </c>
      <c r="B186" s="80">
        <f>B175*(F175/(F175+F174))+B174*F174/(F174+F175)</f>
        <v>8.7761700870910717E-2</v>
      </c>
      <c r="C186" s="80">
        <f>(B186-0.0472)/1.1</f>
        <v>3.6874273519009737E-2</v>
      </c>
      <c r="D186" s="73">
        <v>0.27150000000000002</v>
      </c>
    </row>
    <row r="187" spans="1:11">
      <c r="A187" s="17" t="s">
        <v>116</v>
      </c>
      <c r="B187" s="73">
        <f>E39</f>
        <v>5.4015076792294683E-2</v>
      </c>
      <c r="C187" s="73">
        <f>D39</f>
        <v>6.2185710131534505E-3</v>
      </c>
      <c r="D187" s="73">
        <f>G39</f>
        <v>0.30620000000000003</v>
      </c>
    </row>
    <row r="188" spans="1:11">
      <c r="A188" s="17" t="s">
        <v>193</v>
      </c>
      <c r="B188" s="73">
        <f>E139</f>
        <v>4.7199999999999999E-2</v>
      </c>
      <c r="C188" s="73">
        <f>F139</f>
        <v>0</v>
      </c>
      <c r="D188" s="73">
        <v>0.25</v>
      </c>
    </row>
    <row r="189" spans="1:11">
      <c r="A189" s="17" t="s">
        <v>307</v>
      </c>
      <c r="B189" s="73">
        <f>E167</f>
        <v>5.5597475094507666E-2</v>
      </c>
      <c r="C189" s="73">
        <f>D167</f>
        <v>7.6624661464453608E-3</v>
      </c>
      <c r="D189" s="73">
        <f>E179</f>
        <v>0.24406533498320665</v>
      </c>
    </row>
    <row r="190" spans="1:11">
      <c r="A190" s="17" t="s">
        <v>308</v>
      </c>
      <c r="B190" s="80">
        <f>(B171*F171+B172*F172+B174*F174+B175*F175+B176*F176+B177*F177-B187*B39)/(F171+F172+F174+F175+F176+F177-B39)</f>
        <v>6.5713097876445151E-2</v>
      </c>
      <c r="C190" s="80">
        <f>(B190-4.72%)/1.1</f>
        <v>1.68300889785865E-2</v>
      </c>
      <c r="D190" s="73">
        <f>(E172*G172+E171*G171+E174*G174+E175*G175+E176*G176+E177*G177)/(G171+G172+G174+G175+G176+G177)</f>
        <v>0.26300640942179077</v>
      </c>
    </row>
    <row r="191" spans="1:11">
      <c r="A191" s="17" t="s">
        <v>310</v>
      </c>
      <c r="B191" s="80">
        <f>(B172*F172-B34*E34-B37*E37-B39*E39)/(F172-(B34+B37+B39))</f>
        <v>6.2611326268059708E-2</v>
      </c>
      <c r="C191" s="80">
        <f>(B191-4.72%)/1.1</f>
        <v>1.4010296607327007E-2</v>
      </c>
      <c r="D191" s="73">
        <v>0.2</v>
      </c>
    </row>
    <row r="192" spans="1:11">
      <c r="A192" s="17" t="s">
        <v>111</v>
      </c>
      <c r="B192" s="80">
        <f>E37</f>
        <v>6.8518958170767988E-2</v>
      </c>
      <c r="C192" s="80">
        <f>D37</f>
        <v>1.9452965733454383E-2</v>
      </c>
      <c r="D192" s="73">
        <f>G37</f>
        <v>0.3</v>
      </c>
    </row>
    <row r="193" spans="1:4">
      <c r="A193" s="17" t="s">
        <v>97</v>
      </c>
      <c r="B193" s="73">
        <f>E34</f>
        <v>5.4015076792294683E-2</v>
      </c>
      <c r="C193" s="73">
        <f>D34</f>
        <v>6.2185710131534505E-3</v>
      </c>
      <c r="D193" s="73">
        <f>G34</f>
        <v>0.25</v>
      </c>
    </row>
    <row r="194" spans="1:4">
      <c r="A194" s="17" t="s">
        <v>282</v>
      </c>
      <c r="B194" s="73">
        <f>B180</f>
        <v>5.7630323227580695E-2</v>
      </c>
      <c r="C194" s="73">
        <f>D180</f>
        <v>9.5173911705472153E-3</v>
      </c>
      <c r="D194" s="73">
        <f>E180</f>
        <v>0.26133898609467893</v>
      </c>
    </row>
  </sheetData>
  <mergeCells count="1">
    <mergeCell ref="A182:C182"/>
  </mergeCells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topLeftCell="A43" zoomScaleNormal="100" workbookViewId="0">
      <selection activeCell="E82" sqref="E82:H82"/>
    </sheetView>
  </sheetViews>
  <sheetFormatPr defaultColWidth="11" defaultRowHeight="11.4"/>
  <cols>
    <col min="1" max="1" width="23.375" style="58" bestFit="1" customWidth="1"/>
    <col min="2" max="2" width="23.375" style="140" customWidth="1"/>
    <col min="3" max="3" width="16.375" style="28" bestFit="1" customWidth="1"/>
    <col min="4" max="4" width="16.375" style="28" customWidth="1"/>
    <col min="5" max="5" width="17.5" bestFit="1" customWidth="1"/>
    <col min="6" max="6" width="17.375" bestFit="1" customWidth="1"/>
    <col min="7" max="7" width="20.125" bestFit="1" customWidth="1"/>
    <col min="8" max="8" width="20.125" customWidth="1"/>
    <col min="9" max="9" width="20.875" style="3" bestFit="1" customWidth="1"/>
  </cols>
  <sheetData>
    <row r="1" spans="1:9" s="1" customFormat="1" ht="15.6">
      <c r="A1" s="57" t="str">
        <f>'Sovereign Ratings (Moody''s,S&amp;P)'!A1</f>
        <v>Country</v>
      </c>
      <c r="B1" s="139" t="str">
        <f>'Country GDP'!B1</f>
        <v>GDP (in billions) in 2019</v>
      </c>
      <c r="C1" s="11" t="str">
        <f>'Sovereign Ratings (Moody''s,S&amp;P)'!C1</f>
        <v>Moody's rating</v>
      </c>
      <c r="D1" s="11" t="s">
        <v>518</v>
      </c>
      <c r="E1" s="57" t="s">
        <v>36</v>
      </c>
      <c r="F1" s="57" t="s">
        <v>486</v>
      </c>
      <c r="G1" s="59" t="s">
        <v>37</v>
      </c>
      <c r="H1" s="59" t="s">
        <v>358</v>
      </c>
      <c r="I1" s="60" t="s">
        <v>52</v>
      </c>
    </row>
    <row r="2" spans="1:9" ht="15.6">
      <c r="A2" s="10" t="str">
        <f>'Sovereign Ratings (Moody''s,S&amp;P)'!A2</f>
        <v>Abu Dhabi</v>
      </c>
      <c r="B2" s="139">
        <f>'Country GDP'!B2</f>
        <v>915</v>
      </c>
      <c r="C2" s="11" t="str">
        <f>'Sovereign Ratings (Moody''s,S&amp;P)'!C2</f>
        <v>Aa2</v>
      </c>
      <c r="D2" s="13">
        <f>'10-year CDS Spreads'!C2</f>
        <v>6.8999999999999999E-3</v>
      </c>
      <c r="E2" s="24">
        <f>'ERPs by country'!D8</f>
        <v>4.3848898169671765E-3</v>
      </c>
      <c r="F2" s="12">
        <f>'ERPs by country'!E8</f>
        <v>5.2005502866361637E-2</v>
      </c>
      <c r="G2" s="16">
        <f>'ERPs by country'!F8</f>
        <v>4.8055028663616358E-3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5.6">
      <c r="A3" s="10" t="str">
        <f>'Sovereign Ratings (Moody''s,S&amp;P)'!A3</f>
        <v>Albania</v>
      </c>
      <c r="B3" s="139">
        <f>'Country GDP'!B3</f>
        <v>15.3</v>
      </c>
      <c r="C3" s="11" t="str">
        <f>'Sovereign Ratings (Moody''s,S&amp;P)'!C3</f>
        <v>B1</v>
      </c>
      <c r="D3" s="13" t="str">
        <f>'10-year CDS Spreads'!C3</f>
        <v>NA</v>
      </c>
      <c r="E3" s="24">
        <f>'ERPs by country'!D9</f>
        <v>3.9782909430302202E-2</v>
      </c>
      <c r="F3" s="12">
        <f>'ERPs by country'!E9</f>
        <v>9.0799016914808295E-2</v>
      </c>
      <c r="G3" s="16">
        <f>'ERPs by country'!F9</f>
        <v>4.3599016914808296E-2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5.6">
      <c r="A4" s="10" t="str">
        <f>'Sovereign Ratings (Moody''s,S&amp;P)'!A4</f>
        <v>Andorra (Principality of)</v>
      </c>
      <c r="B4" s="139">
        <f>'Country GDP'!B4</f>
        <v>3.2</v>
      </c>
      <c r="C4" s="11" t="str">
        <f>'Sovereign Ratings (Moody''s,S&amp;P)'!C4</f>
        <v>Caa1</v>
      </c>
      <c r="D4" s="13" t="str">
        <f>'10-year CDS Spreads'!C4</f>
        <v>NA</v>
      </c>
      <c r="E4" s="24">
        <f>'ERPs by country'!D10</f>
        <v>6.6251698870904069E-2</v>
      </c>
      <c r="F4" s="12">
        <f>'ERPs by country'!E10</f>
        <v>0.1198067796717549</v>
      </c>
      <c r="G4" s="16">
        <f>'ERPs by country'!F10</f>
        <v>7.2606779671754898E-2</v>
      </c>
      <c r="H4" s="16">
        <f>'Country Tax Rates'!C4</f>
        <v>0.1</v>
      </c>
      <c r="I4" s="17" t="str">
        <f>VLOOKUP(A4,'Regional lookup table'!$A$2:$B$161,2)</f>
        <v>Western Europe</v>
      </c>
    </row>
    <row r="5" spans="1:9" ht="15.6">
      <c r="A5" s="10" t="str">
        <f>'Sovereign Ratings (Moody''s,S&amp;P)'!A5</f>
        <v>Angola</v>
      </c>
      <c r="B5" s="139">
        <f>'Country GDP'!B5</f>
        <v>94.6</v>
      </c>
      <c r="C5" s="11" t="str">
        <f>'Sovereign Ratings (Moody''s,S&amp;P)'!C5</f>
        <v>Caa1</v>
      </c>
      <c r="D5" s="13">
        <f>'10-year CDS Spreads'!C5</f>
        <v>7.4999999999999997E-2</v>
      </c>
      <c r="E5" s="24">
        <f>'ERPs by country'!D11</f>
        <v>6.6251698870904069E-2</v>
      </c>
      <c r="F5" s="12">
        <f>'ERPs by country'!E11</f>
        <v>0.1198067796717549</v>
      </c>
      <c r="G5" s="16">
        <f>'ERPs by country'!F11</f>
        <v>7.2606779671754898E-2</v>
      </c>
      <c r="H5" s="16">
        <f>'Country Tax Rates'!C5</f>
        <v>0.3</v>
      </c>
      <c r="I5" s="17" t="str">
        <f>VLOOKUP(A5,'Regional lookup table'!$A$2:$B$161,2)</f>
        <v>Africa</v>
      </c>
    </row>
    <row r="6" spans="1:9" ht="15.6">
      <c r="A6" s="10" t="str">
        <f>'Sovereign Ratings (Moody''s,S&amp;P)'!A6</f>
        <v>Argentina</v>
      </c>
      <c r="B6" s="139">
        <f>'Country GDP'!B6</f>
        <v>449.7</v>
      </c>
      <c r="C6" s="11" t="str">
        <f>'Sovereign Ratings (Moody''s,S&amp;P)'!C6</f>
        <v>Ca</v>
      </c>
      <c r="D6" s="13" t="str">
        <f>'10-year CDS Spreads'!C6</f>
        <v>NA</v>
      </c>
      <c r="E6" s="24">
        <f>'ERPs by country'!D12</f>
        <v>0.10603460830120626</v>
      </c>
      <c r="F6" s="12">
        <f>'ERPs by country'!E12</f>
        <v>0.16340579658656318</v>
      </c>
      <c r="G6" s="16">
        <f>'ERPs by country'!F12</f>
        <v>0.11620579658656319</v>
      </c>
      <c r="H6" s="16">
        <f>'Country Tax Rates'!C6</f>
        <v>0.3</v>
      </c>
      <c r="I6" s="17" t="str">
        <f>VLOOKUP(A6,'Regional lookup table'!$A$2:$B$161,2)</f>
        <v>Central and South America</v>
      </c>
    </row>
    <row r="7" spans="1:9" ht="15.6">
      <c r="A7" s="10" t="str">
        <f>'Sovereign Ratings (Moody''s,S&amp;P)'!A7</f>
        <v>Armenia</v>
      </c>
      <c r="B7" s="139">
        <f>'Country GDP'!B7</f>
        <v>13.7</v>
      </c>
      <c r="C7" s="11" t="str">
        <f>'Sovereign Ratings (Moody''s,S&amp;P)'!C7</f>
        <v>Ba3</v>
      </c>
      <c r="D7" s="13" t="str">
        <f>'10-year CDS Spreads'!C7</f>
        <v>NA</v>
      </c>
      <c r="E7" s="24">
        <f>'ERPs by country'!D13</f>
        <v>3.1810382490361881E-2</v>
      </c>
      <c r="F7" s="12">
        <f>'ERPs by country'!E13</f>
        <v>8.2061738975968967E-2</v>
      </c>
      <c r="G7" s="16">
        <f>'ERPs by country'!F13</f>
        <v>3.4861738975968962E-2</v>
      </c>
      <c r="H7" s="16">
        <f>'Country Tax Rates'!C7</f>
        <v>0.18</v>
      </c>
      <c r="I7" s="17" t="str">
        <f>VLOOKUP(A7,'Regional lookup table'!$A$2:$B$161,2)</f>
        <v>Eastern Europe &amp; Russia</v>
      </c>
    </row>
    <row r="8" spans="1:9" ht="15.6">
      <c r="A8" s="10" t="str">
        <f>'Sovereign Ratings (Moody''s,S&amp;P)'!A8</f>
        <v>Aruba</v>
      </c>
      <c r="B8" s="139">
        <f>'Country GDP'!B8</f>
        <v>3.1</v>
      </c>
      <c r="C8" s="11" t="str">
        <f>'Sovereign Ratings (Moody''s,S&amp;P)'!C8</f>
        <v>Baa1</v>
      </c>
      <c r="D8" s="13" t="str">
        <f>'10-year CDS Spreads'!C8</f>
        <v>NA</v>
      </c>
      <c r="E8" s="24">
        <f>'ERPs by country'!D14</f>
        <v>1.4111372683694367E-2</v>
      </c>
      <c r="F8" s="12">
        <f>'ERPs by country'!E14</f>
        <v>6.2664981951745621E-2</v>
      </c>
      <c r="G8" s="16">
        <f>'ERPs by country'!F14</f>
        <v>1.5464981951745628E-2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5.6">
      <c r="A9" s="10" t="str">
        <f>'Sovereign Ratings (Moody''s,S&amp;P)'!A9</f>
        <v>Australia</v>
      </c>
      <c r="B9" s="139">
        <f>'Country GDP'!B9</f>
        <v>1392.7</v>
      </c>
      <c r="C9" s="11" t="str">
        <f>'Sovereign Ratings (Moody''s,S&amp;P)'!C9</f>
        <v>Aaa</v>
      </c>
      <c r="D9" s="13">
        <f>'10-year CDS Spreads'!C9</f>
        <v>2.3E-3</v>
      </c>
      <c r="E9" s="24">
        <f>'ERPs by country'!D15</f>
        <v>0</v>
      </c>
      <c r="F9" s="12">
        <f>'ERPs by country'!E15</f>
        <v>4.7199999999999999E-2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5.6">
      <c r="A10" s="10" t="str">
        <f>'Sovereign Ratings (Moody''s,S&amp;P)'!A10</f>
        <v>Austria</v>
      </c>
      <c r="B10" s="139">
        <f>'Country GDP'!B10</f>
        <v>446.3</v>
      </c>
      <c r="C10" s="11" t="str">
        <f>'Sovereign Ratings (Moody''s,S&amp;P)'!C10</f>
        <v>Aa1</v>
      </c>
      <c r="D10" s="13">
        <f>'10-year CDS Spreads'!C10</f>
        <v>1.8E-3</v>
      </c>
      <c r="E10" s="24">
        <f>'ERPs by country'!D16</f>
        <v>3.5079118535737406E-3</v>
      </c>
      <c r="F10" s="12">
        <f>'ERPs by country'!E16</f>
        <v>5.1044402293089305E-2</v>
      </c>
      <c r="G10" s="16">
        <f>'ERPs by country'!F16</f>
        <v>3.8444022930893078E-3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5.6">
      <c r="A11" s="10" t="str">
        <f>'Sovereign Ratings (Moody''s,S&amp;P)'!A11</f>
        <v>Azerbaijan</v>
      </c>
      <c r="B11" s="139">
        <f>'Country GDP'!B11</f>
        <v>48</v>
      </c>
      <c r="C11" s="11" t="str">
        <f>'Sovereign Ratings (Moody''s,S&amp;P)'!C11</f>
        <v>Ba2</v>
      </c>
      <c r="D11" s="13" t="str">
        <f>'10-year CDS Spreads'!C11</f>
        <v>NA</v>
      </c>
      <c r="E11" s="24">
        <f>'ERPs by country'!D17</f>
        <v>2.6548514710001261E-2</v>
      </c>
      <c r="F11" s="12">
        <f>'ERPs by country'!E17</f>
        <v>7.629513553633499E-2</v>
      </c>
      <c r="G11" s="16">
        <f>'ERPs by country'!F17</f>
        <v>2.9095135536334988E-2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5.6">
      <c r="A12" s="10" t="str">
        <f>'Sovereign Ratings (Moody''s,S&amp;P)'!A12</f>
        <v>Bahamas</v>
      </c>
      <c r="B12" s="139">
        <f>'Country GDP'!B12</f>
        <v>12.8</v>
      </c>
      <c r="C12" s="11" t="str">
        <f>'Sovereign Ratings (Moody''s,S&amp;P)'!C12</f>
        <v>Ba2</v>
      </c>
      <c r="D12" s="13" t="str">
        <f>'10-year CDS Spreads'!C12</f>
        <v>NA</v>
      </c>
      <c r="E12" s="24">
        <f>'ERPs by country'!D18</f>
        <v>2.6548514710001261E-2</v>
      </c>
      <c r="F12" s="12">
        <f>'ERPs by country'!E18</f>
        <v>7.629513553633499E-2</v>
      </c>
      <c r="G12" s="16">
        <f>'ERPs by country'!F18</f>
        <v>2.9095135536334988E-2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5.6">
      <c r="A13" s="10" t="str">
        <f>'Sovereign Ratings (Moody''s,S&amp;P)'!A13</f>
        <v>Bahrain</v>
      </c>
      <c r="B13" s="139">
        <f>'Country GDP'!B13</f>
        <v>38.6</v>
      </c>
      <c r="C13" s="11" t="str">
        <f>'Sovereign Ratings (Moody''s,S&amp;P)'!C13</f>
        <v>B2</v>
      </c>
      <c r="D13" s="13">
        <f>'10-year CDS Spreads'!C13</f>
        <v>3.1800000000000002E-2</v>
      </c>
      <c r="E13" s="24">
        <f>'ERPs by country'!D19</f>
        <v>4.8632414333635951E-2</v>
      </c>
      <c r="F13" s="12">
        <f>'ERPs by country'!E19</f>
        <v>0.10049739542691996</v>
      </c>
      <c r="G13" s="16">
        <f>'ERPs by country'!F19</f>
        <v>5.3297395426919955E-2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5.6">
      <c r="A14" s="10" t="str">
        <f>'Sovereign Ratings (Moody''s,S&amp;P)'!A14</f>
        <v>Bangladesh</v>
      </c>
      <c r="B14" s="139">
        <f>'Country GDP'!B14</f>
        <v>302.60000000000002</v>
      </c>
      <c r="C14" s="11" t="str">
        <f>'Sovereign Ratings (Moody''s,S&amp;P)'!C14</f>
        <v>Ba3</v>
      </c>
      <c r="D14" s="13" t="str">
        <f>'10-year CDS Spreads'!C14</f>
        <v>NA</v>
      </c>
      <c r="E14" s="24">
        <f>'ERPs by country'!D20</f>
        <v>3.1810382490361881E-2</v>
      </c>
      <c r="F14" s="12">
        <f>'ERPs by country'!E20</f>
        <v>8.2061738975968967E-2</v>
      </c>
      <c r="G14" s="16">
        <f>'ERPs by country'!F20</f>
        <v>3.4861738975968962E-2</v>
      </c>
      <c r="H14" s="16">
        <f>'Country Tax Rates'!C14</f>
        <v>0.25</v>
      </c>
      <c r="I14" s="17" t="str">
        <f>VLOOKUP(A14,'Regional lookup table'!$A$2:$B$161,2)</f>
        <v>Asia</v>
      </c>
    </row>
    <row r="15" spans="1:9" ht="15.6">
      <c r="A15" s="10" t="str">
        <f>'Sovereign Ratings (Moody''s,S&amp;P)'!A15</f>
        <v>Barbados</v>
      </c>
      <c r="B15" s="139">
        <f>'Country GDP'!B15</f>
        <v>5.2</v>
      </c>
      <c r="C15" s="11" t="str">
        <f>'Sovereign Ratings (Moody''s,S&amp;P)'!C15</f>
        <v>Caa1</v>
      </c>
      <c r="D15" s="13" t="str">
        <f>'10-year CDS Spreads'!C15</f>
        <v>NA</v>
      </c>
      <c r="E15" s="24">
        <f>'ERPs by country'!D21</f>
        <v>6.6251698870904069E-2</v>
      </c>
      <c r="F15" s="12">
        <f>'ERPs by country'!E21</f>
        <v>0.1198067796717549</v>
      </c>
      <c r="G15" s="16">
        <f>'ERPs by country'!F21</f>
        <v>7.2606779671754898E-2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5.6">
      <c r="A16" s="10" t="str">
        <f>'Sovereign Ratings (Moody''s,S&amp;P)'!A16</f>
        <v>Belarus</v>
      </c>
      <c r="B16" s="139">
        <f>'Country GDP'!B16</f>
        <v>63.1</v>
      </c>
      <c r="C16" s="11" t="str">
        <f>'Sovereign Ratings (Moody''s,S&amp;P)'!C16</f>
        <v>B3</v>
      </c>
      <c r="D16" s="13" t="str">
        <f>'10-year CDS Spreads'!C16</f>
        <v>NA</v>
      </c>
      <c r="E16" s="24">
        <f>'ERPs by country'!D22</f>
        <v>5.74819192369697E-2</v>
      </c>
      <c r="F16" s="12">
        <f>'ERPs by country'!E22</f>
        <v>0.1101957739390316</v>
      </c>
      <c r="G16" s="16">
        <f>'ERPs by country'!F22</f>
        <v>6.2995773939031607E-2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5.6">
      <c r="A17" s="10" t="str">
        <f>'Sovereign Ratings (Moody''s,S&amp;P)'!A17</f>
        <v>Belgium</v>
      </c>
      <c r="B17" s="139">
        <f>'Country GDP'!B17</f>
        <v>529.6</v>
      </c>
      <c r="C17" s="11" t="str">
        <f>'Sovereign Ratings (Moody''s,S&amp;P)'!C17</f>
        <v>Aa3</v>
      </c>
      <c r="D17" s="13">
        <f>'10-year CDS Spreads'!C17</f>
        <v>2.7000000000000001E-3</v>
      </c>
      <c r="E17" s="24">
        <f>'ERPs by country'!D23</f>
        <v>5.3415930497600151E-3</v>
      </c>
      <c r="F17" s="12">
        <f>'ERPs by country'!E23</f>
        <v>5.3053976219022358E-2</v>
      </c>
      <c r="G17" s="16">
        <f>'ERPs by country'!F23</f>
        <v>5.8539762190223561E-3</v>
      </c>
      <c r="H17" s="16">
        <f>'Country Tax Rates'!C17</f>
        <v>0.28999999999999998</v>
      </c>
      <c r="I17" s="17" t="str">
        <f>VLOOKUP(A17,'Regional lookup table'!$A$2:$B$161,2)</f>
        <v>Western Europe</v>
      </c>
    </row>
    <row r="18" spans="1:9" ht="15.6">
      <c r="A18" s="10" t="str">
        <f>'Sovereign Ratings (Moody''s,S&amp;P)'!A18</f>
        <v>Belize</v>
      </c>
      <c r="B18" s="139">
        <f>'Country GDP'!B18</f>
        <v>1.9</v>
      </c>
      <c r="C18" s="11" t="str">
        <f>'Sovereign Ratings (Moody''s,S&amp;P)'!C18</f>
        <v>Caa3</v>
      </c>
      <c r="D18" s="13" t="str">
        <f>'10-year CDS Spreads'!C18</f>
        <v>NA</v>
      </c>
      <c r="E18" s="24">
        <f>'ERPs by country'!D24</f>
        <v>8.8335598494538758E-2</v>
      </c>
      <c r="F18" s="12">
        <f>'ERPs by country'!E24</f>
        <v>0.14400903956233987</v>
      </c>
      <c r="G18" s="16">
        <f>'ERPs by country'!F24</f>
        <v>9.6809039562339869E-2</v>
      </c>
      <c r="H18" s="16">
        <f>'Country Tax Rates'!C18</f>
        <v>0.28249999999999997</v>
      </c>
      <c r="I18" s="17" t="str">
        <f>VLOOKUP(A18,'Regional lookup table'!$A$2:$B$161,2)</f>
        <v>Central and South America</v>
      </c>
    </row>
    <row r="19" spans="1:9" ht="15.6">
      <c r="A19" s="10" t="str">
        <f>'Sovereign Ratings (Moody''s,S&amp;P)'!A19</f>
        <v>Benin</v>
      </c>
      <c r="B19" s="139">
        <f>'Country GDP'!B19</f>
        <v>14.4</v>
      </c>
      <c r="C19" s="11" t="str">
        <f>'Sovereign Ratings (Moody''s,S&amp;P)'!C19</f>
        <v>B2</v>
      </c>
      <c r="D19" s="13" t="str">
        <f>'10-year CDS Spreads'!C19</f>
        <v>NA</v>
      </c>
      <c r="E19" s="24">
        <f>'ERPs by country'!D25</f>
        <v>4.8632414333635951E-2</v>
      </c>
      <c r="F19" s="12">
        <f>'ERPs by country'!E25</f>
        <v>0.10049739542691996</v>
      </c>
      <c r="G19" s="16">
        <f>'ERPs by country'!F25</f>
        <v>5.3297395426919955E-2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5.6">
      <c r="A20" s="10" t="str">
        <f>'Sovereign Ratings (Moody''s,S&amp;P)'!A20</f>
        <v>Bermuda</v>
      </c>
      <c r="B20" s="139">
        <f>'Country GDP'!B20</f>
        <v>5.7</v>
      </c>
      <c r="C20" s="11" t="str">
        <f>'Sovereign Ratings (Moody''s,S&amp;P)'!C20</f>
        <v>A2</v>
      </c>
      <c r="D20" s="13" t="str">
        <f>'10-year CDS Spreads'!C20</f>
        <v>NA</v>
      </c>
      <c r="E20" s="24">
        <f>'ERPs by country'!D26</f>
        <v>7.4941753235439005E-3</v>
      </c>
      <c r="F20" s="12">
        <f>'ERPs by country'!E26</f>
        <v>5.5413041262508976E-2</v>
      </c>
      <c r="G20" s="16">
        <f>'ERPs by country'!F26</f>
        <v>8.2130412625089771E-3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5.6">
      <c r="A21" s="10" t="str">
        <f>'Sovereign Ratings (Moody''s,S&amp;P)'!A21</f>
        <v>Bolivia</v>
      </c>
      <c r="B21" s="139">
        <f>'Country GDP'!B21</f>
        <v>40.9</v>
      </c>
      <c r="C21" s="11" t="str">
        <f>'Sovereign Ratings (Moody''s,S&amp;P)'!C21</f>
        <v>B2</v>
      </c>
      <c r="D21" s="13" t="str">
        <f>'10-year CDS Spreads'!C21</f>
        <v>NA</v>
      </c>
      <c r="E21" s="24">
        <f>'ERPs by country'!D27</f>
        <v>4.8632414333635951E-2</v>
      </c>
      <c r="F21" s="12">
        <f>'ERPs by country'!E27</f>
        <v>0.10049739542691996</v>
      </c>
      <c r="G21" s="16">
        <f>'ERPs by country'!F27</f>
        <v>5.3297395426919955E-2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5.6">
      <c r="A22" s="10" t="str">
        <f>'Sovereign Ratings (Moody''s,S&amp;P)'!A22</f>
        <v>Bosnia and Herzegovina</v>
      </c>
      <c r="B22" s="139">
        <f>'Country GDP'!B22</f>
        <v>20</v>
      </c>
      <c r="C22" s="11" t="str">
        <f>'Sovereign Ratings (Moody''s,S&amp;P)'!C22</f>
        <v>B3</v>
      </c>
      <c r="D22" s="13" t="str">
        <f>'10-year CDS Spreads'!C22</f>
        <v>NA</v>
      </c>
      <c r="E22" s="24">
        <f>'ERPs by country'!D28</f>
        <v>5.74819192369697E-2</v>
      </c>
      <c r="F22" s="12">
        <f>'ERPs by country'!E28</f>
        <v>0.1101957739390316</v>
      </c>
      <c r="G22" s="16">
        <f>'ERPs by country'!F28</f>
        <v>6.2995773939031607E-2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5.6">
      <c r="A23" s="10" t="str">
        <f>'Sovereign Ratings (Moody''s,S&amp;P)'!A23</f>
        <v>Botswana</v>
      </c>
      <c r="B23" s="139">
        <f>'Country GDP'!B23</f>
        <v>18.3</v>
      </c>
      <c r="C23" s="11" t="str">
        <f>'Sovereign Ratings (Moody''s,S&amp;P)'!C23</f>
        <v>A2</v>
      </c>
      <c r="D23" s="13" t="str">
        <f>'10-year CDS Spreads'!C23</f>
        <v>NA</v>
      </c>
      <c r="E23" s="24">
        <f>'ERPs by country'!D29</f>
        <v>7.4941753235439005E-3</v>
      </c>
      <c r="F23" s="12">
        <f>'ERPs by country'!E29</f>
        <v>5.5413041262508976E-2</v>
      </c>
      <c r="G23" s="16">
        <f>'ERPs by country'!F29</f>
        <v>8.2130412625089771E-3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5.6">
      <c r="A24" s="10" t="str">
        <f>'Sovereign Ratings (Moody''s,S&amp;P)'!A24</f>
        <v>Brazil</v>
      </c>
      <c r="B24" s="139">
        <f>'Country GDP'!B24</f>
        <v>1839.8</v>
      </c>
      <c r="C24" s="11" t="str">
        <f>'Sovereign Ratings (Moody''s,S&amp;P)'!C24</f>
        <v>Ba2</v>
      </c>
      <c r="D24" s="13">
        <f>'10-year CDS Spreads'!C24</f>
        <v>2.1499999999999998E-2</v>
      </c>
      <c r="E24" s="24">
        <f>'ERPs by country'!D30</f>
        <v>2.6548514710001261E-2</v>
      </c>
      <c r="F24" s="12">
        <f>'ERPs by country'!E30</f>
        <v>7.629513553633499E-2</v>
      </c>
      <c r="G24" s="16">
        <f>'ERPs by country'!F30</f>
        <v>2.9095135536334988E-2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5.6">
      <c r="A25" s="10" t="str">
        <f>'Sovereign Ratings (Moody''s,S&amp;P)'!A25</f>
        <v>Bulgaria</v>
      </c>
      <c r="B25" s="139">
        <f>'Country GDP'!B25</f>
        <v>67.900000000000006</v>
      </c>
      <c r="C25" s="11" t="str">
        <f>'Sovereign Ratings (Moody''s,S&amp;P)'!C25</f>
        <v>Baa1</v>
      </c>
      <c r="D25" s="13">
        <f>'10-year CDS Spreads'!C25</f>
        <v>7.0000000000000001E-3</v>
      </c>
      <c r="E25" s="24">
        <f>'ERPs by country'!D31</f>
        <v>1.4111372683694367E-2</v>
      </c>
      <c r="F25" s="12">
        <f>'ERPs by country'!E31</f>
        <v>6.2664981951745621E-2</v>
      </c>
      <c r="G25" s="16">
        <f>'ERPs by country'!F31</f>
        <v>1.5464981951745628E-2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5.6">
      <c r="A26" s="10" t="str">
        <f>'Sovereign Ratings (Moody''s,S&amp;P)'!A26</f>
        <v>Burkina Faso</v>
      </c>
      <c r="B26" s="139">
        <f>'Country GDP'!B26</f>
        <v>15.7</v>
      </c>
      <c r="C26" s="11" t="str">
        <f>'Sovereign Ratings (Moody''s,S&amp;P)'!C26</f>
        <v>B2</v>
      </c>
      <c r="D26" s="13" t="str">
        <f>'10-year CDS Spreads'!C26</f>
        <v>NA</v>
      </c>
      <c r="E26" s="24">
        <f>'ERPs by country'!D32</f>
        <v>4.8632414333635951E-2</v>
      </c>
      <c r="F26" s="12">
        <f>'ERPs by country'!E32</f>
        <v>0.10049739542691996</v>
      </c>
      <c r="G26" s="16">
        <f>'ERPs by country'!F32</f>
        <v>5.3297395426919955E-2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5.6">
      <c r="A27" s="10" t="str">
        <f>'Sovereign Ratings (Moody''s,S&amp;P)'!A27</f>
        <v>Cambodia</v>
      </c>
      <c r="B27" s="139">
        <f>'Country GDP'!B27</f>
        <v>27.1</v>
      </c>
      <c r="C27" s="11" t="str">
        <f>'Sovereign Ratings (Moody''s,S&amp;P)'!C27</f>
        <v>B2</v>
      </c>
      <c r="D27" s="13" t="str">
        <f>'10-year CDS Spreads'!C27</f>
        <v>NA</v>
      </c>
      <c r="E27" s="24">
        <f>'ERPs by country'!D33</f>
        <v>4.8632414333635951E-2</v>
      </c>
      <c r="F27" s="12">
        <f>'ERPs by country'!E33</f>
        <v>0.10049739542691996</v>
      </c>
      <c r="G27" s="16">
        <f>'ERPs by country'!F33</f>
        <v>5.3297395426919955E-2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5.6">
      <c r="A28" s="10" t="str">
        <f>'Sovereign Ratings (Moody''s,S&amp;P)'!A28</f>
        <v>Cameroon</v>
      </c>
      <c r="B28" s="139">
        <f>'Country GDP'!B28</f>
        <v>38.799999999999997</v>
      </c>
      <c r="C28" s="11" t="str">
        <f>'Sovereign Ratings (Moody''s,S&amp;P)'!C28</f>
        <v>B2</v>
      </c>
      <c r="D28" s="13">
        <f>'10-year CDS Spreads'!C28</f>
        <v>5.8700000000000002E-2</v>
      </c>
      <c r="E28" s="24">
        <f>'ERPs by country'!D34</f>
        <v>4.8632414333635951E-2</v>
      </c>
      <c r="F28" s="12">
        <f>'ERPs by country'!E34</f>
        <v>0.10049739542691996</v>
      </c>
      <c r="G28" s="16">
        <f>'ERPs by country'!F34</f>
        <v>5.3297395426919955E-2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5.6">
      <c r="A29" s="10" t="str">
        <f>'Sovereign Ratings (Moody''s,S&amp;P)'!A29</f>
        <v>Canada</v>
      </c>
      <c r="B29" s="139">
        <f>'Country GDP'!B29</f>
        <v>1736.4</v>
      </c>
      <c r="C29" s="11" t="str">
        <f>'Sovereign Ratings (Moody''s,S&amp;P)'!C29</f>
        <v>Aaa</v>
      </c>
      <c r="D29" s="13">
        <f>'10-year CDS Spreads'!C29</f>
        <v>4.1999999999999997E-3</v>
      </c>
      <c r="E29" s="24">
        <f>'ERPs by country'!D35</f>
        <v>0</v>
      </c>
      <c r="F29" s="12">
        <f>'ERPs by country'!E35</f>
        <v>4.7199999999999999E-2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5.6">
      <c r="A30" s="10" t="str">
        <f>'Sovereign Ratings (Moody''s,S&amp;P)'!A30</f>
        <v>Cape Verde</v>
      </c>
      <c r="B30" s="139">
        <f>'Country GDP'!B30</f>
        <v>2</v>
      </c>
      <c r="C30" s="11" t="str">
        <f>'Sovereign Ratings (Moody''s,S&amp;P)'!C30</f>
        <v>B2</v>
      </c>
      <c r="D30" s="13" t="str">
        <f>'10-year CDS Spreads'!C30</f>
        <v>NA</v>
      </c>
      <c r="E30" s="24">
        <f>'ERPs by country'!D36</f>
        <v>4.8632414333635951E-2</v>
      </c>
      <c r="F30" s="12">
        <f>'ERPs by country'!E36</f>
        <v>0.10049739542691996</v>
      </c>
      <c r="G30" s="16">
        <f>'ERPs by country'!F36</f>
        <v>5.3297395426919955E-2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5.6">
      <c r="A31" s="10" t="str">
        <f>'Sovereign Ratings (Moody''s,S&amp;P)'!A31</f>
        <v>Cayman Islands</v>
      </c>
      <c r="B31" s="139">
        <f>'Country GDP'!B31</f>
        <v>5.5</v>
      </c>
      <c r="C31" s="11" t="str">
        <f>'Sovereign Ratings (Moody''s,S&amp;P)'!C31</f>
        <v>Aa3</v>
      </c>
      <c r="D31" s="13" t="str">
        <f>'10-year CDS Spreads'!C31</f>
        <v>NA</v>
      </c>
      <c r="E31" s="24">
        <f>'ERPs by country'!D37</f>
        <v>5.3415930497600151E-3</v>
      </c>
      <c r="F31" s="12">
        <f>'ERPs by country'!E37</f>
        <v>5.3053976219022358E-2</v>
      </c>
      <c r="G31" s="16">
        <f>'ERPs by country'!F37</f>
        <v>5.8539762190223561E-3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5.6">
      <c r="A32" s="10" t="str">
        <f>'Sovereign Ratings (Moody''s,S&amp;P)'!A32</f>
        <v>Chile</v>
      </c>
      <c r="B32" s="139">
        <f>'Country GDP'!B32</f>
        <v>282.3</v>
      </c>
      <c r="C32" s="11" t="str">
        <f>'Sovereign Ratings (Moody''s,S&amp;P)'!C32</f>
        <v>A1</v>
      </c>
      <c r="D32" s="13">
        <f>'10-year CDS Spreads'!C32</f>
        <v>8.9999999999999993E-3</v>
      </c>
      <c r="E32" s="24">
        <f>'ERPs by country'!D38</f>
        <v>6.2185710131534505E-3</v>
      </c>
      <c r="F32" s="12">
        <f>'ERPs by country'!E38</f>
        <v>5.4015076792294683E-2</v>
      </c>
      <c r="G32" s="16">
        <f>'ERPs by country'!F38</f>
        <v>6.8150767922946836E-3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5.6">
      <c r="A33" s="10" t="str">
        <f>'Sovereign Ratings (Moody''s,S&amp;P)'!A33</f>
        <v>China</v>
      </c>
      <c r="B33" s="139">
        <f>'Country GDP'!B33</f>
        <v>14342.9</v>
      </c>
      <c r="C33" s="11" t="str">
        <f>'Sovereign Ratings (Moody''s,S&amp;P)'!C33</f>
        <v>A1</v>
      </c>
      <c r="D33" s="13">
        <f>'10-year CDS Spreads'!C33</f>
        <v>5.5999999999999999E-3</v>
      </c>
      <c r="E33" s="24">
        <f>'ERPs by country'!D39</f>
        <v>6.2185710131534505E-3</v>
      </c>
      <c r="F33" s="12">
        <f>'ERPs by country'!E39</f>
        <v>5.4015076792294683E-2</v>
      </c>
      <c r="G33" s="16">
        <f>'ERPs by country'!F39</f>
        <v>6.8150767922946836E-3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5.6">
      <c r="A34" s="10" t="str">
        <f>'Sovereign Ratings (Moody''s,S&amp;P)'!A34</f>
        <v>Colombia</v>
      </c>
      <c r="B34" s="139">
        <f>'Country GDP'!B34</f>
        <v>323.8</v>
      </c>
      <c r="C34" s="11" t="str">
        <f>'Sovereign Ratings (Moody''s,S&amp;P)'!C34</f>
        <v>Baa2</v>
      </c>
      <c r="D34" s="13">
        <f>'10-year CDS Spreads'!C34</f>
        <v>1.52E-2</v>
      </c>
      <c r="E34" s="24">
        <f>'ERPs by country'!D40</f>
        <v>1.6822031843274077E-2</v>
      </c>
      <c r="F34" s="12">
        <f>'ERPs by country'!E40</f>
        <v>6.5635656450950999E-2</v>
      </c>
      <c r="G34" s="16">
        <f>'ERPs by country'!F40</f>
        <v>1.8435656450951004E-2</v>
      </c>
      <c r="H34" s="16">
        <f>'Country Tax Rates'!C34</f>
        <v>0.32</v>
      </c>
      <c r="I34" s="17" t="str">
        <f>VLOOKUP(A34,'Regional lookup table'!$A$2:$B$161,2)</f>
        <v>Central and South America</v>
      </c>
    </row>
    <row r="35" spans="1:9" ht="15.6">
      <c r="A35" s="10" t="str">
        <f>'Sovereign Ratings (Moody''s,S&amp;P)'!A35</f>
        <v>Congo (Democratic Republic of)</v>
      </c>
      <c r="B35" s="139">
        <f>'Country GDP'!B35</f>
        <v>47.3</v>
      </c>
      <c r="C35" s="11" t="str">
        <f>'Sovereign Ratings (Moody''s,S&amp;P)'!C35</f>
        <v>Caa1</v>
      </c>
      <c r="D35" s="13" t="str">
        <f>'10-year CDS Spreads'!C35</f>
        <v>NA</v>
      </c>
      <c r="E35" s="24">
        <f>'ERPs by country'!D41</f>
        <v>6.6251698870904069E-2</v>
      </c>
      <c r="F35" s="12">
        <f>'ERPs by country'!E41</f>
        <v>0.1198067796717549</v>
      </c>
      <c r="G35" s="16">
        <f>'ERPs by country'!F41</f>
        <v>7.2606779671754898E-2</v>
      </c>
      <c r="H35" s="16">
        <f>'Country Tax Rates'!C35</f>
        <v>0.35</v>
      </c>
      <c r="I35" s="17" t="str">
        <f>VLOOKUP(A35,'Regional lookup table'!$A$2:$B$161,2)</f>
        <v>Africa</v>
      </c>
    </row>
    <row r="36" spans="1:9" ht="15.6">
      <c r="A36" s="10" t="str">
        <f>'Sovereign Ratings (Moody''s,S&amp;P)'!A36</f>
        <v>Congo (Republic of)</v>
      </c>
      <c r="B36" s="139">
        <f>'Country GDP'!B36</f>
        <v>10.8</v>
      </c>
      <c r="C36" s="11" t="str">
        <f>'Sovereign Ratings (Moody''s,S&amp;P)'!C36</f>
        <v>Caa2</v>
      </c>
      <c r="D36" s="13" t="str">
        <f>'10-year CDS Spreads'!C36</f>
        <v>NA</v>
      </c>
      <c r="E36" s="24">
        <f>'ERPs by country'!D42</f>
        <v>7.9565818860604404E-2</v>
      </c>
      <c r="F36" s="12">
        <f>'ERPs by country'!E42</f>
        <v>0.1343980338296166</v>
      </c>
      <c r="G36" s="16">
        <f>'ERPs by country'!F42</f>
        <v>8.7198033829616592E-2</v>
      </c>
      <c r="H36" s="16">
        <f>'Country Tax Rates'!C36</f>
        <v>0.3</v>
      </c>
      <c r="I36" s="17" t="str">
        <f>VLOOKUP(A36,'Regional lookup table'!$A$2:$B$161,2)</f>
        <v>Africa</v>
      </c>
    </row>
    <row r="37" spans="1:9" ht="15.6">
      <c r="A37" s="10" t="str">
        <f>'Sovereign Ratings (Moody''s,S&amp;P)'!A37</f>
        <v>Cook Islands</v>
      </c>
      <c r="B37" s="139">
        <f>'Country GDP'!B37</f>
        <v>1.2</v>
      </c>
      <c r="C37" s="11" t="str">
        <f>'Sovereign Ratings (Moody''s,S&amp;P)'!C37</f>
        <v>B1</v>
      </c>
      <c r="D37" s="13" t="str">
        <f>'10-year CDS Spreads'!C37</f>
        <v>NA</v>
      </c>
      <c r="E37" s="24">
        <f>'ERPs by country'!D43</f>
        <v>3.9782909430302202E-2</v>
      </c>
      <c r="F37" s="12">
        <f>'ERPs by country'!E43</f>
        <v>9.0799016914808295E-2</v>
      </c>
      <c r="G37" s="16">
        <f>'ERPs by country'!F43</f>
        <v>4.3599016914808296E-2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5.6">
      <c r="A38" s="10" t="str">
        <f>'Sovereign Ratings (Moody''s,S&amp;P)'!A38</f>
        <v>Costa Rica</v>
      </c>
      <c r="B38" s="139">
        <f>'Country GDP'!B38</f>
        <v>61.8</v>
      </c>
      <c r="C38" s="11" t="str">
        <f>'Sovereign Ratings (Moody''s,S&amp;P)'!C38</f>
        <v>B2</v>
      </c>
      <c r="D38" s="13">
        <f>'10-year CDS Spreads'!C38</f>
        <v>6.13E-2</v>
      </c>
      <c r="E38" s="24">
        <f>'ERPs by country'!D44</f>
        <v>4.8632414333635951E-2</v>
      </c>
      <c r="F38" s="12">
        <f>'ERPs by country'!E44</f>
        <v>0.10049739542691996</v>
      </c>
      <c r="G38" s="16">
        <f>'ERPs by country'!F44</f>
        <v>5.3297395426919955E-2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5.6">
      <c r="A39" s="10" t="str">
        <f>'Sovereign Ratings (Moody''s,S&amp;P)'!A39</f>
        <v>Côte d'Ivoire</v>
      </c>
      <c r="B39" s="139">
        <f>'Country GDP'!B39</f>
        <v>58.8</v>
      </c>
      <c r="C39" s="11" t="str">
        <f>'Sovereign Ratings (Moody''s,S&amp;P)'!C39</f>
        <v>Ba3</v>
      </c>
      <c r="D39" s="13" t="str">
        <f>'10-year CDS Spreads'!C39</f>
        <v>NA</v>
      </c>
      <c r="E39" s="24">
        <f>'ERPs by country'!D45</f>
        <v>3.1810382490361881E-2</v>
      </c>
      <c r="F39" s="12">
        <f>'ERPs by country'!E45</f>
        <v>8.2061738975968967E-2</v>
      </c>
      <c r="G39" s="16">
        <f>'ERPs by country'!F45</f>
        <v>3.4861738975968962E-2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5.6">
      <c r="A40" s="10" t="str">
        <f>'Sovereign Ratings (Moody''s,S&amp;P)'!A40</f>
        <v>Croatia</v>
      </c>
      <c r="B40" s="139">
        <f>'Country GDP'!B40</f>
        <v>60.4</v>
      </c>
      <c r="C40" s="11" t="str">
        <f>'Sovereign Ratings (Moody''s,S&amp;P)'!C40</f>
        <v>Ba1</v>
      </c>
      <c r="D40" s="13">
        <f>'10-year CDS Spreads'!C40</f>
        <v>1.2800000000000001E-2</v>
      </c>
      <c r="E40" s="24">
        <f>'ERPs by country'!D46</f>
        <v>2.208389962363469E-2</v>
      </c>
      <c r="F40" s="12">
        <f>'ERPs by country'!E46</f>
        <v>7.1402259890584963E-2</v>
      </c>
      <c r="G40" s="16">
        <f>'ERPs by country'!F46</f>
        <v>2.4202259890584967E-2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5.6">
      <c r="A41" s="10" t="str">
        <f>'Sovereign Ratings (Moody''s,S&amp;P)'!A41</f>
        <v>Cuba</v>
      </c>
      <c r="B41" s="139">
        <f>'Country GDP'!B41</f>
        <v>100</v>
      </c>
      <c r="C41" s="11" t="str">
        <f>'Sovereign Ratings (Moody''s,S&amp;P)'!C41</f>
        <v>Caa2</v>
      </c>
      <c r="D41" s="13" t="str">
        <f>'10-year CDS Spreads'!C41</f>
        <v>NA</v>
      </c>
      <c r="E41" s="24">
        <f>'ERPs by country'!D47</f>
        <v>7.9565818860604404E-2</v>
      </c>
      <c r="F41" s="12">
        <f>'ERPs by country'!E47</f>
        <v>0.1343980338296166</v>
      </c>
      <c r="G41" s="16">
        <f>'ERPs by country'!F47</f>
        <v>8.7198033829616592E-2</v>
      </c>
      <c r="H41" s="16">
        <f>'Country Tax Rates'!C41</f>
        <v>0.27360000000000001</v>
      </c>
      <c r="I41" s="17" t="str">
        <f>VLOOKUP(A41,'Regional lookup table'!$A$2:$B$161,2)</f>
        <v>Caribbean</v>
      </c>
    </row>
    <row r="42" spans="1:9" ht="15.6">
      <c r="A42" s="10" t="str">
        <f>'Sovereign Ratings (Moody''s,S&amp;P)'!A42</f>
        <v>Curacao</v>
      </c>
      <c r="B42" s="139">
        <f>'Country GDP'!B42</f>
        <v>3.1</v>
      </c>
      <c r="C42" s="11" t="str">
        <f>'Sovereign Ratings (Moody''s,S&amp;P)'!C42</f>
        <v>A3</v>
      </c>
      <c r="D42" s="13" t="str">
        <f>'10-year CDS Spreads'!C42</f>
        <v>NA</v>
      </c>
      <c r="E42" s="24">
        <f>'ERPs by country'!D48</f>
        <v>1.0603460830120627E-2</v>
      </c>
      <c r="F42" s="12">
        <f>'ERPs by country'!E48</f>
        <v>5.8820579658656322E-2</v>
      </c>
      <c r="G42" s="16">
        <f>'ERPs by country'!F48</f>
        <v>1.1620579658656319E-2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5.6">
      <c r="A43" s="10" t="str">
        <f>'Sovereign Ratings (Moody''s,S&amp;P)'!A43</f>
        <v>Cyprus</v>
      </c>
      <c r="B43" s="139">
        <f>'Country GDP'!B43</f>
        <v>24.6</v>
      </c>
      <c r="C43" s="11" t="str">
        <f>'Sovereign Ratings (Moody''s,S&amp;P)'!C43</f>
        <v>Ba2</v>
      </c>
      <c r="D43" s="13">
        <f>'10-year CDS Spreads'!C43</f>
        <v>1.1900000000000001E-2</v>
      </c>
      <c r="E43" s="24">
        <f>'ERPs by country'!D49</f>
        <v>2.6548514710001261E-2</v>
      </c>
      <c r="F43" s="12">
        <f>'ERPs by country'!E49</f>
        <v>7.629513553633499E-2</v>
      </c>
      <c r="G43" s="16">
        <f>'ERPs by country'!F49</f>
        <v>2.9095135536334988E-2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5.6">
      <c r="A44" s="10" t="str">
        <f>'Sovereign Ratings (Moody''s,S&amp;P)'!A44</f>
        <v>Czech Republic</v>
      </c>
      <c r="B44" s="139">
        <f>'Country GDP'!B44</f>
        <v>246.5</v>
      </c>
      <c r="C44" s="11" t="str">
        <f>'Sovereign Ratings (Moody''s,S&amp;P)'!C44</f>
        <v>Aa3</v>
      </c>
      <c r="D44" s="13">
        <f>'10-year CDS Spreads'!C44</f>
        <v>5.1000000000000004E-3</v>
      </c>
      <c r="E44" s="24">
        <f>'ERPs by country'!D50</f>
        <v>5.3415930497600151E-3</v>
      </c>
      <c r="F44" s="12">
        <f>'ERPs by country'!E50</f>
        <v>5.3053976219022358E-2</v>
      </c>
      <c r="G44" s="16">
        <f>'ERPs by country'!F50</f>
        <v>5.8539762190223561E-3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5.6">
      <c r="A45" s="10" t="str">
        <f>'Sovereign Ratings (Moody''s,S&amp;P)'!A45</f>
        <v>Denmark</v>
      </c>
      <c r="B45" s="139">
        <f>'Country GDP'!B45</f>
        <v>348.1</v>
      </c>
      <c r="C45" s="11" t="str">
        <f>'Sovereign Ratings (Moody''s,S&amp;P)'!C45</f>
        <v>Aaa</v>
      </c>
      <c r="D45" s="13">
        <f>'10-year CDS Spreads'!C45</f>
        <v>1.6000000000000001E-3</v>
      </c>
      <c r="E45" s="24">
        <f>'ERPs by country'!D51</f>
        <v>0</v>
      </c>
      <c r="F45" s="12">
        <f>'ERPs by country'!E51</f>
        <v>4.7199999999999999E-2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5.6">
      <c r="A46" s="10" t="str">
        <f>'Sovereign Ratings (Moody''s,S&amp;P)'!A46</f>
        <v>Dominican Republic</v>
      </c>
      <c r="B46" s="139">
        <f>'Country GDP'!B46</f>
        <v>88.9</v>
      </c>
      <c r="C46" s="11" t="str">
        <f>'Sovereign Ratings (Moody''s,S&amp;P)'!C46</f>
        <v>Ba3</v>
      </c>
      <c r="D46" s="13" t="str">
        <f>'10-year CDS Spreads'!C46</f>
        <v>NA</v>
      </c>
      <c r="E46" s="24">
        <f>'ERPs by country'!D52</f>
        <v>3.1810382490361881E-2</v>
      </c>
      <c r="F46" s="12">
        <f>'ERPs by country'!E52</f>
        <v>8.2061738975968967E-2</v>
      </c>
      <c r="G46" s="16">
        <f>'ERPs by country'!F52</f>
        <v>3.4861738975968962E-2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5.6">
      <c r="A47" s="10" t="str">
        <f>'Sovereign Ratings (Moody''s,S&amp;P)'!A47</f>
        <v>Ecuador</v>
      </c>
      <c r="B47" s="139">
        <f>'Country GDP'!B47</f>
        <v>107.4</v>
      </c>
      <c r="C47" s="11" t="str">
        <f>'Sovereign Ratings (Moody''s,S&amp;P)'!C47</f>
        <v>Caa3</v>
      </c>
      <c r="D47" s="13" t="str">
        <f>'10-year CDS Spreads'!C47</f>
        <v>NA</v>
      </c>
      <c r="E47" s="24">
        <f>'ERPs by country'!D53</f>
        <v>8.8335598494538758E-2</v>
      </c>
      <c r="F47" s="12">
        <f>'ERPs by country'!E53</f>
        <v>0.14400903956233987</v>
      </c>
      <c r="G47" s="16">
        <f>'ERPs by country'!F53</f>
        <v>9.6809039562339869E-2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5.6">
      <c r="A48" s="10" t="str">
        <f>'Sovereign Ratings (Moody''s,S&amp;P)'!A48</f>
        <v>Egypt</v>
      </c>
      <c r="B48" s="139">
        <f>'Country GDP'!B48</f>
        <v>303.2</v>
      </c>
      <c r="C48" s="11" t="str">
        <f>'Sovereign Ratings (Moody''s,S&amp;P)'!C48</f>
        <v>B2</v>
      </c>
      <c r="D48" s="13">
        <f>'10-year CDS Spreads'!C48</f>
        <v>4.0800000000000003E-2</v>
      </c>
      <c r="E48" s="24">
        <f>'ERPs by country'!D54</f>
        <v>4.8632414333635951E-2</v>
      </c>
      <c r="F48" s="12">
        <f>'ERPs by country'!E54</f>
        <v>0.10049739542691996</v>
      </c>
      <c r="G48" s="16">
        <f>'ERPs by country'!F54</f>
        <v>5.3297395426919955E-2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5.6">
      <c r="A49" s="10" t="str">
        <f>'Sovereign Ratings (Moody''s,S&amp;P)'!A49</f>
        <v>El Salvador</v>
      </c>
      <c r="B49" s="139">
        <f>'Country GDP'!B49</f>
        <v>27</v>
      </c>
      <c r="C49" s="11" t="str">
        <f>'Sovereign Ratings (Moody''s,S&amp;P)'!C49</f>
        <v>B3</v>
      </c>
      <c r="D49" s="13">
        <f>'10-year CDS Spreads'!C49</f>
        <v>7.7799999999999994E-2</v>
      </c>
      <c r="E49" s="24">
        <f>'ERPs by country'!D55</f>
        <v>5.74819192369697E-2</v>
      </c>
      <c r="F49" s="12">
        <f>'ERPs by country'!E55</f>
        <v>0.1101957739390316</v>
      </c>
      <c r="G49" s="16">
        <f>'ERPs by country'!F55</f>
        <v>6.2995773939031607E-2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5.6">
      <c r="A50" s="10" t="str">
        <f>'Sovereign Ratings (Moody''s,S&amp;P)'!A50</f>
        <v>Estonia</v>
      </c>
      <c r="B50" s="139">
        <f>'Country GDP'!B50</f>
        <v>31.4</v>
      </c>
      <c r="C50" s="11" t="str">
        <f>'Sovereign Ratings (Moody''s,S&amp;P)'!C50</f>
        <v>A1</v>
      </c>
      <c r="D50" s="13">
        <f>'10-year CDS Spreads'!C50</f>
        <v>7.0000000000000001E-3</v>
      </c>
      <c r="E50" s="24">
        <f>'ERPs by country'!D56</f>
        <v>6.2185710131534505E-3</v>
      </c>
      <c r="F50" s="12">
        <f>'ERPs by country'!E56</f>
        <v>5.4015076792294683E-2</v>
      </c>
      <c r="G50" s="16">
        <f>'ERPs by country'!F56</f>
        <v>6.8150767922946836E-3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5.6">
      <c r="A51" s="10" t="str">
        <f>'Sovereign Ratings (Moody''s,S&amp;P)'!A51</f>
        <v>Ethiopia</v>
      </c>
      <c r="B51" s="139">
        <f>'Country GDP'!B51</f>
        <v>96.1</v>
      </c>
      <c r="C51" s="11" t="str">
        <f>'Sovereign Ratings (Moody''s,S&amp;P)'!C51</f>
        <v>B2</v>
      </c>
      <c r="D51" s="13" t="str">
        <f>'10-year CDS Spreads'!C51</f>
        <v>NA</v>
      </c>
      <c r="E51" s="24">
        <f>'ERPs by country'!D57</f>
        <v>4.8632414333635951E-2</v>
      </c>
      <c r="F51" s="12">
        <f>'ERPs by country'!E57</f>
        <v>0.10049739542691996</v>
      </c>
      <c r="G51" s="16">
        <f>'ERPs by country'!F57</f>
        <v>5.3297395426919955E-2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5.6">
      <c r="A52" s="10" t="str">
        <f>'Sovereign Ratings (Moody''s,S&amp;P)'!A52</f>
        <v>Fiji</v>
      </c>
      <c r="B52" s="139">
        <f>'Country GDP'!B52</f>
        <v>5.5</v>
      </c>
      <c r="C52" s="11" t="str">
        <f>'Sovereign Ratings (Moody''s,S&amp;P)'!C52</f>
        <v>Ba3</v>
      </c>
      <c r="D52" s="13" t="str">
        <f>'10-year CDS Spreads'!C52</f>
        <v>NA</v>
      </c>
      <c r="E52" s="24">
        <f>'ERPs by country'!D58</f>
        <v>3.1810382490361881E-2</v>
      </c>
      <c r="F52" s="12">
        <f>'ERPs by country'!E58</f>
        <v>8.2061738975968967E-2</v>
      </c>
      <c r="G52" s="16">
        <f>'ERPs by country'!F58</f>
        <v>3.4861738975968962E-2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5.6">
      <c r="A53" s="10" t="str">
        <f>'Sovereign Ratings (Moody''s,S&amp;P)'!A53</f>
        <v>Finland</v>
      </c>
      <c r="B53" s="139">
        <f>'Country GDP'!B53</f>
        <v>268.8</v>
      </c>
      <c r="C53" s="11" t="str">
        <f>'Sovereign Ratings (Moody''s,S&amp;P)'!C53</f>
        <v>Aa1</v>
      </c>
      <c r="D53" s="13">
        <f>'10-year CDS Spreads'!C53</f>
        <v>2.5000000000000001E-3</v>
      </c>
      <c r="E53" s="24">
        <f>'ERPs by country'!D59</f>
        <v>3.5079118535737406E-3</v>
      </c>
      <c r="F53" s="12">
        <f>'ERPs by country'!E59</f>
        <v>5.1044402293089305E-2</v>
      </c>
      <c r="G53" s="16">
        <f>'ERPs by country'!F59</f>
        <v>3.8444022930893078E-3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5.6">
      <c r="A54" s="10" t="str">
        <f>'Sovereign Ratings (Moody''s,S&amp;P)'!A54</f>
        <v>France</v>
      </c>
      <c r="B54" s="139">
        <f>'Country GDP'!B54</f>
        <v>2715.5</v>
      </c>
      <c r="C54" s="11" t="str">
        <f>'Sovereign Ratings (Moody''s,S&amp;P)'!C54</f>
        <v>Aa2</v>
      </c>
      <c r="D54" s="13">
        <f>'10-year CDS Spreads'!C54</f>
        <v>3.2000000000000002E-3</v>
      </c>
      <c r="E54" s="24">
        <f>'ERPs by country'!D60</f>
        <v>4.3848898169671765E-3</v>
      </c>
      <c r="F54" s="12">
        <f>'ERPs by country'!E60</f>
        <v>5.2005502866361637E-2</v>
      </c>
      <c r="G54" s="16">
        <f>'ERPs by country'!F60</f>
        <v>4.8055028663616358E-3</v>
      </c>
      <c r="H54" s="16">
        <f>'Country Tax Rates'!C54</f>
        <v>0.28000000000000003</v>
      </c>
      <c r="I54" s="17" t="str">
        <f>VLOOKUP(A54,'Regional lookup table'!$A$2:$B$161,2)</f>
        <v>Western Europe</v>
      </c>
    </row>
    <row r="55" spans="1:9" ht="15.6">
      <c r="A55" s="10" t="str">
        <f>'Sovereign Ratings (Moody''s,S&amp;P)'!A55</f>
        <v>Gabon</v>
      </c>
      <c r="B55" s="139">
        <f>'Country GDP'!B55</f>
        <v>16.7</v>
      </c>
      <c r="C55" s="11" t="str">
        <f>'Sovereign Ratings (Moody''s,S&amp;P)'!C55</f>
        <v>Caa1</v>
      </c>
      <c r="D55" s="13" t="str">
        <f>'10-year CDS Spreads'!C55</f>
        <v>NA</v>
      </c>
      <c r="E55" s="24">
        <f>'ERPs by country'!D61</f>
        <v>6.6251698870904069E-2</v>
      </c>
      <c r="F55" s="12">
        <f>'ERPs by country'!E61</f>
        <v>0.1198067796717549</v>
      </c>
      <c r="G55" s="16">
        <f>'ERPs by country'!F61</f>
        <v>7.2606779671754898E-2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5.6">
      <c r="A56" s="10" t="str">
        <f>'Sovereign Ratings (Moody''s,S&amp;P)'!A56</f>
        <v>Georgia</v>
      </c>
      <c r="B56" s="139">
        <f>'Country GDP'!B56</f>
        <v>17.7</v>
      </c>
      <c r="C56" s="11" t="str">
        <f>'Sovereign Ratings (Moody''s,S&amp;P)'!C56</f>
        <v>Ba2</v>
      </c>
      <c r="D56" s="13" t="str">
        <f>'10-year CDS Spreads'!C56</f>
        <v>NA</v>
      </c>
      <c r="E56" s="24">
        <f>'ERPs by country'!D62</f>
        <v>2.6548514710001261E-2</v>
      </c>
      <c r="F56" s="12">
        <f>'ERPs by country'!E62</f>
        <v>7.629513553633499E-2</v>
      </c>
      <c r="G56" s="16">
        <f>'ERPs by country'!F62</f>
        <v>2.9095135536334988E-2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5.6">
      <c r="A57" s="10" t="str">
        <f>'Sovereign Ratings (Moody''s,S&amp;P)'!A57</f>
        <v>Germany</v>
      </c>
      <c r="B57" s="139">
        <f>'Country GDP'!B57</f>
        <v>3845.6</v>
      </c>
      <c r="C57" s="11" t="str">
        <f>'Sovereign Ratings (Moody''s,S&amp;P)'!C57</f>
        <v>Aaa</v>
      </c>
      <c r="D57" s="13">
        <f>'10-year CDS Spreads'!C57</f>
        <v>2.3E-3</v>
      </c>
      <c r="E57" s="24">
        <f>'ERPs by country'!D63</f>
        <v>0</v>
      </c>
      <c r="F57" s="12">
        <f>'ERPs by country'!E63</f>
        <v>4.7199999999999999E-2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5.6">
      <c r="A58" s="10" t="str">
        <f>'Sovereign Ratings (Moody''s,S&amp;P)'!A58</f>
        <v>Ghana</v>
      </c>
      <c r="B58" s="139">
        <f>'Country GDP'!B58</f>
        <v>67</v>
      </c>
      <c r="C58" s="11" t="str">
        <f>'Sovereign Ratings (Moody''s,S&amp;P)'!C58</f>
        <v>B3</v>
      </c>
      <c r="D58" s="13" t="str">
        <f>'10-year CDS Spreads'!C58</f>
        <v>NA</v>
      </c>
      <c r="E58" s="24">
        <f>'ERPs by country'!D64</f>
        <v>5.74819192369697E-2</v>
      </c>
      <c r="F58" s="12">
        <f>'ERPs by country'!E64</f>
        <v>0.1101957739390316</v>
      </c>
      <c r="G58" s="16">
        <f>'ERPs by country'!F64</f>
        <v>6.2995773939031607E-2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5.6">
      <c r="A59" s="10" t="str">
        <f>'Sovereign Ratings (Moody''s,S&amp;P)'!A59</f>
        <v>Greece</v>
      </c>
      <c r="B59" s="139">
        <f>'Country GDP'!B59</f>
        <v>209.9</v>
      </c>
      <c r="C59" s="11" t="str">
        <f>'Sovereign Ratings (Moody''s,S&amp;P)'!C59</f>
        <v>Ba3</v>
      </c>
      <c r="D59" s="13">
        <f>'10-year CDS Spreads'!C59</f>
        <v>1.61E-2</v>
      </c>
      <c r="E59" s="24">
        <f>'ERPs by country'!D65</f>
        <v>3.1810382490361881E-2</v>
      </c>
      <c r="F59" s="12">
        <f>'ERPs by country'!E65</f>
        <v>8.2061738975968967E-2</v>
      </c>
      <c r="G59" s="16">
        <f>'ERPs by country'!F65</f>
        <v>3.4861738975968962E-2</v>
      </c>
      <c r="H59" s="16">
        <f>'Country Tax Rates'!C59</f>
        <v>0.24</v>
      </c>
      <c r="I59" s="17" t="str">
        <f>VLOOKUP(A59,'Regional lookup table'!$A$2:$B$161,2)</f>
        <v>Western Europe</v>
      </c>
    </row>
    <row r="60" spans="1:9" ht="15.6">
      <c r="A60" s="10" t="str">
        <f>'Sovereign Ratings (Moody''s,S&amp;P)'!A60</f>
        <v>Guatemala</v>
      </c>
      <c r="B60" s="139">
        <f>'Country GDP'!B60</f>
        <v>76.7</v>
      </c>
      <c r="C60" s="11" t="str">
        <f>'Sovereign Ratings (Moody''s,S&amp;P)'!C60</f>
        <v>Ba1</v>
      </c>
      <c r="D60" s="13" t="str">
        <f>'10-year CDS Spreads'!C60</f>
        <v>NA</v>
      </c>
      <c r="E60" s="24">
        <f>'ERPs by country'!D66</f>
        <v>2.208389962363469E-2</v>
      </c>
      <c r="F60" s="12">
        <f>'ERPs by country'!E66</f>
        <v>7.1402259890584963E-2</v>
      </c>
      <c r="G60" s="16">
        <f>'ERPs by country'!F66</f>
        <v>2.4202259890584967E-2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5.6">
      <c r="A61" s="10" t="str">
        <f>'Sovereign Ratings (Moody''s,S&amp;P)'!A61</f>
        <v>Guernsey (States of)</v>
      </c>
      <c r="B61" s="139">
        <f>'Country GDP'!B61</f>
        <v>2.5</v>
      </c>
      <c r="C61" s="11" t="str">
        <f>'Sovereign Ratings (Moody''s,S&amp;P)'!C61</f>
        <v>Aaa</v>
      </c>
      <c r="D61" s="13" t="str">
        <f>'10-year CDS Spreads'!C61</f>
        <v>NA</v>
      </c>
      <c r="E61" s="24">
        <f>'ERPs by country'!D67</f>
        <v>0</v>
      </c>
      <c r="F61" s="12">
        <f>'ERPs by country'!E67</f>
        <v>4.7199999999999999E-2</v>
      </c>
      <c r="G61" s="16">
        <f>'ERPs by country'!F67</f>
        <v>0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5.6">
      <c r="A62" s="10" t="str">
        <f>'Sovereign Ratings (Moody''s,S&amp;P)'!A62</f>
        <v>Honduras</v>
      </c>
      <c r="B62" s="139">
        <f>'Country GDP'!B62</f>
        <v>25.1</v>
      </c>
      <c r="C62" s="11" t="str">
        <f>'Sovereign Ratings (Moody''s,S&amp;P)'!C62</f>
        <v>B1</v>
      </c>
      <c r="D62" s="13" t="str">
        <f>'10-year CDS Spreads'!C62</f>
        <v>NA</v>
      </c>
      <c r="E62" s="24">
        <f>'ERPs by country'!D68</f>
        <v>3.9782909430302202E-2</v>
      </c>
      <c r="F62" s="12">
        <f>'ERPs by country'!E68</f>
        <v>9.0799016914808295E-2</v>
      </c>
      <c r="G62" s="16">
        <f>'ERPs by country'!F68</f>
        <v>4.3599016914808296E-2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5.6">
      <c r="A63" s="10" t="str">
        <f>'Sovereign Ratings (Moody''s,S&amp;P)'!A63</f>
        <v>Hong Kong</v>
      </c>
      <c r="B63" s="139">
        <f>'Country GDP'!B63</f>
        <v>366</v>
      </c>
      <c r="C63" s="11" t="str">
        <f>'Sovereign Ratings (Moody''s,S&amp;P)'!C63</f>
        <v>Aa3</v>
      </c>
      <c r="D63" s="13">
        <f>'10-year CDS Spreads'!C63</f>
        <v>7.3000000000000001E-3</v>
      </c>
      <c r="E63" s="24">
        <f>'ERPs by country'!D69</f>
        <v>5.3415930497600151E-3</v>
      </c>
      <c r="F63" s="12">
        <f>'ERPs by country'!E69</f>
        <v>5.3053976219022358E-2</v>
      </c>
      <c r="G63" s="16">
        <f>'ERPs by country'!F69</f>
        <v>5.8539762190223561E-3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5.6">
      <c r="A64" s="10" t="str">
        <f>'Sovereign Ratings (Moody''s,S&amp;P)'!A64</f>
        <v>Hungary</v>
      </c>
      <c r="B64" s="139">
        <f>'Country GDP'!B64</f>
        <v>161</v>
      </c>
      <c r="C64" s="11" t="str">
        <f>'Sovereign Ratings (Moody''s,S&amp;P)'!C64</f>
        <v>Baa3</v>
      </c>
      <c r="D64" s="13">
        <f>'10-year CDS Spreads'!C64</f>
        <v>9.4000000000000004E-3</v>
      </c>
      <c r="E64" s="24">
        <f>'ERPs by country'!D70</f>
        <v>1.9452965733454383E-2</v>
      </c>
      <c r="F64" s="12">
        <f>'ERPs by country'!E70</f>
        <v>6.8518958170767988E-2</v>
      </c>
      <c r="G64" s="16">
        <f>'ERPs by country'!F70</f>
        <v>2.1318958170767986E-2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5.6">
      <c r="A65" s="10" t="str">
        <f>'Sovereign Ratings (Moody''s,S&amp;P)'!A65</f>
        <v>Iceland</v>
      </c>
      <c r="B65" s="139">
        <f>'Country GDP'!B65</f>
        <v>24.2</v>
      </c>
      <c r="C65" s="11" t="str">
        <f>'Sovereign Ratings (Moody''s,S&amp;P)'!C65</f>
        <v>A2</v>
      </c>
      <c r="D65" s="13">
        <f>'10-year CDS Spreads'!C65</f>
        <v>8.5000000000000006E-3</v>
      </c>
      <c r="E65" s="24">
        <f>'ERPs by country'!D71</f>
        <v>7.4941753235439005E-3</v>
      </c>
      <c r="F65" s="12">
        <f>'ERPs by country'!E71</f>
        <v>5.5413041262508976E-2</v>
      </c>
      <c r="G65" s="16">
        <f>'ERPs by country'!F71</f>
        <v>8.2130412625089771E-3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5.6">
      <c r="A66" s="10" t="str">
        <f>'Sovereign Ratings (Moody''s,S&amp;P)'!A66</f>
        <v>India</v>
      </c>
      <c r="B66" s="139">
        <f>'Country GDP'!B66</f>
        <v>2875.1</v>
      </c>
      <c r="C66" s="11" t="str">
        <f>'Sovereign Ratings (Moody''s,S&amp;P)'!C66</f>
        <v>Baa3</v>
      </c>
      <c r="D66" s="13">
        <f>'10-year CDS Spreads'!C66</f>
        <v>1.24E-2</v>
      </c>
      <c r="E66" s="24">
        <f>'ERPs by country'!D72</f>
        <v>1.9452965733454383E-2</v>
      </c>
      <c r="F66" s="12">
        <f>'ERPs by country'!E72</f>
        <v>6.8518958170767988E-2</v>
      </c>
      <c r="G66" s="16">
        <f>'ERPs by country'!F72</f>
        <v>2.1318958170767986E-2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5.6">
      <c r="A67" s="10" t="str">
        <f>'Sovereign Ratings (Moody''s,S&amp;P)'!A67</f>
        <v>Indonesia</v>
      </c>
      <c r="B67" s="139">
        <f>'Country GDP'!B67</f>
        <v>1119.2</v>
      </c>
      <c r="C67" s="11" t="str">
        <f>'Sovereign Ratings (Moody''s,S&amp;P)'!C67</f>
        <v>Baa2</v>
      </c>
      <c r="D67" s="13">
        <f>'10-year CDS Spreads'!C67</f>
        <v>1.2800000000000001E-2</v>
      </c>
      <c r="E67" s="24">
        <f>'ERPs by country'!D73</f>
        <v>1.6822031843274077E-2</v>
      </c>
      <c r="F67" s="12">
        <f>'ERPs by country'!E73</f>
        <v>6.5635656450950999E-2</v>
      </c>
      <c r="G67" s="16">
        <f>'ERPs by country'!F73</f>
        <v>1.8435656450951004E-2</v>
      </c>
      <c r="H67" s="16">
        <f>'Country Tax Rates'!C67</f>
        <v>0.15</v>
      </c>
      <c r="I67" s="17" t="str">
        <f>VLOOKUP(A67,'Regional lookup table'!$A$2:$B$161,2)</f>
        <v>Asia</v>
      </c>
    </row>
    <row r="68" spans="1:9" ht="15.6">
      <c r="A68" s="10" t="str">
        <f>'Sovereign Ratings (Moody''s,S&amp;P)'!A68</f>
        <v>Iraq</v>
      </c>
      <c r="B68" s="139">
        <f>'Country GDP'!B68</f>
        <v>234.1</v>
      </c>
      <c r="C68" s="11" t="str">
        <f>'Sovereign Ratings (Moody''s,S&amp;P)'!C68</f>
        <v>Caa1</v>
      </c>
      <c r="D68" s="13">
        <f>'10-year CDS Spreads'!C68</f>
        <v>6.9800000000000001E-2</v>
      </c>
      <c r="E68" s="24">
        <f>'ERPs by country'!D74</f>
        <v>6.6251698870904069E-2</v>
      </c>
      <c r="F68" s="12">
        <f>'ERPs by country'!E74</f>
        <v>0.1198067796717549</v>
      </c>
      <c r="G68" s="16">
        <f>'ERPs by country'!F74</f>
        <v>7.2606779671754898E-2</v>
      </c>
      <c r="H68" s="16">
        <f>'Country Tax Rates'!C68</f>
        <v>0.15</v>
      </c>
      <c r="I68" s="17" t="str">
        <f>VLOOKUP(A68,'Regional lookup table'!$A$2:$B$161,2)</f>
        <v>Middle East</v>
      </c>
    </row>
    <row r="69" spans="1:9" ht="15.6">
      <c r="A69" s="10" t="str">
        <f>'Sovereign Ratings (Moody''s,S&amp;P)'!A69</f>
        <v>Ireland</v>
      </c>
      <c r="B69" s="139">
        <f>'Country GDP'!B69</f>
        <v>388.7</v>
      </c>
      <c r="C69" s="11" t="str">
        <f>'Sovereign Ratings (Moody''s,S&amp;P)'!C69</f>
        <v>A2</v>
      </c>
      <c r="D69" s="13">
        <f>'10-year CDS Spreads'!C69</f>
        <v>3.2000000000000002E-3</v>
      </c>
      <c r="E69" s="24">
        <f>'ERPs by country'!D75</f>
        <v>7.4941753235439005E-3</v>
      </c>
      <c r="F69" s="12">
        <f>'ERPs by country'!E75</f>
        <v>5.5413041262508976E-2</v>
      </c>
      <c r="G69" s="16">
        <f>'ERPs by country'!F75</f>
        <v>8.2130412625089771E-3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5.6">
      <c r="A70" s="10" t="str">
        <f>'Sovereign Ratings (Moody''s,S&amp;P)'!A70</f>
        <v>Isle of Man</v>
      </c>
      <c r="B70" s="139">
        <f>'Country GDP'!B70</f>
        <v>6.8</v>
      </c>
      <c r="C70" s="11" t="str">
        <f>'Sovereign Ratings (Moody''s,S&amp;P)'!C70</f>
        <v>Aa3</v>
      </c>
      <c r="D70" s="13" t="str">
        <f>'10-year CDS Spreads'!C70</f>
        <v>NA</v>
      </c>
      <c r="E70" s="24">
        <f>'ERPs by country'!D76</f>
        <v>5.3415930497600151E-3</v>
      </c>
      <c r="F70" s="12">
        <f>'ERPs by country'!E76</f>
        <v>5.3053976219022358E-2</v>
      </c>
      <c r="G70" s="16">
        <f>'ERPs by country'!F76</f>
        <v>5.8539762190223561E-3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5.6">
      <c r="A71" s="10" t="str">
        <f>'Sovereign Ratings (Moody''s,S&amp;P)'!A71</f>
        <v>Israel</v>
      </c>
      <c r="B71" s="139">
        <f>'Country GDP'!B71</f>
        <v>395.1</v>
      </c>
      <c r="C71" s="11" t="str">
        <f>'Sovereign Ratings (Moody''s,S&amp;P)'!C71</f>
        <v>A1</v>
      </c>
      <c r="D71" s="13">
        <f>'10-year CDS Spreads'!C71</f>
        <v>7.7000000000000002E-3</v>
      </c>
      <c r="E71" s="24">
        <f>'ERPs by country'!D77</f>
        <v>6.2185710131534505E-3</v>
      </c>
      <c r="F71" s="12">
        <f>'ERPs by country'!E77</f>
        <v>5.4015076792294683E-2</v>
      </c>
      <c r="G71" s="16">
        <f>'ERPs by country'!F77</f>
        <v>6.8150767922946836E-3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5.6">
      <c r="A72" s="10" t="str">
        <f>'Sovereign Ratings (Moody''s,S&amp;P)'!A72</f>
        <v>Italy</v>
      </c>
      <c r="B72" s="139">
        <f>'Country GDP'!B72</f>
        <v>2001.2</v>
      </c>
      <c r="C72" s="11" t="str">
        <f>'Sovereign Ratings (Moody''s,S&amp;P)'!C72</f>
        <v>Baa3</v>
      </c>
      <c r="D72" s="13">
        <f>'10-year CDS Spreads'!C72</f>
        <v>1.43E-2</v>
      </c>
      <c r="E72" s="24">
        <f>'ERPs by country'!D78</f>
        <v>1.9452965733454383E-2</v>
      </c>
      <c r="F72" s="12">
        <f>'ERPs by country'!E78</f>
        <v>6.8518958170767988E-2</v>
      </c>
      <c r="G72" s="16">
        <f>'ERPs by country'!F78</f>
        <v>2.1318958170767986E-2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5.6">
      <c r="A73" s="10" t="str">
        <f>'Sovereign Ratings (Moody''s,S&amp;P)'!A73</f>
        <v>Jamaica</v>
      </c>
      <c r="B73" s="139">
        <f>'Country GDP'!B73</f>
        <v>16.5</v>
      </c>
      <c r="C73" s="11" t="str">
        <f>'Sovereign Ratings (Moody''s,S&amp;P)'!C73</f>
        <v>B2</v>
      </c>
      <c r="D73" s="13" t="str">
        <f>'10-year CDS Spreads'!C73</f>
        <v>NA</v>
      </c>
      <c r="E73" s="24">
        <f>'ERPs by country'!D79</f>
        <v>4.8632414333635951E-2</v>
      </c>
      <c r="F73" s="12">
        <f>'ERPs by country'!E79</f>
        <v>0.10049739542691996</v>
      </c>
      <c r="G73" s="16">
        <f>'ERPs by country'!F79</f>
        <v>5.3297395426919955E-2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5.6">
      <c r="A74" s="10" t="str">
        <f>'Sovereign Ratings (Moody''s,S&amp;P)'!A74</f>
        <v>Japan</v>
      </c>
      <c r="B74" s="139">
        <f>'Country GDP'!B74</f>
        <v>5081.8</v>
      </c>
      <c r="C74" s="11" t="str">
        <f>'Sovereign Ratings (Moody''s,S&amp;P)'!C74</f>
        <v>A1</v>
      </c>
      <c r="D74" s="13">
        <f>'10-year CDS Spreads'!C74</f>
        <v>2.8E-3</v>
      </c>
      <c r="E74" s="24">
        <f>'ERPs by country'!D80</f>
        <v>6.2185710131534505E-3</v>
      </c>
      <c r="F74" s="12">
        <f>'ERPs by country'!E80</f>
        <v>5.4015076792294683E-2</v>
      </c>
      <c r="G74" s="16">
        <f>'ERPs by country'!F80</f>
        <v>6.8150767922946836E-3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5.6">
      <c r="A75" s="10" t="str">
        <f>'Sovereign Ratings (Moody''s,S&amp;P)'!A75</f>
        <v>Jersey (States of)</v>
      </c>
      <c r="B75" s="139">
        <f>'Country GDP'!B75</f>
        <v>1</v>
      </c>
      <c r="C75" s="11" t="str">
        <f>'Sovereign Ratings (Moody''s,S&amp;P)'!C75</f>
        <v>Aaa</v>
      </c>
      <c r="D75" s="13" t="str">
        <f>'10-year CDS Spreads'!C75</f>
        <v>NA</v>
      </c>
      <c r="E75" s="24">
        <f>'ERPs by country'!D81</f>
        <v>0</v>
      </c>
      <c r="F75" s="12">
        <f>'ERPs by country'!E81</f>
        <v>4.7199999999999999E-2</v>
      </c>
      <c r="G75" s="16">
        <f>'ERPs by country'!F81</f>
        <v>0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5.6">
      <c r="A76" s="10" t="str">
        <f>'Sovereign Ratings (Moody''s,S&amp;P)'!A76</f>
        <v>Jordan</v>
      </c>
      <c r="B76" s="139">
        <f>'Country GDP'!B76</f>
        <v>43.7</v>
      </c>
      <c r="C76" s="11" t="str">
        <f>'Sovereign Ratings (Moody''s,S&amp;P)'!C76</f>
        <v>B1</v>
      </c>
      <c r="D76" s="13" t="str">
        <f>'10-year CDS Spreads'!C76</f>
        <v>NA</v>
      </c>
      <c r="E76" s="24">
        <f>'ERPs by country'!D82</f>
        <v>3.9782909430302202E-2</v>
      </c>
      <c r="F76" s="12">
        <f>'ERPs by country'!E82</f>
        <v>9.0799016914808295E-2</v>
      </c>
      <c r="G76" s="16">
        <f>'ERPs by country'!F82</f>
        <v>4.3599016914808296E-2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5.6">
      <c r="A77" s="10" t="str">
        <f>'Sovereign Ratings (Moody''s,S&amp;P)'!A77</f>
        <v>Kazakhstan</v>
      </c>
      <c r="B77" s="139">
        <f>'Country GDP'!B77</f>
        <v>180.2</v>
      </c>
      <c r="C77" s="11" t="str">
        <f>'Sovereign Ratings (Moody''s,S&amp;P)'!C77</f>
        <v>Baa3</v>
      </c>
      <c r="D77" s="13">
        <f>'10-year CDS Spreads'!C77</f>
        <v>9.5999999999999992E-3</v>
      </c>
      <c r="E77" s="24">
        <f>'ERPs by country'!D83</f>
        <v>1.9452965733454383E-2</v>
      </c>
      <c r="F77" s="12">
        <f>'ERPs by country'!E83</f>
        <v>6.8518958170767988E-2</v>
      </c>
      <c r="G77" s="16">
        <f>'ERPs by country'!F83</f>
        <v>2.1318958170767986E-2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5.6">
      <c r="A78" s="10" t="str">
        <f>'Sovereign Ratings (Moody''s,S&amp;P)'!A78</f>
        <v>Kenya</v>
      </c>
      <c r="B78" s="139">
        <f>'Country GDP'!B78</f>
        <v>95.5</v>
      </c>
      <c r="C78" s="11" t="str">
        <f>'Sovereign Ratings (Moody''s,S&amp;P)'!C78</f>
        <v>B2</v>
      </c>
      <c r="D78" s="13">
        <f>'10-year CDS Spreads'!C78</f>
        <v>4.0599999999999997E-2</v>
      </c>
      <c r="E78" s="24">
        <f>'ERPs by country'!D84</f>
        <v>4.8632414333635951E-2</v>
      </c>
      <c r="F78" s="12">
        <f>'ERPs by country'!E84</f>
        <v>0.10049739542691996</v>
      </c>
      <c r="G78" s="16">
        <f>'ERPs by country'!F84</f>
        <v>5.3297395426919955E-2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5.6">
      <c r="A79" s="10" t="str">
        <f>'Sovereign Ratings (Moody''s,S&amp;P)'!A79</f>
        <v>Korea</v>
      </c>
      <c r="B79" s="139">
        <f>'Country GDP'!B79</f>
        <v>1642.4</v>
      </c>
      <c r="C79" s="11" t="str">
        <f>'Sovereign Ratings (Moody''s,S&amp;P)'!C79</f>
        <v>Aa2</v>
      </c>
      <c r="D79" s="13">
        <f>'10-year CDS Spreads'!C79</f>
        <v>4.1999999999999997E-3</v>
      </c>
      <c r="E79" s="24">
        <f>'ERPs by country'!D85</f>
        <v>4.3848898169671765E-3</v>
      </c>
      <c r="F79" s="12">
        <f>'ERPs by country'!E85</f>
        <v>5.2005502866361637E-2</v>
      </c>
      <c r="G79" s="16">
        <f>'ERPs by country'!F85</f>
        <v>4.8055028663616358E-3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5.6">
      <c r="A80" s="10" t="str">
        <f>'Sovereign Ratings (Moody''s,S&amp;P)'!A80</f>
        <v>Kuwait</v>
      </c>
      <c r="B80" s="139">
        <f>'Country GDP'!B80</f>
        <v>134.80000000000001</v>
      </c>
      <c r="C80" s="11" t="str">
        <f>'Sovereign Ratings (Moody''s,S&amp;P)'!C80</f>
        <v>A1</v>
      </c>
      <c r="D80" s="13">
        <f>'10-year CDS Spreads'!C80</f>
        <v>7.4999999999999997E-3</v>
      </c>
      <c r="E80" s="24">
        <f>'ERPs by country'!D86</f>
        <v>6.2185710131534505E-3</v>
      </c>
      <c r="F80" s="12">
        <f>'ERPs by country'!E86</f>
        <v>5.4015076792294683E-2</v>
      </c>
      <c r="G80" s="16">
        <f>'ERPs by country'!F86</f>
        <v>6.8150767922946836E-3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5.6">
      <c r="A81" s="10" t="str">
        <f>'Sovereign Ratings (Moody''s,S&amp;P)'!A81</f>
        <v>Kyrgyzstan</v>
      </c>
      <c r="B81" s="139">
        <f>'Country GDP'!B81</f>
        <v>8.5</v>
      </c>
      <c r="C81" s="11" t="str">
        <f>'Sovereign Ratings (Moody''s,S&amp;P)'!C81</f>
        <v>B2</v>
      </c>
      <c r="D81" s="13" t="str">
        <f>'10-year CDS Spreads'!C81</f>
        <v>NA</v>
      </c>
      <c r="E81" s="24">
        <f>'ERPs by country'!D87</f>
        <v>4.8632414333635951E-2</v>
      </c>
      <c r="F81" s="12">
        <f>'ERPs by country'!E87</f>
        <v>0.10049739542691996</v>
      </c>
      <c r="G81" s="16">
        <f>'ERPs by country'!F87</f>
        <v>5.3297395426919955E-2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5.6">
      <c r="A82" s="10" t="str">
        <f>'Sovereign Ratings (Moody''s,S&amp;P)'!A82</f>
        <v>Laos</v>
      </c>
      <c r="B82" s="139">
        <f>'Country GDP'!B82</f>
        <v>18.2</v>
      </c>
      <c r="C82" s="11" t="str">
        <f>'Sovereign Ratings (Moody''s,S&amp;P)'!C82</f>
        <v>Caa2</v>
      </c>
      <c r="D82" s="13" t="str">
        <f>'10-year CDS Spreads'!C82</f>
        <v>NA</v>
      </c>
      <c r="E82" s="24">
        <f>'ERPs by country'!D88</f>
        <v>7.9565818860604404E-2</v>
      </c>
      <c r="F82" s="12">
        <f>'ERPs by country'!E88</f>
        <v>0.1343980338296166</v>
      </c>
      <c r="G82" s="16">
        <f>'ERPs by country'!F88</f>
        <v>8.7198033829616592E-2</v>
      </c>
      <c r="H82" s="16">
        <f>'Country Tax Rates'!C82</f>
        <v>0.21129999999999999</v>
      </c>
      <c r="I82" s="17" t="str">
        <f>VLOOKUP(A82,'Regional lookup table'!$A$2:$B$161,2)</f>
        <v>Asia</v>
      </c>
    </row>
    <row r="83" spans="1:9" ht="15.6">
      <c r="A83" s="10" t="str">
        <f>'Sovereign Ratings (Moody''s,S&amp;P)'!A83</f>
        <v>Latvia</v>
      </c>
      <c r="B83" s="139">
        <f>'Country GDP'!B83</f>
        <v>34.1</v>
      </c>
      <c r="C83" s="11" t="str">
        <f>'Sovereign Ratings (Moody''s,S&amp;P)'!C83</f>
        <v>A3</v>
      </c>
      <c r="D83" s="13">
        <f>'10-year CDS Spreads'!C83</f>
        <v>9.2999999999999992E-3</v>
      </c>
      <c r="E83" s="24">
        <f>'ERPs by country'!D89</f>
        <v>1.0603460830120627E-2</v>
      </c>
      <c r="F83" s="12">
        <f>'ERPs by country'!E89</f>
        <v>5.8820579658656322E-2</v>
      </c>
      <c r="G83" s="16">
        <f>'ERPs by country'!F89</f>
        <v>1.1620579658656319E-2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5.6">
      <c r="A84" s="10" t="str">
        <f>'Sovereign Ratings (Moody''s,S&amp;P)'!A84</f>
        <v>Lebanon</v>
      </c>
      <c r="B84" s="139">
        <f>'Country GDP'!B84</f>
        <v>53.4</v>
      </c>
      <c r="C84" s="11" t="str">
        <f>'Sovereign Ratings (Moody''s,S&amp;P)'!C84</f>
        <v>C</v>
      </c>
      <c r="D84" s="13" t="str">
        <f>'10-year CDS Spreads'!C84</f>
        <v>NA</v>
      </c>
      <c r="E84" s="24">
        <f>'ERPs by country'!D90</f>
        <v>0.17499999999999999</v>
      </c>
      <c r="F84" s="12">
        <f>'ERPs by country'!E90</f>
        <v>0.23898657542527282</v>
      </c>
      <c r="G84" s="16">
        <f>'ERPs by country'!F90</f>
        <v>0.19178657542527283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5.6">
      <c r="A85" s="10" t="str">
        <f>'Sovereign Ratings (Moody''s,S&amp;P)'!A85</f>
        <v>Liechtenstein</v>
      </c>
      <c r="B85" s="139">
        <f>'Country GDP'!B85</f>
        <v>6.6</v>
      </c>
      <c r="C85" s="11" t="str">
        <f>'Sovereign Ratings (Moody''s,S&amp;P)'!C85</f>
        <v>Aaa</v>
      </c>
      <c r="D85" s="13" t="str">
        <f>'10-year CDS Spreads'!C85</f>
        <v>NA</v>
      </c>
      <c r="E85" s="24">
        <f>'ERPs by country'!D91</f>
        <v>0</v>
      </c>
      <c r="F85" s="12">
        <f>'ERPs by country'!E91</f>
        <v>4.7199999999999999E-2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5.6">
      <c r="A86" s="10" t="str">
        <f>'Sovereign Ratings (Moody''s,S&amp;P)'!A86</f>
        <v>Lithuania</v>
      </c>
      <c r="B86" s="139">
        <f>'Country GDP'!B86</f>
        <v>54.2</v>
      </c>
      <c r="C86" s="11" t="str">
        <f>'Sovereign Ratings (Moody''s,S&amp;P)'!C86</f>
        <v>A3</v>
      </c>
      <c r="D86" s="13">
        <f>'10-year CDS Spreads'!C86</f>
        <v>8.9999999999999993E-3</v>
      </c>
      <c r="E86" s="24">
        <f>'ERPs by country'!D92</f>
        <v>1.0603460830120627E-2</v>
      </c>
      <c r="F86" s="12">
        <f>'ERPs by country'!E92</f>
        <v>5.8820579658656322E-2</v>
      </c>
      <c r="G86" s="16">
        <f>'ERPs by country'!F92</f>
        <v>1.1620579658656319E-2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5.6">
      <c r="A87" s="10" t="str">
        <f>'Sovereign Ratings (Moody''s,S&amp;P)'!A87</f>
        <v>Luxembourg</v>
      </c>
      <c r="B87" s="139">
        <f>'Country GDP'!B87</f>
        <v>71.099999999999994</v>
      </c>
      <c r="C87" s="11" t="str">
        <f>'Sovereign Ratings (Moody''s,S&amp;P)'!C87</f>
        <v>Aaa</v>
      </c>
      <c r="D87" s="13" t="str">
        <f>'10-year CDS Spreads'!C87</f>
        <v>NA</v>
      </c>
      <c r="E87" s="24">
        <f>'ERPs by country'!D93</f>
        <v>0</v>
      </c>
      <c r="F87" s="12">
        <f>'ERPs by country'!E93</f>
        <v>4.7199999999999999E-2</v>
      </c>
      <c r="G87" s="16">
        <f>'ERPs by country'!F93</f>
        <v>0</v>
      </c>
      <c r="H87" s="16">
        <f>'Country Tax Rates'!C87</f>
        <v>0.24940000000000001</v>
      </c>
      <c r="I87" s="17" t="str">
        <f>VLOOKUP(A87,'Regional lookup table'!$A$2:$B$161,2)</f>
        <v>Western Europe</v>
      </c>
    </row>
    <row r="88" spans="1:9" ht="15.6">
      <c r="A88" s="10" t="str">
        <f>'Sovereign Ratings (Moody''s,S&amp;P)'!A88</f>
        <v>Macao</v>
      </c>
      <c r="B88" s="139">
        <f>'Country GDP'!B88</f>
        <v>53.9</v>
      </c>
      <c r="C88" s="11" t="str">
        <f>'Sovereign Ratings (Moody''s,S&amp;P)'!C88</f>
        <v>Aa3</v>
      </c>
      <c r="D88" s="13" t="str">
        <f>'10-year CDS Spreads'!C88</f>
        <v>NA</v>
      </c>
      <c r="E88" s="24">
        <f>'ERPs by country'!D94</f>
        <v>5.3415930497600151E-3</v>
      </c>
      <c r="F88" s="12">
        <f>'ERPs by country'!E94</f>
        <v>5.3053976219022358E-2</v>
      </c>
      <c r="G88" s="16">
        <f>'ERPs by country'!F94</f>
        <v>5.8539762190223561E-3</v>
      </c>
      <c r="H88" s="16">
        <f>'Country Tax Rates'!C88</f>
        <v>0.12</v>
      </c>
      <c r="I88" s="17" t="str">
        <f>VLOOKUP(A88,'Regional lookup table'!$A$2:$B$161,2)</f>
        <v>Asia</v>
      </c>
    </row>
    <row r="89" spans="1:9" ht="15.6">
      <c r="A89" s="10" t="str">
        <f>'Sovereign Ratings (Moody''s,S&amp;P)'!A89</f>
        <v>Macedonia</v>
      </c>
      <c r="B89" s="139">
        <f>'Country GDP'!B89</f>
        <v>12.7</v>
      </c>
      <c r="C89" s="11" t="str">
        <f>'Sovereign Ratings (Moody''s,S&amp;P)'!C89</f>
        <v>Ba3</v>
      </c>
      <c r="D89" s="13" t="str">
        <f>'10-year CDS Spreads'!C89</f>
        <v>NA</v>
      </c>
      <c r="E89" s="24">
        <f>'ERPs by country'!D95</f>
        <v>3.1810382490361881E-2</v>
      </c>
      <c r="F89" s="12">
        <f>'ERPs by country'!E95</f>
        <v>8.2061738975968967E-2</v>
      </c>
      <c r="G89" s="16">
        <f>'ERPs by country'!F95</f>
        <v>3.4861738975968962E-2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5.6">
      <c r="A90" s="10" t="str">
        <f>'Sovereign Ratings (Moody''s,S&amp;P)'!A90</f>
        <v>Malaysia</v>
      </c>
      <c r="B90" s="139">
        <f>'Country GDP'!B90</f>
        <v>364.7</v>
      </c>
      <c r="C90" s="11" t="str">
        <f>'Sovereign Ratings (Moody''s,S&amp;P)'!C90</f>
        <v>A3</v>
      </c>
      <c r="D90" s="13">
        <f>'10-year CDS Spreads'!C90</f>
        <v>7.0000000000000001E-3</v>
      </c>
      <c r="E90" s="24">
        <f>'ERPs by country'!D96</f>
        <v>1.0603460830120627E-2</v>
      </c>
      <c r="F90" s="12">
        <f>'ERPs by country'!E96</f>
        <v>5.8820579658656322E-2</v>
      </c>
      <c r="G90" s="16">
        <f>'ERPs by country'!F96</f>
        <v>1.1620579658656319E-2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5.6">
      <c r="A91" s="10" t="str">
        <f>'Sovereign Ratings (Moody''s,S&amp;P)'!A91</f>
        <v>Maldives</v>
      </c>
      <c r="B91" s="139">
        <f>'Country GDP'!B91</f>
        <v>5.7</v>
      </c>
      <c r="C91" s="11" t="str">
        <f>'Sovereign Ratings (Moody''s,S&amp;P)'!C91</f>
        <v>B3</v>
      </c>
      <c r="D91" s="13" t="str">
        <f>'10-year CDS Spreads'!C91</f>
        <v>NA</v>
      </c>
      <c r="E91" s="24">
        <f>'ERPs by country'!D97</f>
        <v>5.74819192369697E-2</v>
      </c>
      <c r="F91" s="12">
        <f>'ERPs by country'!E97</f>
        <v>0.1101957739390316</v>
      </c>
      <c r="G91" s="16">
        <f>'ERPs by country'!F97</f>
        <v>6.2995773939031607E-2</v>
      </c>
      <c r="H91" s="16">
        <f>'Country Tax Rates'!C91</f>
        <v>0.21129999999999999</v>
      </c>
      <c r="I91" s="17" t="str">
        <f>VLOOKUP(A91,'Regional lookup table'!$A$2:$B$161,2)</f>
        <v>Asia</v>
      </c>
    </row>
    <row r="92" spans="1:9" ht="15.6">
      <c r="A92" s="10" t="str">
        <f>'Sovereign Ratings (Moody''s,S&amp;P)'!A92</f>
        <v>Mali</v>
      </c>
      <c r="B92" s="139">
        <f>'Country GDP'!B92</f>
        <v>17.5</v>
      </c>
      <c r="C92" s="11" t="str">
        <f>'Sovereign Ratings (Moody''s,S&amp;P)'!C92</f>
        <v>Caa1</v>
      </c>
      <c r="D92" s="13" t="str">
        <f>'10-year CDS Spreads'!C92</f>
        <v>NA</v>
      </c>
      <c r="E92" s="24">
        <f>'ERPs by country'!D98</f>
        <v>6.6251698870904069E-2</v>
      </c>
      <c r="F92" s="12">
        <f>'ERPs by country'!E98</f>
        <v>0.1198067796717549</v>
      </c>
      <c r="G92" s="16">
        <f>'ERPs by country'!F98</f>
        <v>7.2606779671754898E-2</v>
      </c>
      <c r="H92" s="16">
        <f>'Country Tax Rates'!C92</f>
        <v>0.28249999999999997</v>
      </c>
      <c r="I92" s="17" t="str">
        <f>VLOOKUP(A92,'Regional lookup table'!$A$2:$B$161,2)</f>
        <v>Africa</v>
      </c>
    </row>
    <row r="93" spans="1:9" ht="15.6">
      <c r="A93" s="10" t="str">
        <f>'Sovereign Ratings (Moody''s,S&amp;P)'!A93</f>
        <v>Malta</v>
      </c>
      <c r="B93" s="139">
        <f>'Country GDP'!B93</f>
        <v>14.8</v>
      </c>
      <c r="C93" s="11" t="str">
        <f>'Sovereign Ratings (Moody''s,S&amp;P)'!C93</f>
        <v>A2</v>
      </c>
      <c r="D93" s="13" t="str">
        <f>'10-year CDS Spreads'!C93</f>
        <v>NA</v>
      </c>
      <c r="E93" s="24">
        <f>'ERPs by country'!D99</f>
        <v>7.4941753235439005E-3</v>
      </c>
      <c r="F93" s="12">
        <f>'ERPs by country'!E99</f>
        <v>5.5413041262508976E-2</v>
      </c>
      <c r="G93" s="16">
        <f>'ERPs by country'!F99</f>
        <v>8.2130412625089771E-3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5.6">
      <c r="A94" s="10" t="str">
        <f>'Sovereign Ratings (Moody''s,S&amp;P)'!A94</f>
        <v>Mauritius</v>
      </c>
      <c r="B94" s="139">
        <f>'Country GDP'!B94</f>
        <v>14.2</v>
      </c>
      <c r="C94" s="11" t="str">
        <f>'Sovereign Ratings (Moody''s,S&amp;P)'!C94</f>
        <v>Baa1</v>
      </c>
      <c r="D94" s="13" t="str">
        <f>'10-year CDS Spreads'!C94</f>
        <v>NA</v>
      </c>
      <c r="E94" s="24">
        <f>'ERPs by country'!D100</f>
        <v>1.4111372683694367E-2</v>
      </c>
      <c r="F94" s="12">
        <f>'ERPs by country'!E100</f>
        <v>6.2664981951745621E-2</v>
      </c>
      <c r="G94" s="16">
        <f>'ERPs by country'!F100</f>
        <v>1.5464981951745628E-2</v>
      </c>
      <c r="H94" s="16">
        <f>'Country Tax Rates'!C94</f>
        <v>0.15</v>
      </c>
      <c r="I94" s="17" t="str">
        <f>VLOOKUP(A94,'Regional lookup table'!$A$2:$B$161,2)</f>
        <v>Asia</v>
      </c>
    </row>
    <row r="95" spans="1:9" ht="15.6">
      <c r="A95" s="10" t="str">
        <f>'Sovereign Ratings (Moody''s,S&amp;P)'!A95</f>
        <v>Mexico</v>
      </c>
      <c r="B95" s="139">
        <f>'Country GDP'!B95</f>
        <v>1258.3</v>
      </c>
      <c r="C95" s="11" t="str">
        <f>'Sovereign Ratings (Moody''s,S&amp;P)'!C95</f>
        <v>Baa1</v>
      </c>
      <c r="D95" s="13">
        <f>'10-year CDS Spreads'!C95</f>
        <v>1.4500000000000001E-2</v>
      </c>
      <c r="E95" s="24">
        <f>'ERPs by country'!D101</f>
        <v>1.4111372683694367E-2</v>
      </c>
      <c r="F95" s="12">
        <f>'ERPs by country'!E101</f>
        <v>6.2664981951745621E-2</v>
      </c>
      <c r="G95" s="16">
        <f>'ERPs by country'!F101</f>
        <v>1.5464981951745628E-2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5.6">
      <c r="A96" s="10" t="str">
        <f>'Sovereign Ratings (Moody''s,S&amp;P)'!A96</f>
        <v>Moldova</v>
      </c>
      <c r="B96" s="139">
        <f>'Country GDP'!B96</f>
        <v>12</v>
      </c>
      <c r="C96" s="11" t="str">
        <f>'Sovereign Ratings (Moody''s,S&amp;P)'!C96</f>
        <v>B3</v>
      </c>
      <c r="D96" s="13" t="str">
        <f>'10-year CDS Spreads'!C96</f>
        <v>NA</v>
      </c>
      <c r="E96" s="24">
        <f>'ERPs by country'!D102</f>
        <v>5.74819192369697E-2</v>
      </c>
      <c r="F96" s="12">
        <f>'ERPs by country'!E102</f>
        <v>0.1101957739390316</v>
      </c>
      <c r="G96" s="16">
        <f>'ERPs by country'!F102</f>
        <v>6.2995773939031607E-2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5.6">
      <c r="A97" s="10" t="str">
        <f>'Sovereign Ratings (Moody''s,S&amp;P)'!A97</f>
        <v>Mongolia</v>
      </c>
      <c r="B97" s="139">
        <f>'Country GDP'!B97</f>
        <v>13.9</v>
      </c>
      <c r="C97" s="11" t="str">
        <f>'Sovereign Ratings (Moody''s,S&amp;P)'!C97</f>
        <v>B3</v>
      </c>
      <c r="D97" s="13" t="str">
        <f>'10-year CDS Spreads'!C97</f>
        <v>NA</v>
      </c>
      <c r="E97" s="24">
        <f>'ERPs by country'!D103</f>
        <v>5.74819192369697E-2</v>
      </c>
      <c r="F97" s="12">
        <f>'ERPs by country'!E103</f>
        <v>0.1101957739390316</v>
      </c>
      <c r="G97" s="16">
        <f>'ERPs by country'!F103</f>
        <v>6.2995773939031607E-2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5.6">
      <c r="A98" s="10" t="str">
        <f>'Sovereign Ratings (Moody''s,S&amp;P)'!A98</f>
        <v>Montenegro</v>
      </c>
      <c r="B98" s="139">
        <f>'Country GDP'!B98</f>
        <v>5.5</v>
      </c>
      <c r="C98" s="11" t="str">
        <f>'Sovereign Ratings (Moody''s,S&amp;P)'!C98</f>
        <v>B1</v>
      </c>
      <c r="D98" s="13" t="str">
        <f>'10-year CDS Spreads'!C98</f>
        <v>NA</v>
      </c>
      <c r="E98" s="24">
        <f>'ERPs by country'!D104</f>
        <v>3.9782909430302202E-2</v>
      </c>
      <c r="F98" s="12">
        <f>'ERPs by country'!E104</f>
        <v>9.0799016914808295E-2</v>
      </c>
      <c r="G98" s="16">
        <f>'ERPs by country'!F104</f>
        <v>4.3599016914808296E-2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5.6">
      <c r="A99" s="10" t="str">
        <f>'Sovereign Ratings (Moody''s,S&amp;P)'!A99</f>
        <v>Montserrat</v>
      </c>
      <c r="B99" s="139">
        <f>'Country GDP'!B99</f>
        <v>1.5</v>
      </c>
      <c r="C99" s="11" t="str">
        <f>'Sovereign Ratings (Moody''s,S&amp;P)'!C99</f>
        <v>Baa3</v>
      </c>
      <c r="D99" s="13" t="str">
        <f>'10-year CDS Spreads'!C99</f>
        <v>NA</v>
      </c>
      <c r="E99" s="24">
        <f>'ERPs by country'!D105</f>
        <v>1.9452965733454383E-2</v>
      </c>
      <c r="F99" s="12">
        <f>'ERPs by country'!E105</f>
        <v>6.8518958170767988E-2</v>
      </c>
      <c r="G99" s="16">
        <f>'ERPs by country'!F105</f>
        <v>2.1318958170767986E-2</v>
      </c>
      <c r="H99" s="16">
        <f>'Country Tax Rates'!C99</f>
        <v>0.21129999999999999</v>
      </c>
      <c r="I99" s="17" t="str">
        <f>VLOOKUP(A99,'Regional lookup table'!$A$2:$B$161,2)</f>
        <v>Caribbean</v>
      </c>
    </row>
    <row r="100" spans="1:9" ht="15.6">
      <c r="A100" s="10" t="str">
        <f>'Sovereign Ratings (Moody''s,S&amp;P)'!A100</f>
        <v>Morocco</v>
      </c>
      <c r="B100" s="139">
        <f>'Country GDP'!B100</f>
        <v>118.7</v>
      </c>
      <c r="C100" s="11" t="str">
        <f>'Sovereign Ratings (Moody''s,S&amp;P)'!C100</f>
        <v>Ba1</v>
      </c>
      <c r="D100" s="13">
        <f>'10-year CDS Spreads'!C100</f>
        <v>1.5599999999999999E-2</v>
      </c>
      <c r="E100" s="24">
        <f>'ERPs by country'!D106</f>
        <v>2.208389962363469E-2</v>
      </c>
      <c r="F100" s="12">
        <f>'ERPs by country'!E106</f>
        <v>7.1402259890584963E-2</v>
      </c>
      <c r="G100" s="16">
        <f>'ERPs by country'!F106</f>
        <v>2.4202259890584967E-2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5.6">
      <c r="A101" s="10" t="str">
        <f>'Sovereign Ratings (Moody''s,S&amp;P)'!A101</f>
        <v>Mozambique</v>
      </c>
      <c r="B101" s="139">
        <f>'Country GDP'!B101</f>
        <v>14.9</v>
      </c>
      <c r="C101" s="11" t="str">
        <f>'Sovereign Ratings (Moody''s,S&amp;P)'!C101</f>
        <v>Caa2</v>
      </c>
      <c r="D101" s="13" t="str">
        <f>'10-year CDS Spreads'!C101</f>
        <v>NA</v>
      </c>
      <c r="E101" s="24">
        <f>'ERPs by country'!D107</f>
        <v>7.9565818860604404E-2</v>
      </c>
      <c r="F101" s="12">
        <f>'ERPs by country'!E107</f>
        <v>0.1343980338296166</v>
      </c>
      <c r="G101" s="16">
        <f>'ERPs by country'!F107</f>
        <v>8.7198033829616592E-2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5.6">
      <c r="A102" s="10" t="str">
        <f>'Sovereign Ratings (Moody''s,S&amp;P)'!A102</f>
        <v>Namibia</v>
      </c>
      <c r="B102" s="139">
        <f>'Country GDP'!B102</f>
        <v>12.4</v>
      </c>
      <c r="C102" s="11" t="str">
        <f>'Sovereign Ratings (Moody''s,S&amp;P)'!C102</f>
        <v>Ba3</v>
      </c>
      <c r="D102" s="13" t="str">
        <f>'10-year CDS Spreads'!C102</f>
        <v>NA</v>
      </c>
      <c r="E102" s="24">
        <f>'ERPs by country'!D108</f>
        <v>3.1810382490361881E-2</v>
      </c>
      <c r="F102" s="12">
        <f>'ERPs by country'!E108</f>
        <v>8.2061738975968967E-2</v>
      </c>
      <c r="G102" s="16">
        <f>'ERPs by country'!F108</f>
        <v>3.4861738975968962E-2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5.6">
      <c r="A103" s="10" t="str">
        <f>'Sovereign Ratings (Moody''s,S&amp;P)'!A103</f>
        <v>Netherlands</v>
      </c>
      <c r="B103" s="139">
        <f>'Country GDP'!B103</f>
        <v>909.1</v>
      </c>
      <c r="C103" s="11" t="str">
        <f>'Sovereign Ratings (Moody''s,S&amp;P)'!C103</f>
        <v>Aaa</v>
      </c>
      <c r="D103" s="13">
        <f>'10-year CDS Spreads'!C103</f>
        <v>2E-3</v>
      </c>
      <c r="E103" s="24">
        <f>'ERPs by country'!D109</f>
        <v>0</v>
      </c>
      <c r="F103" s="12">
        <f>'ERPs by country'!E109</f>
        <v>4.7199999999999999E-2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5.6">
      <c r="A104" s="10" t="str">
        <f>'Sovereign Ratings (Moody''s,S&amp;P)'!A104</f>
        <v>New Zealand</v>
      </c>
      <c r="B104" s="139">
        <f>'Country GDP'!B104</f>
        <v>206.9</v>
      </c>
      <c r="C104" s="11" t="str">
        <f>'Sovereign Ratings (Moody''s,S&amp;P)'!C104</f>
        <v>Aaa</v>
      </c>
      <c r="D104" s="13">
        <f>'10-year CDS Spreads'!C104</f>
        <v>2.5000000000000001E-3</v>
      </c>
      <c r="E104" s="24">
        <f>'ERPs by country'!D110</f>
        <v>0</v>
      </c>
      <c r="F104" s="12">
        <f>'ERPs by country'!E110</f>
        <v>4.7199999999999999E-2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5.6">
      <c r="A105" s="10" t="str">
        <f>'Sovereign Ratings (Moody''s,S&amp;P)'!A105</f>
        <v>Nicaragua</v>
      </c>
      <c r="B105" s="139">
        <f>'Country GDP'!B105</f>
        <v>12.5</v>
      </c>
      <c r="C105" s="11" t="str">
        <f>'Sovereign Ratings (Moody''s,S&amp;P)'!C105</f>
        <v>B3</v>
      </c>
      <c r="D105" s="13" t="str">
        <f>'10-year CDS Spreads'!C105</f>
        <v>NA</v>
      </c>
      <c r="E105" s="24">
        <f>'ERPs by country'!D111</f>
        <v>5.74819192369697E-2</v>
      </c>
      <c r="F105" s="12">
        <f>'ERPs by country'!E111</f>
        <v>0.1101957739390316</v>
      </c>
      <c r="G105" s="16">
        <f>'ERPs by country'!F111</f>
        <v>6.2995773939031607E-2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5.6">
      <c r="A106" s="10" t="str">
        <f>'Sovereign Ratings (Moody''s,S&amp;P)'!A106</f>
        <v>Niger</v>
      </c>
      <c r="B106" s="139">
        <f>'Country GDP'!B106</f>
        <v>12.9</v>
      </c>
      <c r="C106" s="11" t="str">
        <f>'Sovereign Ratings (Moody''s,S&amp;P)'!C106</f>
        <v>B3</v>
      </c>
      <c r="D106" s="13" t="str">
        <f>'10-year CDS Spreads'!C106</f>
        <v>NA</v>
      </c>
      <c r="E106" s="24">
        <f>'ERPs by country'!D112</f>
        <v>5.74819192369697E-2</v>
      </c>
      <c r="F106" s="12">
        <f>'ERPs by country'!E112</f>
        <v>0.1101957739390316</v>
      </c>
      <c r="G106" s="16">
        <f>'ERPs by country'!F112</f>
        <v>6.2995773939031607E-2</v>
      </c>
      <c r="H106" s="16">
        <f>'Country Tax Rates'!C106</f>
        <v>0.28249999999999997</v>
      </c>
      <c r="I106" s="17" t="str">
        <f>VLOOKUP(A106,'Regional lookup table'!$A$2:$B$161,2)</f>
        <v>Africa</v>
      </c>
    </row>
    <row r="107" spans="1:9" ht="15.6">
      <c r="A107" s="10" t="str">
        <f>'Sovereign Ratings (Moody''s,S&amp;P)'!A107</f>
        <v>Nigeria</v>
      </c>
      <c r="B107" s="139">
        <f>'Country GDP'!B107</f>
        <v>448.1</v>
      </c>
      <c r="C107" s="11" t="str">
        <f>'Sovereign Ratings (Moody''s,S&amp;P)'!C107</f>
        <v>B2</v>
      </c>
      <c r="D107" s="13">
        <f>'10-year CDS Spreads'!C107</f>
        <v>3.5900000000000001E-2</v>
      </c>
      <c r="E107" s="24">
        <f>'ERPs by country'!D113</f>
        <v>4.8632414333635951E-2</v>
      </c>
      <c r="F107" s="12">
        <f>'ERPs by country'!E113</f>
        <v>0.10049739542691996</v>
      </c>
      <c r="G107" s="16">
        <f>'ERPs by country'!F113</f>
        <v>5.3297395426919955E-2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5.6">
      <c r="A108" s="10" t="str">
        <f>'Sovereign Ratings (Moody''s,S&amp;P)'!A108</f>
        <v>Norway</v>
      </c>
      <c r="B108" s="139">
        <f>'Country GDP'!B108</f>
        <v>403.3</v>
      </c>
      <c r="C108" s="11" t="str">
        <f>'Sovereign Ratings (Moody''s,S&amp;P)'!C108</f>
        <v>Aaa</v>
      </c>
      <c r="D108" s="13">
        <f>'10-year CDS Spreads'!C108</f>
        <v>2.3E-3</v>
      </c>
      <c r="E108" s="24">
        <f>'ERPs by country'!D114</f>
        <v>0</v>
      </c>
      <c r="F108" s="12">
        <f>'ERPs by country'!E114</f>
        <v>4.7199999999999999E-2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5.6">
      <c r="A109" s="10" t="str">
        <f>'Sovereign Ratings (Moody''s,S&amp;P)'!A109</f>
        <v>Oman</v>
      </c>
      <c r="B109" s="139">
        <f>'Country GDP'!B109</f>
        <v>77</v>
      </c>
      <c r="C109" s="11" t="str">
        <f>'Sovereign Ratings (Moody''s,S&amp;P)'!C109</f>
        <v>Ba3</v>
      </c>
      <c r="D109" s="13">
        <f>'10-year CDS Spreads'!C109</f>
        <v>3.9E-2</v>
      </c>
      <c r="E109" s="24">
        <f>'ERPs by country'!D115</f>
        <v>3.1810382490361881E-2</v>
      </c>
      <c r="F109" s="12">
        <f>'ERPs by country'!E115</f>
        <v>8.2061738975968967E-2</v>
      </c>
      <c r="G109" s="16">
        <f>'ERPs by country'!F115</f>
        <v>3.4861738975968962E-2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5.6">
      <c r="A110" s="10" t="str">
        <f>'Sovereign Ratings (Moody''s,S&amp;P)'!A110</f>
        <v>Pakistan</v>
      </c>
      <c r="B110" s="139">
        <f>'Country GDP'!B110</f>
        <v>278.2</v>
      </c>
      <c r="C110" s="11" t="str">
        <f>'Sovereign Ratings (Moody''s,S&amp;P)'!C110</f>
        <v>B3</v>
      </c>
      <c r="D110" s="13">
        <f>'10-year CDS Spreads'!C110</f>
        <v>4.5100000000000001E-2</v>
      </c>
      <c r="E110" s="24">
        <f>'ERPs by country'!D116</f>
        <v>5.74819192369697E-2</v>
      </c>
      <c r="F110" s="12">
        <f>'ERPs by country'!E116</f>
        <v>0.1101957739390316</v>
      </c>
      <c r="G110" s="16">
        <f>'ERPs by country'!F116</f>
        <v>6.2995773939031607E-2</v>
      </c>
      <c r="H110" s="16">
        <f>'Country Tax Rates'!C110</f>
        <v>0.35</v>
      </c>
      <c r="I110" s="17" t="str">
        <f>VLOOKUP(A110,'Regional lookup table'!$A$2:$B$161,2)</f>
        <v>Asia</v>
      </c>
    </row>
    <row r="111" spans="1:9" ht="15.6">
      <c r="A111" s="10" t="str">
        <f>'Sovereign Ratings (Moody''s,S&amp;P)'!A111</f>
        <v>Panama</v>
      </c>
      <c r="B111" s="139">
        <f>'Country GDP'!B111</f>
        <v>66.8</v>
      </c>
      <c r="C111" s="11" t="str">
        <f>'Sovereign Ratings (Moody''s,S&amp;P)'!C111</f>
        <v>Baa1</v>
      </c>
      <c r="D111" s="13">
        <f>'10-year CDS Spreads'!C111</f>
        <v>9.4999999999999998E-3</v>
      </c>
      <c r="E111" s="24">
        <f>'ERPs by country'!D117</f>
        <v>1.4111372683694367E-2</v>
      </c>
      <c r="F111" s="12">
        <f>'ERPs by country'!E117</f>
        <v>6.2664981951745621E-2</v>
      </c>
      <c r="G111" s="16">
        <f>'ERPs by country'!F117</f>
        <v>1.5464981951745628E-2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5.6">
      <c r="A112" s="10" t="str">
        <f>'Sovereign Ratings (Moody''s,S&amp;P)'!A112</f>
        <v>Papua New Guinea</v>
      </c>
      <c r="B112" s="139">
        <f>'Country GDP'!B112</f>
        <v>25</v>
      </c>
      <c r="C112" s="11" t="str">
        <f>'Sovereign Ratings (Moody''s,S&amp;P)'!C112</f>
        <v>B2</v>
      </c>
      <c r="D112" s="13" t="str">
        <f>'10-year CDS Spreads'!C112</f>
        <v>NA</v>
      </c>
      <c r="E112" s="24">
        <f>'ERPs by country'!D118</f>
        <v>4.8632414333635951E-2</v>
      </c>
      <c r="F112" s="12">
        <f>'ERPs by country'!E118</f>
        <v>0.10049739542691996</v>
      </c>
      <c r="G112" s="16">
        <f>'ERPs by country'!F118</f>
        <v>5.3297395426919955E-2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5.6">
      <c r="A113" s="10" t="str">
        <f>'Sovereign Ratings (Moody''s,S&amp;P)'!A113</f>
        <v>Paraguay</v>
      </c>
      <c r="B113" s="139">
        <f>'Country GDP'!B113</f>
        <v>38.1</v>
      </c>
      <c r="C113" s="11" t="str">
        <f>'Sovereign Ratings (Moody''s,S&amp;P)'!C113</f>
        <v>Ba1</v>
      </c>
      <c r="D113" s="13" t="str">
        <f>'10-year CDS Spreads'!C113</f>
        <v>NA</v>
      </c>
      <c r="E113" s="24">
        <f>'ERPs by country'!D119</f>
        <v>2.208389962363469E-2</v>
      </c>
      <c r="F113" s="12">
        <f>'ERPs by country'!E119</f>
        <v>7.1402259890584963E-2</v>
      </c>
      <c r="G113" s="16">
        <f>'ERPs by country'!F119</f>
        <v>2.4202259890584967E-2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5.6">
      <c r="A114" s="10" t="str">
        <f>'Sovereign Ratings (Moody''s,S&amp;P)'!A114</f>
        <v>Peru</v>
      </c>
      <c r="B114" s="139">
        <f>'Country GDP'!B114</f>
        <v>226.8</v>
      </c>
      <c r="C114" s="11" t="str">
        <f>'Sovereign Ratings (Moody''s,S&amp;P)'!C114</f>
        <v>A3</v>
      </c>
      <c r="D114" s="13">
        <f>'10-year CDS Spreads'!C114</f>
        <v>1.04E-2</v>
      </c>
      <c r="E114" s="24">
        <f>'ERPs by country'!D120</f>
        <v>1.0603460830120627E-2</v>
      </c>
      <c r="F114" s="12">
        <f>'ERPs by country'!E120</f>
        <v>5.8820579658656322E-2</v>
      </c>
      <c r="G114" s="16">
        <f>'ERPs by country'!F120</f>
        <v>1.1620579658656319E-2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5.6">
      <c r="A115" s="10" t="str">
        <f>'Sovereign Ratings (Moody''s,S&amp;P)'!A115</f>
        <v>Philippines</v>
      </c>
      <c r="B115" s="139">
        <f>'Country GDP'!B115</f>
        <v>376.8</v>
      </c>
      <c r="C115" s="11" t="str">
        <f>'Sovereign Ratings (Moody''s,S&amp;P)'!C115</f>
        <v>Baa2</v>
      </c>
      <c r="D115" s="13">
        <f>'10-year CDS Spreads'!C115</f>
        <v>6.7000000000000002E-3</v>
      </c>
      <c r="E115" s="24">
        <f>'ERPs by country'!D121</f>
        <v>1.6822031843274077E-2</v>
      </c>
      <c r="F115" s="12">
        <f>'ERPs by country'!E121</f>
        <v>6.5635656450950999E-2</v>
      </c>
      <c r="G115" s="16">
        <f>'ERPs by country'!F121</f>
        <v>1.8435656450951004E-2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5.6">
      <c r="A116" s="10" t="str">
        <f>'Sovereign Ratings (Moody''s,S&amp;P)'!A116</f>
        <v>Poland</v>
      </c>
      <c r="B116" s="139">
        <f>'Country GDP'!B116</f>
        <v>592.20000000000005</v>
      </c>
      <c r="C116" s="11" t="str">
        <f>'Sovereign Ratings (Moody''s,S&amp;P)'!C116</f>
        <v>A2</v>
      </c>
      <c r="D116" s="13">
        <f>'10-year CDS Spreads'!C116</f>
        <v>9.1000000000000004E-3</v>
      </c>
      <c r="E116" s="24">
        <f>'ERPs by country'!D122</f>
        <v>7.4941753235439005E-3</v>
      </c>
      <c r="F116" s="12">
        <f>'ERPs by country'!E122</f>
        <v>5.5413041262508976E-2</v>
      </c>
      <c r="G116" s="16">
        <f>'ERPs by country'!F122</f>
        <v>8.2130412625089771E-3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5.6">
      <c r="A117" s="10" t="str">
        <f>'Sovereign Ratings (Moody''s,S&amp;P)'!A117</f>
        <v>Portugal</v>
      </c>
      <c r="B117" s="139">
        <f>'Country GDP'!B117</f>
        <v>237.7</v>
      </c>
      <c r="C117" s="11" t="str">
        <f>'Sovereign Ratings (Moody''s,S&amp;P)'!C117</f>
        <v>Baa3</v>
      </c>
      <c r="D117" s="13">
        <f>'10-year CDS Spreads'!C117</f>
        <v>6.4999999999999997E-3</v>
      </c>
      <c r="E117" s="24">
        <f>'ERPs by country'!D123</f>
        <v>1.9452965733454383E-2</v>
      </c>
      <c r="F117" s="12">
        <f>'ERPs by country'!E123</f>
        <v>6.8518958170767988E-2</v>
      </c>
      <c r="G117" s="16">
        <f>'ERPs by country'!F123</f>
        <v>2.1318958170767986E-2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5.6">
      <c r="A118" s="10" t="str">
        <f>'Sovereign Ratings (Moody''s,S&amp;P)'!A118</f>
        <v>Qatar</v>
      </c>
      <c r="B118" s="139">
        <f>'Country GDP'!B118</f>
        <v>183.5</v>
      </c>
      <c r="C118" s="11" t="str">
        <f>'Sovereign Ratings (Moody''s,S&amp;P)'!C118</f>
        <v>Aa3</v>
      </c>
      <c r="D118" s="13">
        <f>'10-year CDS Spreads'!C118</f>
        <v>7.4000000000000003E-3</v>
      </c>
      <c r="E118" s="24">
        <f>'ERPs by country'!D124</f>
        <v>5.3415930497600151E-3</v>
      </c>
      <c r="F118" s="12">
        <f>'ERPs by country'!E124</f>
        <v>5.3053976219022358E-2</v>
      </c>
      <c r="G118" s="16">
        <f>'ERPs by country'!F124</f>
        <v>5.8539762190223561E-3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5.6">
      <c r="A119" s="10" t="str">
        <f>'Sovereign Ratings (Moody''s,S&amp;P)'!A119</f>
        <v>Ras Al Khaimah (Emirate of)</v>
      </c>
      <c r="B119" s="139">
        <f>'Country GDP'!B119</f>
        <v>5.2</v>
      </c>
      <c r="C119" s="11" t="str">
        <f>'Sovereign Ratings (Moody''s,S&amp;P)'!C119</f>
        <v>Aaa</v>
      </c>
      <c r="D119" s="13" t="str">
        <f>'10-year CDS Spreads'!C119</f>
        <v>NA</v>
      </c>
      <c r="E119" s="24">
        <f>'ERPs by country'!D125</f>
        <v>0</v>
      </c>
      <c r="F119" s="12">
        <f>'ERPs by country'!E125</f>
        <v>4.7199999999999999E-2</v>
      </c>
      <c r="G119" s="16">
        <f>'ERPs by country'!F125</f>
        <v>0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5.6">
      <c r="A120" s="10" t="str">
        <f>'Sovereign Ratings (Moody''s,S&amp;P)'!A120</f>
        <v>Romania</v>
      </c>
      <c r="B120" s="139">
        <f>'Country GDP'!B120</f>
        <v>250.1</v>
      </c>
      <c r="C120" s="11" t="str">
        <f>'Sovereign Ratings (Moody''s,S&amp;P)'!C120</f>
        <v>Baa3</v>
      </c>
      <c r="D120" s="13">
        <f>'10-year CDS Spreads'!C120</f>
        <v>1.2200000000000001E-2</v>
      </c>
      <c r="E120" s="24">
        <f>'ERPs by country'!D126</f>
        <v>1.9452965733454383E-2</v>
      </c>
      <c r="F120" s="12">
        <f>'ERPs by country'!E126</f>
        <v>6.8518958170767988E-2</v>
      </c>
      <c r="G120" s="16">
        <f>'ERPs by country'!F126</f>
        <v>2.1318958170767986E-2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5.6">
      <c r="A121" s="10" t="str">
        <f>'Sovereign Ratings (Moody''s,S&amp;P)'!A121</f>
        <v>Russia</v>
      </c>
      <c r="B121" s="139">
        <f>'Country GDP'!B121</f>
        <v>1699.9</v>
      </c>
      <c r="C121" s="11" t="str">
        <f>'Sovereign Ratings (Moody''s,S&amp;P)'!C121</f>
        <v>Baa3</v>
      </c>
      <c r="D121" s="13">
        <f>'10-year CDS Spreads'!C121</f>
        <v>1.47E-2</v>
      </c>
      <c r="E121" s="24">
        <f>'ERPs by country'!D127</f>
        <v>1.9452965733454383E-2</v>
      </c>
      <c r="F121" s="12">
        <f>'ERPs by country'!E127</f>
        <v>6.8518958170767988E-2</v>
      </c>
      <c r="G121" s="16">
        <f>'ERPs by country'!F127</f>
        <v>2.1318958170767986E-2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5.6">
      <c r="A122" s="10" t="str">
        <f>'Sovereign Ratings (Moody''s,S&amp;P)'!A122</f>
        <v>Rwanda</v>
      </c>
      <c r="B122" s="139">
        <f>'Country GDP'!B122</f>
        <v>10.1</v>
      </c>
      <c r="C122" s="11" t="str">
        <f>'Sovereign Ratings (Moody''s,S&amp;P)'!C122</f>
        <v>B2</v>
      </c>
      <c r="D122" s="13">
        <f>'10-year CDS Spreads'!C122</f>
        <v>3.7199999999999997E-2</v>
      </c>
      <c r="E122" s="24">
        <f>'ERPs by country'!D128</f>
        <v>4.8632414333635951E-2</v>
      </c>
      <c r="F122" s="12">
        <f>'ERPs by country'!E128</f>
        <v>0.10049739542691996</v>
      </c>
      <c r="G122" s="16">
        <f>'ERPs by country'!F128</f>
        <v>5.3297395426919955E-2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5.6">
      <c r="A123" s="10" t="str">
        <f>'Sovereign Ratings (Moody''s,S&amp;P)'!A123</f>
        <v>Saudi Arabia</v>
      </c>
      <c r="B123" s="139">
        <f>'Country GDP'!B123</f>
        <v>793</v>
      </c>
      <c r="C123" s="11" t="str">
        <f>'Sovereign Ratings (Moody''s,S&amp;P)'!C123</f>
        <v>A1</v>
      </c>
      <c r="D123" s="13">
        <f>'10-year CDS Spreads'!C123</f>
        <v>1.12E-2</v>
      </c>
      <c r="E123" s="24">
        <f>'ERPs by country'!D129</f>
        <v>6.2185710131534505E-3</v>
      </c>
      <c r="F123" s="12">
        <f>'ERPs by country'!E129</f>
        <v>5.4015076792294683E-2</v>
      </c>
      <c r="G123" s="16">
        <f>'ERPs by country'!F129</f>
        <v>6.8150767922946836E-3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5.6">
      <c r="A124" s="10" t="str">
        <f>'Sovereign Ratings (Moody''s,S&amp;P)'!A124</f>
        <v>Senegal</v>
      </c>
      <c r="B124" s="139">
        <f>'Country GDP'!B124</f>
        <v>23.6</v>
      </c>
      <c r="C124" s="11" t="str">
        <f>'Sovereign Ratings (Moody''s,S&amp;P)'!C124</f>
        <v>Ba3</v>
      </c>
      <c r="D124" s="13">
        <f>'10-year CDS Spreads'!C124</f>
        <v>2.9399999999999999E-2</v>
      </c>
      <c r="E124" s="24">
        <f>'ERPs by country'!D130</f>
        <v>3.1810382490361881E-2</v>
      </c>
      <c r="F124" s="12">
        <f>'ERPs by country'!E130</f>
        <v>8.2061738975968967E-2</v>
      </c>
      <c r="G124" s="16">
        <f>'ERPs by country'!F130</f>
        <v>3.4861738975968962E-2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5.6">
      <c r="A125" s="10" t="str">
        <f>'Sovereign Ratings (Moody''s,S&amp;P)'!A125</f>
        <v>Serbia</v>
      </c>
      <c r="B125" s="139">
        <f>'Country GDP'!B125</f>
        <v>51.4</v>
      </c>
      <c r="C125" s="11" t="str">
        <f>'Sovereign Ratings (Moody''s,S&amp;P)'!C125</f>
        <v>Ba3</v>
      </c>
      <c r="D125" s="13">
        <f>'10-year CDS Spreads'!C125</f>
        <v>1.61E-2</v>
      </c>
      <c r="E125" s="24">
        <f>'ERPs by country'!D131</f>
        <v>3.1810382490361881E-2</v>
      </c>
      <c r="F125" s="12">
        <f>'ERPs by country'!E131</f>
        <v>8.2061738975968967E-2</v>
      </c>
      <c r="G125" s="16">
        <f>'ERPs by country'!F131</f>
        <v>3.4861738975968962E-2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5.6">
      <c r="A126" s="10" t="str">
        <f>'Sovereign Ratings (Moody''s,S&amp;P)'!A126</f>
        <v>Sharjah</v>
      </c>
      <c r="B126" s="139">
        <f>'Country GDP'!B126</f>
        <v>5</v>
      </c>
      <c r="C126" s="11" t="str">
        <f>'Sovereign Ratings (Moody''s,S&amp;P)'!C126</f>
        <v>Baa2</v>
      </c>
      <c r="D126" s="13" t="str">
        <f>'10-year CDS Spreads'!C126</f>
        <v>NA</v>
      </c>
      <c r="E126" s="24">
        <f>'ERPs by country'!D132</f>
        <v>1.6822031843274077E-2</v>
      </c>
      <c r="F126" s="12">
        <f>'ERPs by country'!E132</f>
        <v>6.5635656450950999E-2</v>
      </c>
      <c r="G126" s="16">
        <f>'ERPs by country'!F132</f>
        <v>1.8435656450951004E-2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5.6">
      <c r="A127" s="10" t="str">
        <f>'Sovereign Ratings (Moody''s,S&amp;P)'!A127</f>
        <v>Singapore</v>
      </c>
      <c r="B127" s="139">
        <f>'Country GDP'!B127</f>
        <v>372.1</v>
      </c>
      <c r="C127" s="11" t="str">
        <f>'Sovereign Ratings (Moody''s,S&amp;P)'!C127</f>
        <v>Aaa</v>
      </c>
      <c r="D127" s="13" t="str">
        <f>'10-year CDS Spreads'!C127</f>
        <v>NA</v>
      </c>
      <c r="E127" s="24">
        <f>'ERPs by country'!D133</f>
        <v>0</v>
      </c>
      <c r="F127" s="12">
        <f>'ERPs by country'!E133</f>
        <v>4.7199999999999999E-2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5.6">
      <c r="A128" s="10" t="str">
        <f>'Sovereign Ratings (Moody''s,S&amp;P)'!A128</f>
        <v>Slovakia</v>
      </c>
      <c r="B128" s="139">
        <f>'Country GDP'!B128</f>
        <v>105.4</v>
      </c>
      <c r="C128" s="11" t="str">
        <f>'Sovereign Ratings (Moody''s,S&amp;P)'!C128</f>
        <v>A2</v>
      </c>
      <c r="D128" s="13">
        <f>'10-year CDS Spreads'!C128</f>
        <v>7.9000000000000008E-3</v>
      </c>
      <c r="E128" s="24">
        <f>'ERPs by country'!D134</f>
        <v>7.4941753235439005E-3</v>
      </c>
      <c r="F128" s="12">
        <f>'ERPs by country'!E134</f>
        <v>5.5413041262508976E-2</v>
      </c>
      <c r="G128" s="16">
        <f>'ERPs by country'!F134</f>
        <v>8.2130412625089771E-3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5.6">
      <c r="A129" s="10" t="str">
        <f>'Sovereign Ratings (Moody''s,S&amp;P)'!A129</f>
        <v>Slovenia</v>
      </c>
      <c r="B129" s="139">
        <f>'Country GDP'!B129</f>
        <v>53.7</v>
      </c>
      <c r="C129" s="11" t="str">
        <f>'Sovereign Ratings (Moody''s,S&amp;P)'!C129</f>
        <v>A3</v>
      </c>
      <c r="D129" s="13">
        <f>'10-year CDS Spreads'!C129</f>
        <v>1.06E-2</v>
      </c>
      <c r="E129" s="24">
        <f>'ERPs by country'!D135</f>
        <v>1.0603460830120627E-2</v>
      </c>
      <c r="F129" s="12">
        <f>'ERPs by country'!E135</f>
        <v>5.8820579658656322E-2</v>
      </c>
      <c r="G129" s="16">
        <f>'ERPs by country'!F135</f>
        <v>1.1620579658656319E-2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5.6">
      <c r="A130" s="10" t="str">
        <f>'Sovereign Ratings (Moody''s,S&amp;P)'!A130</f>
        <v>Solomon Islands</v>
      </c>
      <c r="B130" s="139">
        <f>'Country GDP'!B130</f>
        <v>1.4</v>
      </c>
      <c r="C130" s="11" t="str">
        <f>'Sovereign Ratings (Moody''s,S&amp;P)'!C130</f>
        <v>B3</v>
      </c>
      <c r="D130" s="13" t="str">
        <f>'10-year CDS Spreads'!C130</f>
        <v>NA</v>
      </c>
      <c r="E130" s="24">
        <f>'ERPs by country'!D136</f>
        <v>5.74819192369697E-2</v>
      </c>
      <c r="F130" s="12">
        <f>'ERPs by country'!E136</f>
        <v>0.1101957739390316</v>
      </c>
      <c r="G130" s="16">
        <f>'ERPs by country'!F136</f>
        <v>6.2995773939031607E-2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5.6">
      <c r="A131" s="10" t="str">
        <f>'Sovereign Ratings (Moody''s,S&amp;P)'!A131</f>
        <v>South Africa</v>
      </c>
      <c r="B131" s="139">
        <f>'Country GDP'!B131</f>
        <v>351.4</v>
      </c>
      <c r="C131" s="11" t="str">
        <f>'Sovereign Ratings (Moody''s,S&amp;P)'!C131</f>
        <v>Ba2</v>
      </c>
      <c r="D131" s="13">
        <f>'10-year CDS Spreads'!C131</f>
        <v>2.93E-2</v>
      </c>
      <c r="E131" s="24">
        <f>'ERPs by country'!D137</f>
        <v>2.6548514710001261E-2</v>
      </c>
      <c r="F131" s="12">
        <f>'ERPs by country'!E137</f>
        <v>7.629513553633499E-2</v>
      </c>
      <c r="G131" s="16">
        <f>'ERPs by country'!F137</f>
        <v>2.9095135536334988E-2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5.6">
      <c r="A132" s="10" t="str">
        <f>'Sovereign Ratings (Moody''s,S&amp;P)'!A132</f>
        <v>Spain</v>
      </c>
      <c r="B132" s="139">
        <f>'Country GDP'!B132</f>
        <v>1394.1</v>
      </c>
      <c r="C132" s="11" t="str">
        <f>'Sovereign Ratings (Moody''s,S&amp;P)'!C132</f>
        <v>Baa1</v>
      </c>
      <c r="D132" s="13">
        <f>'10-year CDS Spreads'!C132</f>
        <v>7.1999999999999998E-3</v>
      </c>
      <c r="E132" s="24">
        <f>'ERPs by country'!D138</f>
        <v>1.4111372683694367E-2</v>
      </c>
      <c r="F132" s="12">
        <f>'ERPs by country'!E138</f>
        <v>6.2664981951745621E-2</v>
      </c>
      <c r="G132" s="16">
        <f>'ERPs by country'!F138</f>
        <v>1.5464981951745628E-2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5.6">
      <c r="A133" s="10" t="str">
        <f>'Sovereign Ratings (Moody''s,S&amp;P)'!A133</f>
        <v>Sri Lanka</v>
      </c>
      <c r="B133" s="139">
        <f>'Country GDP'!B133</f>
        <v>84</v>
      </c>
      <c r="C133" s="11" t="str">
        <f>'Sovereign Ratings (Moody''s,S&amp;P)'!C133</f>
        <v>Caa1</v>
      </c>
      <c r="D133" s="13" t="str">
        <f>'10-year CDS Spreads'!C133</f>
        <v>NA</v>
      </c>
      <c r="E133" s="24">
        <f>'ERPs by country'!D139</f>
        <v>6.6251698870904069E-2</v>
      </c>
      <c r="F133" s="12">
        <f>'ERPs by country'!E139</f>
        <v>0.1198067796717549</v>
      </c>
      <c r="G133" s="16">
        <f>'ERPs by country'!F139</f>
        <v>7.2606779671754898E-2</v>
      </c>
      <c r="H133" s="16">
        <f>'Country Tax Rates'!C133</f>
        <v>0.28000000000000003</v>
      </c>
      <c r="I133" s="17" t="str">
        <f>VLOOKUP(A133,'Regional lookup table'!$A$2:$B$161,2)</f>
        <v>Asia</v>
      </c>
    </row>
    <row r="134" spans="1:9" ht="15.6">
      <c r="A134" s="10" t="str">
        <f>'Sovereign Ratings (Moody''s,S&amp;P)'!A134</f>
        <v>St. Maarten</v>
      </c>
      <c r="B134" s="139">
        <f>'Country GDP'!B134</f>
        <v>1.5</v>
      </c>
      <c r="C134" s="11" t="str">
        <f>'Sovereign Ratings (Moody''s,S&amp;P)'!C134</f>
        <v>Baa3</v>
      </c>
      <c r="D134" s="13" t="str">
        <f>'10-year CDS Spreads'!C134</f>
        <v>NA</v>
      </c>
      <c r="E134" s="24">
        <f>'ERPs by country'!D140</f>
        <v>1.9452965733454383E-2</v>
      </c>
      <c r="F134" s="12">
        <f>'ERPs by country'!E140</f>
        <v>6.8518958170767988E-2</v>
      </c>
      <c r="G134" s="16">
        <f>'ERPs by country'!F140</f>
        <v>2.1318958170767986E-2</v>
      </c>
      <c r="H134" s="16">
        <f>'Country Tax Rates'!C134</f>
        <v>0.27360000000000001</v>
      </c>
      <c r="I134" s="17" t="str">
        <f>VLOOKUP(A134,'Regional lookup table'!$A$2:$B$161,2)</f>
        <v>Caribbean</v>
      </c>
    </row>
    <row r="135" spans="1:9" ht="15.6">
      <c r="A135" s="10" t="str">
        <f>'Sovereign Ratings (Moody''s,S&amp;P)'!A135</f>
        <v>St. Vincent &amp; the Grenadines</v>
      </c>
      <c r="B135" s="139">
        <f>'Country GDP'!B135</f>
        <v>0.8</v>
      </c>
      <c r="C135" s="11" t="str">
        <f>'Sovereign Ratings (Moody''s,S&amp;P)'!C135</f>
        <v>B3</v>
      </c>
      <c r="D135" s="13" t="str">
        <f>'10-year CDS Spreads'!C135</f>
        <v>NA</v>
      </c>
      <c r="E135" s="24">
        <f>'ERPs by country'!D141</f>
        <v>5.74819192369697E-2</v>
      </c>
      <c r="F135" s="12">
        <f>'ERPs by country'!E141</f>
        <v>0.1101957739390316</v>
      </c>
      <c r="G135" s="16">
        <f>'ERPs by country'!F141</f>
        <v>6.2995773939031607E-2</v>
      </c>
      <c r="H135" s="16">
        <f>'Country Tax Rates'!C135</f>
        <v>0.27360000000000001</v>
      </c>
      <c r="I135" s="17" t="str">
        <f>VLOOKUP(A135,'Regional lookup table'!$A$2:$B$161,2)</f>
        <v>Caribbean</v>
      </c>
    </row>
    <row r="136" spans="1:9" ht="15.6">
      <c r="A136" s="10" t="str">
        <f>'Sovereign Ratings (Moody''s,S&amp;P)'!A136</f>
        <v>Suriname</v>
      </c>
      <c r="B136" s="139">
        <f>'Country GDP'!B136</f>
        <v>4</v>
      </c>
      <c r="C136" s="11" t="str">
        <f>'Sovereign Ratings (Moody''s,S&amp;P)'!C136</f>
        <v>Caa3</v>
      </c>
      <c r="D136" s="13" t="str">
        <f>'10-year CDS Spreads'!C136</f>
        <v>NA</v>
      </c>
      <c r="E136" s="24">
        <f>'ERPs by country'!D142</f>
        <v>8.8335598494538758E-2</v>
      </c>
      <c r="F136" s="12">
        <f>'ERPs by country'!E142</f>
        <v>0.14400903956233987</v>
      </c>
      <c r="G136" s="16">
        <f>'ERPs by country'!F142</f>
        <v>9.6809039562339869E-2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5.6">
      <c r="A137" s="10" t="str">
        <f>'Sovereign Ratings (Moody''s,S&amp;P)'!A137</f>
        <v>Swaziland</v>
      </c>
      <c r="B137" s="139">
        <f>'Country GDP'!B137</f>
        <v>4.4000000000000004</v>
      </c>
      <c r="C137" s="11" t="str">
        <f>'Sovereign Ratings (Moody''s,S&amp;P)'!C137</f>
        <v>B3</v>
      </c>
      <c r="D137" s="13" t="str">
        <f>'10-year CDS Spreads'!C137</f>
        <v>NA</v>
      </c>
      <c r="E137" s="24">
        <f>'ERPs by country'!D143</f>
        <v>5.74819192369697E-2</v>
      </c>
      <c r="F137" s="12">
        <f>'ERPs by country'!E143</f>
        <v>0.1101957739390316</v>
      </c>
      <c r="G137" s="16">
        <f>'ERPs by country'!F143</f>
        <v>6.2995773939031607E-2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5.6">
      <c r="A138" s="10" t="str">
        <f>'Sovereign Ratings (Moody''s,S&amp;P)'!A138</f>
        <v>Sweden</v>
      </c>
      <c r="B138" s="139">
        <f>'Country GDP'!B138</f>
        <v>530.79999999999995</v>
      </c>
      <c r="C138" s="11" t="str">
        <f>'Sovereign Ratings (Moody''s,S&amp;P)'!C138</f>
        <v>Aaa</v>
      </c>
      <c r="D138" s="13">
        <f>'10-year CDS Spreads'!C138</f>
        <v>2E-3</v>
      </c>
      <c r="E138" s="24">
        <f>'ERPs by country'!D144</f>
        <v>0</v>
      </c>
      <c r="F138" s="12">
        <f>'ERPs by country'!E144</f>
        <v>4.7199999999999999E-2</v>
      </c>
      <c r="G138" s="16">
        <f>'ERPs by country'!F144</f>
        <v>0</v>
      </c>
      <c r="H138" s="16">
        <f>'Country Tax Rates'!C138</f>
        <v>0.214</v>
      </c>
      <c r="I138" s="17" t="str">
        <f>VLOOKUP(A138,'Regional lookup table'!$A$2:$B$161,2)</f>
        <v>Western Europe</v>
      </c>
    </row>
    <row r="139" spans="1:9" ht="15.6">
      <c r="A139" s="10" t="str">
        <f>'Sovereign Ratings (Moody''s,S&amp;P)'!A139</f>
        <v>Switzerland</v>
      </c>
      <c r="B139" s="139">
        <f>'Country GDP'!B139</f>
        <v>703.1</v>
      </c>
      <c r="C139" s="11" t="str">
        <f>'Sovereign Ratings (Moody''s,S&amp;P)'!C139</f>
        <v>Aaa</v>
      </c>
      <c r="D139" s="13">
        <f>'10-year CDS Spreads'!C139</f>
        <v>1.5E-3</v>
      </c>
      <c r="E139" s="24">
        <f>'ERPs by country'!D145</f>
        <v>0</v>
      </c>
      <c r="F139" s="12">
        <f>'ERPs by country'!E145</f>
        <v>4.7199999999999999E-2</v>
      </c>
      <c r="G139" s="16">
        <f>'ERPs by country'!F145</f>
        <v>0</v>
      </c>
      <c r="H139" s="16">
        <f>'Country Tax Rates'!C139</f>
        <v>0.1484</v>
      </c>
      <c r="I139" s="17" t="str">
        <f>VLOOKUP(A139,'Regional lookup table'!$A$2:$B$161,2)</f>
        <v>Western Europe</v>
      </c>
    </row>
    <row r="140" spans="1:9" ht="15.6">
      <c r="A140" s="10" t="str">
        <f>'Sovereign Ratings (Moody''s,S&amp;P)'!A140</f>
        <v>Taiwan</v>
      </c>
      <c r="B140" s="139">
        <f>'Country GDP'!B140</f>
        <v>985</v>
      </c>
      <c r="C140" s="11" t="str">
        <f>'Sovereign Ratings (Moody''s,S&amp;P)'!C140</f>
        <v>Aa3</v>
      </c>
      <c r="D140" s="13" t="str">
        <f>'10-year CDS Spreads'!C140</f>
        <v>NA</v>
      </c>
      <c r="E140" s="24">
        <f>'ERPs by country'!D146</f>
        <v>5.3415930497600151E-3</v>
      </c>
      <c r="F140" s="12">
        <f>'ERPs by country'!E146</f>
        <v>5.3053976219022358E-2</v>
      </c>
      <c r="G140" s="16">
        <f>'ERPs by country'!F146</f>
        <v>5.8539762190223561E-3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5.6">
      <c r="A141" s="10" t="str">
        <f>'Sovereign Ratings (Moody''s,S&amp;P)'!A141</f>
        <v>Tajikistan</v>
      </c>
      <c r="B141" s="139">
        <f>'Country GDP'!B141</f>
        <v>8.1</v>
      </c>
      <c r="C141" s="11" t="str">
        <f>'Sovereign Ratings (Moody''s,S&amp;P)'!C141</f>
        <v>B3</v>
      </c>
      <c r="D141" s="13" t="str">
        <f>'10-year CDS Spreads'!C141</f>
        <v>NA</v>
      </c>
      <c r="E141" s="24">
        <f>'ERPs by country'!D147</f>
        <v>5.74819192369697E-2</v>
      </c>
      <c r="F141" s="12">
        <f>'ERPs by country'!E147</f>
        <v>0.1101957739390316</v>
      </c>
      <c r="G141" s="16">
        <f>'ERPs by country'!F147</f>
        <v>6.2995773939031607E-2</v>
      </c>
      <c r="H141" s="16">
        <f>'Country Tax Rates'!C141</f>
        <v>0.19120000000000001</v>
      </c>
      <c r="I141" s="17" t="str">
        <f>VLOOKUP(A141,'Regional lookup table'!$A$2:$B$161,2)</f>
        <v>Eastern Europe &amp; Russia</v>
      </c>
    </row>
    <row r="142" spans="1:9" ht="15.6">
      <c r="A142" s="10" t="str">
        <f>'Sovereign Ratings (Moody''s,S&amp;P)'!A142</f>
        <v>Tanzania</v>
      </c>
      <c r="B142" s="139">
        <f>'Country GDP'!B142</f>
        <v>63.2</v>
      </c>
      <c r="C142" s="11" t="str">
        <f>'Sovereign Ratings (Moody''s,S&amp;P)'!C142</f>
        <v>B2</v>
      </c>
      <c r="D142" s="13" t="str">
        <f>'10-year CDS Spreads'!C142</f>
        <v>NA</v>
      </c>
      <c r="E142" s="24">
        <f>'ERPs by country'!D148</f>
        <v>4.8632414333635951E-2</v>
      </c>
      <c r="F142" s="12">
        <f>'ERPs by country'!E148</f>
        <v>0.10049739542691996</v>
      </c>
      <c r="G142" s="16">
        <f>'ERPs by country'!F148</f>
        <v>5.3297395426919955E-2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5.6">
      <c r="A143" s="10" t="str">
        <f>'Sovereign Ratings (Moody''s,S&amp;P)'!A143</f>
        <v>Thailand</v>
      </c>
      <c r="B143" s="139">
        <f>'Country GDP'!B143</f>
        <v>543.6</v>
      </c>
      <c r="C143" s="11" t="str">
        <f>'Sovereign Ratings (Moody''s,S&amp;P)'!C143</f>
        <v>Baa1</v>
      </c>
      <c r="D143" s="13">
        <f>'10-year CDS Spreads'!C143</f>
        <v>6.1999999999999998E-3</v>
      </c>
      <c r="E143" s="24">
        <f>'ERPs by country'!D149</f>
        <v>1.4111372683694367E-2</v>
      </c>
      <c r="F143" s="12">
        <f>'ERPs by country'!E149</f>
        <v>6.2664981951745621E-2</v>
      </c>
      <c r="G143" s="16">
        <f>'ERPs by country'!F149</f>
        <v>1.5464981951745628E-2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5.6">
      <c r="A144" s="10" t="str">
        <f>'Sovereign Ratings (Moody''s,S&amp;P)'!A144</f>
        <v>Togo</v>
      </c>
      <c r="B144" s="139">
        <f>'Country GDP'!B144</f>
        <v>5.5</v>
      </c>
      <c r="C144" s="11" t="str">
        <f>'Sovereign Ratings (Moody''s,S&amp;P)'!C144</f>
        <v>B3</v>
      </c>
      <c r="D144" s="13" t="str">
        <f>'10-year CDS Spreads'!C144</f>
        <v>NA</v>
      </c>
      <c r="E144" s="24">
        <f>'ERPs by country'!D150</f>
        <v>5.74819192369697E-2</v>
      </c>
      <c r="F144" s="12">
        <f>'ERPs by country'!E150</f>
        <v>0.1101957739390316</v>
      </c>
      <c r="G144" s="16">
        <f>'ERPs by country'!F150</f>
        <v>6.2995773939031607E-2</v>
      </c>
      <c r="H144" s="16">
        <f>'Country Tax Rates'!C144</f>
        <v>0.28249999999999997</v>
      </c>
      <c r="I144" s="17" t="str">
        <f>VLOOKUP(A144,'Regional lookup table'!$A$2:$B$161,2)</f>
        <v>Africa</v>
      </c>
    </row>
    <row r="145" spans="1:9" ht="15.6">
      <c r="A145" s="10" t="str">
        <f>'Sovereign Ratings (Moody''s,S&amp;P)'!A145</f>
        <v>Trinidad and Tobago</v>
      </c>
      <c r="B145" s="139">
        <f>'Country GDP'!B145</f>
        <v>24.1</v>
      </c>
      <c r="C145" s="11" t="str">
        <f>'Sovereign Ratings (Moody''s,S&amp;P)'!C145</f>
        <v>Ba1</v>
      </c>
      <c r="D145" s="13" t="str">
        <f>'10-year CDS Spreads'!C145</f>
        <v>NA</v>
      </c>
      <c r="E145" s="24">
        <f>'ERPs by country'!D151</f>
        <v>2.208389962363469E-2</v>
      </c>
      <c r="F145" s="12">
        <f>'ERPs by country'!E151</f>
        <v>7.1402259890584963E-2</v>
      </c>
      <c r="G145" s="16">
        <f>'ERPs by country'!F151</f>
        <v>2.4202259890584967E-2</v>
      </c>
      <c r="H145" s="16">
        <f>'Country Tax Rates'!C145</f>
        <v>0.3</v>
      </c>
      <c r="I145" s="17" t="str">
        <f>VLOOKUP(A145,'Regional lookup table'!$A$2:$B$161,2)</f>
        <v>Caribbean</v>
      </c>
    </row>
    <row r="146" spans="1:9" ht="15.6">
      <c r="A146" s="10" t="str">
        <f>'Sovereign Ratings (Moody''s,S&amp;P)'!A146</f>
        <v>Tunisia</v>
      </c>
      <c r="B146" s="139">
        <f>'Country GDP'!B146</f>
        <v>38.799999999999997</v>
      </c>
      <c r="C146" s="11" t="str">
        <f>'Sovereign Ratings (Moody''s,S&amp;P)'!C146</f>
        <v>B2</v>
      </c>
      <c r="D146" s="13">
        <f>'10-year CDS Spreads'!C146</f>
        <v>4.8500000000000001E-2</v>
      </c>
      <c r="E146" s="24">
        <f>'ERPs by country'!D152</f>
        <v>4.8632414333635951E-2</v>
      </c>
      <c r="F146" s="12">
        <f>'ERPs by country'!E152</f>
        <v>0.10049739542691996</v>
      </c>
      <c r="G146" s="16">
        <f>'ERPs by country'!F152</f>
        <v>5.3297395426919955E-2</v>
      </c>
      <c r="H146" s="16">
        <f>'Country Tax Rates'!C146</f>
        <v>0.25</v>
      </c>
      <c r="I146" s="17" t="str">
        <f>VLOOKUP(A146,'Regional lookup table'!$A$2:$B$161,2)</f>
        <v>Africa</v>
      </c>
    </row>
    <row r="147" spans="1:9" ht="15.6">
      <c r="A147" s="10" t="str">
        <f>'Sovereign Ratings (Moody''s,S&amp;P)'!A147</f>
        <v>Turkey</v>
      </c>
      <c r="B147" s="139">
        <f>'Country GDP'!B147</f>
        <v>754.4</v>
      </c>
      <c r="C147" s="11" t="str">
        <f>'Sovereign Ratings (Moody''s,S&amp;P)'!C147</f>
        <v>B2</v>
      </c>
      <c r="D147" s="13">
        <f>'10-year CDS Spreads'!C147</f>
        <v>3.3099999999999997E-2</v>
      </c>
      <c r="E147" s="24">
        <f>'ERPs by country'!D153</f>
        <v>4.8632414333635951E-2</v>
      </c>
      <c r="F147" s="12">
        <f>'ERPs by country'!E153</f>
        <v>0.10049739542691996</v>
      </c>
      <c r="G147" s="16">
        <f>'ERPs by country'!F153</f>
        <v>5.3297395426919955E-2</v>
      </c>
      <c r="H147" s="16">
        <f>'Country Tax Rates'!C147</f>
        <v>0.22</v>
      </c>
      <c r="I147" s="17" t="str">
        <f>VLOOKUP(A147,'Regional lookup table'!$A$2:$B$161,2)</f>
        <v>Western Europe</v>
      </c>
    </row>
    <row r="148" spans="1:9" ht="15.6">
      <c r="A148" s="10" t="str">
        <f>'Sovereign Ratings (Moody''s,S&amp;P)'!A148</f>
        <v>Turks and Caicos Islands</v>
      </c>
      <c r="B148" s="139">
        <f>'Country GDP'!B148</f>
        <v>1</v>
      </c>
      <c r="C148" s="11" t="str">
        <f>'Sovereign Ratings (Moody''s,S&amp;P)'!C148</f>
        <v>Baa1</v>
      </c>
      <c r="D148" s="13" t="str">
        <f>'10-year CDS Spreads'!C148</f>
        <v>NA</v>
      </c>
      <c r="E148" s="24">
        <f>'ERPs by country'!D154</f>
        <v>1.4111372683694367E-2</v>
      </c>
      <c r="F148" s="12">
        <f>'ERPs by country'!E154</f>
        <v>6.2664981951745621E-2</v>
      </c>
      <c r="G148" s="16">
        <f>'ERPs by country'!F154</f>
        <v>1.5464981951745628E-2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5.6">
      <c r="A149" s="10" t="str">
        <f>'Sovereign Ratings (Moody''s,S&amp;P)'!A149</f>
        <v>Uganda</v>
      </c>
      <c r="B149" s="139">
        <f>'Country GDP'!B149</f>
        <v>34.4</v>
      </c>
      <c r="C149" s="11" t="str">
        <f>'Sovereign Ratings (Moody''s,S&amp;P)'!C149</f>
        <v>B2</v>
      </c>
      <c r="D149" s="13" t="str">
        <f>'10-year CDS Spreads'!C149</f>
        <v>NA</v>
      </c>
      <c r="E149" s="24">
        <f>'ERPs by country'!D155</f>
        <v>4.8632414333635951E-2</v>
      </c>
      <c r="F149" s="12">
        <f>'ERPs by country'!E155</f>
        <v>0.10049739542691996</v>
      </c>
      <c r="G149" s="16">
        <f>'ERPs by country'!F155</f>
        <v>5.3297395426919955E-2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5.6">
      <c r="A150" s="10" t="str">
        <f>'Sovereign Ratings (Moody''s,S&amp;P)'!A150</f>
        <v>Ukraine</v>
      </c>
      <c r="B150" s="139">
        <f>'Country GDP'!B150</f>
        <v>153.80000000000001</v>
      </c>
      <c r="C150" s="11" t="str">
        <f>'Sovereign Ratings (Moody''s,S&amp;P)'!C150</f>
        <v>B3</v>
      </c>
      <c r="D150" s="13">
        <f>'10-year CDS Spreads'!C150</f>
        <v>4.1799999999999997E-2</v>
      </c>
      <c r="E150" s="24">
        <f>'ERPs by country'!D156</f>
        <v>5.74819192369697E-2</v>
      </c>
      <c r="F150" s="12">
        <f>'ERPs by country'!E156</f>
        <v>0.1101957739390316</v>
      </c>
      <c r="G150" s="16">
        <f>'ERPs by country'!F156</f>
        <v>6.2995773939031607E-2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5.6">
      <c r="A151" s="10" t="str">
        <f>'Sovereign Ratings (Moody''s,S&amp;P)'!A151</f>
        <v>United Arab Emirates</v>
      </c>
      <c r="B151" s="139">
        <f>'Country GDP'!B151</f>
        <v>421.1</v>
      </c>
      <c r="C151" s="11" t="str">
        <f>'Sovereign Ratings (Moody''s,S&amp;P)'!C151</f>
        <v>Aa2</v>
      </c>
      <c r="D151" s="13" t="str">
        <f>'10-year CDS Spreads'!C151</f>
        <v>NA</v>
      </c>
      <c r="E151" s="24">
        <f>'ERPs by country'!D157</f>
        <v>4.3848898169671765E-3</v>
      </c>
      <c r="F151" s="12">
        <f>'ERPs by country'!E157</f>
        <v>5.2005502866361637E-2</v>
      </c>
      <c r="G151" s="16">
        <f>'ERPs by country'!F157</f>
        <v>4.8055028663616358E-3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5.6">
      <c r="A152" s="10" t="str">
        <f>'Sovereign Ratings (Moody''s,S&amp;P)'!A152</f>
        <v>United Kingdom</v>
      </c>
      <c r="B152" s="139">
        <f>'Country GDP'!B152</f>
        <v>2827.1</v>
      </c>
      <c r="C152" s="11" t="str">
        <f>'Sovereign Ratings (Moody''s,S&amp;P)'!C152</f>
        <v>Aa3</v>
      </c>
      <c r="D152" s="13">
        <f>'10-year CDS Spreads'!C152</f>
        <v>3.0000000000000001E-3</v>
      </c>
      <c r="E152" s="24">
        <f>'ERPs by country'!D158</f>
        <v>5.3415930497600151E-3</v>
      </c>
      <c r="F152" s="12">
        <f>'ERPs by country'!E158</f>
        <v>5.3053976219022358E-2</v>
      </c>
      <c r="G152" s="16">
        <f>'ERPs by country'!F158</f>
        <v>5.8539762190223561E-3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39">
        <f>'Country GDP'!B153</f>
        <v>21374.400000000001</v>
      </c>
      <c r="C153" s="11" t="str">
        <f>'Sovereign Ratings (Moody''s,S&amp;P)'!C153</f>
        <v>Aaa</v>
      </c>
      <c r="D153" s="13">
        <f>'10-year CDS Spreads'!C153</f>
        <v>2.3E-3</v>
      </c>
      <c r="E153" s="24">
        <f>'ERPs by country'!D159</f>
        <v>0</v>
      </c>
      <c r="F153" s="12">
        <f>'ERPs by country'!E159</f>
        <v>4.7199999999999999E-2</v>
      </c>
      <c r="G153" s="16">
        <f>'ERPs by country'!F159</f>
        <v>0</v>
      </c>
      <c r="H153" s="16">
        <f>'Country Tax Rates'!C153</f>
        <v>0.27</v>
      </c>
      <c r="I153" s="17" t="str">
        <f>VLOOKUP(A153,'Regional lookup table'!$A$2:$B$161,2)</f>
        <v>North America</v>
      </c>
    </row>
    <row r="154" spans="1:9" ht="15.6">
      <c r="A154" s="10" t="str">
        <f>'Sovereign Ratings (Moody''s,S&amp;P)'!A154</f>
        <v>Uruguay</v>
      </c>
      <c r="B154" s="139">
        <f>'Country GDP'!B154</f>
        <v>56</v>
      </c>
      <c r="C154" s="11" t="str">
        <f>'Sovereign Ratings (Moody''s,S&amp;P)'!C154</f>
        <v>Baa2</v>
      </c>
      <c r="D154" s="13">
        <f>'10-year CDS Spreads'!C154</f>
        <v>1.2699999999999999E-2</v>
      </c>
      <c r="E154" s="24">
        <f>'ERPs by country'!D160</f>
        <v>1.6822031843274077E-2</v>
      </c>
      <c r="F154" s="12">
        <f>'ERPs by country'!E160</f>
        <v>6.5635656450950999E-2</v>
      </c>
      <c r="G154" s="16">
        <f>'ERPs by country'!F160</f>
        <v>1.8435656450951004E-2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5.6">
      <c r="A155" s="10" t="str">
        <f>'Sovereign Ratings (Moody''s,S&amp;P)'!A155</f>
        <v>Uzbekistan</v>
      </c>
      <c r="B155" s="139">
        <f>'Country GDP'!B155</f>
        <v>57.9</v>
      </c>
      <c r="C155" s="11" t="str">
        <f>'Sovereign Ratings (Moody''s,S&amp;P)'!C155</f>
        <v>B1</v>
      </c>
      <c r="D155" s="13" t="str">
        <f>'10-year CDS Spreads'!C155</f>
        <v>NA</v>
      </c>
      <c r="E155" s="24">
        <f>'ERPs by country'!D161</f>
        <v>3.9782909430302202E-2</v>
      </c>
      <c r="F155" s="12">
        <f>'ERPs by country'!E161</f>
        <v>9.0799016914808295E-2</v>
      </c>
      <c r="G155" s="16">
        <f>'ERPs by country'!F161</f>
        <v>4.3599016914808296E-2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5.6">
      <c r="A156" s="10" t="str">
        <f>'Sovereign Ratings (Moody''s,S&amp;P)'!A156</f>
        <v>Venezuela</v>
      </c>
      <c r="B156" s="139">
        <f>'Country GDP'!B156</f>
        <v>220</v>
      </c>
      <c r="C156" s="11" t="str">
        <f>'Sovereign Ratings (Moody''s,S&amp;P)'!C156</f>
        <v>C</v>
      </c>
      <c r="D156" s="13" t="str">
        <f>'10-year CDS Spreads'!C156</f>
        <v>NA</v>
      </c>
      <c r="E156" s="24">
        <f>'ERPs by country'!D162</f>
        <v>0.17499999999999999</v>
      </c>
      <c r="F156" s="12">
        <f>'ERPs by country'!E162</f>
        <v>0.23898657542527282</v>
      </c>
      <c r="G156" s="16">
        <f>'ERPs by country'!F162</f>
        <v>0.19178657542527283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5.6">
      <c r="A157" s="10" t="str">
        <f>'Sovereign Ratings (Moody''s,S&amp;P)'!A157</f>
        <v>Vietnam</v>
      </c>
      <c r="B157" s="139">
        <f>'Country GDP'!B157</f>
        <v>261.89999999999998</v>
      </c>
      <c r="C157" s="11" t="str">
        <f>'Sovereign Ratings (Moody''s,S&amp;P)'!C157</f>
        <v>Ba3</v>
      </c>
      <c r="D157" s="13">
        <f>'10-year CDS Spreads'!C157</f>
        <v>1.49E-2</v>
      </c>
      <c r="E157" s="24">
        <f>'ERPs by country'!D163</f>
        <v>3.1810382490361881E-2</v>
      </c>
      <c r="F157" s="12">
        <f>'ERPs by country'!E163</f>
        <v>8.2061738975968967E-2</v>
      </c>
      <c r="G157" s="16">
        <f>'ERPs by country'!F163</f>
        <v>3.4861738975968962E-2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5.6">
      <c r="A158" s="10" t="str">
        <f>'Sovereign Ratings (Moody''s,S&amp;P)'!A158</f>
        <v>Zambia</v>
      </c>
      <c r="B158" s="139">
        <f>'Country GDP'!B158</f>
        <v>23.1</v>
      </c>
      <c r="C158" s="11" t="str">
        <f>'Sovereign Ratings (Moody''s,S&amp;P)'!C158</f>
        <v>Ca</v>
      </c>
      <c r="D158" s="13" t="str">
        <f>'10-year CDS Spreads'!C158</f>
        <v>NA</v>
      </c>
      <c r="E158" s="24">
        <f>'ERPs by country'!D164</f>
        <v>0.10603460830120626</v>
      </c>
      <c r="F158" s="12">
        <f>'ERPs by country'!E164</f>
        <v>0.16340579658656318</v>
      </c>
      <c r="G158" s="16">
        <f>'ERPs by country'!F164</f>
        <v>0.11620579658656319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zoomScaleNormal="100" workbookViewId="0">
      <selection sqref="A1:G1048576"/>
    </sheetView>
  </sheetViews>
  <sheetFormatPr defaultColWidth="11" defaultRowHeight="15.6"/>
  <cols>
    <col min="1" max="1" width="24.875" style="44" bestFit="1" customWidth="1"/>
    <col min="2" max="2" width="16.125" style="44" bestFit="1" customWidth="1"/>
    <col min="3" max="3" width="19.625" style="44" bestFit="1" customWidth="1"/>
  </cols>
  <sheetData>
    <row r="1" spans="1:15">
      <c r="A1" s="74" t="s">
        <v>75</v>
      </c>
      <c r="B1" s="75" t="s">
        <v>270</v>
      </c>
      <c r="C1" s="75" t="s">
        <v>271</v>
      </c>
    </row>
    <row r="2" spans="1:15">
      <c r="A2" s="52" t="str">
        <f>'Ratings worksheet'!A2</f>
        <v>Abu Dhabi</v>
      </c>
      <c r="B2" s="64" t="str">
        <f>'Ratings worksheet'!B2</f>
        <v>NA</v>
      </c>
      <c r="C2" s="64" t="str">
        <f>IF('Ratings worksheet'!C2="NA",VLOOKUP('Ratings worksheet'!B2,'Sovereign Ratings (Moody''s,S&amp;P)'!$F$9:$G$33,2),'Ratings worksheet'!C2)</f>
        <v>Aa2</v>
      </c>
      <c r="F2" s="267" t="s">
        <v>93</v>
      </c>
      <c r="G2" s="267"/>
      <c r="H2" s="267"/>
      <c r="I2" s="267"/>
      <c r="J2" s="267"/>
      <c r="K2" s="267"/>
      <c r="L2" s="267"/>
      <c r="M2" s="267"/>
      <c r="N2" s="267"/>
      <c r="O2" s="267"/>
    </row>
    <row r="3" spans="1:15">
      <c r="A3" s="52" t="str">
        <f>'Ratings worksheet'!A3</f>
        <v>Albania</v>
      </c>
      <c r="B3" s="64" t="str">
        <f>'Ratings worksheet'!B3</f>
        <v>B+</v>
      </c>
      <c r="C3" s="64" t="str">
        <f>IF('Ratings worksheet'!C3="NA",VLOOKUP('Ratings worksheet'!B3,'Sovereign Ratings (Moody''s,S&amp;P)'!$F$9:$G$33,2),'Ratings worksheet'!C3)</f>
        <v>B1</v>
      </c>
      <c r="F3" s="267" t="s">
        <v>229</v>
      </c>
      <c r="G3" s="267"/>
      <c r="H3" s="267"/>
      <c r="I3" s="267"/>
      <c r="J3" s="267"/>
      <c r="K3" s="267"/>
      <c r="L3" s="267"/>
      <c r="M3" s="267"/>
      <c r="N3" s="267"/>
      <c r="O3" s="267"/>
    </row>
    <row r="4" spans="1:15">
      <c r="A4" s="52" t="str">
        <f>'Ratings worksheet'!A4</f>
        <v>Andorra (Principality of)</v>
      </c>
      <c r="B4" s="64" t="str">
        <f>'Ratings worksheet'!B4</f>
        <v>CCC+</v>
      </c>
      <c r="C4" s="64" t="str">
        <f>IF('Ratings worksheet'!C4="NA",VLOOKUP('Ratings worksheet'!B4,'Sovereign Ratings (Moody''s,S&amp;P)'!$F$9:$G$33,2),'Ratings worksheet'!C4)</f>
        <v>Caa1</v>
      </c>
      <c r="F4" s="268" t="s">
        <v>230</v>
      </c>
      <c r="G4" s="268"/>
      <c r="H4" s="268"/>
      <c r="I4" s="268"/>
      <c r="J4" s="268"/>
      <c r="K4" s="268"/>
      <c r="L4" s="268"/>
      <c r="M4" s="268"/>
      <c r="N4" s="268"/>
      <c r="O4" s="268"/>
    </row>
    <row r="5" spans="1:15">
      <c r="A5" s="52" t="str">
        <f>'Ratings worksheet'!A5</f>
        <v>Angola</v>
      </c>
      <c r="B5" s="64" t="str">
        <f>'Ratings worksheet'!B5</f>
        <v>CCC+</v>
      </c>
      <c r="C5" s="64" t="str">
        <f>IF('Ratings worksheet'!C5="NA",VLOOKUP('Ratings worksheet'!B5,'Sovereign Ratings (Moody''s,S&amp;P)'!$F$9:$G$33,2),'Ratings worksheet'!C5)</f>
        <v>Caa1</v>
      </c>
      <c r="F5" s="268" t="s">
        <v>231</v>
      </c>
      <c r="G5" s="268"/>
      <c r="H5" s="268"/>
      <c r="I5" s="268"/>
      <c r="J5" s="268"/>
      <c r="K5" s="268"/>
      <c r="L5" s="268"/>
      <c r="M5" s="268"/>
      <c r="N5" s="268"/>
      <c r="O5" s="268"/>
    </row>
    <row r="6" spans="1:15">
      <c r="A6" s="52" t="str">
        <f>'Ratings worksheet'!A6</f>
        <v>Argentina</v>
      </c>
      <c r="B6" s="64" t="str">
        <f>'Ratings worksheet'!B6</f>
        <v>CCC+</v>
      </c>
      <c r="C6" s="64" t="str">
        <f>IF('Ratings worksheet'!C6="NA",VLOOKUP('Ratings worksheet'!B6,'Sovereign Ratings (Moody''s,S&amp;P)'!$F$9:$G$33,2),'Ratings worksheet'!C6)</f>
        <v>Ca</v>
      </c>
      <c r="F6" s="40" t="s">
        <v>252</v>
      </c>
    </row>
    <row r="7" spans="1:15">
      <c r="A7" s="52" t="str">
        <f>'Ratings worksheet'!A7</f>
        <v>Armenia</v>
      </c>
      <c r="B7" s="64" t="str">
        <f>'Ratings worksheet'!B7</f>
        <v>NA</v>
      </c>
      <c r="C7" s="64" t="str">
        <f>IF('Ratings worksheet'!C7="NA",VLOOKUP('Ratings worksheet'!B7,'Sovereign Ratings (Moody''s,S&amp;P)'!$F$9:$G$33,2),'Ratings worksheet'!C7)</f>
        <v>Ba3</v>
      </c>
      <c r="F7" s="40" t="s">
        <v>232</v>
      </c>
    </row>
    <row r="8" spans="1:15">
      <c r="A8" s="52" t="str">
        <f>'Ratings worksheet'!A8</f>
        <v>Aruba</v>
      </c>
      <c r="B8" s="64" t="str">
        <f>'Ratings worksheet'!B8</f>
        <v>BBB+</v>
      </c>
      <c r="C8" s="64" t="str">
        <f>IF('Ratings worksheet'!C8="NA",VLOOKUP('Ratings worksheet'!B8,'Sovereign Ratings (Moody''s,S&amp;P)'!$F$9:$G$33,2),'Ratings worksheet'!C8)</f>
        <v>Baa1</v>
      </c>
      <c r="F8" s="32" t="s">
        <v>233</v>
      </c>
      <c r="G8" s="33" t="s">
        <v>234</v>
      </c>
    </row>
    <row r="9" spans="1:15">
      <c r="A9" s="52" t="str">
        <f>'Ratings worksheet'!A9</f>
        <v>Australia</v>
      </c>
      <c r="B9" s="64" t="str">
        <f>'Ratings worksheet'!B9</f>
        <v>AAA</v>
      </c>
      <c r="C9" s="64" t="str">
        <f>IF('Ratings worksheet'!C9="NA",VLOOKUP('Ratings worksheet'!B9,'Sovereign Ratings (Moody''s,S&amp;P)'!$F$9:$G$33,2),'Ratings worksheet'!C9)</f>
        <v>Aaa</v>
      </c>
      <c r="F9" s="34" t="s">
        <v>224</v>
      </c>
      <c r="G9" s="17" t="s">
        <v>42</v>
      </c>
    </row>
    <row r="10" spans="1:15">
      <c r="A10" s="52" t="str">
        <f>'Ratings worksheet'!A10</f>
        <v>Austria</v>
      </c>
      <c r="B10" s="64" t="str">
        <f>'Ratings worksheet'!B10</f>
        <v>AA+</v>
      </c>
      <c r="C10" s="64" t="str">
        <f>IF('Ratings worksheet'!C10="NA",VLOOKUP('Ratings worksheet'!B10,'Sovereign Ratings (Moody''s,S&amp;P)'!$F$9:$G$33,2),'Ratings worksheet'!C10)</f>
        <v>Aa1</v>
      </c>
      <c r="F10" s="34" t="s">
        <v>198</v>
      </c>
      <c r="G10" s="17" t="s">
        <v>43</v>
      </c>
    </row>
    <row r="11" spans="1:15">
      <c r="A11" s="52" t="str">
        <f>'Ratings worksheet'!A11</f>
        <v>Azerbaijan</v>
      </c>
      <c r="B11" s="64" t="str">
        <f>'Ratings worksheet'!B11</f>
        <v>BB+</v>
      </c>
      <c r="C11" s="64" t="str">
        <f>IF('Ratings worksheet'!C11="NA",VLOOKUP('Ratings worksheet'!B11,'Sovereign Ratings (Moody''s,S&amp;P)'!$F$9:$G$33,2),'Ratings worksheet'!C11)</f>
        <v>Ba2</v>
      </c>
      <c r="F11" s="34" t="s">
        <v>222</v>
      </c>
      <c r="G11" s="17" t="s">
        <v>41</v>
      </c>
    </row>
    <row r="12" spans="1:15">
      <c r="A12" s="52" t="str">
        <f>'Ratings worksheet'!A12</f>
        <v>Bahamas</v>
      </c>
      <c r="B12" s="64" t="str">
        <f>'Ratings worksheet'!B12</f>
        <v>BB-</v>
      </c>
      <c r="C12" s="64" t="str">
        <f>IF('Ratings worksheet'!C12="NA",VLOOKUP('Ratings worksheet'!B12,'Sovereign Ratings (Moody''s,S&amp;P)'!$F$9:$G$33,2),'Ratings worksheet'!C12)</f>
        <v>Ba2</v>
      </c>
      <c r="F12" s="34" t="s">
        <v>207</v>
      </c>
      <c r="G12" s="17" t="s">
        <v>45</v>
      </c>
    </row>
    <row r="13" spans="1:15">
      <c r="A13" s="52" t="str">
        <f>'Ratings worksheet'!A13</f>
        <v>Bahrain</v>
      </c>
      <c r="B13" s="64" t="str">
        <f>'Ratings worksheet'!B13</f>
        <v>B+</v>
      </c>
      <c r="C13" s="64" t="str">
        <f>IF('Ratings worksheet'!C13="NA",VLOOKUP('Ratings worksheet'!B13,'Sovereign Ratings (Moody''s,S&amp;P)'!$F$9:$G$33,2),'Ratings worksheet'!C13)</f>
        <v>B2</v>
      </c>
      <c r="F13" s="34" t="s">
        <v>210</v>
      </c>
      <c r="G13" s="17" t="s">
        <v>46</v>
      </c>
    </row>
    <row r="14" spans="1:15">
      <c r="A14" s="52" t="str">
        <f>'Ratings worksheet'!A14</f>
        <v>Bangladesh</v>
      </c>
      <c r="B14" s="64" t="str">
        <f>'Ratings worksheet'!B14</f>
        <v>BB-</v>
      </c>
      <c r="C14" s="64" t="str">
        <f>IF('Ratings worksheet'!C14="NA",VLOOKUP('Ratings worksheet'!B14,'Sovereign Ratings (Moody''s,S&amp;P)'!$F$9:$G$33,2),'Ratings worksheet'!C14)</f>
        <v>Ba3</v>
      </c>
      <c r="F14" s="34" t="s">
        <v>204</v>
      </c>
      <c r="G14" s="17" t="s">
        <v>44</v>
      </c>
    </row>
    <row r="15" spans="1:15">
      <c r="A15" s="52" t="str">
        <f>'Ratings worksheet'!A15</f>
        <v>Barbados</v>
      </c>
      <c r="B15" s="64" t="str">
        <f>'Ratings worksheet'!B15</f>
        <v>B-</v>
      </c>
      <c r="C15" s="64" t="str">
        <f>IF('Ratings worksheet'!C15="NA",VLOOKUP('Ratings worksheet'!B15,'Sovereign Ratings (Moody''s,S&amp;P)'!$F$9:$G$33,2),'Ratings worksheet'!C15)</f>
        <v>Caa1</v>
      </c>
      <c r="F15" s="34" t="s">
        <v>203</v>
      </c>
      <c r="G15" s="17" t="s">
        <v>47</v>
      </c>
    </row>
    <row r="16" spans="1:15">
      <c r="A16" s="52" t="str">
        <f>'Ratings worksheet'!A16</f>
        <v>Belarus</v>
      </c>
      <c r="B16" s="64" t="str">
        <f>'Ratings worksheet'!B16</f>
        <v>B</v>
      </c>
      <c r="C16" s="64" t="str">
        <f>IF('Ratings worksheet'!C16="NA",VLOOKUP('Ratings worksheet'!B16,'Sovereign Ratings (Moody''s,S&amp;P)'!$F$9:$G$33,2),'Ratings worksheet'!C16)</f>
        <v>B3</v>
      </c>
      <c r="F16" s="34" t="s">
        <v>209</v>
      </c>
      <c r="G16" s="17" t="s">
        <v>49</v>
      </c>
    </row>
    <row r="17" spans="1:7">
      <c r="A17" s="52" t="str">
        <f>'Ratings worksheet'!A17</f>
        <v>Belgium</v>
      </c>
      <c r="B17" s="64" t="str">
        <f>'Ratings worksheet'!B17</f>
        <v>AA</v>
      </c>
      <c r="C17" s="64" t="str">
        <f>IF('Ratings worksheet'!C17="NA",VLOOKUP('Ratings worksheet'!B17,'Sovereign Ratings (Moody''s,S&amp;P)'!$F$9:$G$33,2),'Ratings worksheet'!C17)</f>
        <v>Aa3</v>
      </c>
      <c r="F17" s="34" t="s">
        <v>200</v>
      </c>
      <c r="G17" s="17" t="s">
        <v>78</v>
      </c>
    </row>
    <row r="18" spans="1:7">
      <c r="A18" s="52" t="str">
        <f>'Ratings worksheet'!A18</f>
        <v>Belize</v>
      </c>
      <c r="B18" s="64" t="str">
        <f>'Ratings worksheet'!B18</f>
        <v>CCC+</v>
      </c>
      <c r="C18" s="64" t="str">
        <f>IF('Ratings worksheet'!C18="NA",VLOOKUP('Ratings worksheet'!B18,'Sovereign Ratings (Moody''s,S&amp;P)'!$F$9:$G$33,2),'Ratings worksheet'!C18)</f>
        <v>Caa3</v>
      </c>
      <c r="F18" s="34" t="s">
        <v>196</v>
      </c>
      <c r="G18" s="17" t="s">
        <v>48</v>
      </c>
    </row>
    <row r="19" spans="1:7">
      <c r="A19" s="52" t="str">
        <f>'Ratings worksheet'!A19</f>
        <v>Benin</v>
      </c>
      <c r="B19" s="64" t="str">
        <f>'Ratings worksheet'!B19</f>
        <v>B+</v>
      </c>
      <c r="C19" s="64" t="str">
        <f>IF('Ratings worksheet'!C19="NA",VLOOKUP('Ratings worksheet'!B19,'Sovereign Ratings (Moody''s,S&amp;P)'!$F$9:$G$33,2),'Ratings worksheet'!C19)</f>
        <v>B2</v>
      </c>
      <c r="F19" s="34" t="s">
        <v>215</v>
      </c>
      <c r="G19" s="17" t="s">
        <v>80</v>
      </c>
    </row>
    <row r="20" spans="1:7">
      <c r="A20" s="52" t="str">
        <f>'Ratings worksheet'!A20</f>
        <v>Bermuda</v>
      </c>
      <c r="B20" s="64" t="str">
        <f>'Ratings worksheet'!B20</f>
        <v>A+</v>
      </c>
      <c r="C20" s="64" t="str">
        <f>IF('Ratings worksheet'!C20="NA",VLOOKUP('Ratings worksheet'!B20,'Sovereign Ratings (Moody''s,S&amp;P)'!$F$9:$G$33,2),'Ratings worksheet'!C20)</f>
        <v>A2</v>
      </c>
      <c r="F20" s="34" t="s">
        <v>199</v>
      </c>
      <c r="G20" s="17" t="s">
        <v>81</v>
      </c>
    </row>
    <row r="21" spans="1:7">
      <c r="A21" s="52" t="str">
        <f>'Ratings worksheet'!A21</f>
        <v>Bolivia</v>
      </c>
      <c r="B21" s="64" t="str">
        <f>'Ratings worksheet'!B21</f>
        <v>B+</v>
      </c>
      <c r="C21" s="64" t="str">
        <f>IF('Ratings worksheet'!C21="NA",VLOOKUP('Ratings worksheet'!B21,'Sovereign Ratings (Moody''s,S&amp;P)'!$F$9:$G$33,2),'Ratings worksheet'!C21)</f>
        <v>B2</v>
      </c>
      <c r="F21" s="34" t="s">
        <v>216</v>
      </c>
      <c r="G21" s="17" t="s">
        <v>79</v>
      </c>
    </row>
    <row r="22" spans="1:7">
      <c r="A22" s="52" t="str">
        <f>'Ratings worksheet'!A22</f>
        <v>Bosnia and Herzegovina</v>
      </c>
      <c r="B22" s="64" t="str">
        <f>'Ratings worksheet'!B22</f>
        <v>B</v>
      </c>
      <c r="C22" s="64" t="str">
        <f>IF('Ratings worksheet'!C22="NA",VLOOKUP('Ratings worksheet'!B22,'Sovereign Ratings (Moody''s,S&amp;P)'!$F$9:$G$33,2),'Ratings worksheet'!C22)</f>
        <v>B3</v>
      </c>
      <c r="F22" s="34" t="s">
        <v>206</v>
      </c>
      <c r="G22" s="17" t="s">
        <v>83</v>
      </c>
    </row>
    <row r="23" spans="1:7">
      <c r="A23" s="52" t="str">
        <f>'Ratings worksheet'!A23</f>
        <v>Botswana</v>
      </c>
      <c r="B23" s="64" t="str">
        <f>'Ratings worksheet'!B23</f>
        <v>BBB+</v>
      </c>
      <c r="C23" s="64" t="str">
        <f>IF('Ratings worksheet'!C23="NA",VLOOKUP('Ratings worksheet'!B23,'Sovereign Ratings (Moody''s,S&amp;P)'!$F$9:$G$33,2),'Ratings worksheet'!C23)</f>
        <v>A2</v>
      </c>
      <c r="F23" s="34" t="s">
        <v>205</v>
      </c>
      <c r="G23" s="17" t="s">
        <v>124</v>
      </c>
    </row>
    <row r="24" spans="1:7">
      <c r="A24" s="52" t="str">
        <f>'Ratings worksheet'!A24</f>
        <v>Brazil</v>
      </c>
      <c r="B24" s="64" t="str">
        <f>'Ratings worksheet'!B24</f>
        <v>BB-</v>
      </c>
      <c r="C24" s="64" t="str">
        <f>IF('Ratings worksheet'!C24="NA",VLOOKUP('Ratings worksheet'!B24,'Sovereign Ratings (Moody''s,S&amp;P)'!$F$9:$G$33,2),'Ratings worksheet'!C24)</f>
        <v>Ba2</v>
      </c>
      <c r="F24" s="34" t="s">
        <v>202</v>
      </c>
      <c r="G24" s="17" t="s">
        <v>82</v>
      </c>
    </row>
    <row r="25" spans="1:7">
      <c r="A25" s="52" t="str">
        <f>'Ratings worksheet'!A25</f>
        <v>Bulgaria</v>
      </c>
      <c r="B25" s="64" t="str">
        <f>'Ratings worksheet'!B25</f>
        <v>BBB</v>
      </c>
      <c r="C25" s="64" t="str">
        <f>IF('Ratings worksheet'!C25="NA",VLOOKUP('Ratings worksheet'!B25,'Sovereign Ratings (Moody''s,S&amp;P)'!$F$9:$G$33,2),'Ratings worksheet'!C25)</f>
        <v>Baa1</v>
      </c>
      <c r="F25" s="34" t="s">
        <v>137</v>
      </c>
      <c r="G25" s="17" t="s">
        <v>244</v>
      </c>
    </row>
    <row r="26" spans="1:7">
      <c r="A26" s="52" t="str">
        <f>'Ratings worksheet'!A26</f>
        <v>Burkina Faso</v>
      </c>
      <c r="B26" s="64" t="str">
        <f>'Ratings worksheet'!B26</f>
        <v>B</v>
      </c>
      <c r="C26" s="64" t="str">
        <f>IF('Ratings worksheet'!C26="NA",VLOOKUP('Ratings worksheet'!B26,'Sovereign Ratings (Moody''s,S&amp;P)'!$F$9:$G$33,2),'Ratings worksheet'!C26)</f>
        <v>B2</v>
      </c>
      <c r="F26" s="34" t="s">
        <v>245</v>
      </c>
      <c r="G26" s="17" t="s">
        <v>246</v>
      </c>
    </row>
    <row r="27" spans="1:7">
      <c r="A27" s="52" t="str">
        <f>'Ratings worksheet'!A27</f>
        <v>Cambodia</v>
      </c>
      <c r="B27" s="64" t="str">
        <f>'Ratings worksheet'!B27</f>
        <v>NA</v>
      </c>
      <c r="C27" s="64" t="str">
        <f>IF('Ratings worksheet'!C27="NA",VLOOKUP('Ratings worksheet'!B27,'Sovereign Ratings (Moody''s,S&amp;P)'!$F$9:$G$33,2),'Ratings worksheet'!C27)</f>
        <v>B2</v>
      </c>
      <c r="F27" s="34" t="s">
        <v>242</v>
      </c>
      <c r="G27" s="17" t="s">
        <v>243</v>
      </c>
    </row>
    <row r="28" spans="1:7">
      <c r="A28" s="52" t="str">
        <f>'Ratings worksheet'!A28</f>
        <v>Cameroon</v>
      </c>
      <c r="B28" s="64" t="str">
        <f>'Ratings worksheet'!B28</f>
        <v>B-</v>
      </c>
      <c r="C28" s="64" t="str">
        <f>IF('Ratings worksheet'!C28="NA",VLOOKUP('Ratings worksheet'!B28,'Sovereign Ratings (Moody''s,S&amp;P)'!$F$9:$G$33,2),'Ratings worksheet'!C28)</f>
        <v>B2</v>
      </c>
      <c r="F28" s="34" t="s">
        <v>238</v>
      </c>
      <c r="G28" s="17" t="s">
        <v>239</v>
      </c>
    </row>
    <row r="29" spans="1:7" s="18" customFormat="1">
      <c r="A29" s="52" t="str">
        <f>'Ratings worksheet'!A29</f>
        <v>Canada</v>
      </c>
      <c r="B29" s="64" t="str">
        <f>'Ratings worksheet'!B29</f>
        <v>AAA</v>
      </c>
      <c r="C29" s="64" t="str">
        <f>IF('Ratings worksheet'!C29="NA",VLOOKUP('Ratings worksheet'!B29,'Sovereign Ratings (Moody''s,S&amp;P)'!$F$9:$G$33,2),'Ratings worksheet'!C29)</f>
        <v>Aaa</v>
      </c>
      <c r="F29" s="34" t="s">
        <v>240</v>
      </c>
      <c r="G29" s="17" t="s">
        <v>241</v>
      </c>
    </row>
    <row r="30" spans="1:7">
      <c r="A30" s="52" t="str">
        <f>'Ratings worksheet'!A30</f>
        <v>Cape Verde</v>
      </c>
      <c r="B30" s="64" t="str">
        <f>'Ratings worksheet'!B30</f>
        <v>B</v>
      </c>
      <c r="C30" s="64" t="str">
        <f>IF('Ratings worksheet'!C30="NA",VLOOKUP('Ratings worksheet'!B30,'Sovereign Ratings (Moody''s,S&amp;P)'!$F$9:$G$33,2),'Ratings worksheet'!C30)</f>
        <v>B2</v>
      </c>
      <c r="F30" s="34" t="s">
        <v>237</v>
      </c>
      <c r="G30" s="17" t="s">
        <v>253</v>
      </c>
    </row>
    <row r="31" spans="1:7">
      <c r="A31" s="52" t="str">
        <f>'Ratings worksheet'!A31</f>
        <v>Cayman Islands</v>
      </c>
      <c r="B31" s="64" t="str">
        <f>'Ratings worksheet'!B31</f>
        <v>NA</v>
      </c>
      <c r="C31" s="64" t="str">
        <f>IF('Ratings worksheet'!C31="NA",VLOOKUP('Ratings worksheet'!B31,'Sovereign Ratings (Moody''s,S&amp;P)'!$F$9:$G$33,2),'Ratings worksheet'!C31)</f>
        <v>Aa3</v>
      </c>
      <c r="F31" s="34" t="s">
        <v>235</v>
      </c>
      <c r="G31" s="17" t="s">
        <v>58</v>
      </c>
    </row>
    <row r="32" spans="1:7">
      <c r="A32" s="52" t="str">
        <f>'Ratings worksheet'!A32</f>
        <v>Chile</v>
      </c>
      <c r="B32" s="64" t="str">
        <f>'Ratings worksheet'!B32</f>
        <v>A+</v>
      </c>
      <c r="C32" s="64" t="str">
        <f>IF('Ratings worksheet'!C32="NA",VLOOKUP('Ratings worksheet'!B32,'Sovereign Ratings (Moody''s,S&amp;P)'!$F$9:$G$33,2),'Ratings worksheet'!C32)</f>
        <v>A1</v>
      </c>
      <c r="F32" s="34" t="s">
        <v>236</v>
      </c>
      <c r="G32" s="17" t="s">
        <v>62</v>
      </c>
    </row>
    <row r="33" spans="1:7">
      <c r="A33" s="52" t="str">
        <f>'Ratings worksheet'!A33</f>
        <v>China</v>
      </c>
      <c r="B33" s="64" t="str">
        <f>'Ratings worksheet'!B33</f>
        <v>A+</v>
      </c>
      <c r="C33" s="64" t="str">
        <f>IF('Ratings worksheet'!C33="NA",VLOOKUP('Ratings worksheet'!B33,'Sovereign Ratings (Moody''s,S&amp;P)'!$F$9:$G$33,2),'Ratings worksheet'!C33)</f>
        <v>A1</v>
      </c>
      <c r="F33" s="34" t="s">
        <v>218</v>
      </c>
      <c r="G33" s="17" t="s">
        <v>100</v>
      </c>
    </row>
    <row r="34" spans="1:7">
      <c r="A34" s="52" t="str">
        <f>'Ratings worksheet'!A34</f>
        <v>Colombia</v>
      </c>
      <c r="B34" s="64" t="str">
        <f>'Ratings worksheet'!B34</f>
        <v>BBB-</v>
      </c>
      <c r="C34" s="64" t="str">
        <f>IF('Ratings worksheet'!C34="NA",VLOOKUP('Ratings worksheet'!B34,'Sovereign Ratings (Moody''s,S&amp;P)'!$F$9:$G$33,2),'Ratings worksheet'!C34)</f>
        <v>Baa2</v>
      </c>
    </row>
    <row r="35" spans="1:7">
      <c r="A35" s="52" t="str">
        <f>'Ratings worksheet'!A35</f>
        <v>Congo (Democratic Republic of)</v>
      </c>
      <c r="B35" s="64" t="str">
        <f>'Ratings worksheet'!B35</f>
        <v>NA</v>
      </c>
      <c r="C35" s="64" t="str">
        <f>IF('Ratings worksheet'!C35="NA",VLOOKUP('Ratings worksheet'!B35,'Sovereign Ratings (Moody''s,S&amp;P)'!$F$9:$G$33,2),'Ratings worksheet'!C35)</f>
        <v>Caa1</v>
      </c>
    </row>
    <row r="36" spans="1:7">
      <c r="A36" s="52" t="str">
        <f>'Ratings worksheet'!A36</f>
        <v>Congo (Republic of)</v>
      </c>
      <c r="B36" s="64" t="str">
        <f>'Ratings worksheet'!B36</f>
        <v>NA</v>
      </c>
      <c r="C36" s="64" t="str">
        <f>IF('Ratings worksheet'!C36="NA",VLOOKUP('Ratings worksheet'!B36,'Sovereign Ratings (Moody''s,S&amp;P)'!$F$9:$G$33,2),'Ratings worksheet'!C36)</f>
        <v>Caa2</v>
      </c>
    </row>
    <row r="37" spans="1:7">
      <c r="A37" s="52" t="str">
        <f>'Ratings worksheet'!A37</f>
        <v>Cook Islands</v>
      </c>
      <c r="B37" s="64" t="str">
        <f>'Ratings worksheet'!B37</f>
        <v>B+</v>
      </c>
      <c r="C37" s="64" t="str">
        <f>IF('Ratings worksheet'!C37="NA",VLOOKUP('Ratings worksheet'!B37,'Sovereign Ratings (Moody''s,S&amp;P)'!$F$9:$G$33,2),'Ratings worksheet'!C37)</f>
        <v>B1</v>
      </c>
    </row>
    <row r="38" spans="1:7">
      <c r="A38" s="52" t="str">
        <f>'Ratings worksheet'!A38</f>
        <v>Costa Rica</v>
      </c>
      <c r="B38" s="64" t="str">
        <f>'Ratings worksheet'!B38</f>
        <v>B</v>
      </c>
      <c r="C38" s="64" t="str">
        <f>IF('Ratings worksheet'!C38="NA",VLOOKUP('Ratings worksheet'!B38,'Sovereign Ratings (Moody''s,S&amp;P)'!$F$9:$G$33,2),'Ratings worksheet'!C38)</f>
        <v>B2</v>
      </c>
    </row>
    <row r="39" spans="1:7">
      <c r="A39" s="52" t="str">
        <f>'Ratings worksheet'!A39</f>
        <v>Côte d'Ivoire</v>
      </c>
      <c r="B39" s="64" t="str">
        <f>'Ratings worksheet'!B39</f>
        <v>NA</v>
      </c>
      <c r="C39" s="64" t="str">
        <f>IF('Ratings worksheet'!C39="NA",VLOOKUP('Ratings worksheet'!B39,'Sovereign Ratings (Moody''s,S&amp;P)'!$F$9:$G$33,2),'Ratings worksheet'!C39)</f>
        <v>Ba3</v>
      </c>
    </row>
    <row r="40" spans="1:7">
      <c r="A40" s="52" t="str">
        <f>'Ratings worksheet'!A40</f>
        <v>Croatia</v>
      </c>
      <c r="B40" s="64" t="str">
        <f>'Ratings worksheet'!B40</f>
        <v>BBB-</v>
      </c>
      <c r="C40" s="64" t="str">
        <f>IF('Ratings worksheet'!C40="NA",VLOOKUP('Ratings worksheet'!B40,'Sovereign Ratings (Moody''s,S&amp;P)'!$F$9:$G$33,2),'Ratings worksheet'!C40)</f>
        <v>Ba1</v>
      </c>
    </row>
    <row r="41" spans="1:7">
      <c r="A41" s="52" t="str">
        <f>'Ratings worksheet'!A41</f>
        <v>Cuba</v>
      </c>
      <c r="B41" s="64" t="str">
        <f>'Ratings worksheet'!B41</f>
        <v>NA</v>
      </c>
      <c r="C41" s="64" t="str">
        <f>IF('Ratings worksheet'!C41="NA",VLOOKUP('Ratings worksheet'!B41,'Sovereign Ratings (Moody''s,S&amp;P)'!$F$9:$G$33,2),'Ratings worksheet'!C41)</f>
        <v>Caa2</v>
      </c>
    </row>
    <row r="42" spans="1:7">
      <c r="A42" s="52" t="str">
        <f>'Ratings worksheet'!A42</f>
        <v>Curacao</v>
      </c>
      <c r="B42" s="64" t="str">
        <f>'Ratings worksheet'!B42</f>
        <v>A-</v>
      </c>
      <c r="C42" s="64" t="str">
        <f>IF('Ratings worksheet'!C42="NA",VLOOKUP('Ratings worksheet'!B42,'Sovereign Ratings (Moody''s,S&amp;P)'!$F$9:$G$33,2),'Ratings worksheet'!C42)</f>
        <v>A3</v>
      </c>
    </row>
    <row r="43" spans="1:7">
      <c r="A43" s="52" t="str">
        <f>'Ratings worksheet'!A43</f>
        <v>Cyprus</v>
      </c>
      <c r="B43" s="64" t="str">
        <f>'Ratings worksheet'!B43</f>
        <v>BBB-</v>
      </c>
      <c r="C43" s="64" t="str">
        <f>IF('Ratings worksheet'!C43="NA",VLOOKUP('Ratings worksheet'!B43,'Sovereign Ratings (Moody''s,S&amp;P)'!$F$9:$G$33,2),'Ratings worksheet'!C43)</f>
        <v>Ba2</v>
      </c>
    </row>
    <row r="44" spans="1:7">
      <c r="A44" s="52" t="str">
        <f>'Ratings worksheet'!A44</f>
        <v>Czech Republic</v>
      </c>
      <c r="B44" s="64" t="str">
        <f>'Ratings worksheet'!B44</f>
        <v>AA-</v>
      </c>
      <c r="C44" s="64" t="str">
        <f>IF('Ratings worksheet'!C44="NA",VLOOKUP('Ratings worksheet'!B44,'Sovereign Ratings (Moody''s,S&amp;P)'!$F$9:$G$33,2),'Ratings worksheet'!C44)</f>
        <v>Aa3</v>
      </c>
    </row>
    <row r="45" spans="1:7">
      <c r="A45" s="52" t="str">
        <f>'Ratings worksheet'!A45</f>
        <v>Denmark</v>
      </c>
      <c r="B45" s="64" t="str">
        <f>'Ratings worksheet'!B45</f>
        <v>AAA</v>
      </c>
      <c r="C45" s="64" t="str">
        <f>IF('Ratings worksheet'!C45="NA",VLOOKUP('Ratings worksheet'!B45,'Sovereign Ratings (Moody''s,S&amp;P)'!$F$9:$G$33,2),'Ratings worksheet'!C45)</f>
        <v>Aaa</v>
      </c>
    </row>
    <row r="46" spans="1:7">
      <c r="A46" s="52" t="str">
        <f>'Ratings worksheet'!A46</f>
        <v>Dominican Republic</v>
      </c>
      <c r="B46" s="64" t="str">
        <f>'Ratings worksheet'!B46</f>
        <v>BB-</v>
      </c>
      <c r="C46" s="64" t="str">
        <f>IF('Ratings worksheet'!C46="NA",VLOOKUP('Ratings worksheet'!B46,'Sovereign Ratings (Moody''s,S&amp;P)'!$F$9:$G$33,2),'Ratings worksheet'!C46)</f>
        <v>Ba3</v>
      </c>
    </row>
    <row r="47" spans="1:7">
      <c r="A47" s="52" t="str">
        <f>'Ratings worksheet'!A47</f>
        <v>Ecuador</v>
      </c>
      <c r="B47" s="64" t="str">
        <f>'Ratings worksheet'!B47</f>
        <v>B-</v>
      </c>
      <c r="C47" s="64" t="str">
        <f>IF('Ratings worksheet'!C47="NA",VLOOKUP('Ratings worksheet'!B47,'Sovereign Ratings (Moody''s,S&amp;P)'!$F$9:$G$33,2),'Ratings worksheet'!C47)</f>
        <v>Caa3</v>
      </c>
    </row>
    <row r="48" spans="1:7">
      <c r="A48" s="52" t="str">
        <f>'Ratings worksheet'!A48</f>
        <v>Egypt</v>
      </c>
      <c r="B48" s="64" t="str">
        <f>'Ratings worksheet'!B48</f>
        <v>B</v>
      </c>
      <c r="C48" s="64" t="str">
        <f>IF('Ratings worksheet'!C48="NA",VLOOKUP('Ratings worksheet'!B48,'Sovereign Ratings (Moody''s,S&amp;P)'!$F$9:$G$33,2),'Ratings worksheet'!C48)</f>
        <v>B2</v>
      </c>
    </row>
    <row r="49" spans="1:3">
      <c r="A49" s="52" t="str">
        <f>'Ratings worksheet'!A49</f>
        <v>El Salvador</v>
      </c>
      <c r="B49" s="64" t="str">
        <f>'Ratings worksheet'!B49</f>
        <v>B-</v>
      </c>
      <c r="C49" s="64" t="str">
        <f>IF('Ratings worksheet'!C49="NA",VLOOKUP('Ratings worksheet'!B49,'Sovereign Ratings (Moody''s,S&amp;P)'!$F$9:$G$33,2),'Ratings worksheet'!C49)</f>
        <v>B3</v>
      </c>
    </row>
    <row r="50" spans="1:3">
      <c r="A50" s="52" t="str">
        <f>'Ratings worksheet'!A50</f>
        <v>Estonia</v>
      </c>
      <c r="B50" s="64" t="str">
        <f>'Ratings worksheet'!B50</f>
        <v>AA-</v>
      </c>
      <c r="C50" s="64" t="str">
        <f>IF('Ratings worksheet'!C50="NA",VLOOKUP('Ratings worksheet'!B50,'Sovereign Ratings (Moody''s,S&amp;P)'!$F$9:$G$33,2),'Ratings worksheet'!C50)</f>
        <v>A1</v>
      </c>
    </row>
    <row r="51" spans="1:3">
      <c r="A51" s="52" t="str">
        <f>'Ratings worksheet'!A51</f>
        <v>Ethiopia</v>
      </c>
      <c r="B51" s="64" t="str">
        <f>'Ratings worksheet'!B51</f>
        <v>B</v>
      </c>
      <c r="C51" s="64" t="str">
        <f>IF('Ratings worksheet'!C51="NA",VLOOKUP('Ratings worksheet'!B51,'Sovereign Ratings (Moody''s,S&amp;P)'!$F$9:$G$33,2),'Ratings worksheet'!C51)</f>
        <v>B2</v>
      </c>
    </row>
    <row r="52" spans="1:3">
      <c r="A52" s="52" t="str">
        <f>'Ratings worksheet'!A52</f>
        <v>Fiji</v>
      </c>
      <c r="B52" s="64" t="str">
        <f>'Ratings worksheet'!B52</f>
        <v>BB-</v>
      </c>
      <c r="C52" s="64" t="str">
        <f>IF('Ratings worksheet'!C52="NA",VLOOKUP('Ratings worksheet'!B52,'Sovereign Ratings (Moody''s,S&amp;P)'!$F$9:$G$33,2),'Ratings worksheet'!C52)</f>
        <v>Ba3</v>
      </c>
    </row>
    <row r="53" spans="1:3">
      <c r="A53" s="52" t="str">
        <f>'Ratings worksheet'!A53</f>
        <v>Finland</v>
      </c>
      <c r="B53" s="64" t="str">
        <f>'Ratings worksheet'!B53</f>
        <v>AA+</v>
      </c>
      <c r="C53" s="64" t="str">
        <f>IF('Ratings worksheet'!C53="NA",VLOOKUP('Ratings worksheet'!B53,'Sovereign Ratings (Moody''s,S&amp;P)'!$F$9:$G$33,2),'Ratings worksheet'!C53)</f>
        <v>Aa1</v>
      </c>
    </row>
    <row r="54" spans="1:3">
      <c r="A54" s="52" t="str">
        <f>'Ratings worksheet'!A54</f>
        <v>France</v>
      </c>
      <c r="B54" s="64" t="str">
        <f>'Ratings worksheet'!B54</f>
        <v>AA</v>
      </c>
      <c r="C54" s="64" t="str">
        <f>IF('Ratings worksheet'!C54="NA",VLOOKUP('Ratings worksheet'!B54,'Sovereign Ratings (Moody''s,S&amp;P)'!$F$9:$G$33,2),'Ratings worksheet'!C54)</f>
        <v>Aa2</v>
      </c>
    </row>
    <row r="55" spans="1:3">
      <c r="A55" s="52" t="str">
        <f>'Ratings worksheet'!A55</f>
        <v>Gabon</v>
      </c>
      <c r="B55" s="64" t="str">
        <f>'Ratings worksheet'!B55</f>
        <v>NR</v>
      </c>
      <c r="C55" s="64" t="str">
        <f>IF('Ratings worksheet'!C55="NA",VLOOKUP('Ratings worksheet'!B55,'Sovereign Ratings (Moody''s,S&amp;P)'!$F$9:$G$33,2),'Ratings worksheet'!C55)</f>
        <v>Caa1</v>
      </c>
    </row>
    <row r="56" spans="1:3">
      <c r="A56" s="52" t="str">
        <f>'Ratings worksheet'!A56</f>
        <v>Georgia</v>
      </c>
      <c r="B56" s="64" t="str">
        <f>'Ratings worksheet'!B56</f>
        <v>BB</v>
      </c>
      <c r="C56" s="64" t="str">
        <f>IF('Ratings worksheet'!C56="NA",VLOOKUP('Ratings worksheet'!B56,'Sovereign Ratings (Moody''s,S&amp;P)'!$F$9:$G$33,2),'Ratings worksheet'!C56)</f>
        <v>Ba2</v>
      </c>
    </row>
    <row r="57" spans="1:3">
      <c r="A57" s="52" t="str">
        <f>'Ratings worksheet'!A57</f>
        <v>Germany</v>
      </c>
      <c r="B57" s="64" t="str">
        <f>'Ratings worksheet'!B57</f>
        <v>AAA</v>
      </c>
      <c r="C57" s="64" t="str">
        <f>IF('Ratings worksheet'!C57="NA",VLOOKUP('Ratings worksheet'!B57,'Sovereign Ratings (Moody''s,S&amp;P)'!$F$9:$G$33,2),'Ratings worksheet'!C57)</f>
        <v>Aaa</v>
      </c>
    </row>
    <row r="58" spans="1:3">
      <c r="A58" s="52" t="str">
        <f>'Ratings worksheet'!A58</f>
        <v>Ghana</v>
      </c>
      <c r="B58" s="64" t="str">
        <f>'Ratings worksheet'!B58</f>
        <v>B-</v>
      </c>
      <c r="C58" s="64" t="str">
        <f>IF('Ratings worksheet'!C58="NA",VLOOKUP('Ratings worksheet'!B58,'Sovereign Ratings (Moody''s,S&amp;P)'!$F$9:$G$33,2),'Ratings worksheet'!C58)</f>
        <v>B3</v>
      </c>
    </row>
    <row r="59" spans="1:3">
      <c r="A59" s="52" t="str">
        <f>'Ratings worksheet'!A59</f>
        <v>Greece</v>
      </c>
      <c r="B59" s="64" t="str">
        <f>'Ratings worksheet'!B59</f>
        <v>BB-</v>
      </c>
      <c r="C59" s="64" t="str">
        <f>IF('Ratings worksheet'!C59="NA",VLOOKUP('Ratings worksheet'!B59,'Sovereign Ratings (Moody''s,S&amp;P)'!$F$9:$G$33,2),'Ratings worksheet'!C59)</f>
        <v>Ba3</v>
      </c>
    </row>
    <row r="60" spans="1:3">
      <c r="A60" s="52" t="str">
        <f>'Ratings worksheet'!A60</f>
        <v>Guatemala</v>
      </c>
      <c r="B60" s="64" t="str">
        <f>'Ratings worksheet'!B60</f>
        <v>BB-</v>
      </c>
      <c r="C60" s="64" t="str">
        <f>IF('Ratings worksheet'!C60="NA",VLOOKUP('Ratings worksheet'!B60,'Sovereign Ratings (Moody''s,S&amp;P)'!$F$9:$G$33,2),'Ratings worksheet'!C60)</f>
        <v>Ba1</v>
      </c>
    </row>
    <row r="61" spans="1:3">
      <c r="A61" s="52" t="str">
        <f>'Ratings worksheet'!A61</f>
        <v>Guernsey (States of)</v>
      </c>
      <c r="B61" s="64" t="str">
        <f>'Ratings worksheet'!B61</f>
        <v>NA</v>
      </c>
      <c r="C61" s="64" t="str">
        <f>IF('Ratings worksheet'!C61="NA",VLOOKUP('Ratings worksheet'!B61,'Sovereign Ratings (Moody''s,S&amp;P)'!$F$9:$G$33,2),'Ratings worksheet'!C61)</f>
        <v>Aaa</v>
      </c>
    </row>
    <row r="62" spans="1:3">
      <c r="A62" s="52" t="str">
        <f>'Ratings worksheet'!A62</f>
        <v>Honduras</v>
      </c>
      <c r="B62" s="64" t="str">
        <f>'Ratings worksheet'!B62</f>
        <v>BB-</v>
      </c>
      <c r="C62" s="64" t="str">
        <f>IF('Ratings worksheet'!C62="NA",VLOOKUP('Ratings worksheet'!B62,'Sovereign Ratings (Moody''s,S&amp;P)'!$F$9:$G$33,2),'Ratings worksheet'!C62)</f>
        <v>B1</v>
      </c>
    </row>
    <row r="63" spans="1:3">
      <c r="A63" s="52" t="str">
        <f>'Ratings worksheet'!A63</f>
        <v>Hong Kong</v>
      </c>
      <c r="B63" s="64" t="str">
        <f>'Ratings worksheet'!B63</f>
        <v>AA+</v>
      </c>
      <c r="C63" s="64" t="str">
        <f>IF('Ratings worksheet'!C63="NA",VLOOKUP('Ratings worksheet'!B63,'Sovereign Ratings (Moody''s,S&amp;P)'!$F$9:$G$33,2),'Ratings worksheet'!C63)</f>
        <v>Aa3</v>
      </c>
    </row>
    <row r="64" spans="1:3">
      <c r="A64" s="52" t="str">
        <f>'Ratings worksheet'!A64</f>
        <v>Hungary</v>
      </c>
      <c r="B64" s="64" t="str">
        <f>'Ratings worksheet'!B64</f>
        <v>BBB</v>
      </c>
      <c r="C64" s="64" t="str">
        <f>IF('Ratings worksheet'!C64="NA",VLOOKUP('Ratings worksheet'!B64,'Sovereign Ratings (Moody''s,S&amp;P)'!$F$9:$G$33,2),'Ratings worksheet'!C64)</f>
        <v>Baa3</v>
      </c>
    </row>
    <row r="65" spans="1:3">
      <c r="A65" s="52" t="str">
        <f>'Ratings worksheet'!A65</f>
        <v>Iceland</v>
      </c>
      <c r="B65" s="64" t="str">
        <f>'Ratings worksheet'!B65</f>
        <v>A</v>
      </c>
      <c r="C65" s="64" t="str">
        <f>IF('Ratings worksheet'!C65="NA",VLOOKUP('Ratings worksheet'!B65,'Sovereign Ratings (Moody''s,S&amp;P)'!$F$9:$G$33,2),'Ratings worksheet'!C65)</f>
        <v>A2</v>
      </c>
    </row>
    <row r="66" spans="1:3">
      <c r="A66" s="52" t="str">
        <f>'Ratings worksheet'!A66</f>
        <v>India</v>
      </c>
      <c r="B66" s="64" t="str">
        <f>'Ratings worksheet'!B66</f>
        <v>BBB-</v>
      </c>
      <c r="C66" s="64" t="str">
        <f>IF('Ratings worksheet'!C66="NA",VLOOKUP('Ratings worksheet'!B66,'Sovereign Ratings (Moody''s,S&amp;P)'!$F$9:$G$33,2),'Ratings worksheet'!C66)</f>
        <v>Baa3</v>
      </c>
    </row>
    <row r="67" spans="1:3">
      <c r="A67" s="52" t="str">
        <f>'Ratings worksheet'!A67</f>
        <v>Indonesia</v>
      </c>
      <c r="B67" s="64" t="str">
        <f>'Ratings worksheet'!B67</f>
        <v>BBB</v>
      </c>
      <c r="C67" s="64" t="str">
        <f>IF('Ratings worksheet'!C67="NA",VLOOKUP('Ratings worksheet'!B67,'Sovereign Ratings (Moody''s,S&amp;P)'!$F$9:$G$33,2),'Ratings worksheet'!C67)</f>
        <v>Baa2</v>
      </c>
    </row>
    <row r="68" spans="1:3">
      <c r="A68" s="52" t="str">
        <f>'Ratings worksheet'!A68</f>
        <v>Iraq</v>
      </c>
      <c r="B68" s="64" t="str">
        <f>'Ratings worksheet'!B68</f>
        <v>B-</v>
      </c>
      <c r="C68" s="64" t="str">
        <f>IF('Ratings worksheet'!C68="NA",VLOOKUP('Ratings worksheet'!B68,'Sovereign Ratings (Moody''s,S&amp;P)'!$F$9:$G$33,2),'Ratings worksheet'!C68)</f>
        <v>Caa1</v>
      </c>
    </row>
    <row r="69" spans="1:3">
      <c r="A69" s="52" t="str">
        <f>'Ratings worksheet'!A69</f>
        <v>Ireland</v>
      </c>
      <c r="B69" s="64" t="str">
        <f>'Ratings worksheet'!B69</f>
        <v>AA-</v>
      </c>
      <c r="C69" s="64" t="str">
        <f>IF('Ratings worksheet'!C69="NA",VLOOKUP('Ratings worksheet'!B69,'Sovereign Ratings (Moody''s,S&amp;P)'!$F$9:$G$33,2),'Ratings worksheet'!C69)</f>
        <v>A2</v>
      </c>
    </row>
    <row r="70" spans="1:3">
      <c r="A70" s="52" t="str">
        <f>'Ratings worksheet'!A70</f>
        <v>Isle of Man</v>
      </c>
      <c r="B70" s="64" t="str">
        <f>'Ratings worksheet'!B70</f>
        <v>NR</v>
      </c>
      <c r="C70" s="64" t="str">
        <f>IF('Ratings worksheet'!C70="NA",VLOOKUP('Ratings worksheet'!B70,'Sovereign Ratings (Moody''s,S&amp;P)'!$F$9:$G$33,2),'Ratings worksheet'!C70)</f>
        <v>Aa3</v>
      </c>
    </row>
    <row r="71" spans="1:3">
      <c r="A71" s="52" t="str">
        <f>'Ratings worksheet'!A71</f>
        <v>Israel</v>
      </c>
      <c r="B71" s="64" t="str">
        <f>'Ratings worksheet'!B71</f>
        <v>AA-</v>
      </c>
      <c r="C71" s="64" t="str">
        <f>IF('Ratings worksheet'!C71="NA",VLOOKUP('Ratings worksheet'!B71,'Sovereign Ratings (Moody''s,S&amp;P)'!$F$9:$G$33,2),'Ratings worksheet'!C71)</f>
        <v>A1</v>
      </c>
    </row>
    <row r="72" spans="1:3">
      <c r="A72" s="52" t="str">
        <f>'Ratings worksheet'!A72</f>
        <v>Italy</v>
      </c>
      <c r="B72" s="64" t="str">
        <f>'Ratings worksheet'!B72</f>
        <v>BBB</v>
      </c>
      <c r="C72" s="64" t="str">
        <f>IF('Ratings worksheet'!C72="NA",VLOOKUP('Ratings worksheet'!B72,'Sovereign Ratings (Moody''s,S&amp;P)'!$F$9:$G$33,2),'Ratings worksheet'!C72)</f>
        <v>Baa3</v>
      </c>
    </row>
    <row r="73" spans="1:3">
      <c r="A73" s="52" t="str">
        <f>'Ratings worksheet'!A73</f>
        <v>Jamaica</v>
      </c>
      <c r="B73" s="64" t="str">
        <f>'Ratings worksheet'!B73</f>
        <v>B+</v>
      </c>
      <c r="C73" s="64" t="str">
        <f>IF('Ratings worksheet'!C73="NA",VLOOKUP('Ratings worksheet'!B73,'Sovereign Ratings (Moody''s,S&amp;P)'!$F$9:$G$33,2),'Ratings worksheet'!C73)</f>
        <v>B2</v>
      </c>
    </row>
    <row r="74" spans="1:3">
      <c r="A74" s="52" t="str">
        <f>'Ratings worksheet'!A74</f>
        <v>Japan</v>
      </c>
      <c r="B74" s="64" t="str">
        <f>'Ratings worksheet'!B74</f>
        <v>A+</v>
      </c>
      <c r="C74" s="64" t="str">
        <f>IF('Ratings worksheet'!C74="NA",VLOOKUP('Ratings worksheet'!B74,'Sovereign Ratings (Moody''s,S&amp;P)'!$F$9:$G$33,2),'Ratings worksheet'!C74)</f>
        <v>A1</v>
      </c>
    </row>
    <row r="75" spans="1:3">
      <c r="A75" s="52" t="str">
        <f>'Ratings worksheet'!A75</f>
        <v>Jersey (States of)</v>
      </c>
      <c r="B75" s="64" t="str">
        <f>'Ratings worksheet'!B75</f>
        <v>NA</v>
      </c>
      <c r="C75" s="64" t="str">
        <f>IF('Ratings worksheet'!C75="NA",VLOOKUP('Ratings worksheet'!B75,'Sovereign Ratings (Moody''s,S&amp;P)'!$F$9:$G$33,2),'Ratings worksheet'!C75)</f>
        <v>Aaa</v>
      </c>
    </row>
    <row r="76" spans="1:3">
      <c r="A76" s="52" t="str">
        <f>'Ratings worksheet'!A76</f>
        <v>Jordan</v>
      </c>
      <c r="B76" s="64" t="str">
        <f>'Ratings worksheet'!B76</f>
        <v>B+</v>
      </c>
      <c r="C76" s="64" t="str">
        <f>IF('Ratings worksheet'!C76="NA",VLOOKUP('Ratings worksheet'!B76,'Sovereign Ratings (Moody''s,S&amp;P)'!$F$9:$G$33,2),'Ratings worksheet'!C76)</f>
        <v>B1</v>
      </c>
    </row>
    <row r="77" spans="1:3">
      <c r="A77" s="52" t="str">
        <f>'Ratings worksheet'!A77</f>
        <v>Kazakhstan</v>
      </c>
      <c r="B77" s="64" t="str">
        <f>'Ratings worksheet'!B77</f>
        <v>BBB-</v>
      </c>
      <c r="C77" s="64" t="str">
        <f>IF('Ratings worksheet'!C77="NA",VLOOKUP('Ratings worksheet'!B77,'Sovereign Ratings (Moody''s,S&amp;P)'!$F$9:$G$33,2),'Ratings worksheet'!C77)</f>
        <v>Baa3</v>
      </c>
    </row>
    <row r="78" spans="1:3">
      <c r="A78" s="52" t="str">
        <f>'Ratings worksheet'!A78</f>
        <v>Kenya</v>
      </c>
      <c r="B78" s="64" t="str">
        <f>'Ratings worksheet'!B78</f>
        <v>B+</v>
      </c>
      <c r="C78" s="64" t="str">
        <f>IF('Ratings worksheet'!C78="NA",VLOOKUP('Ratings worksheet'!B78,'Sovereign Ratings (Moody''s,S&amp;P)'!$F$9:$G$33,2),'Ratings worksheet'!C78)</f>
        <v>B2</v>
      </c>
    </row>
    <row r="79" spans="1:3">
      <c r="A79" s="52" t="str">
        <f>'Ratings worksheet'!A79</f>
        <v>Korea</v>
      </c>
      <c r="B79" s="64" t="str">
        <f>'Ratings worksheet'!B79</f>
        <v>NA</v>
      </c>
      <c r="C79" s="64" t="str">
        <f>IF('Ratings worksheet'!C79="NA",VLOOKUP('Ratings worksheet'!B79,'Sovereign Ratings (Moody''s,S&amp;P)'!$F$9:$G$33,2),'Ratings worksheet'!C79)</f>
        <v>Aa2</v>
      </c>
    </row>
    <row r="80" spans="1:3">
      <c r="A80" s="52" t="str">
        <f>'Ratings worksheet'!A80</f>
        <v>Kuwait</v>
      </c>
      <c r="B80" s="64" t="str">
        <f>'Ratings worksheet'!B80</f>
        <v>AA-</v>
      </c>
      <c r="C80" s="64" t="str">
        <f>IF('Ratings worksheet'!C80="NA",VLOOKUP('Ratings worksheet'!B80,'Sovereign Ratings (Moody''s,S&amp;P)'!$F$9:$G$33,2),'Ratings worksheet'!C80)</f>
        <v>A1</v>
      </c>
    </row>
    <row r="81" spans="1:3">
      <c r="A81" s="52" t="str">
        <f>'Ratings worksheet'!A81</f>
        <v>Kyrgyzstan</v>
      </c>
      <c r="B81" s="64" t="str">
        <f>'Ratings worksheet'!B81</f>
        <v>NA</v>
      </c>
      <c r="C81" s="64" t="str">
        <f>IF('Ratings worksheet'!C81="NA",VLOOKUP('Ratings worksheet'!B81,'Sovereign Ratings (Moody''s,S&amp;P)'!$F$9:$G$33,2),'Ratings worksheet'!C81)</f>
        <v>B2</v>
      </c>
    </row>
    <row r="82" spans="1:3">
      <c r="A82" s="52" t="str">
        <f>'Ratings worksheet'!A82</f>
        <v>Laos</v>
      </c>
      <c r="B82" s="64" t="str">
        <f>'Ratings worksheet'!B82</f>
        <v>NA</v>
      </c>
      <c r="C82" s="64" t="str">
        <f>IF('Ratings worksheet'!C82="NA",VLOOKUP('Ratings worksheet'!B82,'Sovereign Ratings (Moody''s,S&amp;P)'!$F$9:$G$33,2),'Ratings worksheet'!C82)</f>
        <v>Caa2</v>
      </c>
    </row>
    <row r="83" spans="1:3">
      <c r="A83" s="52" t="str">
        <f>'Ratings worksheet'!A83</f>
        <v>Latvia</v>
      </c>
      <c r="B83" s="64" t="str">
        <f>'Ratings worksheet'!B83</f>
        <v>A+</v>
      </c>
      <c r="C83" s="64" t="str">
        <f>IF('Ratings worksheet'!C83="NA",VLOOKUP('Ratings worksheet'!B83,'Sovereign Ratings (Moody''s,S&amp;P)'!$F$9:$G$33,2),'Ratings worksheet'!C83)</f>
        <v>A3</v>
      </c>
    </row>
    <row r="84" spans="1:3">
      <c r="A84" s="52" t="str">
        <f>'Ratings worksheet'!A84</f>
        <v>Lebanon</v>
      </c>
      <c r="B84" s="64" t="str">
        <f>'Ratings worksheet'!B84</f>
        <v>SD</v>
      </c>
      <c r="C84" s="64" t="str">
        <f>IF('Ratings worksheet'!C84="NA",VLOOKUP('Ratings worksheet'!B84,'Sovereign Ratings (Moody''s,S&amp;P)'!$F$9:$G$33,2),'Ratings worksheet'!C84)</f>
        <v>C</v>
      </c>
    </row>
    <row r="85" spans="1:3">
      <c r="A85" s="52" t="str">
        <f>'Ratings worksheet'!A85</f>
        <v>Liechtenstein</v>
      </c>
      <c r="B85" s="64" t="str">
        <f>'Ratings worksheet'!B85</f>
        <v>AAA</v>
      </c>
      <c r="C85" s="64" t="str">
        <f>IF('Ratings worksheet'!C85="NA",VLOOKUP('Ratings worksheet'!B85,'Sovereign Ratings (Moody''s,S&amp;P)'!$F$9:$G$33,2),'Ratings worksheet'!C85)</f>
        <v>Aaa</v>
      </c>
    </row>
    <row r="86" spans="1:3">
      <c r="A86" s="52" t="str">
        <f>'Ratings worksheet'!A86</f>
        <v>Lithuania</v>
      </c>
      <c r="B86" s="64" t="str">
        <f>'Ratings worksheet'!B86</f>
        <v>A+</v>
      </c>
      <c r="C86" s="64" t="str">
        <f>IF('Ratings worksheet'!C86="NA",VLOOKUP('Ratings worksheet'!B86,'Sovereign Ratings (Moody''s,S&amp;P)'!$F$9:$G$33,2),'Ratings worksheet'!C86)</f>
        <v>A3</v>
      </c>
    </row>
    <row r="87" spans="1:3">
      <c r="A87" s="52" t="str">
        <f>'Ratings worksheet'!A87</f>
        <v>Luxembourg</v>
      </c>
      <c r="B87" s="64" t="str">
        <f>'Ratings worksheet'!B87</f>
        <v>AAA</v>
      </c>
      <c r="C87" s="64" t="str">
        <f>IF('Ratings worksheet'!C87="NA",VLOOKUP('Ratings worksheet'!B87,'Sovereign Ratings (Moody''s,S&amp;P)'!$F$9:$G$33,2),'Ratings worksheet'!C87)</f>
        <v>Aaa</v>
      </c>
    </row>
    <row r="88" spans="1:3">
      <c r="A88" s="52" t="str">
        <f>'Ratings worksheet'!A88</f>
        <v>Macao</v>
      </c>
      <c r="B88" s="64" t="str">
        <f>'Ratings worksheet'!B88</f>
        <v>NA</v>
      </c>
      <c r="C88" s="64" t="str">
        <f>IF('Ratings worksheet'!C88="NA",VLOOKUP('Ratings worksheet'!B88,'Sovereign Ratings (Moody''s,S&amp;P)'!$F$9:$G$33,2),'Ratings worksheet'!C88)</f>
        <v>Aa3</v>
      </c>
    </row>
    <row r="89" spans="1:3">
      <c r="A89" s="52" t="str">
        <f>'Ratings worksheet'!A89</f>
        <v>Macedonia</v>
      </c>
      <c r="B89" s="64" t="str">
        <f>'Ratings worksheet'!B89</f>
        <v>BB-</v>
      </c>
      <c r="C89" s="64" t="str">
        <f>IF('Ratings worksheet'!C89="NA",VLOOKUP('Ratings worksheet'!B89,'Sovereign Ratings (Moody''s,S&amp;P)'!$F$9:$G$33,2),'Ratings worksheet'!C89)</f>
        <v>Ba3</v>
      </c>
    </row>
    <row r="90" spans="1:3">
      <c r="A90" s="52" t="str">
        <f>'Ratings worksheet'!A90</f>
        <v>Malaysia</v>
      </c>
      <c r="B90" s="64" t="str">
        <f>'Ratings worksheet'!B90</f>
        <v>A-</v>
      </c>
      <c r="C90" s="64" t="str">
        <f>IF('Ratings worksheet'!C90="NA",VLOOKUP('Ratings worksheet'!B90,'Sovereign Ratings (Moody''s,S&amp;P)'!$F$9:$G$33,2),'Ratings worksheet'!C90)</f>
        <v>A3</v>
      </c>
    </row>
    <row r="91" spans="1:3">
      <c r="A91" s="52" t="str">
        <f>'Ratings worksheet'!A91</f>
        <v>Maldives</v>
      </c>
      <c r="B91" s="64" t="str">
        <f>'Ratings worksheet'!B91</f>
        <v>NA</v>
      </c>
      <c r="C91" s="64" t="str">
        <f>IF('Ratings worksheet'!C91="NA",VLOOKUP('Ratings worksheet'!B91,'Sovereign Ratings (Moody''s,S&amp;P)'!$F$9:$G$33,2),'Ratings worksheet'!C91)</f>
        <v>B3</v>
      </c>
    </row>
    <row r="92" spans="1:3">
      <c r="A92" s="52" t="str">
        <f>'Ratings worksheet'!A92</f>
        <v>Mali</v>
      </c>
      <c r="B92" s="64" t="str">
        <f>'Ratings worksheet'!B92</f>
        <v>NR</v>
      </c>
      <c r="C92" s="64" t="str">
        <f>IF('Ratings worksheet'!C92="NA",VLOOKUP('Ratings worksheet'!B92,'Sovereign Ratings (Moody''s,S&amp;P)'!$F$9:$G$33,2),'Ratings worksheet'!C92)</f>
        <v>Caa1</v>
      </c>
    </row>
    <row r="93" spans="1:3">
      <c r="A93" s="52" t="str">
        <f>'Ratings worksheet'!A93</f>
        <v>Malta</v>
      </c>
      <c r="B93" s="64" t="str">
        <f>'Ratings worksheet'!B93</f>
        <v>A-</v>
      </c>
      <c r="C93" s="64" t="str">
        <f>IF('Ratings worksheet'!C93="NA",VLOOKUP('Ratings worksheet'!B93,'Sovereign Ratings (Moody''s,S&amp;P)'!$F$9:$G$33,2),'Ratings worksheet'!C93)</f>
        <v>A2</v>
      </c>
    </row>
    <row r="94" spans="1:3">
      <c r="A94" s="52" t="str">
        <f>'Ratings worksheet'!A94</f>
        <v>Mauritius</v>
      </c>
      <c r="B94" s="64" t="str">
        <f>'Ratings worksheet'!B94</f>
        <v>NA</v>
      </c>
      <c r="C94" s="64" t="str">
        <f>IF('Ratings worksheet'!C94="NA",VLOOKUP('Ratings worksheet'!B94,'Sovereign Ratings (Moody''s,S&amp;P)'!$F$9:$G$33,2),'Ratings worksheet'!C94)</f>
        <v>Baa1</v>
      </c>
    </row>
    <row r="95" spans="1:3">
      <c r="A95" s="52" t="str">
        <f>'Ratings worksheet'!A95</f>
        <v>Mexico</v>
      </c>
      <c r="B95" s="64" t="str">
        <f>'Ratings worksheet'!B95</f>
        <v>BBB</v>
      </c>
      <c r="C95" s="64" t="str">
        <f>IF('Ratings worksheet'!C95="NA",VLOOKUP('Ratings worksheet'!B95,'Sovereign Ratings (Moody''s,S&amp;P)'!$F$9:$G$33,2),'Ratings worksheet'!C95)</f>
        <v>Baa1</v>
      </c>
    </row>
    <row r="96" spans="1:3">
      <c r="A96" s="52" t="str">
        <f>'Ratings worksheet'!A96</f>
        <v>Moldova</v>
      </c>
      <c r="B96" s="64" t="str">
        <f>'Ratings worksheet'!B96</f>
        <v>NA</v>
      </c>
      <c r="C96" s="64" t="str">
        <f>IF('Ratings worksheet'!C96="NA",VLOOKUP('Ratings worksheet'!B96,'Sovereign Ratings (Moody''s,S&amp;P)'!$F$9:$G$33,2),'Ratings worksheet'!C96)</f>
        <v>B3</v>
      </c>
    </row>
    <row r="97" spans="1:3">
      <c r="A97" s="52" t="str">
        <f>'Ratings worksheet'!A97</f>
        <v>Mongolia</v>
      </c>
      <c r="B97" s="64" t="str">
        <f>'Ratings worksheet'!B97</f>
        <v>B</v>
      </c>
      <c r="C97" s="64" t="str">
        <f>IF('Ratings worksheet'!C97="NA",VLOOKUP('Ratings worksheet'!B97,'Sovereign Ratings (Moody''s,S&amp;P)'!$F$9:$G$33,2),'Ratings worksheet'!C97)</f>
        <v>B3</v>
      </c>
    </row>
    <row r="98" spans="1:3">
      <c r="A98" s="52" t="str">
        <f>'Ratings worksheet'!A98</f>
        <v>Montenegro</v>
      </c>
      <c r="B98" s="64" t="str">
        <f>'Ratings worksheet'!B98</f>
        <v>B+</v>
      </c>
      <c r="C98" s="64" t="str">
        <f>IF('Ratings worksheet'!C98="NA",VLOOKUP('Ratings worksheet'!B98,'Sovereign Ratings (Moody''s,S&amp;P)'!$F$9:$G$33,2),'Ratings worksheet'!C98)</f>
        <v>B1</v>
      </c>
    </row>
    <row r="99" spans="1:3">
      <c r="A99" s="52" t="str">
        <f>'Ratings worksheet'!A99</f>
        <v>Montserrat</v>
      </c>
      <c r="B99" s="64" t="str">
        <f>'Ratings worksheet'!B99</f>
        <v>BBB-</v>
      </c>
      <c r="C99" s="64" t="str">
        <f>IF('Ratings worksheet'!C99="NA",VLOOKUP('Ratings worksheet'!B99,'Sovereign Ratings (Moody''s,S&amp;P)'!$F$9:$G$33,2),'Ratings worksheet'!C99)</f>
        <v>Baa3</v>
      </c>
    </row>
    <row r="100" spans="1:3">
      <c r="A100" s="52" t="str">
        <f>'Ratings worksheet'!A100</f>
        <v>Morocco</v>
      </c>
      <c r="B100" s="64" t="str">
        <f>'Ratings worksheet'!B100</f>
        <v>BBB-</v>
      </c>
      <c r="C100" s="64" t="str">
        <f>IF('Ratings worksheet'!C100="NA",VLOOKUP('Ratings worksheet'!B100,'Sovereign Ratings (Moody''s,S&amp;P)'!$F$9:$G$33,2),'Ratings worksheet'!C100)</f>
        <v>Ba1</v>
      </c>
    </row>
    <row r="101" spans="1:3">
      <c r="A101" s="52" t="str">
        <f>'Ratings worksheet'!A101</f>
        <v>Mozambique</v>
      </c>
      <c r="B101" s="64" t="str">
        <f>'Ratings worksheet'!B101</f>
        <v>CCC+</v>
      </c>
      <c r="C101" s="64" t="str">
        <f>IF('Ratings worksheet'!C101="NA",VLOOKUP('Ratings worksheet'!B101,'Sovereign Ratings (Moody''s,S&amp;P)'!$F$9:$G$33,2),'Ratings worksheet'!C101)</f>
        <v>Caa2</v>
      </c>
    </row>
    <row r="102" spans="1:3">
      <c r="A102" s="52" t="str">
        <f>'Ratings worksheet'!A102</f>
        <v>Namibia</v>
      </c>
      <c r="B102" s="64" t="str">
        <f>'Ratings worksheet'!B102</f>
        <v>NA</v>
      </c>
      <c r="C102" s="64" t="str">
        <f>IF('Ratings worksheet'!C102="NA",VLOOKUP('Ratings worksheet'!B102,'Sovereign Ratings (Moody''s,S&amp;P)'!$F$9:$G$33,2),'Ratings worksheet'!C102)</f>
        <v>Ba3</v>
      </c>
    </row>
    <row r="103" spans="1:3">
      <c r="A103" s="52" t="str">
        <f>'Ratings worksheet'!A103</f>
        <v>Netherlands</v>
      </c>
      <c r="B103" s="64" t="str">
        <f>'Ratings worksheet'!B103</f>
        <v>AAA</v>
      </c>
      <c r="C103" s="64" t="str">
        <f>IF('Ratings worksheet'!C103="NA",VLOOKUP('Ratings worksheet'!B103,'Sovereign Ratings (Moody''s,S&amp;P)'!$F$9:$G$33,2),'Ratings worksheet'!C103)</f>
        <v>Aaa</v>
      </c>
    </row>
    <row r="104" spans="1:3">
      <c r="A104" s="52" t="str">
        <f>'Ratings worksheet'!A104</f>
        <v>New Zealand</v>
      </c>
      <c r="B104" s="64" t="str">
        <f>'Ratings worksheet'!B104</f>
        <v>AA</v>
      </c>
      <c r="C104" s="64" t="str">
        <f>IF('Ratings worksheet'!C104="NA",VLOOKUP('Ratings worksheet'!B104,'Sovereign Ratings (Moody''s,S&amp;P)'!$F$9:$G$33,2),'Ratings worksheet'!C104)</f>
        <v>Aaa</v>
      </c>
    </row>
    <row r="105" spans="1:3">
      <c r="A105" s="52" t="str">
        <f>'Ratings worksheet'!A105</f>
        <v>Nicaragua</v>
      </c>
      <c r="B105" s="64" t="str">
        <f>'Ratings worksheet'!B105</f>
        <v>NA</v>
      </c>
      <c r="C105" s="64" t="str">
        <f>IF('Ratings worksheet'!C105="NA",VLOOKUP('Ratings worksheet'!B105,'Sovereign Ratings (Moody''s,S&amp;P)'!$F$9:$G$33,2),'Ratings worksheet'!C105)</f>
        <v>B3</v>
      </c>
    </row>
    <row r="106" spans="1:3">
      <c r="A106" s="52" t="str">
        <f>'Ratings worksheet'!A106</f>
        <v>Niger</v>
      </c>
      <c r="B106" s="64" t="str">
        <f>'Ratings worksheet'!B106</f>
        <v>NA</v>
      </c>
      <c r="C106" s="64" t="str">
        <f>IF('Ratings worksheet'!C106="NA",VLOOKUP('Ratings worksheet'!B106,'Sovereign Ratings (Moody''s,S&amp;P)'!$F$9:$G$33,2),'Ratings worksheet'!C106)</f>
        <v>B3</v>
      </c>
    </row>
    <row r="107" spans="1:3">
      <c r="A107" s="52" t="str">
        <f>'Ratings worksheet'!A107</f>
        <v>Nigeria</v>
      </c>
      <c r="B107" s="64" t="str">
        <f>'Ratings worksheet'!B107</f>
        <v>B-</v>
      </c>
      <c r="C107" s="64" t="str">
        <f>IF('Ratings worksheet'!C107="NA",VLOOKUP('Ratings worksheet'!B107,'Sovereign Ratings (Moody''s,S&amp;P)'!$F$9:$G$33,2),'Ratings worksheet'!C107)</f>
        <v>B2</v>
      </c>
    </row>
    <row r="108" spans="1:3">
      <c r="A108" s="52" t="str">
        <f>'Ratings worksheet'!A108</f>
        <v>Norway</v>
      </c>
      <c r="B108" s="64" t="str">
        <f>'Ratings worksheet'!B108</f>
        <v>AAA</v>
      </c>
      <c r="C108" s="64" t="str">
        <f>IF('Ratings worksheet'!C108="NA",VLOOKUP('Ratings worksheet'!B108,'Sovereign Ratings (Moody''s,S&amp;P)'!$F$9:$G$33,2),'Ratings worksheet'!C108)</f>
        <v>Aaa</v>
      </c>
    </row>
    <row r="109" spans="1:3">
      <c r="A109" s="52" t="str">
        <f>'Ratings worksheet'!A109</f>
        <v>Oman</v>
      </c>
      <c r="B109" s="64" t="str">
        <f>'Ratings worksheet'!B109</f>
        <v>B+</v>
      </c>
      <c r="C109" s="64" t="str">
        <f>IF('Ratings worksheet'!C109="NA",VLOOKUP('Ratings worksheet'!B109,'Sovereign Ratings (Moody''s,S&amp;P)'!$F$9:$G$33,2),'Ratings worksheet'!C109)</f>
        <v>Ba3</v>
      </c>
    </row>
    <row r="110" spans="1:3">
      <c r="A110" s="52" t="str">
        <f>'Ratings worksheet'!A110</f>
        <v>Pakistan</v>
      </c>
      <c r="B110" s="64" t="str">
        <f>'Ratings worksheet'!B110</f>
        <v>B-</v>
      </c>
      <c r="C110" s="64" t="str">
        <f>IF('Ratings worksheet'!C110="NA",VLOOKUP('Ratings worksheet'!B110,'Sovereign Ratings (Moody''s,S&amp;P)'!$F$9:$G$33,2),'Ratings worksheet'!C110)</f>
        <v>B3</v>
      </c>
    </row>
    <row r="111" spans="1:3">
      <c r="A111" s="52" t="str">
        <f>'Ratings worksheet'!A111</f>
        <v>Panama</v>
      </c>
      <c r="B111" s="64" t="str">
        <f>'Ratings worksheet'!B111</f>
        <v>BBB</v>
      </c>
      <c r="C111" s="64" t="str">
        <f>IF('Ratings worksheet'!C111="NA",VLOOKUP('Ratings worksheet'!B111,'Sovereign Ratings (Moody''s,S&amp;P)'!$F$9:$G$33,2),'Ratings worksheet'!C111)</f>
        <v>Baa1</v>
      </c>
    </row>
    <row r="112" spans="1:3">
      <c r="A112" s="52" t="str">
        <f>'Ratings worksheet'!A112</f>
        <v>Papua New Guinea</v>
      </c>
      <c r="B112" s="64" t="str">
        <f>'Ratings worksheet'!B112</f>
        <v>B-</v>
      </c>
      <c r="C112" s="64" t="str">
        <f>IF('Ratings worksheet'!C112="NA",VLOOKUP('Ratings worksheet'!B112,'Sovereign Ratings (Moody''s,S&amp;P)'!$F$9:$G$33,2),'Ratings worksheet'!C112)</f>
        <v>B2</v>
      </c>
    </row>
    <row r="113" spans="1:3">
      <c r="A113" s="52" t="str">
        <f>'Ratings worksheet'!A113</f>
        <v>Paraguay</v>
      </c>
      <c r="B113" s="64" t="str">
        <f>'Ratings worksheet'!B113</f>
        <v>BB</v>
      </c>
      <c r="C113" s="64" t="str">
        <f>IF('Ratings worksheet'!C113="NA",VLOOKUP('Ratings worksheet'!B113,'Sovereign Ratings (Moody''s,S&amp;P)'!$F$9:$G$33,2),'Ratings worksheet'!C113)</f>
        <v>Ba1</v>
      </c>
    </row>
    <row r="114" spans="1:3">
      <c r="A114" s="52" t="str">
        <f>'Ratings worksheet'!A114</f>
        <v>Peru</v>
      </c>
      <c r="B114" s="64" t="str">
        <f>'Ratings worksheet'!B114</f>
        <v>BBB+</v>
      </c>
      <c r="C114" s="64" t="str">
        <f>IF('Ratings worksheet'!C114="NA",VLOOKUP('Ratings worksheet'!B114,'Sovereign Ratings (Moody''s,S&amp;P)'!$F$9:$G$33,2),'Ratings worksheet'!C114)</f>
        <v>A3</v>
      </c>
    </row>
    <row r="115" spans="1:3">
      <c r="A115" s="52" t="str">
        <f>'Ratings worksheet'!A115</f>
        <v>Philippines</v>
      </c>
      <c r="B115" s="64" t="str">
        <f>'Ratings worksheet'!B115</f>
        <v>BBB+</v>
      </c>
      <c r="C115" s="64" t="str">
        <f>IF('Ratings worksheet'!C115="NA",VLOOKUP('Ratings worksheet'!B115,'Sovereign Ratings (Moody''s,S&amp;P)'!$F$9:$G$33,2),'Ratings worksheet'!C115)</f>
        <v>Baa2</v>
      </c>
    </row>
    <row r="116" spans="1:3">
      <c r="A116" s="52" t="str">
        <f>'Ratings worksheet'!A116</f>
        <v>Poland</v>
      </c>
      <c r="B116" s="64" t="str">
        <f>'Ratings worksheet'!B116</f>
        <v>A-</v>
      </c>
      <c r="C116" s="64" t="str">
        <f>IF('Ratings worksheet'!C116="NA",VLOOKUP('Ratings worksheet'!B116,'Sovereign Ratings (Moody''s,S&amp;P)'!$F$9:$G$33,2),'Ratings worksheet'!C116)</f>
        <v>A2</v>
      </c>
    </row>
    <row r="117" spans="1:3">
      <c r="A117" s="52" t="str">
        <f>'Ratings worksheet'!A117</f>
        <v>Portugal</v>
      </c>
      <c r="B117" s="64" t="str">
        <f>'Ratings worksheet'!B117</f>
        <v>BBB</v>
      </c>
      <c r="C117" s="64" t="str">
        <f>IF('Ratings worksheet'!C117="NA",VLOOKUP('Ratings worksheet'!B117,'Sovereign Ratings (Moody''s,S&amp;P)'!$F$9:$G$33,2),'Ratings worksheet'!C117)</f>
        <v>Baa3</v>
      </c>
    </row>
    <row r="118" spans="1:3">
      <c r="A118" s="52" t="str">
        <f>'Ratings worksheet'!A118</f>
        <v>Qatar</v>
      </c>
      <c r="B118" s="64" t="str">
        <f>'Ratings worksheet'!B118</f>
        <v>AA-</v>
      </c>
      <c r="C118" s="64" t="str">
        <f>IF('Ratings worksheet'!C118="NA",VLOOKUP('Ratings worksheet'!B118,'Sovereign Ratings (Moody''s,S&amp;P)'!$F$9:$G$33,2),'Ratings worksheet'!C118)</f>
        <v>Aa3</v>
      </c>
    </row>
    <row r="119" spans="1:3">
      <c r="A119" s="52" t="str">
        <f>'Ratings worksheet'!A119</f>
        <v>Ras Al Khaimah (Emirate of)</v>
      </c>
      <c r="B119" s="64" t="str">
        <f>'Ratings worksheet'!B119</f>
        <v>NA</v>
      </c>
      <c r="C119" s="64" t="str">
        <f>IF('Ratings worksheet'!C119="NA",VLOOKUP('Ratings worksheet'!B119,'Sovereign Ratings (Moody''s,S&amp;P)'!$F$9:$G$33,2),'Ratings worksheet'!C119)</f>
        <v>Aaa</v>
      </c>
    </row>
    <row r="120" spans="1:3">
      <c r="A120" s="52" t="str">
        <f>'Ratings worksheet'!A120</f>
        <v>Romania</v>
      </c>
      <c r="B120" s="64" t="str">
        <f>'Ratings worksheet'!B120</f>
        <v>BBB-</v>
      </c>
      <c r="C120" s="64" t="str">
        <f>IF('Ratings worksheet'!C120="NA",VLOOKUP('Ratings worksheet'!B120,'Sovereign Ratings (Moody''s,S&amp;P)'!$F$9:$G$33,2),'Ratings worksheet'!C120)</f>
        <v>Baa3</v>
      </c>
    </row>
    <row r="121" spans="1:3">
      <c r="A121" s="52" t="str">
        <f>'Ratings worksheet'!A121</f>
        <v>Russia</v>
      </c>
      <c r="B121" s="64" t="str">
        <f>'Ratings worksheet'!B121</f>
        <v>BBB-</v>
      </c>
      <c r="C121" s="64" t="str">
        <f>IF('Ratings worksheet'!C121="NA",VLOOKUP('Ratings worksheet'!B121,'Sovereign Ratings (Moody''s,S&amp;P)'!$F$9:$G$33,2),'Ratings worksheet'!C121)</f>
        <v>Baa3</v>
      </c>
    </row>
    <row r="122" spans="1:3">
      <c r="A122" s="52" t="str">
        <f>'Ratings worksheet'!A122</f>
        <v>Rwanda</v>
      </c>
      <c r="B122" s="64" t="str">
        <f>'Ratings worksheet'!B122</f>
        <v>B+</v>
      </c>
      <c r="C122" s="64" t="str">
        <f>IF('Ratings worksheet'!C122="NA",VLOOKUP('Ratings worksheet'!B122,'Sovereign Ratings (Moody''s,S&amp;P)'!$F$9:$G$33,2),'Ratings worksheet'!C122)</f>
        <v>B2</v>
      </c>
    </row>
    <row r="123" spans="1:3">
      <c r="A123" s="52" t="str">
        <f>'Ratings worksheet'!A123</f>
        <v>Saudi Arabia</v>
      </c>
      <c r="B123" s="64" t="str">
        <f>'Ratings worksheet'!B123</f>
        <v>A-</v>
      </c>
      <c r="C123" s="64" t="str">
        <f>IF('Ratings worksheet'!C123="NA",VLOOKUP('Ratings worksheet'!B123,'Sovereign Ratings (Moody''s,S&amp;P)'!$F$9:$G$33,2),'Ratings worksheet'!C123)</f>
        <v>A1</v>
      </c>
    </row>
    <row r="124" spans="1:3">
      <c r="A124" s="52" t="str">
        <f>'Ratings worksheet'!A124</f>
        <v>Senegal</v>
      </c>
      <c r="B124" s="64" t="str">
        <f>'Ratings worksheet'!B124</f>
        <v>B+</v>
      </c>
      <c r="C124" s="64" t="str">
        <f>IF('Ratings worksheet'!C124="NA",VLOOKUP('Ratings worksheet'!B124,'Sovereign Ratings (Moody''s,S&amp;P)'!$F$9:$G$33,2),'Ratings worksheet'!C124)</f>
        <v>Ba3</v>
      </c>
    </row>
    <row r="125" spans="1:3">
      <c r="A125" s="52" t="str">
        <f>'Ratings worksheet'!A125</f>
        <v>Serbia</v>
      </c>
      <c r="B125" s="64" t="str">
        <f>'Ratings worksheet'!B125</f>
        <v>BB+</v>
      </c>
      <c r="C125" s="64" t="str">
        <f>IF('Ratings worksheet'!C125="NA",VLOOKUP('Ratings worksheet'!B125,'Sovereign Ratings (Moody''s,S&amp;P)'!$F$9:$G$33,2),'Ratings worksheet'!C125)</f>
        <v>Ba3</v>
      </c>
    </row>
    <row r="126" spans="1:3">
      <c r="A126" s="52" t="str">
        <f>'Ratings worksheet'!A126</f>
        <v>Sharjah</v>
      </c>
      <c r="B126" s="64" t="str">
        <f>'Ratings worksheet'!B126</f>
        <v>NA</v>
      </c>
      <c r="C126" s="64" t="str">
        <f>IF('Ratings worksheet'!C126="NA",VLOOKUP('Ratings worksheet'!B126,'Sovereign Ratings (Moody''s,S&amp;P)'!$F$9:$G$33,2),'Ratings worksheet'!C126)</f>
        <v>Baa2</v>
      </c>
    </row>
    <row r="127" spans="1:3">
      <c r="A127" s="52" t="str">
        <f>'Ratings worksheet'!A127</f>
        <v>Singapore</v>
      </c>
      <c r="B127" s="64" t="str">
        <f>'Ratings worksheet'!B127</f>
        <v>AAA</v>
      </c>
      <c r="C127" s="64" t="str">
        <f>IF('Ratings worksheet'!C127="NA",VLOOKUP('Ratings worksheet'!B127,'Sovereign Ratings (Moody''s,S&amp;P)'!$F$9:$G$33,2),'Ratings worksheet'!C127)</f>
        <v>Aaa</v>
      </c>
    </row>
    <row r="128" spans="1:3">
      <c r="A128" s="52" t="str">
        <f>'Ratings worksheet'!A128</f>
        <v>Slovakia</v>
      </c>
      <c r="B128" s="64" t="str">
        <f>'Ratings worksheet'!B128</f>
        <v>A+</v>
      </c>
      <c r="C128" s="64" t="str">
        <f>IF('Ratings worksheet'!C128="NA",VLOOKUP('Ratings worksheet'!B128,'Sovereign Ratings (Moody''s,S&amp;P)'!$F$9:$G$33,2),'Ratings worksheet'!C128)</f>
        <v>A2</v>
      </c>
    </row>
    <row r="129" spans="1:3">
      <c r="A129" s="52" t="str">
        <f>'Ratings worksheet'!A129</f>
        <v>Slovenia</v>
      </c>
      <c r="B129" s="64" t="str">
        <f>'Ratings worksheet'!B129</f>
        <v>AA-</v>
      </c>
      <c r="C129" s="64" t="str">
        <f>IF('Ratings worksheet'!C129="NA",VLOOKUP('Ratings worksheet'!B129,'Sovereign Ratings (Moody''s,S&amp;P)'!$F$9:$G$33,2),'Ratings worksheet'!C129)</f>
        <v>A3</v>
      </c>
    </row>
    <row r="130" spans="1:3">
      <c r="A130" s="52" t="str">
        <f>'Ratings worksheet'!A130</f>
        <v>Solomon Islands</v>
      </c>
      <c r="B130" s="64" t="str">
        <f>'Ratings worksheet'!B130</f>
        <v>NA</v>
      </c>
      <c r="C130" s="64" t="str">
        <f>IF('Ratings worksheet'!C130="NA",VLOOKUP('Ratings worksheet'!B130,'Sovereign Ratings (Moody''s,S&amp;P)'!$F$9:$G$33,2),'Ratings worksheet'!C130)</f>
        <v>B3</v>
      </c>
    </row>
    <row r="131" spans="1:3">
      <c r="A131" s="52" t="str">
        <f>'Ratings worksheet'!A131</f>
        <v>South Africa</v>
      </c>
      <c r="B131" s="64" t="str">
        <f>'Ratings worksheet'!B131</f>
        <v>BB-</v>
      </c>
      <c r="C131" s="64" t="str">
        <f>IF('Ratings worksheet'!C131="NA",VLOOKUP('Ratings worksheet'!B131,'Sovereign Ratings (Moody''s,S&amp;P)'!$F$9:$G$33,2),'Ratings worksheet'!C131)</f>
        <v>Ba2</v>
      </c>
    </row>
    <row r="132" spans="1:3">
      <c r="A132" s="52" t="str">
        <f>'Ratings worksheet'!A132</f>
        <v>Spain</v>
      </c>
      <c r="B132" s="64" t="str">
        <f>'Ratings worksheet'!B132</f>
        <v>A</v>
      </c>
      <c r="C132" s="64" t="str">
        <f>IF('Ratings worksheet'!C132="NA",VLOOKUP('Ratings worksheet'!B132,'Sovereign Ratings (Moody''s,S&amp;P)'!$F$9:$G$33,2),'Ratings worksheet'!C132)</f>
        <v>Baa1</v>
      </c>
    </row>
    <row r="133" spans="1:3">
      <c r="A133" s="52" t="str">
        <f>'Ratings worksheet'!A133</f>
        <v>Sri Lanka</v>
      </c>
      <c r="B133" s="64" t="str">
        <f>'Ratings worksheet'!B133</f>
        <v>CCC+</v>
      </c>
      <c r="C133" s="64" t="str">
        <f>IF('Ratings worksheet'!C133="NA",VLOOKUP('Ratings worksheet'!B133,'Sovereign Ratings (Moody''s,S&amp;P)'!$F$9:$G$33,2),'Ratings worksheet'!C133)</f>
        <v>Caa1</v>
      </c>
    </row>
    <row r="134" spans="1:3">
      <c r="A134" s="52" t="str">
        <f>'Ratings worksheet'!A134</f>
        <v>St. Maarten</v>
      </c>
      <c r="B134" s="64" t="str">
        <f>'Ratings worksheet'!B134</f>
        <v>NA</v>
      </c>
      <c r="C134" s="64" t="str">
        <f>IF('Ratings worksheet'!C134="NA",VLOOKUP('Ratings worksheet'!B134,'Sovereign Ratings (Moody''s,S&amp;P)'!$F$9:$G$33,2),'Ratings worksheet'!C134)</f>
        <v>Baa3</v>
      </c>
    </row>
    <row r="135" spans="1:3">
      <c r="A135" s="52" t="str">
        <f>'Ratings worksheet'!A135</f>
        <v>St. Vincent &amp; the Grenadines</v>
      </c>
      <c r="B135" s="64" t="str">
        <f>'Ratings worksheet'!B135</f>
        <v>NA</v>
      </c>
      <c r="C135" s="64" t="str">
        <f>IF('Ratings worksheet'!C135="NA",VLOOKUP('Ratings worksheet'!B135,'Sovereign Ratings (Moody''s,S&amp;P)'!$F$9:$G$33,2),'Ratings worksheet'!C135)</f>
        <v>B3</v>
      </c>
    </row>
    <row r="136" spans="1:3">
      <c r="A136" s="52" t="str">
        <f>'Ratings worksheet'!A136</f>
        <v>Suriname</v>
      </c>
      <c r="B136" s="64" t="str">
        <f>'Ratings worksheet'!B136</f>
        <v>SD</v>
      </c>
      <c r="C136" s="64" t="str">
        <f>IF('Ratings worksheet'!C136="NA",VLOOKUP('Ratings worksheet'!B136,'Sovereign Ratings (Moody''s,S&amp;P)'!$F$9:$G$33,2),'Ratings worksheet'!C136)</f>
        <v>Caa3</v>
      </c>
    </row>
    <row r="137" spans="1:3">
      <c r="A137" s="52" t="str">
        <f>'Ratings worksheet'!A137</f>
        <v>Swaziland</v>
      </c>
      <c r="B137" s="64" t="str">
        <f>'Ratings worksheet'!B137</f>
        <v>NA</v>
      </c>
      <c r="C137" s="64" t="str">
        <f>IF('Ratings worksheet'!C137="NA",VLOOKUP('Ratings worksheet'!B137,'Sovereign Ratings (Moody''s,S&amp;P)'!$F$9:$G$33,2),'Ratings worksheet'!C137)</f>
        <v>B3</v>
      </c>
    </row>
    <row r="138" spans="1:3">
      <c r="A138" s="52" t="str">
        <f>'Ratings worksheet'!A138</f>
        <v>Sweden</v>
      </c>
      <c r="B138" s="64" t="str">
        <f>'Ratings worksheet'!B138</f>
        <v>AAA</v>
      </c>
      <c r="C138" s="64" t="str">
        <f>IF('Ratings worksheet'!C138="NA",VLOOKUP('Ratings worksheet'!B138,'Sovereign Ratings (Moody''s,S&amp;P)'!$F$9:$G$33,2),'Ratings worksheet'!C138)</f>
        <v>Aaa</v>
      </c>
    </row>
    <row r="139" spans="1:3">
      <c r="A139" s="52" t="str">
        <f>'Ratings worksheet'!A139</f>
        <v>Switzerland</v>
      </c>
      <c r="B139" s="64" t="str">
        <f>'Ratings worksheet'!B139</f>
        <v>AAA</v>
      </c>
      <c r="C139" s="64" t="str">
        <f>IF('Ratings worksheet'!C139="NA",VLOOKUP('Ratings worksheet'!B139,'Sovereign Ratings (Moody''s,S&amp;P)'!$F$9:$G$33,2),'Ratings worksheet'!C139)</f>
        <v>Aaa</v>
      </c>
    </row>
    <row r="140" spans="1:3">
      <c r="A140" s="52" t="str">
        <f>'Ratings worksheet'!A140</f>
        <v>Taiwan</v>
      </c>
      <c r="B140" s="64" t="str">
        <f>'Ratings worksheet'!B140</f>
        <v>AA-</v>
      </c>
      <c r="C140" s="64" t="str">
        <f>IF('Ratings worksheet'!C140="NA",VLOOKUP('Ratings worksheet'!B140,'Sovereign Ratings (Moody''s,S&amp;P)'!$F$9:$G$33,2),'Ratings worksheet'!C140)</f>
        <v>Aa3</v>
      </c>
    </row>
    <row r="141" spans="1:3">
      <c r="A141" s="52" t="str">
        <f>'Ratings worksheet'!A141</f>
        <v>Tajikistan</v>
      </c>
      <c r="B141" s="64" t="str">
        <f>'Ratings worksheet'!B141</f>
        <v>NA</v>
      </c>
      <c r="C141" s="64" t="str">
        <f>IF('Ratings worksheet'!C141="NA",VLOOKUP('Ratings worksheet'!B141,'Sovereign Ratings (Moody''s,S&amp;P)'!$F$9:$G$33,2),'Ratings worksheet'!C141)</f>
        <v>B3</v>
      </c>
    </row>
    <row r="142" spans="1:3">
      <c r="A142" s="52" t="str">
        <f>'Ratings worksheet'!A142</f>
        <v>Tanzania</v>
      </c>
      <c r="B142" s="64" t="str">
        <f>'Ratings worksheet'!B142</f>
        <v>NA</v>
      </c>
      <c r="C142" s="64" t="str">
        <f>IF('Ratings worksheet'!C142="NA",VLOOKUP('Ratings worksheet'!B142,'Sovereign Ratings (Moody''s,S&amp;P)'!$F$9:$G$33,2),'Ratings worksheet'!C142)</f>
        <v>B2</v>
      </c>
    </row>
    <row r="143" spans="1:3">
      <c r="A143" s="52" t="str">
        <f>'Ratings worksheet'!A143</f>
        <v>Thailand</v>
      </c>
      <c r="B143" s="64" t="str">
        <f>'Ratings worksheet'!B143</f>
        <v>BBB+</v>
      </c>
      <c r="C143" s="64" t="str">
        <f>IF('Ratings worksheet'!C143="NA",VLOOKUP('Ratings worksheet'!B143,'Sovereign Ratings (Moody''s,S&amp;P)'!$F$9:$G$33,2),'Ratings worksheet'!C143)</f>
        <v>Baa1</v>
      </c>
    </row>
    <row r="144" spans="1:3">
      <c r="A144" s="52" t="str">
        <f>'Ratings worksheet'!A144</f>
        <v>Togo</v>
      </c>
      <c r="B144" s="64" t="str">
        <f>'Ratings worksheet'!B144</f>
        <v>NA</v>
      </c>
      <c r="C144" s="64" t="str">
        <f>IF('Ratings worksheet'!C144="NA",VLOOKUP('Ratings worksheet'!B144,'Sovereign Ratings (Moody''s,S&amp;P)'!$F$9:$G$33,2),'Ratings worksheet'!C144)</f>
        <v>B3</v>
      </c>
    </row>
    <row r="145" spans="1:3">
      <c r="A145" s="52" t="str">
        <f>'Ratings worksheet'!A145</f>
        <v>Trinidad and Tobago</v>
      </c>
      <c r="B145" s="64" t="str">
        <f>'Ratings worksheet'!B145</f>
        <v>NA</v>
      </c>
      <c r="C145" s="64" t="str">
        <f>IF('Ratings worksheet'!C145="NA",VLOOKUP('Ratings worksheet'!B145,'Sovereign Ratings (Moody''s,S&amp;P)'!$F$9:$G$33,2),'Ratings worksheet'!C145)</f>
        <v>Ba1</v>
      </c>
    </row>
    <row r="146" spans="1:3">
      <c r="A146" s="52" t="str">
        <f>'Ratings worksheet'!A146</f>
        <v>Tunisia</v>
      </c>
      <c r="B146" s="64" t="str">
        <f>'Ratings worksheet'!B146</f>
        <v>NA</v>
      </c>
      <c r="C146" s="64" t="str">
        <f>IF('Ratings worksheet'!C146="NA",VLOOKUP('Ratings worksheet'!B146,'Sovereign Ratings (Moody''s,S&amp;P)'!$F$9:$G$33,2),'Ratings worksheet'!C146)</f>
        <v>B2</v>
      </c>
    </row>
    <row r="147" spans="1:3">
      <c r="A147" s="52" t="str">
        <f>'Ratings worksheet'!A147</f>
        <v>Turkey</v>
      </c>
      <c r="B147" s="64" t="str">
        <f>'Ratings worksheet'!B147</f>
        <v>B+</v>
      </c>
      <c r="C147" s="64" t="str">
        <f>IF('Ratings worksheet'!C147="NA",VLOOKUP('Ratings worksheet'!B147,'Sovereign Ratings (Moody''s,S&amp;P)'!$F$9:$G$33,2),'Ratings worksheet'!C147)</f>
        <v>B2</v>
      </c>
    </row>
    <row r="148" spans="1:3">
      <c r="A148" s="52" t="str">
        <f>'Ratings worksheet'!A148</f>
        <v>Turks and Caicos Islands</v>
      </c>
      <c r="B148" s="64" t="str">
        <f>'Ratings worksheet'!B148</f>
        <v>BBB+</v>
      </c>
      <c r="C148" s="64" t="str">
        <f>IF('Ratings worksheet'!C148="NA",VLOOKUP('Ratings worksheet'!B148,'Sovereign Ratings (Moody''s,S&amp;P)'!$F$9:$G$33,2),'Ratings worksheet'!C148)</f>
        <v>Baa1</v>
      </c>
    </row>
    <row r="149" spans="1:3">
      <c r="A149" s="52" t="str">
        <f>'Ratings worksheet'!A149</f>
        <v>Uganda</v>
      </c>
      <c r="B149" s="64" t="str">
        <f>'Ratings worksheet'!B149</f>
        <v>B</v>
      </c>
      <c r="C149" s="64" t="str">
        <f>IF('Ratings worksheet'!C149="NA",VLOOKUP('Ratings worksheet'!B149,'Sovereign Ratings (Moody''s,S&amp;P)'!$F$9:$G$33,2),'Ratings worksheet'!C149)</f>
        <v>B2</v>
      </c>
    </row>
    <row r="150" spans="1:3">
      <c r="A150" s="52" t="str">
        <f>'Ratings worksheet'!A150</f>
        <v>Ukraine</v>
      </c>
      <c r="B150" s="64" t="str">
        <f>'Ratings worksheet'!B150</f>
        <v>B</v>
      </c>
      <c r="C150" s="64" t="str">
        <f>IF('Ratings worksheet'!C150="NA",VLOOKUP('Ratings worksheet'!B150,'Sovereign Ratings (Moody''s,S&amp;P)'!$F$9:$G$33,2),'Ratings worksheet'!C150)</f>
        <v>B3</v>
      </c>
    </row>
    <row r="151" spans="1:3">
      <c r="A151" s="52" t="str">
        <f>'Ratings worksheet'!A151</f>
        <v>United Arab Emirates</v>
      </c>
      <c r="B151" s="64" t="str">
        <f>'Ratings worksheet'!B151</f>
        <v>NA</v>
      </c>
      <c r="C151" s="64" t="str">
        <f>IF('Ratings worksheet'!C151="NA",VLOOKUP('Ratings worksheet'!B151,'Sovereign Ratings (Moody''s,S&amp;P)'!$F$9:$G$33,2),'Ratings worksheet'!C151)</f>
        <v>Aa2</v>
      </c>
    </row>
    <row r="152" spans="1:3">
      <c r="A152" s="52" t="str">
        <f>'Ratings worksheet'!A152</f>
        <v>United Kingdom</v>
      </c>
      <c r="B152" s="64" t="str">
        <f>'Ratings worksheet'!B152</f>
        <v>AA</v>
      </c>
      <c r="C152" s="64" t="str">
        <f>IF('Ratings worksheet'!C152="NA",VLOOKUP('Ratings worksheet'!B152,'Sovereign Ratings (Moody''s,S&amp;P)'!$F$9:$G$33,2),'Ratings worksheet'!C152)</f>
        <v>Aa3</v>
      </c>
    </row>
    <row r="153" spans="1:3">
      <c r="A153" s="52" t="str">
        <f>'Ratings worksheet'!A153</f>
        <v>United States</v>
      </c>
      <c r="B153" s="64" t="str">
        <f>'Ratings worksheet'!B153</f>
        <v>AA+</v>
      </c>
      <c r="C153" s="64" t="str">
        <f>IF('Ratings worksheet'!C153="NA",VLOOKUP('Ratings worksheet'!B153,'Sovereign Ratings (Moody''s,S&amp;P)'!$F$9:$G$33,2),'Ratings worksheet'!C153)</f>
        <v>Aaa</v>
      </c>
    </row>
    <row r="154" spans="1:3">
      <c r="A154" s="52" t="str">
        <f>'Ratings worksheet'!A154</f>
        <v>Uruguay</v>
      </c>
      <c r="B154" s="64" t="str">
        <f>'Ratings worksheet'!B154</f>
        <v>BBB</v>
      </c>
      <c r="C154" s="64" t="str">
        <f>IF('Ratings worksheet'!C154="NA",VLOOKUP('Ratings worksheet'!B154,'Sovereign Ratings (Moody''s,S&amp;P)'!$F$9:$G$33,2),'Ratings worksheet'!C154)</f>
        <v>Baa2</v>
      </c>
    </row>
    <row r="155" spans="1:3">
      <c r="A155" s="52" t="str">
        <f>'Ratings worksheet'!A155</f>
        <v>Uzbekistan</v>
      </c>
      <c r="B155" s="64" t="str">
        <f>'Ratings worksheet'!B155</f>
        <v>NA</v>
      </c>
      <c r="C155" s="64" t="str">
        <f>IF('Ratings worksheet'!C155="NA",VLOOKUP('Ratings worksheet'!B155,'Sovereign Ratings (Moody''s,S&amp;P)'!$F$9:$G$33,2),'Ratings worksheet'!C155)</f>
        <v>B1</v>
      </c>
    </row>
    <row r="156" spans="1:3">
      <c r="A156" s="52" t="str">
        <f>'Ratings worksheet'!A156</f>
        <v>Venezuela</v>
      </c>
      <c r="B156" s="64" t="str">
        <f>'Ratings worksheet'!B156</f>
        <v>SD</v>
      </c>
      <c r="C156" s="64" t="str">
        <f>IF('Ratings worksheet'!C156="NA",VLOOKUP('Ratings worksheet'!B156,'Sovereign Ratings (Moody''s,S&amp;P)'!$F$9:$G$33,2),'Ratings worksheet'!C156)</f>
        <v>C</v>
      </c>
    </row>
    <row r="157" spans="1:3">
      <c r="A157" s="52" t="str">
        <f>'Ratings worksheet'!A157</f>
        <v>Vietnam</v>
      </c>
      <c r="B157" s="64" t="str">
        <f>'Ratings worksheet'!B157</f>
        <v>BB</v>
      </c>
      <c r="C157" s="64" t="str">
        <f>IF('Ratings worksheet'!C157="NA",VLOOKUP('Ratings worksheet'!B157,'Sovereign Ratings (Moody''s,S&amp;P)'!$F$9:$G$33,2),'Ratings worksheet'!C157)</f>
        <v>Ba3</v>
      </c>
    </row>
    <row r="158" spans="1:3">
      <c r="A158" s="52" t="str">
        <f>'Ratings worksheet'!A158</f>
        <v>Zambia</v>
      </c>
      <c r="B158" s="64" t="str">
        <f>'Ratings worksheet'!B158</f>
        <v>SD</v>
      </c>
      <c r="C158" s="64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10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84" sqref="B84"/>
    </sheetView>
  </sheetViews>
  <sheetFormatPr defaultColWidth="11" defaultRowHeight="11.4"/>
  <cols>
    <col min="1" max="1" width="32.5" customWidth="1"/>
    <col min="2" max="2" width="23" bestFit="1" customWidth="1"/>
    <col min="5" max="5" width="23.375" bestFit="1" customWidth="1"/>
  </cols>
  <sheetData>
    <row r="1" spans="1:2" ht="16.2">
      <c r="A1" s="9" t="s">
        <v>75</v>
      </c>
      <c r="B1" s="9" t="s">
        <v>52</v>
      </c>
    </row>
    <row r="2" spans="1:2" ht="15.6">
      <c r="A2" s="51" t="s">
        <v>272</v>
      </c>
      <c r="B2" s="10" t="s">
        <v>127</v>
      </c>
    </row>
    <row r="3" spans="1:2" ht="15.6">
      <c r="A3" s="10" t="s">
        <v>4</v>
      </c>
      <c r="B3" s="17" t="s">
        <v>125</v>
      </c>
    </row>
    <row r="4" spans="1:2" ht="15.6">
      <c r="A4" s="38" t="s">
        <v>197</v>
      </c>
      <c r="B4" s="17" t="s">
        <v>126</v>
      </c>
    </row>
    <row r="5" spans="1:2" ht="15.6">
      <c r="A5" s="10" t="s">
        <v>131</v>
      </c>
      <c r="B5" s="17" t="s">
        <v>128</v>
      </c>
    </row>
    <row r="6" spans="1:2" ht="15.6">
      <c r="A6" s="10" t="s">
        <v>84</v>
      </c>
      <c r="B6" s="17" t="s">
        <v>51</v>
      </c>
    </row>
    <row r="7" spans="1:2" ht="15.6">
      <c r="A7" s="10" t="s">
        <v>19</v>
      </c>
      <c r="B7" s="17" t="s">
        <v>125</v>
      </c>
    </row>
    <row r="8" spans="1:2" ht="15.6">
      <c r="A8" s="38" t="s">
        <v>201</v>
      </c>
      <c r="B8" s="10" t="s">
        <v>54</v>
      </c>
    </row>
    <row r="9" spans="1:2" ht="15.6">
      <c r="A9" s="10" t="s">
        <v>85</v>
      </c>
      <c r="B9" s="17" t="s">
        <v>53</v>
      </c>
    </row>
    <row r="10" spans="1:2" ht="15.6">
      <c r="A10" s="10" t="s">
        <v>176</v>
      </c>
      <c r="B10" s="10" t="s">
        <v>126</v>
      </c>
    </row>
    <row r="11" spans="1:2" ht="15.6">
      <c r="A11" s="10" t="s">
        <v>20</v>
      </c>
      <c r="B11" s="10" t="s">
        <v>125</v>
      </c>
    </row>
    <row r="12" spans="1:2" ht="15.6">
      <c r="A12" s="10" t="s">
        <v>86</v>
      </c>
      <c r="B12" s="17" t="s">
        <v>54</v>
      </c>
    </row>
    <row r="13" spans="1:2" ht="15.6">
      <c r="A13" s="10" t="s">
        <v>87</v>
      </c>
      <c r="B13" s="10" t="s">
        <v>127</v>
      </c>
    </row>
    <row r="14" spans="1:2" ht="15.6">
      <c r="A14" s="10" t="s">
        <v>132</v>
      </c>
      <c r="B14" s="10" t="s">
        <v>129</v>
      </c>
    </row>
    <row r="15" spans="1:2" ht="15.6">
      <c r="A15" s="10" t="s">
        <v>88</v>
      </c>
      <c r="B15" s="10" t="s">
        <v>54</v>
      </c>
    </row>
    <row r="16" spans="1:2" ht="15.6">
      <c r="A16" s="10" t="s">
        <v>5</v>
      </c>
      <c r="B16" s="10" t="s">
        <v>125</v>
      </c>
    </row>
    <row r="17" spans="1:2" ht="15.6">
      <c r="A17" s="10" t="s">
        <v>177</v>
      </c>
      <c r="B17" s="10" t="s">
        <v>126</v>
      </c>
    </row>
    <row r="18" spans="1:2" ht="15.6">
      <c r="A18" s="10" t="s">
        <v>89</v>
      </c>
      <c r="B18" s="10" t="s">
        <v>51</v>
      </c>
    </row>
    <row r="19" spans="1:2" ht="15.6">
      <c r="A19" s="10" t="s">
        <v>208</v>
      </c>
      <c r="B19" s="10" t="s">
        <v>128</v>
      </c>
    </row>
    <row r="20" spans="1:2" ht="15.6">
      <c r="A20" s="10" t="s">
        <v>90</v>
      </c>
      <c r="B20" s="10" t="s">
        <v>54</v>
      </c>
    </row>
    <row r="21" spans="1:2" ht="15.6">
      <c r="A21" s="10" t="s">
        <v>91</v>
      </c>
      <c r="B21" s="10" t="s">
        <v>51</v>
      </c>
    </row>
    <row r="22" spans="1:2" ht="15.6">
      <c r="A22" s="10" t="s">
        <v>7</v>
      </c>
      <c r="B22" s="10" t="s">
        <v>125</v>
      </c>
    </row>
    <row r="23" spans="1:2" ht="15.6">
      <c r="A23" s="10" t="s">
        <v>123</v>
      </c>
      <c r="B23" s="10" t="s">
        <v>128</v>
      </c>
    </row>
    <row r="24" spans="1:2" ht="15.6">
      <c r="A24" s="10" t="s">
        <v>92</v>
      </c>
      <c r="B24" s="10" t="s">
        <v>51</v>
      </c>
    </row>
    <row r="25" spans="1:2" ht="15.6">
      <c r="A25" s="10" t="s">
        <v>94</v>
      </c>
      <c r="B25" s="10" t="s">
        <v>125</v>
      </c>
    </row>
    <row r="26" spans="1:2" ht="15.6">
      <c r="A26" s="38" t="s">
        <v>211</v>
      </c>
      <c r="B26" s="10" t="s">
        <v>128</v>
      </c>
    </row>
    <row r="27" spans="1:2" ht="15.6">
      <c r="A27" s="10" t="s">
        <v>6</v>
      </c>
      <c r="B27" s="10" t="s">
        <v>129</v>
      </c>
    </row>
    <row r="28" spans="1:2" ht="15.6">
      <c r="A28" s="39" t="s">
        <v>212</v>
      </c>
      <c r="B28" s="10" t="s">
        <v>128</v>
      </c>
    </row>
    <row r="29" spans="1:2" ht="15.6">
      <c r="A29" s="10" t="s">
        <v>95</v>
      </c>
      <c r="B29" s="10" t="s">
        <v>130</v>
      </c>
    </row>
    <row r="30" spans="1:2" ht="15.6">
      <c r="A30" s="10" t="s">
        <v>213</v>
      </c>
      <c r="B30" s="10" t="s">
        <v>128</v>
      </c>
    </row>
    <row r="31" spans="1:2" ht="15.6">
      <c r="A31" s="10" t="s">
        <v>55</v>
      </c>
      <c r="B31" s="10" t="s">
        <v>54</v>
      </c>
    </row>
    <row r="32" spans="1:2" ht="15.6">
      <c r="A32" s="10" t="s">
        <v>96</v>
      </c>
      <c r="B32" s="10" t="s">
        <v>51</v>
      </c>
    </row>
    <row r="33" spans="1:2" ht="15.6">
      <c r="A33" s="10" t="s">
        <v>97</v>
      </c>
      <c r="B33" s="10" t="s">
        <v>129</v>
      </c>
    </row>
    <row r="34" spans="1:2" ht="15.6">
      <c r="A34" s="10" t="s">
        <v>50</v>
      </c>
      <c r="B34" s="10" t="s">
        <v>51</v>
      </c>
    </row>
    <row r="35" spans="1:2" ht="15.6">
      <c r="A35" s="51" t="s">
        <v>287</v>
      </c>
      <c r="B35" s="10" t="s">
        <v>128</v>
      </c>
    </row>
    <row r="36" spans="1:2" ht="15.6">
      <c r="A36" s="51" t="s">
        <v>288</v>
      </c>
      <c r="B36" s="10" t="s">
        <v>128</v>
      </c>
    </row>
    <row r="37" spans="1:2" ht="15.6">
      <c r="A37" s="39" t="s">
        <v>214</v>
      </c>
      <c r="B37" s="10" t="s">
        <v>53</v>
      </c>
    </row>
    <row r="38" spans="1:2" ht="15.6">
      <c r="A38" s="10" t="s">
        <v>56</v>
      </c>
      <c r="B38" s="10" t="s">
        <v>51</v>
      </c>
    </row>
    <row r="39" spans="1:2" ht="15.6">
      <c r="A39" s="51" t="s">
        <v>283</v>
      </c>
      <c r="B39" s="10" t="s">
        <v>128</v>
      </c>
    </row>
    <row r="40" spans="1:2" ht="15.6">
      <c r="A40" s="10" t="s">
        <v>98</v>
      </c>
      <c r="B40" s="10" t="s">
        <v>125</v>
      </c>
    </row>
    <row r="41" spans="1:2" ht="15.6">
      <c r="A41" s="10" t="s">
        <v>99</v>
      </c>
      <c r="B41" s="10" t="s">
        <v>54</v>
      </c>
    </row>
    <row r="42" spans="1:2" ht="15.6">
      <c r="A42" s="38" t="s">
        <v>217</v>
      </c>
      <c r="B42" s="10" t="s">
        <v>54</v>
      </c>
    </row>
    <row r="43" spans="1:2" ht="15.6">
      <c r="A43" s="10" t="s">
        <v>178</v>
      </c>
      <c r="B43" s="10" t="s">
        <v>126</v>
      </c>
    </row>
    <row r="44" spans="1:2" ht="15.6">
      <c r="A44" s="10" t="s">
        <v>101</v>
      </c>
      <c r="B44" s="10" t="s">
        <v>125</v>
      </c>
    </row>
    <row r="45" spans="1:2" ht="15.6">
      <c r="A45" s="44" t="s">
        <v>275</v>
      </c>
      <c r="B45" s="10" t="s">
        <v>128</v>
      </c>
    </row>
    <row r="46" spans="1:2" ht="15.6">
      <c r="A46" s="10" t="s">
        <v>102</v>
      </c>
      <c r="B46" s="10" t="s">
        <v>126</v>
      </c>
    </row>
    <row r="47" spans="1:2" ht="15.6">
      <c r="A47" s="10" t="s">
        <v>103</v>
      </c>
      <c r="B47" s="10" t="s">
        <v>54</v>
      </c>
    </row>
    <row r="48" spans="1:2" ht="15.6">
      <c r="A48" s="10" t="s">
        <v>104</v>
      </c>
      <c r="B48" s="10" t="s">
        <v>51</v>
      </c>
    </row>
    <row r="49" spans="1:2" ht="15.6">
      <c r="A49" s="10" t="s">
        <v>105</v>
      </c>
      <c r="B49" s="10" t="s">
        <v>128</v>
      </c>
    </row>
    <row r="50" spans="1:2" ht="15.6">
      <c r="A50" s="10" t="s">
        <v>31</v>
      </c>
      <c r="B50" s="10" t="s">
        <v>51</v>
      </c>
    </row>
    <row r="51" spans="1:2" ht="15.6">
      <c r="A51" s="10" t="s">
        <v>106</v>
      </c>
      <c r="B51" s="10" t="s">
        <v>125</v>
      </c>
    </row>
    <row r="52" spans="1:2" ht="15.6">
      <c r="A52" s="51" t="s">
        <v>284</v>
      </c>
      <c r="B52" s="10" t="s">
        <v>128</v>
      </c>
    </row>
    <row r="53" spans="1:2" ht="15.6">
      <c r="A53" s="10" t="s">
        <v>219</v>
      </c>
      <c r="B53" s="10" t="s">
        <v>129</v>
      </c>
    </row>
    <row r="54" spans="1:2" ht="15.6">
      <c r="A54" s="10" t="s">
        <v>179</v>
      </c>
      <c r="B54" s="10" t="s">
        <v>126</v>
      </c>
    </row>
    <row r="55" spans="1:2" ht="15.6">
      <c r="A55" s="10" t="s">
        <v>180</v>
      </c>
      <c r="B55" s="10" t="s">
        <v>126</v>
      </c>
    </row>
    <row r="56" spans="1:2" ht="15.6">
      <c r="A56" s="38" t="s">
        <v>220</v>
      </c>
      <c r="B56" s="10" t="s">
        <v>128</v>
      </c>
    </row>
    <row r="57" spans="1:2" ht="15.6">
      <c r="A57" s="10" t="s">
        <v>133</v>
      </c>
      <c r="B57" s="10" t="s">
        <v>125</v>
      </c>
    </row>
    <row r="58" spans="1:2" ht="15.6">
      <c r="A58" s="10" t="s">
        <v>181</v>
      </c>
      <c r="B58" s="10" t="s">
        <v>126</v>
      </c>
    </row>
    <row r="59" spans="1:2" ht="15.6">
      <c r="A59" s="10" t="s">
        <v>221</v>
      </c>
      <c r="B59" s="10" t="s">
        <v>128</v>
      </c>
    </row>
    <row r="60" spans="1:2" ht="15.6">
      <c r="A60" s="10" t="s">
        <v>182</v>
      </c>
      <c r="B60" s="10" t="s">
        <v>126</v>
      </c>
    </row>
    <row r="61" spans="1:2" ht="15.6">
      <c r="A61" s="10" t="s">
        <v>107</v>
      </c>
      <c r="B61" s="10" t="s">
        <v>51</v>
      </c>
    </row>
    <row r="62" spans="1:2" ht="15.6">
      <c r="A62" s="51" t="s">
        <v>289</v>
      </c>
      <c r="B62" s="10" t="s">
        <v>126</v>
      </c>
    </row>
    <row r="63" spans="1:2" ht="15.6">
      <c r="A63" s="10" t="s">
        <v>108</v>
      </c>
      <c r="B63" s="10" t="s">
        <v>51</v>
      </c>
    </row>
    <row r="64" spans="1:2" ht="15.6">
      <c r="A64" s="10" t="s">
        <v>59</v>
      </c>
      <c r="B64" s="10" t="s">
        <v>129</v>
      </c>
    </row>
    <row r="65" spans="1:2" ht="15.6">
      <c r="A65" s="10" t="s">
        <v>109</v>
      </c>
      <c r="B65" s="10" t="s">
        <v>125</v>
      </c>
    </row>
    <row r="66" spans="1:2" ht="15.6">
      <c r="A66" s="10" t="s">
        <v>110</v>
      </c>
      <c r="B66" s="10" t="s">
        <v>126</v>
      </c>
    </row>
    <row r="67" spans="1:2" ht="15.6">
      <c r="A67" s="10" t="s">
        <v>111</v>
      </c>
      <c r="B67" s="10" t="s">
        <v>129</v>
      </c>
    </row>
    <row r="68" spans="1:2" ht="15.6">
      <c r="A68" s="10" t="s">
        <v>112</v>
      </c>
      <c r="B68" s="10" t="s">
        <v>129</v>
      </c>
    </row>
    <row r="69" spans="1:2" ht="15.6">
      <c r="A69" s="10" t="s">
        <v>331</v>
      </c>
      <c r="B69" s="10" t="s">
        <v>127</v>
      </c>
    </row>
    <row r="70" spans="1:2" ht="15.6">
      <c r="A70" s="10" t="s">
        <v>183</v>
      </c>
      <c r="B70" s="10" t="s">
        <v>126</v>
      </c>
    </row>
    <row r="71" spans="1:2" ht="15.6">
      <c r="A71" s="10" t="s">
        <v>113</v>
      </c>
      <c r="B71" s="10" t="s">
        <v>126</v>
      </c>
    </row>
    <row r="72" spans="1:2" ht="15.6">
      <c r="A72" s="10" t="s">
        <v>114</v>
      </c>
      <c r="B72" s="10" t="s">
        <v>127</v>
      </c>
    </row>
    <row r="73" spans="1:2" ht="15.6">
      <c r="A73" s="10" t="s">
        <v>145</v>
      </c>
      <c r="B73" s="10" t="s">
        <v>126</v>
      </c>
    </row>
    <row r="74" spans="1:2" ht="15.6">
      <c r="A74" s="10" t="s">
        <v>115</v>
      </c>
      <c r="B74" s="10" t="s">
        <v>54</v>
      </c>
    </row>
    <row r="75" spans="1:2" ht="15.6">
      <c r="A75" s="10" t="s">
        <v>116</v>
      </c>
      <c r="B75" s="10" t="s">
        <v>129</v>
      </c>
    </row>
    <row r="76" spans="1:2" ht="15.6">
      <c r="A76" s="51" t="s">
        <v>290</v>
      </c>
      <c r="B76" s="10" t="s">
        <v>126</v>
      </c>
    </row>
    <row r="77" spans="1:2" ht="15.6">
      <c r="A77" s="10" t="s">
        <v>117</v>
      </c>
      <c r="B77" s="10" t="s">
        <v>127</v>
      </c>
    </row>
    <row r="78" spans="1:2" ht="15.6">
      <c r="A78" s="10" t="s">
        <v>118</v>
      </c>
      <c r="B78" s="10" t="s">
        <v>125</v>
      </c>
    </row>
    <row r="79" spans="1:2" ht="15.6">
      <c r="A79" s="10" t="s">
        <v>184</v>
      </c>
      <c r="B79" s="10" t="s">
        <v>128</v>
      </c>
    </row>
    <row r="80" spans="1:2" ht="15.6">
      <c r="A80" s="10" t="s">
        <v>119</v>
      </c>
      <c r="B80" s="10" t="s">
        <v>129</v>
      </c>
    </row>
    <row r="81" spans="1:2" ht="15.6">
      <c r="A81" s="10" t="s">
        <v>120</v>
      </c>
      <c r="B81" s="10" t="s">
        <v>127</v>
      </c>
    </row>
    <row r="82" spans="1:2" ht="15.6">
      <c r="A82" t="s">
        <v>353</v>
      </c>
      <c r="B82" s="10" t="s">
        <v>125</v>
      </c>
    </row>
    <row r="83" spans="1:2" ht="15.6">
      <c r="A83" s="227" t="s">
        <v>343</v>
      </c>
      <c r="B83" s="10" t="s">
        <v>129</v>
      </c>
    </row>
    <row r="84" spans="1:2" ht="15.6">
      <c r="A84" s="10" t="s">
        <v>121</v>
      </c>
      <c r="B84" s="10" t="s">
        <v>125</v>
      </c>
    </row>
    <row r="85" spans="1:2" ht="15.6">
      <c r="A85" s="10" t="s">
        <v>122</v>
      </c>
      <c r="B85" s="10" t="s">
        <v>127</v>
      </c>
    </row>
    <row r="86" spans="1:2" ht="15.6">
      <c r="A86" s="39" t="s">
        <v>223</v>
      </c>
      <c r="B86" s="10" t="s">
        <v>126</v>
      </c>
    </row>
    <row r="87" spans="1:2" ht="15.6">
      <c r="A87" s="10" t="s">
        <v>13</v>
      </c>
      <c r="B87" s="10" t="s">
        <v>125</v>
      </c>
    </row>
    <row r="88" spans="1:2" ht="15.6">
      <c r="A88" s="10" t="s">
        <v>185</v>
      </c>
      <c r="B88" s="10" t="s">
        <v>126</v>
      </c>
    </row>
    <row r="89" spans="1:2" ht="15.6">
      <c r="A89" s="10" t="s">
        <v>32</v>
      </c>
      <c r="B89" s="10" t="s">
        <v>129</v>
      </c>
    </row>
    <row r="90" spans="1:2" ht="15.6">
      <c r="A90" s="39" t="s">
        <v>146</v>
      </c>
      <c r="B90" s="10" t="s">
        <v>125</v>
      </c>
    </row>
    <row r="91" spans="1:2" ht="15.6">
      <c r="A91" s="10" t="s">
        <v>14</v>
      </c>
      <c r="B91" s="10" t="s">
        <v>129</v>
      </c>
    </row>
    <row r="92" spans="1:2" ht="15.6">
      <c r="A92" s="10" t="s">
        <v>416</v>
      </c>
      <c r="B92" s="10" t="s">
        <v>129</v>
      </c>
    </row>
    <row r="93" spans="1:2" ht="15.6">
      <c r="A93" s="10" t="s">
        <v>325</v>
      </c>
      <c r="B93" s="10" t="s">
        <v>128</v>
      </c>
    </row>
    <row r="94" spans="1:2" ht="15.6">
      <c r="A94" s="10" t="s">
        <v>186</v>
      </c>
      <c r="B94" s="10" t="s">
        <v>126</v>
      </c>
    </row>
    <row r="95" spans="1:2" ht="15.6">
      <c r="A95" s="10" t="s">
        <v>15</v>
      </c>
      <c r="B95" s="10" t="s">
        <v>129</v>
      </c>
    </row>
    <row r="96" spans="1:2" ht="15.6">
      <c r="A96" s="10" t="s">
        <v>16</v>
      </c>
      <c r="B96" s="10" t="s">
        <v>51</v>
      </c>
    </row>
    <row r="97" spans="1:2" ht="15.6">
      <c r="A97" s="10" t="s">
        <v>17</v>
      </c>
      <c r="B97" s="10" t="s">
        <v>125</v>
      </c>
    </row>
    <row r="98" spans="1:2" ht="15.6">
      <c r="A98" s="10" t="s">
        <v>63</v>
      </c>
      <c r="B98" s="10" t="s">
        <v>129</v>
      </c>
    </row>
    <row r="99" spans="1:2" ht="15.6">
      <c r="A99" s="10" t="s">
        <v>8</v>
      </c>
      <c r="B99" s="10" t="s">
        <v>125</v>
      </c>
    </row>
    <row r="100" spans="1:2" ht="15.6">
      <c r="A100" s="38" t="s">
        <v>225</v>
      </c>
      <c r="B100" s="10" t="s">
        <v>54</v>
      </c>
    </row>
    <row r="101" spans="1:2" ht="15.6">
      <c r="A101" s="10" t="s">
        <v>18</v>
      </c>
      <c r="B101" s="10" t="s">
        <v>128</v>
      </c>
    </row>
    <row r="102" spans="1:2" ht="15.6">
      <c r="A102" s="39" t="s">
        <v>226</v>
      </c>
      <c r="B102" s="10" t="s">
        <v>128</v>
      </c>
    </row>
    <row r="103" spans="1:2" ht="15.6">
      <c r="A103" s="10" t="s">
        <v>136</v>
      </c>
      <c r="B103" s="10" t="s">
        <v>128</v>
      </c>
    </row>
    <row r="104" spans="1:2" ht="15.6">
      <c r="A104" s="10" t="s">
        <v>187</v>
      </c>
      <c r="B104" s="10" t="s">
        <v>126</v>
      </c>
    </row>
    <row r="105" spans="1:2" ht="15.6">
      <c r="A105" s="10" t="s">
        <v>21</v>
      </c>
      <c r="B105" s="10" t="s">
        <v>53</v>
      </c>
    </row>
    <row r="106" spans="1:2" ht="15.6">
      <c r="A106" s="10" t="s">
        <v>22</v>
      </c>
      <c r="B106" s="10" t="s">
        <v>51</v>
      </c>
    </row>
    <row r="107" spans="1:2" ht="15.6">
      <c r="A107" s="10" t="s">
        <v>321</v>
      </c>
      <c r="B107" s="10" t="s">
        <v>128</v>
      </c>
    </row>
    <row r="108" spans="1:2" ht="15.6">
      <c r="A108" s="10" t="s">
        <v>188</v>
      </c>
      <c r="B108" s="10" t="s">
        <v>128</v>
      </c>
    </row>
    <row r="109" spans="1:2" ht="15.6">
      <c r="A109" s="10" t="s">
        <v>23</v>
      </c>
      <c r="B109" s="10" t="s">
        <v>126</v>
      </c>
    </row>
    <row r="110" spans="1:2" ht="15.6">
      <c r="A110" s="10" t="s">
        <v>24</v>
      </c>
      <c r="B110" s="10" t="s">
        <v>127</v>
      </c>
    </row>
    <row r="111" spans="1:2" ht="15.6">
      <c r="A111" s="10" t="s">
        <v>25</v>
      </c>
      <c r="B111" s="10" t="s">
        <v>129</v>
      </c>
    </row>
    <row r="112" spans="1:2" ht="15.6">
      <c r="A112" s="10" t="s">
        <v>26</v>
      </c>
      <c r="B112" s="10" t="s">
        <v>51</v>
      </c>
    </row>
    <row r="113" spans="1:2" ht="15.6">
      <c r="A113" s="10" t="s">
        <v>9</v>
      </c>
      <c r="B113" s="10" t="s">
        <v>129</v>
      </c>
    </row>
    <row r="114" spans="1:2" ht="15.6">
      <c r="A114" s="10" t="s">
        <v>27</v>
      </c>
      <c r="B114" s="10" t="s">
        <v>51</v>
      </c>
    </row>
    <row r="115" spans="1:2" ht="15.6">
      <c r="A115" s="10" t="s">
        <v>28</v>
      </c>
      <c r="B115" s="10" t="s">
        <v>51</v>
      </c>
    </row>
    <row r="116" spans="1:2" ht="15.6">
      <c r="A116" s="10" t="s">
        <v>29</v>
      </c>
      <c r="B116" s="10" t="s">
        <v>129</v>
      </c>
    </row>
    <row r="117" spans="1:2" ht="15.6">
      <c r="A117" s="10" t="s">
        <v>30</v>
      </c>
      <c r="B117" s="10" t="s">
        <v>125</v>
      </c>
    </row>
    <row r="118" spans="1:2" ht="15.6">
      <c r="A118" s="10" t="s">
        <v>189</v>
      </c>
      <c r="B118" s="10" t="s">
        <v>126</v>
      </c>
    </row>
    <row r="119" spans="1:2" ht="15.6">
      <c r="A119" s="10" t="s">
        <v>74</v>
      </c>
      <c r="B119" s="10" t="s">
        <v>127</v>
      </c>
    </row>
    <row r="120" spans="1:2" ht="15.6">
      <c r="A120" s="44" t="s">
        <v>273</v>
      </c>
      <c r="B120" s="10" t="s">
        <v>127</v>
      </c>
    </row>
    <row r="121" spans="1:2" ht="15.6">
      <c r="A121" s="44" t="s">
        <v>274</v>
      </c>
      <c r="B121" s="10" t="s">
        <v>128</v>
      </c>
    </row>
    <row r="122" spans="1:2" ht="15.6">
      <c r="A122" s="10" t="s">
        <v>0</v>
      </c>
      <c r="B122" s="10" t="s">
        <v>125</v>
      </c>
    </row>
    <row r="123" spans="1:2" ht="15.6">
      <c r="A123" s="10" t="s">
        <v>1</v>
      </c>
      <c r="B123" s="10" t="s">
        <v>125</v>
      </c>
    </row>
    <row r="124" spans="1:2" ht="15.6">
      <c r="A124" s="39" t="s">
        <v>227</v>
      </c>
      <c r="B124" s="10" t="s">
        <v>128</v>
      </c>
    </row>
    <row r="125" spans="1:2" ht="15.6">
      <c r="A125" s="10" t="s">
        <v>2</v>
      </c>
      <c r="B125" s="10" t="s">
        <v>127</v>
      </c>
    </row>
    <row r="126" spans="1:2" ht="15.6">
      <c r="A126" s="10" t="s">
        <v>135</v>
      </c>
      <c r="B126" s="10" t="s">
        <v>128</v>
      </c>
    </row>
    <row r="127" spans="1:2" ht="15.6">
      <c r="A127" s="39" t="s">
        <v>147</v>
      </c>
      <c r="B127" s="10" t="s">
        <v>125</v>
      </c>
    </row>
    <row r="128" spans="1:2" ht="15.6">
      <c r="A128" s="51" t="s">
        <v>285</v>
      </c>
      <c r="B128" s="10" t="s">
        <v>127</v>
      </c>
    </row>
    <row r="129" spans="1:2" ht="15.6">
      <c r="A129" s="10" t="s">
        <v>3</v>
      </c>
      <c r="B129" s="10" t="s">
        <v>129</v>
      </c>
    </row>
    <row r="130" spans="1:2" ht="15.6">
      <c r="A130" s="10" t="s">
        <v>61</v>
      </c>
      <c r="B130" s="10" t="s">
        <v>125</v>
      </c>
    </row>
    <row r="131" spans="1:2" ht="15.6">
      <c r="A131" s="10" t="s">
        <v>190</v>
      </c>
      <c r="B131" s="10" t="s">
        <v>125</v>
      </c>
    </row>
    <row r="132" spans="1:2" ht="15.6">
      <c r="A132" s="10" t="s">
        <v>428</v>
      </c>
      <c r="B132" s="10" t="s">
        <v>129</v>
      </c>
    </row>
    <row r="133" spans="1:2" ht="15.6">
      <c r="A133" s="10" t="s">
        <v>76</v>
      </c>
      <c r="B133" s="10" t="s">
        <v>128</v>
      </c>
    </row>
    <row r="134" spans="1:2" ht="15.6">
      <c r="A134" s="10" t="s">
        <v>138</v>
      </c>
      <c r="B134" s="10" t="s">
        <v>126</v>
      </c>
    </row>
    <row r="135" spans="1:2" ht="15.6">
      <c r="A135" s="10" t="s">
        <v>134</v>
      </c>
      <c r="B135" s="10" t="s">
        <v>129</v>
      </c>
    </row>
    <row r="136" spans="1:2" ht="15.6">
      <c r="A136" s="41" t="s">
        <v>191</v>
      </c>
      <c r="B136" s="10" t="s">
        <v>54</v>
      </c>
    </row>
    <row r="137" spans="1:2" ht="15.6">
      <c r="A137" s="10" t="s">
        <v>10</v>
      </c>
      <c r="B137" s="10" t="s">
        <v>54</v>
      </c>
    </row>
    <row r="138" spans="1:2" ht="15.6">
      <c r="A138" s="10" t="s">
        <v>33</v>
      </c>
      <c r="B138" s="10" t="s">
        <v>51</v>
      </c>
    </row>
    <row r="139" spans="1:2" ht="15.6">
      <c r="A139" s="10" t="s">
        <v>415</v>
      </c>
      <c r="B139" s="10" t="s">
        <v>128</v>
      </c>
    </row>
    <row r="140" spans="1:2" ht="15.6">
      <c r="A140" s="10" t="s">
        <v>34</v>
      </c>
      <c r="B140" s="10" t="s">
        <v>126</v>
      </c>
    </row>
    <row r="141" spans="1:2" ht="15.6">
      <c r="A141" s="10" t="s">
        <v>35</v>
      </c>
      <c r="B141" s="10" t="s">
        <v>126</v>
      </c>
    </row>
    <row r="142" spans="1:2" ht="15.6">
      <c r="A142" s="10" t="s">
        <v>64</v>
      </c>
      <c r="B142" s="10" t="s">
        <v>129</v>
      </c>
    </row>
    <row r="143" spans="1:2" ht="15.6">
      <c r="A143" s="10" t="s">
        <v>412</v>
      </c>
      <c r="B143" s="10" t="s">
        <v>125</v>
      </c>
    </row>
    <row r="144" spans="1:2" ht="15.6">
      <c r="A144" s="10" t="s">
        <v>332</v>
      </c>
      <c r="B144" s="10" t="s">
        <v>128</v>
      </c>
    </row>
    <row r="145" spans="1:2" ht="15.6">
      <c r="A145" s="10" t="s">
        <v>65</v>
      </c>
      <c r="B145" s="10" t="s">
        <v>129</v>
      </c>
    </row>
    <row r="146" spans="1:2" ht="15.6">
      <c r="A146" s="10" t="s">
        <v>324</v>
      </c>
      <c r="B146" s="10" t="s">
        <v>128</v>
      </c>
    </row>
    <row r="147" spans="1:2" ht="15.6">
      <c r="A147" s="10" t="s">
        <v>11</v>
      </c>
      <c r="B147" s="10" t="s">
        <v>54</v>
      </c>
    </row>
    <row r="148" spans="1:2" ht="15.6">
      <c r="A148" s="10" t="s">
        <v>77</v>
      </c>
      <c r="B148" s="10" t="s">
        <v>128</v>
      </c>
    </row>
    <row r="149" spans="1:2" ht="15.6">
      <c r="A149" s="10" t="s">
        <v>66</v>
      </c>
      <c r="B149" s="10" t="s">
        <v>126</v>
      </c>
    </row>
    <row r="150" spans="1:2" ht="15.6">
      <c r="A150" s="10" t="s">
        <v>67</v>
      </c>
      <c r="B150" s="10" t="s">
        <v>125</v>
      </c>
    </row>
    <row r="151" spans="1:2" ht="15.6">
      <c r="A151" s="10" t="s">
        <v>298</v>
      </c>
      <c r="B151" s="10" t="s">
        <v>54</v>
      </c>
    </row>
    <row r="152" spans="1:2" ht="15.6">
      <c r="A152" s="10" t="s">
        <v>228</v>
      </c>
      <c r="B152" s="10" t="s">
        <v>128</v>
      </c>
    </row>
    <row r="153" spans="1:2" ht="15.6">
      <c r="A153" s="10" t="s">
        <v>68</v>
      </c>
      <c r="B153" s="10" t="s">
        <v>125</v>
      </c>
    </row>
    <row r="154" spans="1:2" ht="15.6">
      <c r="A154" s="10" t="s">
        <v>60</v>
      </c>
      <c r="B154" s="10" t="s">
        <v>127</v>
      </c>
    </row>
    <row r="155" spans="1:2" ht="15.6">
      <c r="A155" s="10" t="s">
        <v>57</v>
      </c>
      <c r="B155" s="10" t="s">
        <v>126</v>
      </c>
    </row>
    <row r="156" spans="1:2" ht="15.6">
      <c r="A156" s="10" t="s">
        <v>356</v>
      </c>
      <c r="B156" s="10" t="s">
        <v>130</v>
      </c>
    </row>
    <row r="157" spans="1:2" ht="15.6">
      <c r="A157" s="10" t="s">
        <v>69</v>
      </c>
      <c r="B157" s="10" t="s">
        <v>51</v>
      </c>
    </row>
    <row r="158" spans="1:2" ht="15.6">
      <c r="A158" s="10" t="s">
        <v>403</v>
      </c>
      <c r="B158" s="10" t="s">
        <v>125</v>
      </c>
    </row>
    <row r="159" spans="1:2" ht="15.6">
      <c r="A159" s="10" t="s">
        <v>70</v>
      </c>
      <c r="B159" s="10" t="s">
        <v>51</v>
      </c>
    </row>
    <row r="160" spans="1:2" ht="15.6">
      <c r="A160" s="10" t="s">
        <v>71</v>
      </c>
      <c r="B160" s="10" t="s">
        <v>129</v>
      </c>
    </row>
    <row r="161" spans="1:2" ht="15.6">
      <c r="A161" s="42" t="s">
        <v>192</v>
      </c>
      <c r="B161" s="42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  <vt:lpstr>Data Update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YoYo Li</cp:lastModifiedBy>
  <dcterms:created xsi:type="dcterms:W3CDTF">1999-02-15T17:37:17Z</dcterms:created>
  <dcterms:modified xsi:type="dcterms:W3CDTF">2021-02-01T19:23:29Z</dcterms:modified>
</cp:coreProperties>
</file>