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digi\Dropbox\My PC (NGADIGI-PC01)\Documents\RockportVAL\SoftwareDeveloper\"/>
    </mc:Choice>
  </mc:AlternateContent>
  <xr:revisionPtr revIDLastSave="0" documentId="13_ncr:1_{C5FEDA2B-DC0F-4985-8115-FAAAAD15716A}" xr6:coauthVersionLast="47" xr6:coauthVersionMax="47" xr10:uidLastSave="{00000000-0000-0000-0000-000000000000}"/>
  <bookViews>
    <workbookView xWindow="28680" yWindow="435" windowWidth="29040" windowHeight="15840" firstSheet="2" activeTab="2" xr2:uid="{DC9ECBFF-8876-4CCE-8112-C18C4F92E128}"/>
  </bookViews>
  <sheets>
    <sheet name="Proposed View" sheetId="2" state="hidden" r:id="rId1"/>
    <sheet name="DCF Inputs&amp;Assumptions" sheetId="4" state="hidden" r:id="rId2"/>
    <sheet name="DCF Output &amp; Formulas" sheetId="6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N5" i="6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S8" i="2"/>
  <c r="T8" i="2" s="1"/>
  <c r="U8" i="2" s="1"/>
  <c r="V8" i="2" s="1"/>
  <c r="W8" i="2" s="1"/>
  <c r="X8" i="2" s="1"/>
  <c r="Y8" i="2" s="1"/>
  <c r="Z8" i="2" s="1"/>
  <c r="AA8" i="2" s="1"/>
  <c r="AB8" i="2" s="1"/>
  <c r="AC8" i="2" s="1"/>
  <c r="S6" i="2"/>
  <c r="S7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W7" i="6" l="1"/>
  <c r="W10" i="6" s="1"/>
  <c r="AA7" i="6"/>
  <c r="R7" i="6"/>
  <c r="M7" i="6"/>
  <c r="AE7" i="6"/>
  <c r="N7" i="6"/>
  <c r="S7" i="6"/>
  <c r="X7" i="6"/>
  <c r="AB7" i="6"/>
  <c r="AF7" i="6"/>
  <c r="AJ7" i="6"/>
  <c r="AN7" i="6"/>
  <c r="O7" i="6"/>
  <c r="T7" i="6"/>
  <c r="Y7" i="6"/>
  <c r="AC7" i="6"/>
  <c r="AG7" i="6"/>
  <c r="AK7" i="6"/>
  <c r="AO7" i="6"/>
  <c r="AI7" i="6"/>
  <c r="AM7" i="6"/>
  <c r="P7" i="6"/>
  <c r="U7" i="6"/>
  <c r="Z7" i="6"/>
  <c r="AD7" i="6"/>
  <c r="AH7" i="6"/>
  <c r="AL7" i="6"/>
  <c r="AP7" i="6"/>
  <c r="P8" i="6"/>
  <c r="X8" i="6"/>
  <c r="AG8" i="6"/>
  <c r="AO8" i="6"/>
  <c r="AA8" i="6"/>
  <c r="M8" i="6"/>
  <c r="U8" i="6"/>
  <c r="Y8" i="6"/>
  <c r="AD8" i="6"/>
  <c r="AH8" i="6"/>
  <c r="AL8" i="6"/>
  <c r="AP8" i="6"/>
  <c r="AK11" i="6"/>
  <c r="T8" i="6"/>
  <c r="AC8" i="6"/>
  <c r="AK8" i="6"/>
  <c r="N8" i="6"/>
  <c r="R8" i="6"/>
  <c r="Z8" i="6"/>
  <c r="AE8" i="6"/>
  <c r="AI8" i="6"/>
  <c r="AM8" i="6"/>
  <c r="AO10" i="6"/>
  <c r="O8" i="6"/>
  <c r="S8" i="6"/>
  <c r="W8" i="6"/>
  <c r="AB8" i="6"/>
  <c r="AF8" i="6"/>
  <c r="AJ8" i="6"/>
  <c r="AN8" i="6"/>
  <c r="AB10" i="6"/>
  <c r="AN11" i="6"/>
  <c r="AG10" i="6"/>
  <c r="AC11" i="6"/>
  <c r="AJ10" i="6"/>
  <c r="AF11" i="6"/>
  <c r="AC10" i="6"/>
  <c r="AK10" i="6"/>
  <c r="AG11" i="6"/>
  <c r="AO11" i="6"/>
  <c r="AF10" i="6"/>
  <c r="AN10" i="6"/>
  <c r="AB11" i="6"/>
  <c r="AJ11" i="6"/>
  <c r="AD10" i="6"/>
  <c r="AH10" i="6"/>
  <c r="AL10" i="6"/>
  <c r="AP10" i="6"/>
  <c r="AD11" i="6"/>
  <c r="AH11" i="6"/>
  <c r="AL11" i="6"/>
  <c r="AP11" i="6"/>
  <c r="AA10" i="6"/>
  <c r="AE10" i="6"/>
  <c r="AI10" i="6"/>
  <c r="AM10" i="6"/>
  <c r="AE11" i="6"/>
  <c r="AI11" i="6"/>
  <c r="AM11" i="6"/>
  <c r="N6" i="6"/>
  <c r="T6" i="2"/>
  <c r="S9" i="2"/>
  <c r="S14" i="2"/>
  <c r="S15" i="2" s="1"/>
  <c r="M10" i="6" l="1"/>
  <c r="N10" i="6"/>
  <c r="X10" i="6"/>
  <c r="Y10" i="6"/>
  <c r="Z10" i="6"/>
  <c r="O6" i="6"/>
  <c r="O10" i="6" s="1"/>
  <c r="U6" i="2"/>
  <c r="T14" i="2"/>
  <c r="T15" i="2" s="1"/>
  <c r="T7" i="2"/>
  <c r="T9" i="2" s="1"/>
  <c r="S17" i="2"/>
  <c r="P6" i="6" l="1"/>
  <c r="P10" i="6" s="1"/>
  <c r="T17" i="2"/>
  <c r="U14" i="2"/>
  <c r="U15" i="2" s="1"/>
  <c r="V6" i="2"/>
  <c r="U7" i="2"/>
  <c r="U9" i="2" s="1"/>
  <c r="Q6" i="6" l="1"/>
  <c r="U17" i="2"/>
  <c r="V7" i="2"/>
  <c r="V9" i="2"/>
  <c r="W6" i="2"/>
  <c r="V14" i="2"/>
  <c r="V15" i="2" s="1"/>
  <c r="R6" i="6" l="1"/>
  <c r="R10" i="6" s="1"/>
  <c r="V17" i="2"/>
  <c r="W14" i="2"/>
  <c r="W15" i="2" s="1"/>
  <c r="X6" i="2"/>
  <c r="W7" i="2"/>
  <c r="W9" i="2" s="1"/>
  <c r="Q7" i="6" l="1"/>
  <c r="S6" i="6"/>
  <c r="S10" i="6" s="1"/>
  <c r="W17" i="2"/>
  <c r="Y6" i="2"/>
  <c r="X7" i="2"/>
  <c r="X9" i="2" s="1"/>
  <c r="X14" i="2"/>
  <c r="X15" i="2" s="1"/>
  <c r="Q8" i="6" l="1"/>
  <c r="Q10" i="6" s="1"/>
  <c r="T6" i="6"/>
  <c r="T10" i="6" s="1"/>
  <c r="X17" i="2"/>
  <c r="Y14" i="2"/>
  <c r="Y15" i="2" s="1"/>
  <c r="Z6" i="2"/>
  <c r="Y7" i="2"/>
  <c r="Y9" i="2" s="1"/>
  <c r="U6" i="6" l="1"/>
  <c r="U10" i="6" s="1"/>
  <c r="Y17" i="2"/>
  <c r="Z7" i="2"/>
  <c r="Z9" i="2"/>
  <c r="AA6" i="2"/>
  <c r="Z14" i="2"/>
  <c r="Z15" i="2" s="1"/>
  <c r="V6" i="6" l="1"/>
  <c r="AB6" i="2"/>
  <c r="AA14" i="2"/>
  <c r="AA15" i="2" s="1"/>
  <c r="AA7" i="2"/>
  <c r="AA9" i="2" s="1"/>
  <c r="Z17" i="2"/>
  <c r="W6" i="6" l="1"/>
  <c r="AA17" i="2"/>
  <c r="AC6" i="2"/>
  <c r="AB7" i="2"/>
  <c r="AB9" i="2" s="1"/>
  <c r="V7" i="6" l="1"/>
  <c r="X6" i="6"/>
  <c r="AC7" i="2"/>
  <c r="AB14" i="2" s="1"/>
  <c r="AC9" i="2"/>
  <c r="V8" i="6" l="1"/>
  <c r="Y6" i="6"/>
  <c r="AB17" i="2"/>
  <c r="F24" i="2" s="1"/>
  <c r="V10" i="6" l="1"/>
  <c r="H9" i="6" s="1"/>
  <c r="Z6" i="6"/>
  <c r="Q39" i="2"/>
  <c r="Q42" i="2" s="1"/>
  <c r="Q45" i="2" s="1"/>
  <c r="Q54" i="2"/>
  <c r="R17" i="2"/>
  <c r="AA6" i="6" l="1"/>
  <c r="AB15" i="2"/>
  <c r="R18" i="2"/>
  <c r="AB6" i="6" l="1"/>
  <c r="S10" i="2"/>
  <c r="Q51" i="2" s="1"/>
  <c r="T10" i="2"/>
  <c r="U10" i="2"/>
  <c r="V10" i="2"/>
  <c r="W10" i="2"/>
  <c r="X10" i="2"/>
  <c r="Y10" i="2"/>
  <c r="Z10" i="2"/>
  <c r="AA10" i="2"/>
  <c r="AB10" i="2"/>
  <c r="AC6" i="6" l="1"/>
  <c r="U13" i="2"/>
  <c r="U11" i="2"/>
  <c r="AB11" i="2"/>
  <c r="AB13" i="2"/>
  <c r="X13" i="2"/>
  <c r="X11" i="2"/>
  <c r="T13" i="2"/>
  <c r="T11" i="2"/>
  <c r="AA13" i="2"/>
  <c r="AA11" i="2"/>
  <c r="W13" i="2"/>
  <c r="W11" i="2"/>
  <c r="S13" i="2"/>
  <c r="S11" i="2"/>
  <c r="Q48" i="2" s="1"/>
  <c r="Q57" i="2" s="1"/>
  <c r="Y13" i="2"/>
  <c r="Y11" i="2"/>
  <c r="Z11" i="2"/>
  <c r="Z13" i="2"/>
  <c r="V11" i="2"/>
  <c r="V13" i="2"/>
  <c r="AD6" i="6" l="1"/>
  <c r="W12" i="2"/>
  <c r="W18" i="2"/>
  <c r="AB12" i="2"/>
  <c r="AB18" i="2"/>
  <c r="V12" i="2"/>
  <c r="V18" i="2"/>
  <c r="T12" i="2"/>
  <c r="T18" i="2"/>
  <c r="Z18" i="2"/>
  <c r="Z12" i="2"/>
  <c r="S18" i="2"/>
  <c r="S12" i="2"/>
  <c r="AA18" i="2"/>
  <c r="AA12" i="2"/>
  <c r="X18" i="2"/>
  <c r="X12" i="2"/>
  <c r="U18" i="2"/>
  <c r="U12" i="2"/>
  <c r="Y18" i="2"/>
  <c r="Y12" i="2"/>
  <c r="AE6" i="6" l="1"/>
  <c r="J27" i="2"/>
  <c r="B27" i="2"/>
  <c r="AF6" i="6" l="1"/>
  <c r="AG6" i="6" l="1"/>
  <c r="AH6" i="6" l="1"/>
  <c r="AI6" i="6" l="1"/>
  <c r="AJ6" i="6" l="1"/>
  <c r="AK6" i="6" l="1"/>
  <c r="AL6" i="6" l="1"/>
  <c r="AM6" i="6" l="1"/>
  <c r="AN6" i="6" l="1"/>
  <c r="AO6" i="6" l="1"/>
  <c r="AP6" i="6" l="1"/>
  <c r="X11" i="6" l="1"/>
  <c r="Y11" i="6"/>
  <c r="Z11" i="6"/>
  <c r="W11" i="6"/>
  <c r="AA1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tc={5CB0369F-E88F-42DA-9290-0869BAD246D6}</author>
  </authors>
  <commentList>
    <comment ref="F14" authorId="0" shapeId="0" xr:uid="{5CB0369F-E88F-42DA-9290-0869BAD246D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a mechanim to allow a user to enter an annual growth vector (positive and negative #s) e.g. 3.00%, 2.00%, -5.0%, etc.</t>
      </text>
    </comment>
  </commentList>
</comments>
</file>

<file path=xl/sharedStrings.xml><?xml version="1.0" encoding="utf-8"?>
<sst xmlns="http://schemas.openxmlformats.org/spreadsheetml/2006/main" count="92" uniqueCount="66">
  <si>
    <t>Investment Calculator</t>
  </si>
  <si>
    <t>powered by</t>
  </si>
  <si>
    <t>CALCS - DO NOT DELETE</t>
  </si>
  <si>
    <t>NOI Growth</t>
  </si>
  <si>
    <t>Debt Service</t>
  </si>
  <si>
    <t>Valuation Type</t>
  </si>
  <si>
    <t>DCF</t>
  </si>
  <si>
    <t>Direct Cap</t>
  </si>
  <si>
    <t>CF After Debt Service</t>
  </si>
  <si>
    <t>Levered IRR</t>
  </si>
  <si>
    <t>Cash-on-Cash</t>
  </si>
  <si>
    <t>Property Value or Purchase Price</t>
  </si>
  <si>
    <t>DSCR</t>
  </si>
  <si>
    <t>Residual Value</t>
  </si>
  <si>
    <t>Principal Repayment</t>
  </si>
  <si>
    <t>Interest Rate</t>
  </si>
  <si>
    <t>Required Equity</t>
  </si>
  <si>
    <t>Total CF Unlevered</t>
  </si>
  <si>
    <t>Total CF Levered</t>
  </si>
  <si>
    <t>NOI Growth (per annum)</t>
  </si>
  <si>
    <t>Amort. Term (Yrs)</t>
  </si>
  <si>
    <t>Loan Amount</t>
  </si>
  <si>
    <t>Levered Equity Multiple</t>
  </si>
  <si>
    <t>Hold Period (Yrs)</t>
  </si>
  <si>
    <t>Year 1 Debt Service</t>
  </si>
  <si>
    <t>Cost of Sales</t>
  </si>
  <si>
    <t>Discount Rate</t>
  </si>
  <si>
    <t>Year 1 CF After Debt Service</t>
  </si>
  <si>
    <t>Year 1 DSCR</t>
  </si>
  <si>
    <t>Year 1 Levered Cash-on-Cash</t>
  </si>
  <si>
    <r>
      <rPr>
        <b/>
        <u/>
        <sz val="16"/>
        <color theme="10"/>
        <rFont val="Calibri"/>
        <family val="2"/>
        <scheme val="minor"/>
      </rPr>
      <t>Click here to learn more about</t>
    </r>
    <r>
      <rPr>
        <b/>
        <u/>
        <sz val="10"/>
        <color theme="10"/>
        <rFont val="Calibri"/>
        <family val="2"/>
        <scheme val="minor"/>
      </rPr>
      <t xml:space="preserve"> </t>
    </r>
    <r>
      <rPr>
        <b/>
        <u/>
        <sz val="20"/>
        <color theme="5"/>
        <rFont val="Calibri"/>
        <family val="2"/>
        <scheme val="minor"/>
      </rPr>
      <t>VAL</t>
    </r>
  </si>
  <si>
    <t>NOI for residual</t>
  </si>
  <si>
    <t>NOI for distribution</t>
  </si>
  <si>
    <t>Year for Residual</t>
  </si>
  <si>
    <t>Year for Graph</t>
  </si>
  <si>
    <t>Year 1 or Current Reported NOI</t>
  </si>
  <si>
    <t>Exit or Terminal Cap Rate</t>
  </si>
  <si>
    <t>Year 1 Going-in Cap Rate</t>
  </si>
  <si>
    <t>Loan to Value</t>
  </si>
  <si>
    <t>INPUTS / ASSUMPTIONS</t>
  </si>
  <si>
    <t>KEY METRICS</t>
  </si>
  <si>
    <t>CASH FLOWS</t>
  </si>
  <si>
    <t>SENSITIVITY</t>
  </si>
  <si>
    <t>NOI</t>
  </si>
  <si>
    <t>Exit Cap Rate</t>
  </si>
  <si>
    <t>Hold Period</t>
  </si>
  <si>
    <t>DCF Input/Assumptions</t>
  </si>
  <si>
    <t>Formatting / Validation rules for inputs/assumptions</t>
  </si>
  <si>
    <t xml:space="preserve">Exit Cap Rate </t>
  </si>
  <si>
    <t>Field</t>
  </si>
  <si>
    <t>Required Field</t>
  </si>
  <si>
    <t>Yes</t>
  </si>
  <si>
    <t>No</t>
  </si>
  <si>
    <t>Formatting</t>
  </si>
  <si>
    <t>Currency, no decimals</t>
  </si>
  <si>
    <t>%, two decimals</t>
  </si>
  <si>
    <t>Integer only</t>
  </si>
  <si>
    <t>Min</t>
  </si>
  <si>
    <t>Max</t>
  </si>
  <si>
    <t>Range</t>
  </si>
  <si>
    <t>Net Operating Income</t>
  </si>
  <si>
    <t>Default</t>
  </si>
  <si>
    <t>Blank</t>
  </si>
  <si>
    <t>Cash Flow</t>
  </si>
  <si>
    <t>Property Present Value</t>
  </si>
  <si>
    <t>Generate Property Present Value using DCF Input/Assumptions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</si>
</sst>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Year &quot;0"/>
    <numFmt numFmtId="166" formatCode="&quot;$&quot;#,##0"/>
    <numFmt numFmtId="167" formatCode="0.0%"/>
    <numFmt numFmtId="168" formatCode="0.00&quot;x&quot;"/>
    <numFmt numFmtId="169" formatCode="0.00\x"/>
    <numFmt numFmtId="170" formatCode="_([$$-409]* #,##0_);_([$$-409]* \(#,##0\);_([$$-409]* &quot;-&quot;??_);_(@_)"/>
  </numFmts>
  <fonts count="34" x14ac:knownFonts="1">
    <font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0"/>
      <color theme="1"/>
      <name val="Arial Nova"/>
      <family val="2"/>
    </font>
    <font>
      <sz val="10"/>
      <color theme="0" tint="-0.34998626667073579"/>
      <name val="Arial Nova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4"/>
      <name val="Arial Nova"/>
      <family val="2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4"/>
      <name val="Calibri"/>
      <family val="2"/>
      <scheme val="minor"/>
    </font>
    <font>
      <sz val="20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u/>
      <sz val="20"/>
      <color theme="5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41">
    <xf numFmtId="0" fontId="0" fillId="0" borderId="0" xfId="0"/>
    <xf numFmtId="0" fontId="0" fillId="2" borderId="0" xfId="0" applyFill="1" applyProtection="1"/>
    <xf numFmtId="0" fontId="8" fillId="4" borderId="2" xfId="0" applyFont="1" applyFill="1" applyBorder="1" applyProtection="1"/>
    <xf numFmtId="165" fontId="8" fillId="4" borderId="3" xfId="0" applyNumberFormat="1" applyFont="1" applyFill="1" applyBorder="1" applyAlignment="1" applyProtection="1">
      <alignment horizontal="center"/>
    </xf>
    <xf numFmtId="165" fontId="8" fillId="4" borderId="4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4" fillId="2" borderId="1" xfId="0" applyFont="1" applyFill="1" applyBorder="1" applyProtection="1"/>
    <xf numFmtId="0" fontId="20" fillId="2" borderId="1" xfId="3" applyFont="1" applyFill="1" applyBorder="1" applyAlignment="1" applyProtection="1">
      <alignment horizontal="right"/>
    </xf>
    <xf numFmtId="10" fontId="9" fillId="0" borderId="5" xfId="0" applyNumberFormat="1" applyFont="1" applyBorder="1" applyProtection="1"/>
    <xf numFmtId="0" fontId="5" fillId="2" borderId="0" xfId="0" applyFont="1" applyFill="1" applyProtection="1"/>
    <xf numFmtId="0" fontId="4" fillId="2" borderId="0" xfId="0" applyFont="1" applyFill="1" applyProtection="1"/>
    <xf numFmtId="0" fontId="6" fillId="2" borderId="0" xfId="0" applyFont="1" applyFill="1" applyProtection="1"/>
    <xf numFmtId="164" fontId="7" fillId="2" borderId="0" xfId="0" applyNumberFormat="1" applyFont="1" applyFill="1" applyProtection="1"/>
    <xf numFmtId="0" fontId="0" fillId="2" borderId="0" xfId="0" quotePrefix="1" applyFill="1" applyProtection="1"/>
    <xf numFmtId="166" fontId="0" fillId="2" borderId="0" xfId="0" applyNumberFormat="1" applyFill="1" applyAlignment="1" applyProtection="1">
      <alignment horizontal="right"/>
    </xf>
    <xf numFmtId="0" fontId="10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64" fontId="7" fillId="2" borderId="0" xfId="0" applyNumberFormat="1" applyFont="1" applyFill="1" applyAlignment="1" applyProtection="1">
      <alignment vertical="center"/>
    </xf>
    <xf numFmtId="10" fontId="0" fillId="2" borderId="0" xfId="2" applyNumberFormat="1" applyFont="1" applyFill="1" applyAlignment="1" applyProtection="1">
      <alignment horizontal="center" vertical="center"/>
    </xf>
    <xf numFmtId="166" fontId="0" fillId="2" borderId="0" xfId="0" applyNumberFormat="1" applyFill="1" applyAlignment="1" applyProtection="1">
      <alignment vertical="center"/>
    </xf>
    <xf numFmtId="5" fontId="0" fillId="2" borderId="0" xfId="0" applyNumberFormat="1" applyFill="1" applyAlignment="1" applyProtection="1">
      <alignment horizontal="right"/>
    </xf>
    <xf numFmtId="0" fontId="11" fillId="2" borderId="0" xfId="0" applyFont="1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64" fontId="0" fillId="2" borderId="0" xfId="1" applyNumberFormat="1" applyFont="1" applyFill="1" applyAlignment="1" applyProtection="1">
      <alignment vertical="center"/>
    </xf>
    <xf numFmtId="0" fontId="0" fillId="2" borderId="0" xfId="0" applyFill="1" applyAlignment="1" applyProtection="1">
      <alignment horizontal="right"/>
    </xf>
    <xf numFmtId="0" fontId="1" fillId="0" borderId="0" xfId="0" applyFont="1" applyProtection="1"/>
    <xf numFmtId="166" fontId="0" fillId="2" borderId="0" xfId="0" applyNumberFormat="1" applyFill="1" applyAlignment="1" applyProtection="1">
      <alignment horizontal="right" vertical="center"/>
    </xf>
    <xf numFmtId="5" fontId="14" fillId="0" borderId="0" xfId="0" applyNumberFormat="1" applyFont="1" applyAlignment="1" applyProtection="1">
      <alignment horizontal="center" vertical="center"/>
    </xf>
    <xf numFmtId="167" fontId="0" fillId="2" borderId="0" xfId="2" applyNumberFormat="1" applyFont="1" applyFill="1" applyAlignment="1" applyProtection="1">
      <alignment horizontal="right" vertical="center"/>
    </xf>
    <xf numFmtId="168" fontId="0" fillId="2" borderId="0" xfId="1" applyNumberFormat="1" applyFont="1" applyFill="1" applyAlignment="1" applyProtection="1">
      <alignment horizontal="right" vertical="center"/>
    </xf>
    <xf numFmtId="0" fontId="0" fillId="2" borderId="0" xfId="0" applyFill="1" applyAlignment="1" applyProtection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66" fontId="0" fillId="2" borderId="0" xfId="1" applyNumberFormat="1" applyFont="1" applyFill="1" applyAlignment="1" applyProtection="1">
      <alignment horizontal="right" vertical="center"/>
    </xf>
    <xf numFmtId="0" fontId="17" fillId="2" borderId="0" xfId="0" quotePrefix="1" applyFont="1" applyFill="1" applyAlignment="1" applyProtection="1">
      <alignment horizontal="center" vertical="center"/>
    </xf>
    <xf numFmtId="0" fontId="18" fillId="0" borderId="0" xfId="0" applyFont="1" applyAlignment="1" applyProtection="1">
      <alignment horizontal="left" vertical="center"/>
    </xf>
    <xf numFmtId="168" fontId="14" fillId="0" borderId="0" xfId="0" applyNumberFormat="1" applyFont="1" applyAlignment="1" applyProtection="1">
      <alignment horizontal="center" vertical="center"/>
    </xf>
    <xf numFmtId="10" fontId="14" fillId="0" borderId="0" xfId="0" applyNumberFormat="1" applyFont="1" applyAlignment="1" applyProtection="1">
      <alignment horizontal="center" vertical="center"/>
    </xf>
    <xf numFmtId="10" fontId="9" fillId="6" borderId="5" xfId="0" applyNumberFormat="1" applyFont="1" applyFill="1" applyBorder="1" applyProtection="1"/>
    <xf numFmtId="10" fontId="14" fillId="0" borderId="0" xfId="2" applyNumberFormat="1" applyFont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5" fillId="2" borderId="0" xfId="0" applyFont="1" applyFill="1" applyAlignment="1" applyProtection="1">
      <alignment vertical="center"/>
    </xf>
    <xf numFmtId="0" fontId="26" fillId="2" borderId="0" xfId="0" applyFont="1" applyFill="1" applyAlignment="1" applyProtection="1">
      <alignment vertical="center"/>
    </xf>
    <xf numFmtId="0" fontId="20" fillId="2" borderId="0" xfId="3" applyFont="1" applyFill="1" applyBorder="1" applyAlignment="1" applyProtection="1">
      <alignment horizontal="right"/>
    </xf>
    <xf numFmtId="0" fontId="6" fillId="2" borderId="0" xfId="0" applyFont="1" applyFill="1" applyAlignment="1" applyProtection="1">
      <alignment vertical="top" wrapText="1"/>
    </xf>
    <xf numFmtId="0" fontId="6" fillId="2" borderId="0" xfId="0" applyFont="1" applyFill="1" applyAlignment="1" applyProtection="1">
      <alignment horizontal="left" vertical="center"/>
    </xf>
    <xf numFmtId="0" fontId="0" fillId="2" borderId="0" xfId="0" applyFill="1" applyBorder="1" applyAlignment="1" applyProtection="1">
      <alignment vertical="center"/>
    </xf>
    <xf numFmtId="0" fontId="26" fillId="2" borderId="0" xfId="0" applyFont="1" applyFill="1" applyBorder="1" applyAlignment="1" applyProtection="1">
      <alignment vertical="center" textRotation="90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27" fillId="7" borderId="0" xfId="0" applyFont="1" applyFill="1" applyBorder="1" applyAlignment="1" applyProtection="1">
      <alignment vertical="center" textRotation="255" wrapText="1"/>
    </xf>
    <xf numFmtId="0" fontId="0" fillId="0" borderId="0" xfId="0" applyFill="1" applyAlignment="1" applyProtection="1">
      <alignment vertical="center"/>
    </xf>
    <xf numFmtId="0" fontId="28" fillId="5" borderId="0" xfId="0" applyFont="1" applyFill="1" applyAlignment="1" applyProtection="1">
      <alignment horizontal="center" vertical="center"/>
    </xf>
    <xf numFmtId="0" fontId="23" fillId="2" borderId="0" xfId="0" applyFont="1" applyFill="1" applyBorder="1" applyAlignment="1" applyProtection="1">
      <alignment vertical="center" textRotation="255" wrapText="1"/>
    </xf>
    <xf numFmtId="0" fontId="15" fillId="2" borderId="0" xfId="0" applyFont="1" applyFill="1" applyBorder="1" applyAlignment="1" applyProtection="1">
      <alignment vertical="center"/>
    </xf>
    <xf numFmtId="0" fontId="16" fillId="2" borderId="0" xfId="0" applyFont="1" applyFill="1" applyBorder="1" applyAlignment="1" applyProtection="1">
      <alignment vertical="center" textRotation="255" wrapText="1"/>
    </xf>
    <xf numFmtId="0" fontId="29" fillId="2" borderId="0" xfId="0" applyFont="1" applyFill="1" applyBorder="1" applyAlignment="1" applyProtection="1">
      <alignment vertical="center" textRotation="255" wrapText="1" shrinkToFit="1"/>
    </xf>
    <xf numFmtId="0" fontId="11" fillId="2" borderId="0" xfId="0" applyFont="1" applyFill="1"/>
    <xf numFmtId="0" fontId="0" fillId="2" borderId="0" xfId="0" applyFont="1" applyFill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0" xfId="0" applyFont="1" applyFill="1" applyBorder="1"/>
    <xf numFmtId="0" fontId="0" fillId="2" borderId="17" xfId="0" applyFont="1" applyFill="1" applyBorder="1"/>
    <xf numFmtId="0" fontId="11" fillId="2" borderId="0" xfId="0" applyFont="1" applyFill="1" applyBorder="1"/>
    <xf numFmtId="0" fontId="0" fillId="2" borderId="0" xfId="0" applyFont="1" applyFill="1" applyBorder="1"/>
    <xf numFmtId="0" fontId="0" fillId="2" borderId="12" xfId="0" applyFont="1" applyFill="1" applyBorder="1"/>
    <xf numFmtId="0" fontId="16" fillId="12" borderId="0" xfId="0" applyFont="1" applyFill="1" applyBorder="1" applyAlignment="1">
      <alignment horizontal="center"/>
    </xf>
    <xf numFmtId="0" fontId="0" fillId="2" borderId="18" xfId="0" applyFont="1" applyFill="1" applyBorder="1"/>
    <xf numFmtId="0" fontId="0" fillId="2" borderId="13" xfId="0" applyFont="1" applyFill="1" applyBorder="1"/>
    <xf numFmtId="0" fontId="0" fillId="2" borderId="19" xfId="0" applyFont="1" applyFill="1" applyBorder="1"/>
    <xf numFmtId="0" fontId="0" fillId="2" borderId="0" xfId="0" applyFont="1" applyFill="1" applyBorder="1" applyAlignment="1">
      <alignment horizontal="center"/>
    </xf>
    <xf numFmtId="0" fontId="11" fillId="3" borderId="0" xfId="0" applyFont="1" applyFill="1"/>
    <xf numFmtId="0" fontId="0" fillId="3" borderId="0" xfId="0" applyFont="1" applyFill="1"/>
    <xf numFmtId="0" fontId="11" fillId="13" borderId="0" xfId="0" applyFont="1" applyFill="1"/>
    <xf numFmtId="0" fontId="0" fillId="13" borderId="0" xfId="0" applyFont="1" applyFill="1"/>
    <xf numFmtId="0" fontId="32" fillId="2" borderId="0" xfId="0" applyFont="1" applyFill="1"/>
    <xf numFmtId="10" fontId="0" fillId="2" borderId="0" xfId="2" applyNumberFormat="1" applyFont="1" applyFill="1"/>
    <xf numFmtId="0" fontId="0" fillId="2" borderId="0" xfId="0" applyFont="1" applyFill="1" applyAlignment="1"/>
    <xf numFmtId="0" fontId="11" fillId="10" borderId="0" xfId="0" applyFont="1" applyFill="1"/>
    <xf numFmtId="0" fontId="0" fillId="10" borderId="0" xfId="0" applyFont="1" applyFill="1"/>
    <xf numFmtId="166" fontId="0" fillId="9" borderId="0" xfId="0" applyNumberFormat="1" applyFont="1" applyFill="1" applyAlignment="1">
      <alignment horizontal="center"/>
    </xf>
    <xf numFmtId="10" fontId="0" fillId="9" borderId="0" xfId="2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10" fontId="0" fillId="2" borderId="0" xfId="0" applyNumberFormat="1" applyFont="1" applyFill="1"/>
    <xf numFmtId="0" fontId="11" fillId="8" borderId="0" xfId="0" applyFont="1" applyFill="1"/>
    <xf numFmtId="0" fontId="0" fillId="8" borderId="0" xfId="0" applyFont="1" applyFill="1"/>
    <xf numFmtId="10" fontId="0" fillId="8" borderId="0" xfId="0" applyNumberFormat="1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14" borderId="0" xfId="0" applyFont="1" applyFill="1"/>
    <xf numFmtId="166" fontId="0" fillId="2" borderId="0" xfId="0" applyNumberFormat="1" applyFont="1" applyFill="1"/>
    <xf numFmtId="170" fontId="0" fillId="2" borderId="0" xfId="0" applyNumberFormat="1" applyFont="1" applyFill="1"/>
    <xf numFmtId="6" fontId="0" fillId="2" borderId="0" xfId="0" applyNumberFormat="1" applyFont="1" applyFill="1"/>
    <xf numFmtId="166" fontId="13" fillId="11" borderId="0" xfId="0" applyNumberFormat="1" applyFont="1" applyFill="1" applyBorder="1" applyAlignment="1">
      <alignment horizontal="center"/>
    </xf>
    <xf numFmtId="10" fontId="13" fillId="11" borderId="0" xfId="0" applyNumberFormat="1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10" fontId="0" fillId="2" borderId="0" xfId="2" applyNumberFormat="1" applyFont="1" applyFill="1" applyAlignment="1">
      <alignment horizontal="right"/>
    </xf>
    <xf numFmtId="0" fontId="12" fillId="2" borderId="0" xfId="0" applyFont="1" applyFill="1"/>
    <xf numFmtId="169" fontId="0" fillId="2" borderId="0" xfId="2" applyNumberFormat="1" applyFont="1" applyFill="1" applyAlignment="1"/>
    <xf numFmtId="0" fontId="11" fillId="9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 vertical="center" textRotation="90" wrapText="1"/>
    </xf>
    <xf numFmtId="0" fontId="6" fillId="2" borderId="0" xfId="0" applyFont="1" applyFill="1" applyAlignment="1" applyProtection="1">
      <alignment horizontal="left" vertical="top" wrapText="1"/>
    </xf>
    <xf numFmtId="0" fontId="26" fillId="2" borderId="11" xfId="0" applyFont="1" applyFill="1" applyBorder="1" applyAlignment="1" applyProtection="1">
      <alignment horizontal="center" vertical="center" textRotation="90"/>
    </xf>
    <xf numFmtId="0" fontId="26" fillId="2" borderId="14" xfId="0" applyFont="1" applyFill="1" applyBorder="1" applyAlignment="1" applyProtection="1">
      <alignment horizontal="center" vertical="center" textRotation="90"/>
    </xf>
    <xf numFmtId="0" fontId="26" fillId="2" borderId="9" xfId="0" applyFont="1" applyFill="1" applyBorder="1" applyAlignment="1" applyProtection="1">
      <alignment horizontal="center" vertical="center" textRotation="90"/>
    </xf>
    <xf numFmtId="0" fontId="30" fillId="7" borderId="15" xfId="0" applyFont="1" applyFill="1" applyBorder="1" applyAlignment="1" applyProtection="1">
      <alignment horizontal="center"/>
    </xf>
    <xf numFmtId="0" fontId="30" fillId="7" borderId="16" xfId="0" applyFont="1" applyFill="1" applyBorder="1" applyAlignment="1" applyProtection="1">
      <alignment horizontal="center"/>
    </xf>
    <xf numFmtId="0" fontId="30" fillId="7" borderId="10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 vertical="center"/>
    </xf>
    <xf numFmtId="0" fontId="27" fillId="7" borderId="6" xfId="0" applyFont="1" applyFill="1" applyBorder="1" applyAlignment="1" applyProtection="1">
      <alignment horizontal="center" vertical="center"/>
    </xf>
    <xf numFmtId="0" fontId="27" fillId="7" borderId="7" xfId="0" applyFont="1" applyFill="1" applyBorder="1" applyAlignment="1" applyProtection="1">
      <alignment horizontal="center" vertical="center"/>
    </xf>
    <xf numFmtId="0" fontId="27" fillId="7" borderId="8" xfId="0" applyFont="1" applyFill="1" applyBorder="1" applyAlignment="1" applyProtection="1">
      <alignment horizontal="center" vertical="center"/>
    </xf>
    <xf numFmtId="5" fontId="31" fillId="7" borderId="17" xfId="0" applyNumberFormat="1" applyFont="1" applyFill="1" applyBorder="1" applyAlignment="1" applyProtection="1">
      <alignment horizontal="center" vertical="center"/>
    </xf>
    <xf numFmtId="5" fontId="31" fillId="7" borderId="0" xfId="0" applyNumberFormat="1" applyFont="1" applyFill="1" applyBorder="1" applyAlignment="1" applyProtection="1">
      <alignment horizontal="center" vertical="center"/>
    </xf>
    <xf numFmtId="5" fontId="31" fillId="7" borderId="12" xfId="0" applyNumberFormat="1" applyFont="1" applyFill="1" applyBorder="1" applyAlignment="1" applyProtection="1">
      <alignment horizontal="center" vertical="center"/>
    </xf>
    <xf numFmtId="5" fontId="31" fillId="7" borderId="18" xfId="0" applyNumberFormat="1" applyFont="1" applyFill="1" applyBorder="1" applyAlignment="1" applyProtection="1">
      <alignment horizontal="center" vertical="center"/>
    </xf>
    <xf numFmtId="5" fontId="31" fillId="7" borderId="13" xfId="0" applyNumberFormat="1" applyFont="1" applyFill="1" applyBorder="1" applyAlignment="1" applyProtection="1">
      <alignment horizontal="center" vertical="center"/>
    </xf>
    <xf numFmtId="5" fontId="31" fillId="7" borderId="19" xfId="0" applyNumberFormat="1" applyFont="1" applyFill="1" applyBorder="1" applyAlignment="1" applyProtection="1">
      <alignment horizontal="center" vertical="center"/>
    </xf>
    <xf numFmtId="166" fontId="13" fillId="2" borderId="6" xfId="1" applyNumberFormat="1" applyFont="1" applyFill="1" applyBorder="1" applyAlignment="1" applyProtection="1">
      <alignment horizontal="center" vertical="center"/>
      <protection locked="0"/>
    </xf>
    <xf numFmtId="166" fontId="13" fillId="2" borderId="7" xfId="1" applyNumberFormat="1" applyFont="1" applyFill="1" applyBorder="1" applyAlignment="1" applyProtection="1">
      <alignment horizontal="center" vertical="center"/>
      <protection locked="0"/>
    </xf>
    <xf numFmtId="166" fontId="13" fillId="2" borderId="8" xfId="1" applyNumberFormat="1" applyFont="1" applyFill="1" applyBorder="1" applyAlignment="1" applyProtection="1">
      <alignment horizontal="center" vertical="center"/>
      <protection locked="0"/>
    </xf>
    <xf numFmtId="10" fontId="13" fillId="3" borderId="6" xfId="0" applyNumberFormat="1" applyFont="1" applyFill="1" applyBorder="1" applyAlignment="1" applyProtection="1">
      <alignment horizontal="center" vertical="center"/>
      <protection locked="0"/>
    </xf>
    <xf numFmtId="10" fontId="13" fillId="3" borderId="7" xfId="0" applyNumberFormat="1" applyFont="1" applyFill="1" applyBorder="1" applyAlignment="1" applyProtection="1">
      <alignment horizontal="center" vertical="center"/>
      <protection locked="0"/>
    </xf>
    <xf numFmtId="10" fontId="13" fillId="3" borderId="8" xfId="0" applyNumberFormat="1" applyFont="1" applyFill="1" applyBorder="1" applyAlignment="1" applyProtection="1">
      <alignment horizontal="center" vertical="center"/>
      <protection locked="0"/>
    </xf>
    <xf numFmtId="10" fontId="13" fillId="2" borderId="6" xfId="0" applyNumberFormat="1" applyFont="1" applyFill="1" applyBorder="1" applyAlignment="1" applyProtection="1">
      <alignment horizontal="center" vertical="center"/>
      <protection locked="0"/>
    </xf>
    <xf numFmtId="10" fontId="13" fillId="2" borderId="7" xfId="0" applyNumberFormat="1" applyFont="1" applyFill="1" applyBorder="1" applyAlignment="1" applyProtection="1">
      <alignment horizontal="center" vertical="center"/>
      <protection locked="0"/>
    </xf>
    <xf numFmtId="10" fontId="13" fillId="2" borderId="8" xfId="0" applyNumberFormat="1" applyFont="1" applyFill="1" applyBorder="1" applyAlignment="1" applyProtection="1">
      <alignment horizontal="center" vertical="center"/>
      <protection locked="0"/>
    </xf>
    <xf numFmtId="168" fontId="14" fillId="0" borderId="0" xfId="0" applyNumberFormat="1" applyFont="1" applyAlignment="1" applyProtection="1">
      <alignment horizontal="center" vertical="center"/>
    </xf>
    <xf numFmtId="10" fontId="14" fillId="0" borderId="0" xfId="0" applyNumberFormat="1" applyFont="1" applyAlignment="1" applyProtection="1">
      <alignment horizontal="center" vertical="center"/>
    </xf>
    <xf numFmtId="1" fontId="13" fillId="3" borderId="6" xfId="1" applyNumberFormat="1" applyFont="1" applyFill="1" applyBorder="1" applyAlignment="1" applyProtection="1">
      <alignment horizontal="center" vertical="center"/>
      <protection locked="0"/>
    </xf>
    <xf numFmtId="1" fontId="13" fillId="3" borderId="7" xfId="1" applyNumberFormat="1" applyFont="1" applyFill="1" applyBorder="1" applyAlignment="1" applyProtection="1">
      <alignment horizontal="center" vertical="center"/>
      <protection locked="0"/>
    </xf>
    <xf numFmtId="1" fontId="13" fillId="3" borderId="8" xfId="1" applyNumberFormat="1" applyFont="1" applyFill="1" applyBorder="1" applyAlignment="1" applyProtection="1">
      <alignment horizontal="center" vertical="center"/>
      <protection locked="0"/>
    </xf>
    <xf numFmtId="37" fontId="13" fillId="2" borderId="6" xfId="0" applyNumberFormat="1" applyFont="1" applyFill="1" applyBorder="1" applyAlignment="1" applyProtection="1">
      <alignment horizontal="center" vertical="center"/>
      <protection locked="0"/>
    </xf>
    <xf numFmtId="37" fontId="13" fillId="2" borderId="7" xfId="0" applyNumberFormat="1" applyFont="1" applyFill="1" applyBorder="1" applyAlignment="1" applyProtection="1">
      <alignment horizontal="center" vertical="center"/>
      <protection locked="0"/>
    </xf>
    <xf numFmtId="37" fontId="13" fillId="2" borderId="8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6" fontId="15" fillId="9" borderId="0" xfId="0" applyNumberFormat="1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5D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714376</xdr:colOff>
      <xdr:row>3</xdr:row>
      <xdr:rowOff>10470</xdr:rowOff>
    </xdr:from>
    <xdr:to>
      <xdr:col>3</xdr:col>
      <xdr:colOff>80433</xdr:colOff>
      <xdr:row>5</xdr:row>
      <xdr:rowOff>54406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085C4-4994-4AFE-8017-7E5E2D8E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343845"/>
          <a:ext cx="809624" cy="3677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19050</xdr:rowOff>
    </xdr:from>
    <xdr:to>
      <xdr:col>11</xdr:col>
      <xdr:colOff>225447</xdr:colOff>
      <xdr:row>20</xdr:row>
      <xdr:rowOff>127650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DA7FC8-D1EF-49D1-866E-82BF8B4C8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6276975"/>
          <a:ext cx="1669014" cy="108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28575</xdr:rowOff>
    </xdr:from>
    <xdr:to>
      <xdr:col>3</xdr:col>
      <xdr:colOff>225447</xdr:colOff>
      <xdr:row>20</xdr:row>
      <xdr:rowOff>137175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300A67-E07B-4880-B2AD-184AA0BA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6972300"/>
          <a:ext cx="1669014" cy="10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19050</xdr:rowOff>
    </xdr:from>
    <xdr:to>
      <xdr:col>7</xdr:col>
      <xdr:colOff>225446</xdr:colOff>
      <xdr:row>20</xdr:row>
      <xdr:rowOff>127650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0E4A93-0B23-4ADC-841E-A1A6F1A6E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7648575"/>
          <a:ext cx="1669014" cy="108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28575</xdr:rowOff>
    </xdr:from>
    <xdr:to>
      <xdr:col>3</xdr:col>
      <xdr:colOff>225446</xdr:colOff>
      <xdr:row>17</xdr:row>
      <xdr:rowOff>137175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A5BB5A-C3F4-460D-9BDA-0192E1123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4200525"/>
          <a:ext cx="1669013" cy="1086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19050</xdr:rowOff>
    </xdr:from>
    <xdr:to>
      <xdr:col>7</xdr:col>
      <xdr:colOff>225445</xdr:colOff>
      <xdr:row>14</xdr:row>
      <xdr:rowOff>127650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061B46-2185-4346-82AA-FA1062CF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3495675"/>
          <a:ext cx="1669013" cy="1086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17</xdr:row>
      <xdr:rowOff>19050</xdr:rowOff>
    </xdr:from>
    <xdr:ext cx="1669013" cy="108600"/>
    <xdr:pic>
      <xdr:nvPicPr>
        <xdr:cNvPr id="9" name="Picture 8">
          <a:extLst>
            <a:ext uri="{FF2B5EF4-FFF2-40B4-BE49-F238E27FC236}">
              <a16:creationId xmlns:a16="http://schemas.microsoft.com/office/drawing/2014/main" id="{C3E48521-18EE-4988-9DF7-DE03AD27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4876800"/>
          <a:ext cx="1669013" cy="1086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17</xdr:row>
      <xdr:rowOff>28575</xdr:rowOff>
    </xdr:from>
    <xdr:ext cx="1669013" cy="108600"/>
    <xdr:pic>
      <xdr:nvPicPr>
        <xdr:cNvPr id="10" name="Picture 9">
          <a:extLst>
            <a:ext uri="{FF2B5EF4-FFF2-40B4-BE49-F238E27FC236}">
              <a16:creationId xmlns:a16="http://schemas.microsoft.com/office/drawing/2014/main" id="{59A3EBBC-C255-4783-91A2-BACF7159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5600700"/>
          <a:ext cx="1669013" cy="10860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14</xdr:row>
      <xdr:rowOff>19050</xdr:rowOff>
    </xdr:from>
    <xdr:ext cx="1669013" cy="108600"/>
    <xdr:pic>
      <xdr:nvPicPr>
        <xdr:cNvPr id="12" name="Picture 11">
          <a:extLst>
            <a:ext uri="{FF2B5EF4-FFF2-40B4-BE49-F238E27FC236}">
              <a16:creationId xmlns:a16="http://schemas.microsoft.com/office/drawing/2014/main" id="{89176E6B-AEB3-4272-9D80-8813311A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</a:blip>
        <a:stretch>
          <a:fillRect/>
        </a:stretch>
      </xdr:blipFill>
      <xdr:spPr>
        <a:xfrm>
          <a:off x="180975" y="8362950"/>
          <a:ext cx="1669013" cy="108600"/>
        </a:xfrm>
        <a:prstGeom prst="rect">
          <a:avLst/>
        </a:prstGeom>
      </xdr:spPr>
    </xdr:pic>
    <xdr:clientData/>
  </xdr:oneCellAnchor>
  <xdr:twoCellAnchor>
    <xdr:from>
      <xdr:col>3</xdr:col>
      <xdr:colOff>338667</xdr:colOff>
      <xdr:row>33</xdr:row>
      <xdr:rowOff>63500</xdr:rowOff>
    </xdr:from>
    <xdr:to>
      <xdr:col>3</xdr:col>
      <xdr:colOff>465667</xdr:colOff>
      <xdr:row>33</xdr:row>
      <xdr:rowOff>232833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F74948E7-ECDE-4C8F-BC91-45A7E6317252}"/>
            </a:ext>
          </a:extLst>
        </xdr:cNvPr>
        <xdr:cNvSpPr/>
      </xdr:nvSpPr>
      <xdr:spPr>
        <a:xfrm>
          <a:off x="1957917" y="4889500"/>
          <a:ext cx="127000" cy="169333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402166</xdr:colOff>
      <xdr:row>33</xdr:row>
      <xdr:rowOff>42333</xdr:rowOff>
    </xdr:from>
    <xdr:to>
      <xdr:col>7</xdr:col>
      <xdr:colOff>529166</xdr:colOff>
      <xdr:row>33</xdr:row>
      <xdr:rowOff>211666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6551D8BF-31FE-42DD-8C19-D747AE5BA733}"/>
            </a:ext>
          </a:extLst>
        </xdr:cNvPr>
        <xdr:cNvSpPr/>
      </xdr:nvSpPr>
      <xdr:spPr>
        <a:xfrm>
          <a:off x="4360333" y="4868333"/>
          <a:ext cx="127000" cy="169333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455084</xdr:colOff>
      <xdr:row>33</xdr:row>
      <xdr:rowOff>63500</xdr:rowOff>
    </xdr:from>
    <xdr:to>
      <xdr:col>11</xdr:col>
      <xdr:colOff>582084</xdr:colOff>
      <xdr:row>33</xdr:row>
      <xdr:rowOff>232833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A4FAE623-8DFF-4EBF-BC62-5BCE29B63C95}"/>
            </a:ext>
          </a:extLst>
        </xdr:cNvPr>
        <xdr:cNvSpPr/>
      </xdr:nvSpPr>
      <xdr:spPr>
        <a:xfrm>
          <a:off x="6752167" y="4889500"/>
          <a:ext cx="127000" cy="169333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169335</xdr:colOff>
      <xdr:row>23</xdr:row>
      <xdr:rowOff>243416</xdr:rowOff>
    </xdr:from>
    <xdr:to>
      <xdr:col>12</xdr:col>
      <xdr:colOff>31750</xdr:colOff>
      <xdr:row>29</xdr:row>
      <xdr:rowOff>148167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DBCC269-3C88-4DF6-9B14-4240BD17EF55}"/>
            </a:ext>
          </a:extLst>
        </xdr:cNvPr>
        <xdr:cNvSpPr/>
      </xdr:nvSpPr>
      <xdr:spPr>
        <a:xfrm>
          <a:off x="4847168" y="4931833"/>
          <a:ext cx="2201332" cy="1259417"/>
        </a:xfrm>
        <a:prstGeom prst="ellipse">
          <a:avLst/>
        </a:prstGeom>
        <a:gradFill>
          <a:gsLst>
            <a:gs pos="0">
              <a:schemeClr val="accent1">
                <a:lumMod val="5000"/>
                <a:lumOff val="95000"/>
                <a:alpha val="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338667</xdr:colOff>
      <xdr:row>13</xdr:row>
      <xdr:rowOff>63500</xdr:rowOff>
    </xdr:from>
    <xdr:to>
      <xdr:col>15</xdr:col>
      <xdr:colOff>465667</xdr:colOff>
      <xdr:row>13</xdr:row>
      <xdr:rowOff>232833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E1B2E04A-79C5-47CD-B5A3-A5420B697FC2}"/>
            </a:ext>
          </a:extLst>
        </xdr:cNvPr>
        <xdr:cNvSpPr/>
      </xdr:nvSpPr>
      <xdr:spPr>
        <a:xfrm>
          <a:off x="1957917" y="6519333"/>
          <a:ext cx="127000" cy="169333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21166</xdr:colOff>
      <xdr:row>23</xdr:row>
      <xdr:rowOff>201083</xdr:rowOff>
    </xdr:from>
    <xdr:to>
      <xdr:col>4</xdr:col>
      <xdr:colOff>21166</xdr:colOff>
      <xdr:row>29</xdr:row>
      <xdr:rowOff>84667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4F126F4-7446-4230-B80C-BA8C14520CCF}"/>
            </a:ext>
          </a:extLst>
        </xdr:cNvPr>
        <xdr:cNvSpPr/>
      </xdr:nvSpPr>
      <xdr:spPr>
        <a:xfrm>
          <a:off x="201083" y="4889500"/>
          <a:ext cx="2159000" cy="1238250"/>
        </a:xfrm>
        <a:prstGeom prst="ellipse">
          <a:avLst/>
        </a:prstGeom>
        <a:gradFill flip="none" rotWithShape="1">
          <a:gsLst>
            <a:gs pos="0">
              <a:schemeClr val="accent1">
                <a:lumMod val="5000"/>
                <a:lumOff val="95000"/>
                <a:alpha val="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path path="shap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ian Mascis" id="{A9C0BF2E-D57D-4178-8FBE-CA11BC6DC4B5}" userId="S::bmascis@rockportval.com::792b69b7-1862-41d5-90d3-13db6446811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1-08-20T16:13:28.50" personId="{A9C0BF2E-D57D-4178-8FBE-CA11BC6DC4B5}" id="{5CB0369F-E88F-42DA-9290-0869BAD246D6}">
    <text>need a mechanim to allow a user to enter an annual growth vector (positive and negative #s) e.g. 3.00%, 2.00%, -5.0%,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rockportval.com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2F29-0DC7-4C5E-A938-C305096DEAA0}">
  <dimension ref="A1:AD60"/>
  <sheetViews>
    <sheetView topLeftCell="A3" zoomScale="90" zoomScaleNormal="90" workbookViewId="0">
      <selection activeCell="J34" sqref="J34:L34"/>
    </sheetView>
  </sheetViews>
  <sheetFormatPr defaultRowHeight="12.75" x14ac:dyDescent="0.2"/>
  <cols>
    <col min="1" max="1" width="2.7109375" style="1" customWidth="1"/>
    <col min="2" max="4" width="10.7109375" style="1" customWidth="1"/>
    <col min="5" max="5" width="2.7109375" style="1" customWidth="1"/>
    <col min="6" max="8" width="10.7109375" style="1" customWidth="1"/>
    <col min="9" max="9" width="2.7109375" style="1" customWidth="1"/>
    <col min="10" max="13" width="10.7109375" style="1" customWidth="1"/>
    <col min="14" max="14" width="5.85546875" style="1" customWidth="1"/>
    <col min="15" max="16" width="9.140625" style="1" hidden="1" customWidth="1"/>
    <col min="17" max="17" width="23.85546875" style="1" hidden="1" customWidth="1"/>
    <col min="18" max="18" width="11.5703125" style="1" hidden="1" customWidth="1"/>
    <col min="19" max="19" width="10.85546875" style="1" hidden="1" customWidth="1"/>
    <col min="20" max="20" width="11" style="1" hidden="1" customWidth="1"/>
    <col min="21" max="27" width="10.85546875" style="1" hidden="1" customWidth="1"/>
    <col min="28" max="28" width="12.42578125" style="1" hidden="1" customWidth="1"/>
    <col min="29" max="29" width="10.85546875" style="1" hidden="1" customWidth="1"/>
    <col min="30" max="30" width="9.140625" style="1" hidden="1" customWidth="1"/>
    <col min="31" max="32" width="0" style="1" hidden="1" customWidth="1"/>
    <col min="33" max="16384" width="9.140625" style="1"/>
  </cols>
  <sheetData>
    <row r="1" spans="1:29" ht="12.75" hidden="1" customHeight="1" x14ac:dyDescent="0.2"/>
    <row r="2" spans="1:29" ht="12.75" hidden="1" customHeight="1" x14ac:dyDescent="0.2">
      <c r="R2" s="2"/>
      <c r="S2" s="3">
        <v>1</v>
      </c>
      <c r="T2" s="3">
        <f>S2+1</f>
        <v>2</v>
      </c>
      <c r="U2" s="3">
        <f t="shared" ref="U2:AC2" si="0">T2+1</f>
        <v>3</v>
      </c>
      <c r="V2" s="3">
        <f t="shared" si="0"/>
        <v>4</v>
      </c>
      <c r="W2" s="3">
        <f t="shared" si="0"/>
        <v>5</v>
      </c>
      <c r="X2" s="3">
        <f t="shared" si="0"/>
        <v>6</v>
      </c>
      <c r="Y2" s="3">
        <f t="shared" si="0"/>
        <v>7</v>
      </c>
      <c r="Z2" s="3">
        <f t="shared" si="0"/>
        <v>8</v>
      </c>
      <c r="AA2" s="3">
        <f t="shared" si="0"/>
        <v>9</v>
      </c>
      <c r="AB2" s="4">
        <f t="shared" si="0"/>
        <v>10</v>
      </c>
      <c r="AC2" s="4">
        <f t="shared" si="0"/>
        <v>11</v>
      </c>
    </row>
    <row r="3" spans="1:29" ht="26.25" x14ac:dyDescent="0.4">
      <c r="B3" s="5" t="s">
        <v>0</v>
      </c>
      <c r="C3" s="6"/>
      <c r="D3" s="6"/>
      <c r="E3" s="6"/>
      <c r="F3" s="6"/>
      <c r="G3" s="6"/>
      <c r="H3" s="6"/>
      <c r="I3" s="6"/>
      <c r="K3" s="45"/>
      <c r="L3" s="7" t="s">
        <v>30</v>
      </c>
      <c r="M3" s="45"/>
      <c r="N3" s="45"/>
      <c r="R3" s="3" t="s">
        <v>3</v>
      </c>
      <c r="S3" s="39"/>
      <c r="T3" s="8">
        <v>0.03</v>
      </c>
      <c r="U3" s="8">
        <v>0.03</v>
      </c>
      <c r="V3" s="8">
        <v>0.03</v>
      </c>
      <c r="W3" s="8">
        <v>0.03</v>
      </c>
      <c r="X3" s="8">
        <v>0.03</v>
      </c>
      <c r="Y3" s="8">
        <v>0.03</v>
      </c>
      <c r="Z3" s="8">
        <v>0.03</v>
      </c>
      <c r="AA3" s="8">
        <v>0.03</v>
      </c>
      <c r="AB3" s="8">
        <v>0.03</v>
      </c>
      <c r="AC3" s="8">
        <v>0.03</v>
      </c>
    </row>
    <row r="4" spans="1:29" x14ac:dyDescent="0.2"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29" x14ac:dyDescent="0.2">
      <c r="I5" s="12"/>
      <c r="Q5" s="11" t="s">
        <v>2</v>
      </c>
      <c r="R5" s="11"/>
    </row>
    <row r="6" spans="1:29" x14ac:dyDescent="0.2">
      <c r="I6" s="12"/>
      <c r="J6" s="13"/>
      <c r="K6" s="13"/>
      <c r="L6" s="13"/>
      <c r="M6" s="13"/>
      <c r="N6" s="13"/>
      <c r="Q6" s="1" t="s">
        <v>33</v>
      </c>
      <c r="R6" s="3">
        <v>0</v>
      </c>
      <c r="S6" s="3">
        <f>R6+1</f>
        <v>1</v>
      </c>
      <c r="T6" s="3">
        <f t="shared" ref="T6:AC6" si="1">IF(S6&lt;$J$14+1,S6+1,"")</f>
        <v>2</v>
      </c>
      <c r="U6" s="3">
        <f t="shared" si="1"/>
        <v>3</v>
      </c>
      <c r="V6" s="3">
        <f t="shared" si="1"/>
        <v>4</v>
      </c>
      <c r="W6" s="3">
        <f t="shared" si="1"/>
        <v>5</v>
      </c>
      <c r="X6" s="3">
        <f t="shared" si="1"/>
        <v>6</v>
      </c>
      <c r="Y6" s="3">
        <f t="shared" si="1"/>
        <v>7</v>
      </c>
      <c r="Z6" s="3">
        <f t="shared" si="1"/>
        <v>8</v>
      </c>
      <c r="AA6" s="3">
        <f t="shared" si="1"/>
        <v>9</v>
      </c>
      <c r="AB6" s="3">
        <f t="shared" si="1"/>
        <v>10</v>
      </c>
      <c r="AC6" s="3">
        <f t="shared" si="1"/>
        <v>11</v>
      </c>
    </row>
    <row r="7" spans="1:29" x14ac:dyDescent="0.2">
      <c r="I7" s="12"/>
      <c r="Q7" s="1" t="s">
        <v>31</v>
      </c>
      <c r="S7" s="14">
        <f>IF(S6&lt;=$J$14+1,$B$14*(1+S3),"")</f>
        <v>100000</v>
      </c>
      <c r="T7" s="14">
        <f t="shared" ref="T7:AC7" si="2">IF(T6&lt;=$J$14+1,S7*(1+T3),"")</f>
        <v>103000</v>
      </c>
      <c r="U7" s="14">
        <f t="shared" si="2"/>
        <v>106090</v>
      </c>
      <c r="V7" s="14">
        <f t="shared" si="2"/>
        <v>109272.7</v>
      </c>
      <c r="W7" s="14">
        <f t="shared" si="2"/>
        <v>112550.88099999999</v>
      </c>
      <c r="X7" s="14">
        <f t="shared" si="2"/>
        <v>115927.40742999999</v>
      </c>
      <c r="Y7" s="14">
        <f t="shared" si="2"/>
        <v>119405.2296529</v>
      </c>
      <c r="Z7" s="14">
        <f t="shared" si="2"/>
        <v>122987.386542487</v>
      </c>
      <c r="AA7" s="14">
        <f t="shared" si="2"/>
        <v>126677.00813876161</v>
      </c>
      <c r="AB7" s="14">
        <f t="shared" si="2"/>
        <v>130477.31838292447</v>
      </c>
      <c r="AC7" s="14">
        <f t="shared" si="2"/>
        <v>134391.6379344122</v>
      </c>
    </row>
    <row r="8" spans="1:29" ht="21" x14ac:dyDescent="0.2">
      <c r="B8" s="42" t="s">
        <v>5</v>
      </c>
      <c r="C8" s="43"/>
      <c r="D8" s="54" t="s">
        <v>6</v>
      </c>
      <c r="F8" s="54" t="s">
        <v>7</v>
      </c>
      <c r="G8" s="16"/>
      <c r="H8" s="16"/>
      <c r="Q8" s="1" t="s">
        <v>34</v>
      </c>
      <c r="R8" s="3">
        <v>0</v>
      </c>
      <c r="S8" s="3">
        <f>R8+1</f>
        <v>1</v>
      </c>
      <c r="T8" s="3">
        <f t="shared" ref="T8:AC8" si="3">IF(S8&gt;=$J$14,"",S8+1)</f>
        <v>2</v>
      </c>
      <c r="U8" s="3">
        <f t="shared" si="3"/>
        <v>3</v>
      </c>
      <c r="V8" s="3">
        <f t="shared" si="3"/>
        <v>4</v>
      </c>
      <c r="W8" s="3">
        <f t="shared" si="3"/>
        <v>5</v>
      </c>
      <c r="X8" s="3">
        <f t="shared" si="3"/>
        <v>6</v>
      </c>
      <c r="Y8" s="3">
        <f t="shared" si="3"/>
        <v>7</v>
      </c>
      <c r="Z8" s="3">
        <f t="shared" si="3"/>
        <v>8</v>
      </c>
      <c r="AA8" s="3">
        <f t="shared" si="3"/>
        <v>9</v>
      </c>
      <c r="AB8" s="3">
        <f t="shared" si="3"/>
        <v>10</v>
      </c>
      <c r="AC8" s="3" t="str">
        <f t="shared" si="3"/>
        <v/>
      </c>
    </row>
    <row r="9" spans="1:29" s="16" customFormat="1" x14ac:dyDescent="0.2">
      <c r="A9" s="1"/>
      <c r="E9" s="1"/>
      <c r="F9" s="15"/>
      <c r="I9" s="18"/>
      <c r="J9" s="19"/>
      <c r="K9" s="19"/>
      <c r="L9" s="19"/>
      <c r="M9" s="19"/>
      <c r="N9" s="19"/>
      <c r="Q9" s="1" t="s">
        <v>32</v>
      </c>
      <c r="R9" s="1"/>
      <c r="S9" s="21">
        <f t="shared" ref="S9:AC9" si="4">IF(S6&lt;=$J$14,S7,"")</f>
        <v>100000</v>
      </c>
      <c r="T9" s="21">
        <f t="shared" si="4"/>
        <v>103000</v>
      </c>
      <c r="U9" s="21">
        <f t="shared" si="4"/>
        <v>106090</v>
      </c>
      <c r="V9" s="21">
        <f t="shared" si="4"/>
        <v>109272.7</v>
      </c>
      <c r="W9" s="21">
        <f t="shared" si="4"/>
        <v>112550.88099999999</v>
      </c>
      <c r="X9" s="21">
        <f t="shared" si="4"/>
        <v>115927.40742999999</v>
      </c>
      <c r="Y9" s="21">
        <f t="shared" si="4"/>
        <v>119405.2296529</v>
      </c>
      <c r="Z9" s="21">
        <f t="shared" si="4"/>
        <v>122987.386542487</v>
      </c>
      <c r="AA9" s="21">
        <f t="shared" si="4"/>
        <v>126677.00813876161</v>
      </c>
      <c r="AB9" s="21">
        <f t="shared" si="4"/>
        <v>130477.31838292447</v>
      </c>
      <c r="AC9" s="21" t="str">
        <f t="shared" si="4"/>
        <v/>
      </c>
    </row>
    <row r="10" spans="1:29" s="16" customFormat="1" ht="15" x14ac:dyDescent="0.2">
      <c r="A10" s="1"/>
      <c r="B10" s="41"/>
      <c r="C10" s="41"/>
      <c r="D10" s="41"/>
      <c r="E10" s="17"/>
      <c r="F10" s="15"/>
      <c r="I10" s="19"/>
      <c r="J10" s="24"/>
      <c r="K10" s="24"/>
      <c r="L10" s="24"/>
      <c r="M10" s="24"/>
      <c r="N10" s="24"/>
      <c r="Q10" s="1" t="s">
        <v>4</v>
      </c>
      <c r="R10" s="1"/>
      <c r="S10" s="21">
        <f t="shared" ref="S10:AB10" si="5">IF(S6&lt;=$J$14,$Q$45,"")</f>
        <v>76056.134441423666</v>
      </c>
      <c r="T10" s="21">
        <f t="shared" si="5"/>
        <v>76056.134441423666</v>
      </c>
      <c r="U10" s="21">
        <f t="shared" si="5"/>
        <v>76056.134441423666</v>
      </c>
      <c r="V10" s="21">
        <f t="shared" si="5"/>
        <v>76056.134441423666</v>
      </c>
      <c r="W10" s="21">
        <f t="shared" si="5"/>
        <v>76056.134441423666</v>
      </c>
      <c r="X10" s="21">
        <f t="shared" si="5"/>
        <v>76056.134441423666</v>
      </c>
      <c r="Y10" s="21">
        <f t="shared" si="5"/>
        <v>76056.134441423666</v>
      </c>
      <c r="Z10" s="21">
        <f t="shared" si="5"/>
        <v>76056.134441423666</v>
      </c>
      <c r="AA10" s="21">
        <f t="shared" si="5"/>
        <v>76056.134441423666</v>
      </c>
      <c r="AB10" s="21">
        <f t="shared" si="5"/>
        <v>76056.134441423666</v>
      </c>
      <c r="AC10" s="25"/>
    </row>
    <row r="11" spans="1:29" s="16" customFormat="1" ht="21" x14ac:dyDescent="0.2">
      <c r="A11" s="1"/>
      <c r="B11" s="44" t="s">
        <v>39</v>
      </c>
      <c r="D11" s="23"/>
      <c r="E11" s="1"/>
      <c r="N11" s="48"/>
      <c r="Q11" s="16" t="s">
        <v>8</v>
      </c>
      <c r="S11" s="27">
        <f t="shared" ref="S11:AB11" si="6">IF(S6&lt;=$J$14,S9-S10,"")</f>
        <v>23943.865558576334</v>
      </c>
      <c r="T11" s="27">
        <f t="shared" si="6"/>
        <v>26943.865558576334</v>
      </c>
      <c r="U11" s="27">
        <f t="shared" si="6"/>
        <v>30033.865558576334</v>
      </c>
      <c r="V11" s="27">
        <f t="shared" si="6"/>
        <v>33216.565558576331</v>
      </c>
      <c r="W11" s="27">
        <f t="shared" si="6"/>
        <v>36494.746558576328</v>
      </c>
      <c r="X11" s="27">
        <f t="shared" si="6"/>
        <v>39871.272988576326</v>
      </c>
      <c r="Y11" s="27">
        <f t="shared" si="6"/>
        <v>43349.095211476335</v>
      </c>
      <c r="Z11" s="27">
        <f t="shared" si="6"/>
        <v>46931.252101063335</v>
      </c>
      <c r="AA11" s="27">
        <f t="shared" si="6"/>
        <v>50620.873697337942</v>
      </c>
      <c r="AB11" s="27">
        <f t="shared" si="6"/>
        <v>54421.1839415008</v>
      </c>
      <c r="AC11" s="23"/>
    </row>
    <row r="12" spans="1:29" s="16" customFormat="1" ht="26.25" customHeight="1" x14ac:dyDescent="0.2">
      <c r="A12" s="1"/>
      <c r="B12" s="22"/>
      <c r="D12" s="23"/>
      <c r="E12" s="1"/>
      <c r="N12" s="51"/>
      <c r="Q12" s="16" t="s">
        <v>10</v>
      </c>
      <c r="S12" s="29">
        <f t="shared" ref="S12:AB12" si="7">IF(S6&lt;=$J$14,S11/$Q$39,"")</f>
        <v>4.2083744665334523E-2</v>
      </c>
      <c r="T12" s="29">
        <f t="shared" si="7"/>
        <v>4.7356545487204423E-2</v>
      </c>
      <c r="U12" s="29">
        <f t="shared" si="7"/>
        <v>5.2787530333730411E-2</v>
      </c>
      <c r="V12" s="29">
        <f t="shared" si="7"/>
        <v>5.8381444725652175E-2</v>
      </c>
      <c r="W12" s="29">
        <f t="shared" si="7"/>
        <v>6.4143176549331604E-2</v>
      </c>
      <c r="X12" s="29">
        <f t="shared" si="7"/>
        <v>7.0077760327721408E-2</v>
      </c>
      <c r="Y12" s="29">
        <f t="shared" si="7"/>
        <v>7.6190381619462927E-2</v>
      </c>
      <c r="Z12" s="29">
        <f t="shared" si="7"/>
        <v>8.2486381549956675E-2</v>
      </c>
      <c r="AA12" s="29">
        <f t="shared" si="7"/>
        <v>8.8971261478365218E-2</v>
      </c>
      <c r="AB12" s="29">
        <f t="shared" si="7"/>
        <v>9.5650687804626058E-2</v>
      </c>
      <c r="AC12" s="23"/>
    </row>
    <row r="13" spans="1:29" s="16" customFormat="1" ht="15" x14ac:dyDescent="0.25">
      <c r="A13" s="1"/>
      <c r="B13" s="26" t="s">
        <v>35</v>
      </c>
      <c r="E13" s="1"/>
      <c r="F13" s="26" t="s">
        <v>19</v>
      </c>
      <c r="J13" s="26" t="s">
        <v>23</v>
      </c>
      <c r="N13" s="56"/>
      <c r="O13" s="53"/>
      <c r="P13" s="53"/>
      <c r="Q13" s="16" t="s">
        <v>12</v>
      </c>
      <c r="S13" s="30">
        <f>IFERROR(S9/S10,"")</f>
        <v>1.3148183343056599</v>
      </c>
      <c r="T13" s="30">
        <f t="shared" ref="T13:AB13" si="8">IFERROR(T9/T10,"")</f>
        <v>1.3542628843348297</v>
      </c>
      <c r="U13" s="30">
        <f t="shared" si="8"/>
        <v>1.3948907708648746</v>
      </c>
      <c r="V13" s="30">
        <f t="shared" si="8"/>
        <v>1.4367374939908208</v>
      </c>
      <c r="W13" s="30">
        <f t="shared" si="8"/>
        <v>1.4798396188105454</v>
      </c>
      <c r="X13" s="30">
        <f t="shared" si="8"/>
        <v>1.5242348073748617</v>
      </c>
      <c r="Y13" s="30">
        <f t="shared" si="8"/>
        <v>1.5699618515961078</v>
      </c>
      <c r="Z13" s="30">
        <f t="shared" si="8"/>
        <v>1.6170607071439911</v>
      </c>
      <c r="AA13" s="30">
        <f t="shared" si="8"/>
        <v>1.6655725283583107</v>
      </c>
      <c r="AB13" s="30">
        <f t="shared" si="8"/>
        <v>1.7155397042090601</v>
      </c>
      <c r="AC13" s="23"/>
    </row>
    <row r="14" spans="1:29" s="16" customFormat="1" ht="20.100000000000001" customHeight="1" x14ac:dyDescent="0.2">
      <c r="A14" s="1"/>
      <c r="B14" s="121">
        <v>100000</v>
      </c>
      <c r="C14" s="122"/>
      <c r="D14" s="123"/>
      <c r="E14" s="1"/>
      <c r="F14" s="124">
        <v>0.03</v>
      </c>
      <c r="G14" s="125"/>
      <c r="H14" s="126"/>
      <c r="J14" s="132">
        <v>10</v>
      </c>
      <c r="K14" s="133"/>
      <c r="L14" s="134"/>
      <c r="N14" s="58"/>
      <c r="O14" s="52"/>
      <c r="P14" s="52"/>
      <c r="Q14" s="16" t="s">
        <v>13</v>
      </c>
      <c r="S14" s="34">
        <f t="shared" ref="S14:AB14" si="9">IF(S6&gt;$J$14,"",IF(S6=$J$14,T7/$B$17*(1-$J$17),0))</f>
        <v>0</v>
      </c>
      <c r="T14" s="34">
        <f t="shared" si="9"/>
        <v>0</v>
      </c>
      <c r="U14" s="34">
        <f t="shared" si="9"/>
        <v>0</v>
      </c>
      <c r="V14" s="34">
        <f t="shared" si="9"/>
        <v>0</v>
      </c>
      <c r="W14" s="34">
        <f t="shared" si="9"/>
        <v>0</v>
      </c>
      <c r="X14" s="34">
        <f t="shared" si="9"/>
        <v>0</v>
      </c>
      <c r="Y14" s="34">
        <f t="shared" si="9"/>
        <v>0</v>
      </c>
      <c r="Z14" s="34">
        <f t="shared" si="9"/>
        <v>0</v>
      </c>
      <c r="AA14" s="34">
        <f t="shared" si="9"/>
        <v>0</v>
      </c>
      <c r="AB14" s="34">
        <f t="shared" si="9"/>
        <v>2172664.8132729973</v>
      </c>
      <c r="AC14" s="23"/>
    </row>
    <row r="15" spans="1:29" s="16" customFormat="1" ht="21" customHeight="1" x14ac:dyDescent="0.2">
      <c r="A15" s="1"/>
      <c r="B15" s="22"/>
      <c r="D15" s="23"/>
      <c r="E15" s="1"/>
      <c r="F15" s="22"/>
      <c r="N15" s="58"/>
      <c r="O15" s="52"/>
      <c r="P15" s="52"/>
      <c r="Q15" s="16" t="s">
        <v>14</v>
      </c>
      <c r="S15" s="34">
        <f t="shared" ref="S15:AB15" si="10">IF(S14="","",IF(S6=$J$14,CUMPRINC($B$20/12,$F$20*12,$Q$42,1,S6*12,0)+$Q$42,0))</f>
        <v>0</v>
      </c>
      <c r="T15" s="34">
        <f t="shared" si="10"/>
        <v>0</v>
      </c>
      <c r="U15" s="34">
        <f t="shared" si="10"/>
        <v>0</v>
      </c>
      <c r="V15" s="34">
        <f t="shared" si="10"/>
        <v>0</v>
      </c>
      <c r="W15" s="34">
        <f t="shared" si="10"/>
        <v>0</v>
      </c>
      <c r="X15" s="34">
        <f t="shared" si="10"/>
        <v>0</v>
      </c>
      <c r="Y15" s="34">
        <f t="shared" si="10"/>
        <v>0</v>
      </c>
      <c r="Z15" s="34">
        <f t="shared" si="10"/>
        <v>0</v>
      </c>
      <c r="AA15" s="34">
        <f t="shared" si="10"/>
        <v>0</v>
      </c>
      <c r="AB15" s="34">
        <f t="shared" si="10"/>
        <v>1045910.3863617859</v>
      </c>
      <c r="AC15" s="23"/>
    </row>
    <row r="16" spans="1:29" s="16" customFormat="1" ht="21" customHeight="1" x14ac:dyDescent="0.25">
      <c r="B16" s="26" t="s">
        <v>36</v>
      </c>
      <c r="E16" s="31"/>
      <c r="F16" s="26" t="s">
        <v>26</v>
      </c>
      <c r="J16" s="26" t="s">
        <v>25</v>
      </c>
      <c r="N16" s="58"/>
      <c r="O16" s="52"/>
      <c r="P16" s="52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3"/>
    </row>
    <row r="17" spans="2:29" s="16" customFormat="1" ht="20.100000000000001" customHeight="1" x14ac:dyDescent="0.2">
      <c r="B17" s="127">
        <v>0.06</v>
      </c>
      <c r="C17" s="128"/>
      <c r="D17" s="129"/>
      <c r="E17" s="31"/>
      <c r="F17" s="124">
        <v>7.0000000000000007E-2</v>
      </c>
      <c r="G17" s="125"/>
      <c r="H17" s="126"/>
      <c r="J17" s="124">
        <v>0.03</v>
      </c>
      <c r="K17" s="125"/>
      <c r="L17" s="126"/>
      <c r="N17" s="58"/>
      <c r="O17" s="52"/>
      <c r="P17" s="52"/>
      <c r="Q17" s="16" t="s">
        <v>17</v>
      </c>
      <c r="R17" s="20">
        <f>-F24</f>
        <v>-1896525.2695537428</v>
      </c>
      <c r="S17" s="34">
        <f t="shared" ref="S17:AB17" si="11">IF(S6&lt;=$J$14,S9+S14,"")</f>
        <v>100000</v>
      </c>
      <c r="T17" s="34">
        <f t="shared" si="11"/>
        <v>103000</v>
      </c>
      <c r="U17" s="34">
        <f t="shared" si="11"/>
        <v>106090</v>
      </c>
      <c r="V17" s="34">
        <f t="shared" si="11"/>
        <v>109272.7</v>
      </c>
      <c r="W17" s="34">
        <f t="shared" si="11"/>
        <v>112550.88099999999</v>
      </c>
      <c r="X17" s="34">
        <f t="shared" si="11"/>
        <v>115927.40742999999</v>
      </c>
      <c r="Y17" s="34">
        <f t="shared" si="11"/>
        <v>119405.2296529</v>
      </c>
      <c r="Z17" s="34">
        <f t="shared" si="11"/>
        <v>122987.386542487</v>
      </c>
      <c r="AA17" s="34">
        <f t="shared" si="11"/>
        <v>126677.00813876161</v>
      </c>
      <c r="AB17" s="34">
        <f t="shared" si="11"/>
        <v>2303142.1316559217</v>
      </c>
      <c r="AC17" s="23"/>
    </row>
    <row r="18" spans="2:29" s="16" customFormat="1" ht="21" customHeight="1" x14ac:dyDescent="0.2">
      <c r="N18" s="55"/>
      <c r="O18" s="52"/>
      <c r="P18" s="52"/>
      <c r="Q18" s="16" t="s">
        <v>18</v>
      </c>
      <c r="R18" s="20">
        <f>-Q39</f>
        <v>-568957.58086612285</v>
      </c>
      <c r="S18" s="27">
        <f t="shared" ref="S18:AB18" si="12">IF(S6&lt;=$J$14,S11+S14-S15,"")</f>
        <v>23943.865558576334</v>
      </c>
      <c r="T18" s="27">
        <f t="shared" si="12"/>
        <v>26943.865558576334</v>
      </c>
      <c r="U18" s="27">
        <f t="shared" si="12"/>
        <v>30033.865558576334</v>
      </c>
      <c r="V18" s="27">
        <f t="shared" si="12"/>
        <v>33216.565558576331</v>
      </c>
      <c r="W18" s="27">
        <f t="shared" si="12"/>
        <v>36494.746558576328</v>
      </c>
      <c r="X18" s="27">
        <f t="shared" si="12"/>
        <v>39871.272988576326</v>
      </c>
      <c r="Y18" s="27">
        <f t="shared" si="12"/>
        <v>43349.095211476335</v>
      </c>
      <c r="Z18" s="27">
        <f t="shared" si="12"/>
        <v>46931.252101063335</v>
      </c>
      <c r="AA18" s="27">
        <f t="shared" si="12"/>
        <v>50620.873697337942</v>
      </c>
      <c r="AB18" s="27">
        <f t="shared" si="12"/>
        <v>1181175.6108527121</v>
      </c>
      <c r="AC18" s="23"/>
    </row>
    <row r="19" spans="2:29" s="16" customFormat="1" ht="21" customHeight="1" x14ac:dyDescent="0.25">
      <c r="B19" s="26" t="s">
        <v>15</v>
      </c>
      <c r="E19" s="35"/>
      <c r="F19" s="26" t="s">
        <v>20</v>
      </c>
      <c r="J19" s="26" t="s">
        <v>38</v>
      </c>
      <c r="N19" s="57"/>
      <c r="O19" s="52"/>
      <c r="P19" s="52"/>
    </row>
    <row r="20" spans="2:29" s="16" customFormat="1" ht="20.100000000000001" customHeight="1" x14ac:dyDescent="0.2">
      <c r="B20" s="127">
        <v>0.04</v>
      </c>
      <c r="C20" s="128"/>
      <c r="D20" s="129"/>
      <c r="E20" s="35"/>
      <c r="F20" s="135">
        <v>30</v>
      </c>
      <c r="G20" s="136"/>
      <c r="H20" s="137"/>
      <c r="J20" s="127">
        <v>0.7</v>
      </c>
      <c r="K20" s="128"/>
      <c r="L20" s="129"/>
      <c r="N20" s="57"/>
      <c r="O20" s="52"/>
      <c r="P20" s="52"/>
    </row>
    <row r="21" spans="2:29" s="16" customFormat="1" x14ac:dyDescent="0.2">
      <c r="B21" s="22"/>
      <c r="J21" s="22"/>
      <c r="N21" s="57"/>
      <c r="O21" s="52"/>
      <c r="P21" s="52"/>
    </row>
    <row r="22" spans="2:29" s="16" customFormat="1" x14ac:dyDescent="0.2">
      <c r="N22" s="57"/>
      <c r="O22" s="52"/>
      <c r="P22" s="52"/>
    </row>
    <row r="23" spans="2:29" s="16" customFormat="1" ht="15.75" x14ac:dyDescent="0.25">
      <c r="F23" s="108" t="s">
        <v>11</v>
      </c>
      <c r="G23" s="109"/>
      <c r="H23" s="110"/>
      <c r="N23" s="57"/>
      <c r="O23" s="52"/>
      <c r="P23" s="52"/>
    </row>
    <row r="24" spans="2:29" s="16" customFormat="1" ht="31.5" customHeight="1" x14ac:dyDescent="0.2">
      <c r="F24" s="115">
        <f>NPV(F17,S17:AB17)</f>
        <v>1896525.2695537428</v>
      </c>
      <c r="G24" s="116"/>
      <c r="H24" s="117"/>
      <c r="N24" s="55"/>
      <c r="O24" s="52"/>
      <c r="P24" s="52"/>
    </row>
    <row r="25" spans="2:29" s="16" customFormat="1" ht="15" customHeight="1" x14ac:dyDescent="0.2">
      <c r="F25" s="115"/>
      <c r="G25" s="116"/>
      <c r="H25" s="117"/>
      <c r="N25" s="57"/>
      <c r="O25" s="52"/>
      <c r="P25" s="52"/>
      <c r="T25" s="19"/>
    </row>
    <row r="26" spans="2:29" s="16" customFormat="1" ht="15" customHeight="1" x14ac:dyDescent="0.2">
      <c r="B26" s="111" t="s">
        <v>9</v>
      </c>
      <c r="C26" s="111"/>
      <c r="D26" s="111"/>
      <c r="F26" s="115"/>
      <c r="G26" s="116"/>
      <c r="H26" s="117"/>
      <c r="J26" s="111" t="s">
        <v>22</v>
      </c>
      <c r="K26" s="111"/>
      <c r="L26" s="111"/>
      <c r="N26" s="57"/>
      <c r="O26" s="52"/>
      <c r="P26" s="52"/>
      <c r="T26" s="19"/>
    </row>
    <row r="27" spans="2:29" s="16" customFormat="1" ht="15" customHeight="1" x14ac:dyDescent="0.2">
      <c r="B27" s="131">
        <f>IRR(R18:AB18,0.1)</f>
        <v>0.11867681842120792</v>
      </c>
      <c r="C27" s="131"/>
      <c r="D27" s="131"/>
      <c r="F27" s="115"/>
      <c r="G27" s="116"/>
      <c r="H27" s="117"/>
      <c r="J27" s="130">
        <f>SUM(S18:AB18)/Q39</f>
        <v>2.6585128039623775</v>
      </c>
      <c r="K27" s="130"/>
      <c r="L27" s="130"/>
      <c r="N27" s="57"/>
      <c r="O27" s="52"/>
      <c r="P27" s="52"/>
      <c r="T27" s="19"/>
    </row>
    <row r="28" spans="2:29" s="16" customFormat="1" ht="15" customHeight="1" x14ac:dyDescent="0.2">
      <c r="F28" s="115"/>
      <c r="G28" s="116"/>
      <c r="H28" s="117"/>
      <c r="N28" s="57"/>
      <c r="O28" s="52"/>
      <c r="P28" s="52"/>
      <c r="T28" s="19"/>
    </row>
    <row r="29" spans="2:29" s="16" customFormat="1" ht="15" customHeight="1" x14ac:dyDescent="0.2">
      <c r="F29" s="115"/>
      <c r="G29" s="116"/>
      <c r="H29" s="117"/>
      <c r="N29" s="57"/>
      <c r="O29" s="52"/>
      <c r="P29" s="52"/>
      <c r="T29" s="19"/>
    </row>
    <row r="30" spans="2:29" s="16" customFormat="1" ht="15" customHeight="1" x14ac:dyDescent="0.2">
      <c r="F30" s="115"/>
      <c r="G30" s="116"/>
      <c r="H30" s="117"/>
      <c r="N30" s="57"/>
      <c r="O30" s="52"/>
      <c r="P30" s="52"/>
      <c r="T30" s="19"/>
    </row>
    <row r="31" spans="2:29" s="16" customFormat="1" ht="15" customHeight="1" x14ac:dyDescent="0.2">
      <c r="F31" s="118"/>
      <c r="G31" s="119"/>
      <c r="H31" s="120"/>
      <c r="N31" s="55"/>
      <c r="O31" s="52"/>
      <c r="P31" s="52"/>
      <c r="T31" s="19"/>
    </row>
    <row r="32" spans="2:29" s="16" customFormat="1" ht="15" customHeight="1" x14ac:dyDescent="0.2">
      <c r="N32" s="55"/>
      <c r="O32" s="52"/>
      <c r="P32" s="52"/>
      <c r="T32" s="19"/>
    </row>
    <row r="33" spans="1:24" s="16" customFormat="1" ht="15" customHeight="1" x14ac:dyDescent="0.2">
      <c r="T33" s="19"/>
    </row>
    <row r="34" spans="1:24" s="16" customFormat="1" ht="21" customHeight="1" x14ac:dyDescent="0.2">
      <c r="B34" s="112" t="s">
        <v>40</v>
      </c>
      <c r="C34" s="113"/>
      <c r="D34" s="114"/>
      <c r="E34" s="48"/>
      <c r="F34" s="112" t="s">
        <v>41</v>
      </c>
      <c r="G34" s="113"/>
      <c r="H34" s="114"/>
      <c r="J34" s="112" t="s">
        <v>42</v>
      </c>
      <c r="K34" s="113"/>
      <c r="L34" s="114"/>
      <c r="Q34" s="15"/>
      <c r="T34" s="19"/>
    </row>
    <row r="35" spans="1:24" s="16" customFormat="1" ht="12.75" customHeight="1" x14ac:dyDescent="0.2">
      <c r="E35" s="48"/>
      <c r="F35" s="49"/>
      <c r="G35" s="48"/>
      <c r="T35" s="19"/>
    </row>
    <row r="36" spans="1:24" s="16" customFormat="1" x14ac:dyDescent="0.2">
      <c r="E36" s="48"/>
      <c r="F36" s="49"/>
      <c r="G36" s="48"/>
      <c r="T36" s="32"/>
    </row>
    <row r="37" spans="1:24" s="16" customFormat="1" x14ac:dyDescent="0.2">
      <c r="E37" s="48"/>
      <c r="F37" s="49"/>
      <c r="G37" s="48"/>
      <c r="Q37" s="24"/>
      <c r="T37" s="32"/>
    </row>
    <row r="38" spans="1:24" ht="12.75" customHeight="1" x14ac:dyDescent="0.2">
      <c r="A38" s="16"/>
      <c r="E38" s="48"/>
      <c r="Q38" s="33" t="s">
        <v>16</v>
      </c>
      <c r="R38" s="16"/>
      <c r="T38" s="32"/>
      <c r="U38" s="16"/>
      <c r="V38" s="16"/>
      <c r="W38" s="16"/>
      <c r="X38" s="16"/>
    </row>
    <row r="39" spans="1:24" ht="26.25" x14ac:dyDescent="0.2">
      <c r="A39" s="16"/>
      <c r="E39" s="48"/>
      <c r="Q39" s="28">
        <f>F24-(F24*J20)</f>
        <v>568957.58086612285</v>
      </c>
      <c r="R39" s="16"/>
      <c r="T39" s="32"/>
      <c r="U39" s="16"/>
      <c r="V39" s="16"/>
      <c r="W39" s="16"/>
      <c r="X39" s="16"/>
    </row>
    <row r="40" spans="1:24" x14ac:dyDescent="0.2">
      <c r="A40" s="16"/>
      <c r="E40" s="48"/>
      <c r="F40" s="49"/>
      <c r="G40" s="50"/>
      <c r="Q40" s="24"/>
      <c r="R40" s="16"/>
      <c r="S40" s="16"/>
      <c r="T40" s="32"/>
      <c r="U40" s="16"/>
      <c r="V40" s="16"/>
      <c r="W40" s="16"/>
      <c r="X40" s="16"/>
    </row>
    <row r="41" spans="1:24" x14ac:dyDescent="0.2">
      <c r="A41" s="16"/>
      <c r="E41" s="48"/>
      <c r="F41" s="50"/>
      <c r="G41" s="50"/>
      <c r="Q41" s="33" t="s">
        <v>21</v>
      </c>
      <c r="R41" s="16"/>
      <c r="S41" s="16"/>
      <c r="T41" s="16"/>
      <c r="U41" s="16"/>
      <c r="V41" s="16"/>
      <c r="W41" s="16"/>
      <c r="X41" s="16"/>
    </row>
    <row r="42" spans="1:24" ht="26.25" x14ac:dyDescent="0.2">
      <c r="Q42" s="28">
        <f>F24-Q39</f>
        <v>1327567.68868762</v>
      </c>
      <c r="R42" s="16"/>
      <c r="S42" s="105" t="s">
        <v>42</v>
      </c>
      <c r="T42" s="16"/>
      <c r="U42" s="16"/>
      <c r="V42" s="16"/>
      <c r="W42" s="16"/>
      <c r="X42" s="16"/>
    </row>
    <row r="43" spans="1:24" x14ac:dyDescent="0.2">
      <c r="Q43" s="16"/>
      <c r="R43" s="16"/>
      <c r="S43" s="106"/>
      <c r="T43" s="16"/>
      <c r="U43" s="16"/>
      <c r="V43" s="16"/>
      <c r="W43" s="16"/>
      <c r="X43" s="16"/>
    </row>
    <row r="44" spans="1:24" ht="15" customHeight="1" x14ac:dyDescent="0.2">
      <c r="Q44" s="33" t="s">
        <v>24</v>
      </c>
      <c r="R44" s="16"/>
      <c r="S44" s="106"/>
      <c r="T44" s="16"/>
      <c r="U44" s="16"/>
      <c r="V44" s="16"/>
      <c r="W44" s="16"/>
      <c r="X44" s="16"/>
    </row>
    <row r="45" spans="1:24" ht="15" customHeight="1" x14ac:dyDescent="0.2">
      <c r="Q45" s="28">
        <f>PMT(B20/12,F20*12,-Q42,0,0)*12</f>
        <v>76056.134441423666</v>
      </c>
      <c r="R45" s="16"/>
      <c r="S45" s="106"/>
      <c r="T45" s="16"/>
      <c r="U45" s="16"/>
      <c r="V45" s="16"/>
      <c r="W45" s="16"/>
      <c r="X45" s="16"/>
    </row>
    <row r="46" spans="1:24" x14ac:dyDescent="0.2">
      <c r="Q46" s="16"/>
      <c r="R46" s="16"/>
      <c r="S46" s="106"/>
      <c r="T46" s="16"/>
      <c r="U46" s="16"/>
      <c r="V46" s="16"/>
      <c r="W46" s="16"/>
      <c r="X46" s="16"/>
    </row>
    <row r="47" spans="1:24" x14ac:dyDescent="0.2">
      <c r="Q47" s="33" t="s">
        <v>27</v>
      </c>
      <c r="R47" s="16"/>
      <c r="S47" s="106"/>
      <c r="T47" s="16"/>
      <c r="U47" s="16"/>
      <c r="V47" s="16"/>
      <c r="W47" s="16"/>
      <c r="X47" s="16"/>
    </row>
    <row r="48" spans="1:24" ht="26.25" x14ac:dyDescent="0.2">
      <c r="Q48" s="28">
        <f>S11</f>
        <v>23943.865558576334</v>
      </c>
      <c r="R48" s="16"/>
      <c r="S48" s="107"/>
      <c r="T48" s="16"/>
      <c r="U48" s="16"/>
      <c r="V48" s="16"/>
      <c r="W48" s="16"/>
      <c r="X48" s="16"/>
    </row>
    <row r="49" spans="17:24" x14ac:dyDescent="0.2">
      <c r="Q49" s="16"/>
      <c r="R49" s="16"/>
      <c r="S49" s="104"/>
      <c r="T49" s="104"/>
      <c r="U49" s="104"/>
      <c r="V49" s="104"/>
      <c r="W49" s="104"/>
      <c r="X49" s="104"/>
    </row>
    <row r="50" spans="17:24" ht="15" x14ac:dyDescent="0.2">
      <c r="Q50" s="36" t="s">
        <v>28</v>
      </c>
      <c r="R50" s="16"/>
      <c r="S50" s="104"/>
      <c r="T50" s="104"/>
      <c r="U50" s="104"/>
      <c r="V50" s="104"/>
      <c r="W50" s="104"/>
      <c r="X50" s="104"/>
    </row>
    <row r="51" spans="17:24" ht="26.25" x14ac:dyDescent="0.2">
      <c r="Q51" s="37">
        <f>IF(Q42=0,"N/A",S7/S10)</f>
        <v>1.3148183343056599</v>
      </c>
      <c r="R51" s="16"/>
      <c r="S51" s="46"/>
      <c r="T51" s="46"/>
      <c r="U51" s="46"/>
      <c r="V51" s="46"/>
      <c r="W51" s="46"/>
      <c r="X51" s="46"/>
    </row>
    <row r="52" spans="17:24" x14ac:dyDescent="0.2">
      <c r="Q52" s="16"/>
      <c r="R52" s="16"/>
      <c r="S52" s="46"/>
      <c r="T52" s="46"/>
      <c r="U52" s="46"/>
      <c r="V52" s="46"/>
      <c r="W52" s="46"/>
      <c r="X52" s="46"/>
    </row>
    <row r="53" spans="17:24" x14ac:dyDescent="0.2">
      <c r="Q53" s="33" t="s">
        <v>37</v>
      </c>
      <c r="R53" s="16"/>
    </row>
    <row r="54" spans="17:24" ht="26.25" x14ac:dyDescent="0.2">
      <c r="Q54" s="40">
        <f>B14/F24</f>
        <v>5.2728008218698955E-2</v>
      </c>
    </row>
    <row r="55" spans="17:24" x14ac:dyDescent="0.2">
      <c r="Q55" s="16"/>
    </row>
    <row r="56" spans="17:24" x14ac:dyDescent="0.2">
      <c r="Q56" s="33" t="s">
        <v>29</v>
      </c>
    </row>
    <row r="57" spans="17:24" ht="26.25" x14ac:dyDescent="0.2">
      <c r="Q57" s="38">
        <f>Q48/Q39</f>
        <v>4.2083744665334523E-2</v>
      </c>
    </row>
    <row r="58" spans="17:24" x14ac:dyDescent="0.2">
      <c r="Q58" s="16"/>
    </row>
    <row r="60" spans="17:24" x14ac:dyDescent="0.2">
      <c r="T60" s="47"/>
    </row>
  </sheetData>
  <sheetProtection selectLockedCells="1"/>
  <dataConsolidate/>
  <mergeCells count="20">
    <mergeCell ref="B14:D14"/>
    <mergeCell ref="F14:H14"/>
    <mergeCell ref="B17:D17"/>
    <mergeCell ref="J27:L27"/>
    <mergeCell ref="B27:D27"/>
    <mergeCell ref="J14:L14"/>
    <mergeCell ref="F17:H17"/>
    <mergeCell ref="J17:L17"/>
    <mergeCell ref="J20:L20"/>
    <mergeCell ref="B20:D20"/>
    <mergeCell ref="F20:H20"/>
    <mergeCell ref="S49:X50"/>
    <mergeCell ref="S42:S48"/>
    <mergeCell ref="F23:H23"/>
    <mergeCell ref="J26:L26"/>
    <mergeCell ref="B34:D34"/>
    <mergeCell ref="F34:H34"/>
    <mergeCell ref="J34:L34"/>
    <mergeCell ref="F24:H31"/>
    <mergeCell ref="B26:D26"/>
  </mergeCells>
  <dataValidations count="4">
    <dataValidation type="whole" operator="equal" allowBlank="1" showInputMessage="1" showErrorMessage="1" sqref="S3" xr:uid="{E15A0B0F-2C22-4870-B713-C2FFCDA36392}">
      <formula1>0</formula1>
    </dataValidation>
    <dataValidation type="decimal" allowBlank="1" showInputMessage="1" showErrorMessage="1" sqref="B20:D20 J20:L20 F14:H14 B17:D17 J17:L17 F17:H17" xr:uid="{C5261E1C-F000-4AE0-9B7A-FB00B2E49CAB}">
      <formula1>0.01</formula1>
      <formula2>1000</formula2>
    </dataValidation>
    <dataValidation type="whole" allowBlank="1" showInputMessage="1" showErrorMessage="1" error="You must enter a whole number between 1 and 10" promptTitle="Hold Period" prompt="Hold Period is the year you will sell the property. Please enter a whole number between 1 and 10. " sqref="J14:L14" xr:uid="{53160158-F9DB-4422-A2CC-4AE44BBC061F}">
      <formula1>1</formula1>
      <formula2>10</formula2>
    </dataValidation>
    <dataValidation type="whole" allowBlank="1" showInputMessage="1" showErrorMessage="1" sqref="B14:D14" xr:uid="{E532A7A4-12F7-452A-B817-1BA7C872AC27}">
      <formula1>1</formula1>
      <formula2>9999999999</formula2>
    </dataValidation>
  </dataValidations>
  <hyperlinks>
    <hyperlink ref="L3" r:id="rId1" xr:uid="{B737CD92-86B1-4223-BC40-7A3061C7B251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1C2A-33DF-459D-8BF0-B32DE0CD3C41}">
  <dimension ref="A2:L25"/>
  <sheetViews>
    <sheetView workbookViewId="0">
      <selection activeCell="E29" sqref="E29"/>
    </sheetView>
  </sheetViews>
  <sheetFormatPr defaultRowHeight="12.75" x14ac:dyDescent="0.2"/>
  <cols>
    <col min="1" max="1" width="9.140625" style="60"/>
    <col min="2" max="2" width="3.28515625" style="60" customWidth="1"/>
    <col min="3" max="3" width="22.140625" style="60" bestFit="1" customWidth="1"/>
    <col min="4" max="4" width="3.28515625" style="60" customWidth="1"/>
    <col min="5" max="5" width="28.5703125" style="60" customWidth="1"/>
    <col min="6" max="6" width="3.28515625" style="60" customWidth="1"/>
    <col min="7" max="7" width="18.7109375" style="60" bestFit="1" customWidth="1"/>
    <col min="8" max="8" width="3.28515625" style="60" customWidth="1"/>
    <col min="9" max="9" width="9.140625" style="60"/>
    <col min="10" max="10" width="10.85546875" style="60" bestFit="1" customWidth="1"/>
    <col min="11" max="11" width="3.28515625" style="60" customWidth="1"/>
    <col min="12" max="12" width="17.7109375" style="60" bestFit="1" customWidth="1"/>
    <col min="13" max="13" width="3.28515625" style="60" customWidth="1"/>
    <col min="14" max="14" width="31.5703125" style="60" bestFit="1" customWidth="1"/>
    <col min="15" max="16384" width="9.140625" style="60"/>
  </cols>
  <sheetData>
    <row r="2" spans="2:6" x14ac:dyDescent="0.2">
      <c r="B2" s="61"/>
      <c r="C2" s="62"/>
      <c r="D2" s="62"/>
      <c r="E2" s="62"/>
      <c r="F2" s="63"/>
    </row>
    <row r="3" spans="2:6" x14ac:dyDescent="0.2">
      <c r="B3" s="64"/>
      <c r="C3" s="65" t="s">
        <v>46</v>
      </c>
      <c r="D3" s="65"/>
      <c r="E3" s="65"/>
      <c r="F3" s="67"/>
    </row>
    <row r="4" spans="2:6" x14ac:dyDescent="0.2">
      <c r="B4" s="64"/>
      <c r="C4" s="66"/>
      <c r="D4" s="65"/>
      <c r="E4" s="65"/>
      <c r="F4" s="67"/>
    </row>
    <row r="5" spans="2:6" x14ac:dyDescent="0.2">
      <c r="B5" s="64"/>
      <c r="C5" s="68" t="s">
        <v>60</v>
      </c>
      <c r="D5" s="65"/>
      <c r="E5" s="68" t="s">
        <v>19</v>
      </c>
      <c r="F5" s="67"/>
    </row>
    <row r="6" spans="2:6" x14ac:dyDescent="0.2">
      <c r="B6" s="64"/>
      <c r="C6" s="95">
        <v>100000</v>
      </c>
      <c r="D6" s="65"/>
      <c r="E6" s="96">
        <v>0.03</v>
      </c>
      <c r="F6" s="67"/>
    </row>
    <row r="7" spans="2:6" x14ac:dyDescent="0.2">
      <c r="B7" s="64"/>
      <c r="C7" s="72"/>
      <c r="D7" s="65"/>
      <c r="E7" s="72"/>
      <c r="F7" s="67"/>
    </row>
    <row r="8" spans="2:6" x14ac:dyDescent="0.2">
      <c r="B8" s="64"/>
      <c r="C8" s="68" t="s">
        <v>44</v>
      </c>
      <c r="D8" s="65"/>
      <c r="E8" s="68" t="s">
        <v>23</v>
      </c>
      <c r="F8" s="67"/>
    </row>
    <row r="9" spans="2:6" x14ac:dyDescent="0.2">
      <c r="B9" s="64"/>
      <c r="C9" s="96">
        <v>0.06</v>
      </c>
      <c r="D9" s="65"/>
      <c r="E9" s="97">
        <v>10</v>
      </c>
      <c r="F9" s="67"/>
    </row>
    <row r="10" spans="2:6" x14ac:dyDescent="0.2">
      <c r="B10" s="64"/>
      <c r="C10" s="72"/>
      <c r="D10" s="65"/>
      <c r="E10" s="72"/>
      <c r="F10" s="67"/>
    </row>
    <row r="11" spans="2:6" x14ac:dyDescent="0.2">
      <c r="B11" s="64"/>
      <c r="C11" s="68" t="s">
        <v>26</v>
      </c>
      <c r="D11" s="65"/>
      <c r="E11" s="68" t="s">
        <v>25</v>
      </c>
      <c r="F11" s="67"/>
    </row>
    <row r="12" spans="2:6" x14ac:dyDescent="0.2">
      <c r="B12" s="64"/>
      <c r="C12" s="96">
        <v>7.0000000000000007E-2</v>
      </c>
      <c r="D12" s="65"/>
      <c r="E12" s="96">
        <v>0.02</v>
      </c>
      <c r="F12" s="67"/>
    </row>
    <row r="13" spans="2:6" x14ac:dyDescent="0.2">
      <c r="B13" s="69"/>
      <c r="C13" s="70"/>
      <c r="D13" s="70"/>
      <c r="E13" s="70"/>
      <c r="F13" s="71"/>
    </row>
    <row r="16" spans="2:6" x14ac:dyDescent="0.2">
      <c r="B16" s="77" t="s">
        <v>47</v>
      </c>
    </row>
    <row r="17" spans="1:12" x14ac:dyDescent="0.2">
      <c r="A17" s="85"/>
      <c r="B17" s="77"/>
    </row>
    <row r="18" spans="1:12" x14ac:dyDescent="0.2">
      <c r="C18" s="73" t="s">
        <v>49</v>
      </c>
      <c r="E18" s="75" t="s">
        <v>50</v>
      </c>
      <c r="G18" s="80" t="s">
        <v>53</v>
      </c>
      <c r="I18" s="101" t="s">
        <v>59</v>
      </c>
      <c r="J18" s="101"/>
      <c r="L18" s="87" t="s">
        <v>61</v>
      </c>
    </row>
    <row r="19" spans="1:12" x14ac:dyDescent="0.2">
      <c r="C19" s="73"/>
      <c r="E19" s="75"/>
      <c r="F19" s="59"/>
      <c r="G19" s="81"/>
      <c r="I19" s="101" t="s">
        <v>57</v>
      </c>
      <c r="J19" s="101" t="s">
        <v>58</v>
      </c>
      <c r="L19" s="88"/>
    </row>
    <row r="20" spans="1:12" x14ac:dyDescent="0.2">
      <c r="C20" s="74" t="s">
        <v>43</v>
      </c>
      <c r="E20" s="76" t="s">
        <v>51</v>
      </c>
      <c r="G20" s="81" t="s">
        <v>54</v>
      </c>
      <c r="I20" s="82">
        <v>0</v>
      </c>
      <c r="J20" s="82">
        <v>9999999</v>
      </c>
      <c r="L20" s="88" t="s">
        <v>62</v>
      </c>
    </row>
    <row r="21" spans="1:12" x14ac:dyDescent="0.2">
      <c r="C21" s="74" t="s">
        <v>3</v>
      </c>
      <c r="E21" s="76" t="s">
        <v>52</v>
      </c>
      <c r="G21" s="81" t="s">
        <v>55</v>
      </c>
      <c r="I21" s="83">
        <v>-1</v>
      </c>
      <c r="J21" s="83">
        <v>1</v>
      </c>
      <c r="L21" s="89">
        <v>0.03</v>
      </c>
    </row>
    <row r="22" spans="1:12" x14ac:dyDescent="0.2">
      <c r="C22" s="74" t="s">
        <v>48</v>
      </c>
      <c r="E22" s="76" t="s">
        <v>51</v>
      </c>
      <c r="G22" s="81" t="s">
        <v>55</v>
      </c>
      <c r="I22" s="83">
        <v>0</v>
      </c>
      <c r="J22" s="83">
        <v>1</v>
      </c>
      <c r="L22" s="89">
        <v>0.06</v>
      </c>
    </row>
    <row r="23" spans="1:12" x14ac:dyDescent="0.2">
      <c r="C23" s="74" t="s">
        <v>45</v>
      </c>
      <c r="E23" s="76" t="s">
        <v>51</v>
      </c>
      <c r="G23" s="81" t="s">
        <v>56</v>
      </c>
      <c r="I23" s="84">
        <v>1</v>
      </c>
      <c r="J23" s="84">
        <v>30</v>
      </c>
      <c r="L23" s="90">
        <v>10</v>
      </c>
    </row>
    <row r="24" spans="1:12" x14ac:dyDescent="0.2">
      <c r="C24" s="74" t="s">
        <v>26</v>
      </c>
      <c r="E24" s="76" t="s">
        <v>51</v>
      </c>
      <c r="G24" s="81" t="s">
        <v>55</v>
      </c>
      <c r="I24" s="83">
        <v>0</v>
      </c>
      <c r="J24" s="83">
        <v>1</v>
      </c>
      <c r="L24" s="89">
        <v>7.0000000000000007E-2</v>
      </c>
    </row>
    <row r="25" spans="1:12" x14ac:dyDescent="0.2">
      <c r="C25" s="74" t="s">
        <v>25</v>
      </c>
      <c r="E25" s="76" t="s">
        <v>52</v>
      </c>
      <c r="G25" s="81" t="s">
        <v>55</v>
      </c>
      <c r="I25" s="83">
        <v>0</v>
      </c>
      <c r="J25" s="83">
        <v>1</v>
      </c>
      <c r="L25" s="89">
        <v>0.02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C65F-F46F-4B55-B653-D10D322C843B}">
  <dimension ref="A3:AW47"/>
  <sheetViews>
    <sheetView tabSelected="1" topLeftCell="AB1" workbookViewId="0">
      <selection activeCell="AO30" sqref="AO30"/>
    </sheetView>
  </sheetViews>
  <sheetFormatPr defaultRowHeight="12.75" x14ac:dyDescent="0.2"/>
  <cols>
    <col min="1" max="1" width="9.140625" style="60"/>
    <col min="2" max="2" width="3.28515625" style="60" customWidth="1"/>
    <col min="3" max="3" width="22.140625" style="60" bestFit="1" customWidth="1"/>
    <col min="4" max="4" width="3.28515625" style="60" customWidth="1"/>
    <col min="5" max="5" width="28.5703125" style="60" customWidth="1"/>
    <col min="6" max="7" width="3.28515625" style="60" customWidth="1"/>
    <col min="8" max="9" width="12.7109375" style="60" customWidth="1"/>
    <col min="10" max="10" width="3.28515625" style="60" customWidth="1"/>
    <col min="11" max="11" width="16.140625" style="60" customWidth="1"/>
    <col min="12" max="12" width="6.28515625" style="60" customWidth="1"/>
    <col min="13" max="42" width="10.7109375" style="60" customWidth="1"/>
    <col min="49" max="16384" width="9.140625" style="60"/>
  </cols>
  <sheetData>
    <row r="3" spans="2:49" x14ac:dyDescent="0.2">
      <c r="B3" s="138" t="s">
        <v>65</v>
      </c>
      <c r="C3" s="138"/>
      <c r="D3" s="138"/>
      <c r="E3" s="138"/>
    </row>
    <row r="4" spans="2:49" x14ac:dyDescent="0.2">
      <c r="K4" s="77"/>
      <c r="M4" s="3">
        <f>1</f>
        <v>1</v>
      </c>
      <c r="N4" s="3">
        <f t="shared" ref="N4:AP4" si="0">M4+1</f>
        <v>2</v>
      </c>
      <c r="O4" s="3">
        <f t="shared" si="0"/>
        <v>3</v>
      </c>
      <c r="P4" s="3">
        <f t="shared" si="0"/>
        <v>4</v>
      </c>
      <c r="Q4" s="3">
        <f t="shared" si="0"/>
        <v>5</v>
      </c>
      <c r="R4" s="3">
        <f t="shared" si="0"/>
        <v>6</v>
      </c>
      <c r="S4" s="3">
        <f t="shared" si="0"/>
        <v>7</v>
      </c>
      <c r="T4" s="3">
        <f t="shared" si="0"/>
        <v>8</v>
      </c>
      <c r="U4" s="3">
        <f t="shared" si="0"/>
        <v>9</v>
      </c>
      <c r="V4" s="3">
        <f t="shared" si="0"/>
        <v>10</v>
      </c>
      <c r="W4" s="3">
        <f t="shared" si="0"/>
        <v>11</v>
      </c>
      <c r="X4" s="3">
        <f t="shared" si="0"/>
        <v>12</v>
      </c>
      <c r="Y4" s="3">
        <f t="shared" si="0"/>
        <v>13</v>
      </c>
      <c r="Z4" s="3">
        <f t="shared" si="0"/>
        <v>14</v>
      </c>
      <c r="AA4" s="3">
        <f t="shared" si="0"/>
        <v>15</v>
      </c>
      <c r="AB4" s="3">
        <f t="shared" si="0"/>
        <v>16</v>
      </c>
      <c r="AC4" s="3">
        <f t="shared" si="0"/>
        <v>17</v>
      </c>
      <c r="AD4" s="3">
        <f t="shared" si="0"/>
        <v>18</v>
      </c>
      <c r="AE4" s="3">
        <f t="shared" si="0"/>
        <v>19</v>
      </c>
      <c r="AF4" s="3">
        <f t="shared" si="0"/>
        <v>20</v>
      </c>
      <c r="AG4" s="3">
        <f t="shared" si="0"/>
        <v>21</v>
      </c>
      <c r="AH4" s="3">
        <f t="shared" si="0"/>
        <v>22</v>
      </c>
      <c r="AI4" s="3">
        <f t="shared" si="0"/>
        <v>23</v>
      </c>
      <c r="AJ4" s="3">
        <f t="shared" si="0"/>
        <v>24</v>
      </c>
      <c r="AK4" s="3">
        <f t="shared" si="0"/>
        <v>25</v>
      </c>
      <c r="AL4" s="3">
        <f t="shared" si="0"/>
        <v>26</v>
      </c>
      <c r="AM4" s="3">
        <f t="shared" si="0"/>
        <v>27</v>
      </c>
      <c r="AN4" s="3">
        <f t="shared" si="0"/>
        <v>28</v>
      </c>
      <c r="AO4" s="3">
        <f t="shared" si="0"/>
        <v>29</v>
      </c>
      <c r="AP4" s="3">
        <f t="shared" si="0"/>
        <v>30</v>
      </c>
    </row>
    <row r="5" spans="2:49" x14ac:dyDescent="0.2">
      <c r="B5" s="61"/>
      <c r="C5" s="62"/>
      <c r="D5" s="62"/>
      <c r="E5" s="62"/>
      <c r="F5" s="63"/>
      <c r="K5" s="59" t="s">
        <v>3</v>
      </c>
      <c r="M5" s="91"/>
      <c r="N5" s="86">
        <f>E9</f>
        <v>0.03</v>
      </c>
      <c r="O5" s="86">
        <f>N5</f>
        <v>0.03</v>
      </c>
      <c r="P5" s="86">
        <f t="shared" ref="P5:AP5" si="1">O5</f>
        <v>0.03</v>
      </c>
      <c r="Q5" s="86">
        <f t="shared" si="1"/>
        <v>0.03</v>
      </c>
      <c r="R5" s="86">
        <f t="shared" si="1"/>
        <v>0.03</v>
      </c>
      <c r="S5" s="86">
        <f t="shared" si="1"/>
        <v>0.03</v>
      </c>
      <c r="T5" s="86">
        <f t="shared" si="1"/>
        <v>0.03</v>
      </c>
      <c r="U5" s="86">
        <f t="shared" si="1"/>
        <v>0.03</v>
      </c>
      <c r="V5" s="86">
        <f t="shared" si="1"/>
        <v>0.03</v>
      </c>
      <c r="W5" s="86">
        <f t="shared" si="1"/>
        <v>0.03</v>
      </c>
      <c r="X5" s="86">
        <f t="shared" si="1"/>
        <v>0.03</v>
      </c>
      <c r="Y5" s="86">
        <f t="shared" si="1"/>
        <v>0.03</v>
      </c>
      <c r="Z5" s="86">
        <f t="shared" si="1"/>
        <v>0.03</v>
      </c>
      <c r="AA5" s="86">
        <f t="shared" si="1"/>
        <v>0.03</v>
      </c>
      <c r="AB5" s="86">
        <f t="shared" si="1"/>
        <v>0.03</v>
      </c>
      <c r="AC5" s="86">
        <f t="shared" si="1"/>
        <v>0.03</v>
      </c>
      <c r="AD5" s="86">
        <f t="shared" si="1"/>
        <v>0.03</v>
      </c>
      <c r="AE5" s="86">
        <f t="shared" si="1"/>
        <v>0.03</v>
      </c>
      <c r="AF5" s="86">
        <f t="shared" si="1"/>
        <v>0.03</v>
      </c>
      <c r="AG5" s="86">
        <f t="shared" si="1"/>
        <v>0.03</v>
      </c>
      <c r="AH5" s="86">
        <f t="shared" si="1"/>
        <v>0.03</v>
      </c>
      <c r="AI5" s="86">
        <f t="shared" si="1"/>
        <v>0.03</v>
      </c>
      <c r="AJ5" s="86">
        <f t="shared" si="1"/>
        <v>0.03</v>
      </c>
      <c r="AK5" s="86">
        <f t="shared" si="1"/>
        <v>0.03</v>
      </c>
      <c r="AL5" s="86">
        <f t="shared" si="1"/>
        <v>0.03</v>
      </c>
      <c r="AM5" s="86">
        <f t="shared" si="1"/>
        <v>0.03</v>
      </c>
      <c r="AN5" s="86">
        <f t="shared" si="1"/>
        <v>0.03</v>
      </c>
      <c r="AO5" s="86">
        <f t="shared" si="1"/>
        <v>0.03</v>
      </c>
      <c r="AP5" s="86">
        <f t="shared" si="1"/>
        <v>0.03</v>
      </c>
    </row>
    <row r="6" spans="2:49" x14ac:dyDescent="0.2">
      <c r="B6" s="64"/>
      <c r="C6" s="65" t="s">
        <v>46</v>
      </c>
      <c r="D6" s="65"/>
      <c r="E6" s="65"/>
      <c r="F6" s="67"/>
      <c r="K6" s="59" t="s">
        <v>43</v>
      </c>
      <c r="L6" s="102"/>
      <c r="M6" s="92">
        <f>C9</f>
        <v>100000</v>
      </c>
      <c r="N6" s="92">
        <f>M6*(1+N5)</f>
        <v>103000</v>
      </c>
      <c r="O6" s="92">
        <f t="shared" ref="O6:AP6" si="2">N6*(1+O5)</f>
        <v>106090</v>
      </c>
      <c r="P6" s="92">
        <f t="shared" si="2"/>
        <v>109272.7</v>
      </c>
      <c r="Q6" s="92">
        <f t="shared" si="2"/>
        <v>112550.88099999999</v>
      </c>
      <c r="R6" s="92">
        <f t="shared" si="2"/>
        <v>115927.40742999999</v>
      </c>
      <c r="S6" s="92">
        <f t="shared" si="2"/>
        <v>119405.2296529</v>
      </c>
      <c r="T6" s="92">
        <f t="shared" si="2"/>
        <v>122987.386542487</v>
      </c>
      <c r="U6" s="92">
        <f t="shared" si="2"/>
        <v>126677.00813876161</v>
      </c>
      <c r="V6" s="92">
        <f t="shared" si="2"/>
        <v>130477.31838292447</v>
      </c>
      <c r="W6" s="92">
        <f t="shared" si="2"/>
        <v>134391.6379344122</v>
      </c>
      <c r="X6" s="92">
        <f t="shared" si="2"/>
        <v>138423.38707244457</v>
      </c>
      <c r="Y6" s="92">
        <f t="shared" si="2"/>
        <v>142576.08868461792</v>
      </c>
      <c r="Z6" s="92">
        <f t="shared" si="2"/>
        <v>146853.37134515645</v>
      </c>
      <c r="AA6" s="92">
        <f t="shared" si="2"/>
        <v>151258.97248551116</v>
      </c>
      <c r="AB6" s="92">
        <f t="shared" si="2"/>
        <v>155796.74166007648</v>
      </c>
      <c r="AC6" s="92">
        <f t="shared" si="2"/>
        <v>160470.6439098788</v>
      </c>
      <c r="AD6" s="92">
        <f t="shared" si="2"/>
        <v>165284.76322717516</v>
      </c>
      <c r="AE6" s="92">
        <f t="shared" si="2"/>
        <v>170243.30612399042</v>
      </c>
      <c r="AF6" s="92">
        <f t="shared" si="2"/>
        <v>175350.60530771012</v>
      </c>
      <c r="AG6" s="92">
        <f t="shared" si="2"/>
        <v>180611.12346694144</v>
      </c>
      <c r="AH6" s="92">
        <f t="shared" si="2"/>
        <v>186029.4571709497</v>
      </c>
      <c r="AI6" s="92">
        <f t="shared" si="2"/>
        <v>191610.34088607819</v>
      </c>
      <c r="AJ6" s="92">
        <f t="shared" si="2"/>
        <v>197358.65111266053</v>
      </c>
      <c r="AK6" s="92">
        <f t="shared" si="2"/>
        <v>203279.41064604034</v>
      </c>
      <c r="AL6" s="92">
        <f t="shared" si="2"/>
        <v>209377.79296542157</v>
      </c>
      <c r="AM6" s="92">
        <f t="shared" si="2"/>
        <v>215659.12675438423</v>
      </c>
      <c r="AN6" s="92">
        <f t="shared" si="2"/>
        <v>222128.90055701576</v>
      </c>
      <c r="AO6" s="92">
        <f t="shared" si="2"/>
        <v>228792.76757372625</v>
      </c>
      <c r="AP6" s="92">
        <f t="shared" si="2"/>
        <v>235656.55060093803</v>
      </c>
    </row>
    <row r="7" spans="2:49" x14ac:dyDescent="0.2">
      <c r="B7" s="64"/>
      <c r="C7" s="66"/>
      <c r="D7" s="65"/>
      <c r="E7" s="65"/>
      <c r="F7" s="67"/>
      <c r="K7" s="59" t="s">
        <v>13</v>
      </c>
      <c r="M7" s="92">
        <f t="shared" ref="M7:AO7" si="3">IF(AND(M$4=$E$12,$C$12&gt;0),N6/$C$12,IF(OR(M$4&lt;=$E$12,$C$12=0),0,""))</f>
        <v>0</v>
      </c>
      <c r="N7" s="92">
        <f t="shared" si="3"/>
        <v>0</v>
      </c>
      <c r="O7" s="92">
        <f t="shared" si="3"/>
        <v>0</v>
      </c>
      <c r="P7" s="92">
        <f t="shared" si="3"/>
        <v>0</v>
      </c>
      <c r="Q7" s="92">
        <f t="shared" si="3"/>
        <v>0</v>
      </c>
      <c r="R7" s="92">
        <f t="shared" si="3"/>
        <v>0</v>
      </c>
      <c r="S7" s="92">
        <f t="shared" si="3"/>
        <v>0</v>
      </c>
      <c r="T7" s="92">
        <f t="shared" si="3"/>
        <v>0</v>
      </c>
      <c r="U7" s="92">
        <f t="shared" si="3"/>
        <v>0</v>
      </c>
      <c r="V7" s="92">
        <f t="shared" si="3"/>
        <v>2239860.6322402032</v>
      </c>
      <c r="W7" s="92" t="str">
        <f t="shared" si="3"/>
        <v/>
      </c>
      <c r="X7" s="92" t="str">
        <f t="shared" si="3"/>
        <v/>
      </c>
      <c r="Y7" s="92" t="str">
        <f t="shared" si="3"/>
        <v/>
      </c>
      <c r="Z7" s="92" t="str">
        <f t="shared" si="3"/>
        <v/>
      </c>
      <c r="AA7" s="92" t="str">
        <f t="shared" si="3"/>
        <v/>
      </c>
      <c r="AB7" s="92" t="str">
        <f t="shared" si="3"/>
        <v/>
      </c>
      <c r="AC7" s="92" t="str">
        <f t="shared" si="3"/>
        <v/>
      </c>
      <c r="AD7" s="92" t="str">
        <f t="shared" si="3"/>
        <v/>
      </c>
      <c r="AE7" s="92" t="str">
        <f t="shared" si="3"/>
        <v/>
      </c>
      <c r="AF7" s="92" t="str">
        <f t="shared" si="3"/>
        <v/>
      </c>
      <c r="AG7" s="92" t="str">
        <f t="shared" si="3"/>
        <v/>
      </c>
      <c r="AH7" s="92" t="str">
        <f t="shared" si="3"/>
        <v/>
      </c>
      <c r="AI7" s="92" t="str">
        <f t="shared" si="3"/>
        <v/>
      </c>
      <c r="AJ7" s="92" t="str">
        <f t="shared" si="3"/>
        <v/>
      </c>
      <c r="AK7" s="92" t="str">
        <f t="shared" si="3"/>
        <v/>
      </c>
      <c r="AL7" s="92" t="str">
        <f t="shared" si="3"/>
        <v/>
      </c>
      <c r="AM7" s="92" t="str">
        <f t="shared" si="3"/>
        <v/>
      </c>
      <c r="AN7" s="92" t="str">
        <f t="shared" si="3"/>
        <v/>
      </c>
      <c r="AO7" s="92" t="str">
        <f t="shared" si="3"/>
        <v/>
      </c>
      <c r="AP7" s="92" t="str">
        <f>IF(AND(AP$4=$E$12,$C$12&gt;0),AW6/$C$12,IF(OR(AP$4&lt;=$E$12,$C$12=0),0,""))</f>
        <v/>
      </c>
      <c r="AW7" s="94"/>
    </row>
    <row r="8" spans="2:49" x14ac:dyDescent="0.2">
      <c r="B8" s="64"/>
      <c r="C8" s="68" t="s">
        <v>60</v>
      </c>
      <c r="D8" s="65"/>
      <c r="E8" s="68" t="s">
        <v>19</v>
      </c>
      <c r="F8" s="67"/>
      <c r="H8" s="139" t="s">
        <v>64</v>
      </c>
      <c r="I8" s="139"/>
      <c r="K8" s="59" t="s">
        <v>25</v>
      </c>
      <c r="M8" s="92">
        <f t="shared" ref="M8:AP8" si="4">IF(M$4=$E$12,M7*$E$15,IF(M$4&lt;=$E$12,0,""))</f>
        <v>0</v>
      </c>
      <c r="N8" s="92">
        <f t="shared" si="4"/>
        <v>0</v>
      </c>
      <c r="O8" s="92">
        <f t="shared" si="4"/>
        <v>0</v>
      </c>
      <c r="P8" s="92">
        <f t="shared" si="4"/>
        <v>0</v>
      </c>
      <c r="Q8" s="92">
        <f t="shared" si="4"/>
        <v>0</v>
      </c>
      <c r="R8" s="92">
        <f t="shared" si="4"/>
        <v>0</v>
      </c>
      <c r="S8" s="92">
        <f t="shared" si="4"/>
        <v>0</v>
      </c>
      <c r="T8" s="92">
        <f t="shared" si="4"/>
        <v>0</v>
      </c>
      <c r="U8" s="92">
        <f t="shared" si="4"/>
        <v>0</v>
      </c>
      <c r="V8" s="92">
        <f t="shared" si="4"/>
        <v>44797.212644804065</v>
      </c>
      <c r="W8" s="92" t="str">
        <f t="shared" si="4"/>
        <v/>
      </c>
      <c r="X8" s="92" t="str">
        <f t="shared" si="4"/>
        <v/>
      </c>
      <c r="Y8" s="92" t="str">
        <f t="shared" si="4"/>
        <v/>
      </c>
      <c r="Z8" s="92" t="str">
        <f t="shared" si="4"/>
        <v/>
      </c>
      <c r="AA8" s="92" t="str">
        <f t="shared" si="4"/>
        <v/>
      </c>
      <c r="AB8" s="92" t="str">
        <f t="shared" si="4"/>
        <v/>
      </c>
      <c r="AC8" s="92" t="str">
        <f t="shared" si="4"/>
        <v/>
      </c>
      <c r="AD8" s="92" t="str">
        <f t="shared" si="4"/>
        <v/>
      </c>
      <c r="AE8" s="92" t="str">
        <f t="shared" si="4"/>
        <v/>
      </c>
      <c r="AF8" s="92" t="str">
        <f t="shared" si="4"/>
        <v/>
      </c>
      <c r="AG8" s="92" t="str">
        <f t="shared" si="4"/>
        <v/>
      </c>
      <c r="AH8" s="92" t="str">
        <f t="shared" si="4"/>
        <v/>
      </c>
      <c r="AI8" s="92" t="str">
        <f t="shared" si="4"/>
        <v/>
      </c>
      <c r="AJ8" s="92" t="str">
        <f t="shared" si="4"/>
        <v/>
      </c>
      <c r="AK8" s="92" t="str">
        <f t="shared" si="4"/>
        <v/>
      </c>
      <c r="AL8" s="92" t="str">
        <f t="shared" si="4"/>
        <v/>
      </c>
      <c r="AM8" s="92" t="str">
        <f t="shared" si="4"/>
        <v/>
      </c>
      <c r="AN8" s="92" t="str">
        <f t="shared" si="4"/>
        <v/>
      </c>
      <c r="AO8" s="92" t="str">
        <f t="shared" si="4"/>
        <v/>
      </c>
      <c r="AP8" s="92" t="str">
        <f t="shared" si="4"/>
        <v/>
      </c>
    </row>
    <row r="9" spans="2:49" x14ac:dyDescent="0.2">
      <c r="B9" s="64"/>
      <c r="C9" s="95">
        <v>100000</v>
      </c>
      <c r="D9" s="65"/>
      <c r="E9" s="96">
        <v>0.03</v>
      </c>
      <c r="F9" s="67"/>
      <c r="H9" s="140">
        <f>NPV($C$15,M10:AP10)</f>
        <v>1907911.58522254</v>
      </c>
      <c r="I9" s="140"/>
      <c r="K9" s="59"/>
    </row>
    <row r="10" spans="2:49" x14ac:dyDescent="0.2">
      <c r="B10" s="64"/>
      <c r="C10" s="72"/>
      <c r="D10" s="65"/>
      <c r="E10" s="72"/>
      <c r="F10" s="67"/>
      <c r="K10" s="59" t="s">
        <v>63</v>
      </c>
      <c r="M10" s="93">
        <f t="shared" ref="M10:W10" si="5">IF(M$4&lt;=$E$12,M6+M7-M8,"")</f>
        <v>100000</v>
      </c>
      <c r="N10" s="93">
        <f t="shared" si="5"/>
        <v>103000</v>
      </c>
      <c r="O10" s="93">
        <f t="shared" si="5"/>
        <v>106090</v>
      </c>
      <c r="P10" s="93">
        <f t="shared" si="5"/>
        <v>109272.7</v>
      </c>
      <c r="Q10" s="93">
        <f t="shared" si="5"/>
        <v>112550.88099999999</v>
      </c>
      <c r="R10" s="93">
        <f t="shared" si="5"/>
        <v>115927.40742999999</v>
      </c>
      <c r="S10" s="93">
        <f t="shared" si="5"/>
        <v>119405.2296529</v>
      </c>
      <c r="T10" s="93">
        <f t="shared" si="5"/>
        <v>122987.386542487</v>
      </c>
      <c r="U10" s="93">
        <f t="shared" si="5"/>
        <v>126677.00813876161</v>
      </c>
      <c r="V10" s="93">
        <f t="shared" si="5"/>
        <v>2325540.7379783234</v>
      </c>
      <c r="W10" s="93" t="str">
        <f t="shared" si="5"/>
        <v/>
      </c>
      <c r="X10" s="93" t="str">
        <f>IF(X$4&lt;=$E$12,#REF!+#REF!+X7-X8,"")</f>
        <v/>
      </c>
      <c r="Y10" s="93" t="str">
        <f>IF(Y$4&lt;=$E$12,#REF!+#REF!+Y7-Y8,"")</f>
        <v/>
      </c>
      <c r="Z10" s="93" t="str">
        <f>IF(Z$4&lt;=$E$12,#REF!+#REF!+Z7-Z8,"")</f>
        <v/>
      </c>
      <c r="AA10" s="93" t="str">
        <f>IF(AA$4&lt;=$E$12,#REF!+#REF!+AA7-AA8,"")</f>
        <v/>
      </c>
      <c r="AB10" s="93" t="str">
        <f>IF(AB$4&lt;=$E$12,#REF!+#REF!+AB7-AB8,"")</f>
        <v/>
      </c>
      <c r="AC10" s="93" t="str">
        <f>IF(AC$4&lt;=$E$12,#REF!+#REF!+AC7-AC8,"")</f>
        <v/>
      </c>
      <c r="AD10" s="93" t="str">
        <f>IF(AD$4&lt;=$E$12,#REF!+#REF!+AD7-AD8,"")</f>
        <v/>
      </c>
      <c r="AE10" s="93" t="str">
        <f>IF(AE$4&lt;=$E$12,#REF!+#REF!+AE7-AE8,"")</f>
        <v/>
      </c>
      <c r="AF10" s="93" t="str">
        <f>IF(AF$4&lt;=$E$12,#REF!+#REF!+AF7-AF8,"")</f>
        <v/>
      </c>
      <c r="AG10" s="93" t="str">
        <f>IF(AG$4&lt;=$E$12,#REF!+#REF!+AG7-AG8,"")</f>
        <v/>
      </c>
      <c r="AH10" s="93" t="str">
        <f>IF(AH$4&lt;=$E$12,#REF!+#REF!+AH7-AH8,"")</f>
        <v/>
      </c>
      <c r="AI10" s="93" t="str">
        <f>IF(AI$4&lt;=$E$12,#REF!+#REF!+AI7-AI8,"")</f>
        <v/>
      </c>
      <c r="AJ10" s="93" t="str">
        <f>IF(AJ$4&lt;=$E$12,#REF!+#REF!+AJ7-AJ8,"")</f>
        <v/>
      </c>
      <c r="AK10" s="93" t="str">
        <f>IF(AK$4&lt;=$E$12,#REF!+#REF!+AK7-AK8,"")</f>
        <v/>
      </c>
      <c r="AL10" s="93" t="str">
        <f>IF(AL$4&lt;=$E$12,#REF!+#REF!+AL7-AL8,"")</f>
        <v/>
      </c>
      <c r="AM10" s="93" t="str">
        <f>IF(AM$4&lt;=$E$12,#REF!+#REF!+AM7-AM8,"")</f>
        <v/>
      </c>
      <c r="AN10" s="93" t="str">
        <f>IF(AN$4&lt;=$E$12,#REF!+#REF!+AN7-AN8,"")</f>
        <v/>
      </c>
      <c r="AO10" s="93" t="str">
        <f>IF(AO$4&lt;=$E$12,#REF!+#REF!+AO7-AO8,"")</f>
        <v/>
      </c>
      <c r="AP10" s="93" t="str">
        <f>IF(AP$4&lt;=$E$12,#REF!+#REF!+AP7-AP8,"")</f>
        <v/>
      </c>
    </row>
    <row r="11" spans="2:49" x14ac:dyDescent="0.2">
      <c r="B11" s="64"/>
      <c r="C11" s="68" t="s">
        <v>44</v>
      </c>
      <c r="D11" s="65"/>
      <c r="E11" s="68" t="s">
        <v>23</v>
      </c>
      <c r="F11" s="67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 t="str">
        <f>IF(W$4&lt;=$E$12,#REF!+#REF!-#REF!+W7-W8-#REF!,"")</f>
        <v/>
      </c>
      <c r="X11" s="103" t="str">
        <f>IF(X$4&lt;=$E$12,#REF!+#REF!-#REF!+X7-X8-#REF!,"")</f>
        <v/>
      </c>
      <c r="Y11" s="103" t="str">
        <f>IF(Y$4&lt;=$E$12,#REF!+#REF!-#REF!+Y7-Y8-#REF!,"")</f>
        <v/>
      </c>
      <c r="Z11" s="103" t="str">
        <f>IF(Z$4&lt;=$E$12,#REF!+#REF!-#REF!+Z7-Z8-#REF!,"")</f>
        <v/>
      </c>
      <c r="AA11" s="103" t="str">
        <f>IF(AA$4&lt;=$E$12,#REF!+#REF!-#REF!+AA7-AA8-#REF!,"")</f>
        <v/>
      </c>
      <c r="AB11" s="93" t="str">
        <f>IF(AB$4&lt;=$E$12,#REF!+#REF!-#REF!+AB7-AB8-#REF!,"")</f>
        <v/>
      </c>
      <c r="AC11" s="93" t="str">
        <f>IF(AC$4&lt;=$E$12,#REF!+#REF!-#REF!+AC7-AC8-#REF!,"")</f>
        <v/>
      </c>
      <c r="AD11" s="93" t="str">
        <f>IF(AD$4&lt;=$E$12,#REF!+#REF!-#REF!+AD7-AD8-#REF!,"")</f>
        <v/>
      </c>
      <c r="AE11" s="93" t="str">
        <f>IF(AE$4&lt;=$E$12,#REF!+#REF!-#REF!+AE7-AE8-#REF!,"")</f>
        <v/>
      </c>
      <c r="AF11" s="93" t="str">
        <f>IF(AF$4&lt;=$E$12,#REF!+#REF!-#REF!+AF7-AF8-#REF!,"")</f>
        <v/>
      </c>
      <c r="AG11" s="93" t="str">
        <f>IF(AG$4&lt;=$E$12,#REF!+#REF!-#REF!+AG7-AG8-#REF!,"")</f>
        <v/>
      </c>
      <c r="AH11" s="93" t="str">
        <f>IF(AH$4&lt;=$E$12,#REF!+#REF!-#REF!+AH7-AH8-#REF!,"")</f>
        <v/>
      </c>
      <c r="AI11" s="93" t="str">
        <f>IF(AI$4&lt;=$E$12,#REF!+#REF!-#REF!+AI7-AI8-#REF!,"")</f>
        <v/>
      </c>
      <c r="AJ11" s="93" t="str">
        <f>IF(AJ$4&lt;=$E$12,#REF!+#REF!-#REF!+AJ7-AJ8-#REF!,"")</f>
        <v/>
      </c>
      <c r="AK11" s="93" t="str">
        <f>IF(AK$4&lt;=$E$12,#REF!+#REF!-#REF!+AK7-AK8-#REF!,"")</f>
        <v/>
      </c>
      <c r="AL11" s="93" t="str">
        <f>IF(AL$4&lt;=$E$12,#REF!+#REF!-#REF!+AL7-AL8-#REF!,"")</f>
        <v/>
      </c>
      <c r="AM11" s="93" t="str">
        <f>IF(AM$4&lt;=$E$12,#REF!+#REF!-#REF!+AM7-AM8-#REF!,"")</f>
        <v/>
      </c>
      <c r="AN11" s="93" t="str">
        <f>IF(AN$4&lt;=$E$12,#REF!+#REF!-#REF!+AN7-AN8-#REF!,"")</f>
        <v/>
      </c>
      <c r="AO11" s="93" t="str">
        <f>IF(AO$4&lt;=$E$12,#REF!+#REF!-#REF!+AO7-AO8-#REF!,"")</f>
        <v/>
      </c>
      <c r="AP11" s="93" t="str">
        <f>IF(AP$4&lt;=$E$12,#REF!+#REF!-#REF!+AP7-AP8-#REF!,"")</f>
        <v/>
      </c>
    </row>
    <row r="12" spans="2:49" x14ac:dyDescent="0.2">
      <c r="B12" s="64"/>
      <c r="C12" s="96">
        <v>0.06</v>
      </c>
      <c r="D12" s="65"/>
      <c r="E12" s="97">
        <v>10</v>
      </c>
      <c r="F12" s="67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</row>
    <row r="13" spans="2:49" x14ac:dyDescent="0.2">
      <c r="B13" s="64"/>
      <c r="C13" s="72"/>
      <c r="D13" s="65"/>
      <c r="E13" s="72"/>
      <c r="F13" s="67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 spans="2:49" x14ac:dyDescent="0.2">
      <c r="B14" s="64"/>
      <c r="C14" s="68" t="s">
        <v>26</v>
      </c>
      <c r="D14" s="65"/>
      <c r="E14" s="68" t="s">
        <v>25</v>
      </c>
      <c r="F14" s="67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</row>
    <row r="15" spans="2:49" x14ac:dyDescent="0.2">
      <c r="B15" s="64"/>
      <c r="C15" s="96">
        <v>7.0000000000000007E-2</v>
      </c>
      <c r="D15" s="65"/>
      <c r="E15" s="96">
        <v>0.02</v>
      </c>
      <c r="F15" s="67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</row>
    <row r="16" spans="2:49" x14ac:dyDescent="0.2">
      <c r="B16" s="69"/>
      <c r="C16" s="70"/>
      <c r="D16" s="70"/>
      <c r="E16" s="70"/>
      <c r="F16" s="71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</row>
    <row r="17" spans="1:49" x14ac:dyDescent="0.2"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</row>
    <row r="18" spans="1:49" x14ac:dyDescent="0.2"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</row>
    <row r="19" spans="1:49" x14ac:dyDescent="0.2"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</row>
    <row r="20" spans="1:49" x14ac:dyDescent="0.2">
      <c r="A20" s="85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</row>
    <row r="21" spans="1:49" x14ac:dyDescent="0.2"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W21" s="92"/>
    </row>
    <row r="22" spans="1:49" x14ac:dyDescent="0.2"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</row>
    <row r="23" spans="1:49" x14ac:dyDescent="0.2"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</row>
    <row r="24" spans="1:49" x14ac:dyDescent="0.2"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</row>
    <row r="25" spans="1:49" x14ac:dyDescent="0.2"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</row>
    <row r="26" spans="1:49" x14ac:dyDescent="0.2"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</row>
    <row r="28" spans="1:49" x14ac:dyDescent="0.2">
      <c r="B28" s="77"/>
      <c r="L28" s="99"/>
    </row>
    <row r="29" spans="1:49" x14ac:dyDescent="0.2">
      <c r="B29" s="77"/>
      <c r="M29" s="102"/>
      <c r="N29" s="102"/>
      <c r="O29" s="102"/>
      <c r="P29" s="79"/>
    </row>
    <row r="30" spans="1:49" x14ac:dyDescent="0.2">
      <c r="C30" s="59"/>
      <c r="E30" s="59"/>
      <c r="M30" s="86"/>
      <c r="N30" s="86"/>
      <c r="O30" s="86"/>
    </row>
    <row r="31" spans="1:49" x14ac:dyDescent="0.2">
      <c r="C31" s="59"/>
      <c r="E31" s="59"/>
      <c r="F31" s="59"/>
      <c r="L31" s="103"/>
      <c r="M31" s="92"/>
      <c r="N31" s="92"/>
      <c r="O31" s="92"/>
    </row>
    <row r="32" spans="1:49" x14ac:dyDescent="0.2">
      <c r="L32" s="103"/>
      <c r="M32" s="92"/>
      <c r="N32" s="92"/>
      <c r="O32" s="92"/>
    </row>
    <row r="33" spans="12:15" x14ac:dyDescent="0.2">
      <c r="L33" s="103"/>
      <c r="M33" s="92"/>
      <c r="N33" s="92"/>
      <c r="O33" s="92"/>
    </row>
    <row r="35" spans="12:15" x14ac:dyDescent="0.2">
      <c r="L35" s="99"/>
    </row>
    <row r="36" spans="12:15" x14ac:dyDescent="0.2">
      <c r="M36" s="102"/>
      <c r="N36" s="102"/>
      <c r="O36" s="102"/>
    </row>
    <row r="37" spans="12:15" x14ac:dyDescent="0.2">
      <c r="M37" s="86"/>
      <c r="N37" s="86"/>
      <c r="O37" s="86"/>
    </row>
    <row r="38" spans="12:15" x14ac:dyDescent="0.2">
      <c r="L38" s="103"/>
      <c r="M38" s="78"/>
      <c r="N38" s="78"/>
      <c r="O38" s="78"/>
    </row>
    <row r="39" spans="12:15" x14ac:dyDescent="0.2">
      <c r="L39" s="103"/>
      <c r="M39" s="78"/>
      <c r="N39" s="78"/>
      <c r="O39" s="78"/>
    </row>
    <row r="40" spans="12:15" x14ac:dyDescent="0.2">
      <c r="L40" s="103"/>
      <c r="M40" s="78"/>
      <c r="N40" s="78"/>
      <c r="O40" s="78"/>
    </row>
    <row r="42" spans="12:15" x14ac:dyDescent="0.2">
      <c r="L42" s="99"/>
    </row>
    <row r="43" spans="12:15" x14ac:dyDescent="0.2">
      <c r="M43" s="102"/>
      <c r="N43" s="102"/>
      <c r="O43" s="102"/>
    </row>
    <row r="44" spans="12:15" x14ac:dyDescent="0.2">
      <c r="M44" s="86"/>
      <c r="N44" s="86"/>
      <c r="O44" s="86"/>
    </row>
    <row r="45" spans="12:15" x14ac:dyDescent="0.2">
      <c r="L45" s="103"/>
      <c r="M45" s="100"/>
      <c r="N45" s="100"/>
      <c r="O45" s="100"/>
    </row>
    <row r="46" spans="12:15" x14ac:dyDescent="0.2">
      <c r="L46" s="103"/>
      <c r="M46" s="100"/>
      <c r="N46" s="100"/>
      <c r="O46" s="100"/>
    </row>
    <row r="47" spans="12:15" x14ac:dyDescent="0.2">
      <c r="L47" s="103"/>
      <c r="M47" s="100"/>
      <c r="N47" s="100"/>
      <c r="O47" s="100"/>
    </row>
  </sheetData>
  <mergeCells count="3">
    <mergeCell ref="B3:E3"/>
    <mergeCell ref="H8:I8"/>
    <mergeCell ref="H9:I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View</vt:lpstr>
      <vt:lpstr>DCF Inputs&amp;Assumptions</vt:lpstr>
      <vt:lpstr>DCF Output &amp;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Mascis</dc:creator>
  <cp:lastModifiedBy>Neha Gadigi</cp:lastModifiedBy>
  <dcterms:created xsi:type="dcterms:W3CDTF">2021-08-20T11:53:29Z</dcterms:created>
  <dcterms:modified xsi:type="dcterms:W3CDTF">2021-12-14T19:40:56Z</dcterms:modified>
</cp:coreProperties>
</file>