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 codeName="{E39A1632-A8E3-4493-0D71-6A188D42057B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aucius/projetos/wquote/infra/"/>
    </mc:Choice>
  </mc:AlternateContent>
  <xr:revisionPtr revIDLastSave="0" documentId="13_ncr:1_{F802A070-1E89-A749-BD06-1D511491CA73}" xr6:coauthVersionLast="47" xr6:coauthVersionMax="47" xr10:uidLastSave="{00000000-0000-0000-0000-000000000000}"/>
  <bookViews>
    <workbookView xWindow="51200" yWindow="11300" windowWidth="28800" windowHeight="17500" tabRatio="940" activeTab="1" xr2:uid="{00000000-000D-0000-FFFF-FFFF00000000}"/>
  </bookViews>
  <sheets>
    <sheet name="Material Price" sheetId="5" r:id="rId1"/>
    <sheet name="Deck TakeOff" sheetId="1" r:id="rId2"/>
    <sheet name="Trex Rain Scape" sheetId="72" r:id="rId3"/>
    <sheet name="General Estimate" sheetId="69" r:id="rId4"/>
    <sheet name="Galv. Strap Fastners Footings" sheetId="29" r:id="rId5"/>
    <sheet name="PT Frame by LF" sheetId="7" r:id="rId6"/>
    <sheet name="PT Frame Material" sheetId="30" r:id="rId7"/>
    <sheet name="PT Finish" sheetId="70" r:id="rId8"/>
    <sheet name="PVC - White Finish" sheetId="67" r:id="rId9"/>
    <sheet name="Calculations " sheetId="68" r:id="rId10"/>
    <sheet name="Sheet2" sheetId="73" r:id="rId11"/>
    <sheet name="CODE" sheetId="74" r:id="rId12"/>
    <sheet name="Formulas" sheetId="28" r:id="rId13"/>
    <sheet name="Pressure Treated Decking Boards" sheetId="41" r:id="rId14"/>
    <sheet name="Trex Select Decking" sheetId="42" r:id="rId15"/>
    <sheet name="Trex Transcend Decking" sheetId="43" r:id="rId16"/>
    <sheet name="Trex Enhance Natural Decking" sheetId="44" r:id="rId17"/>
    <sheet name="PolyComposite Railings" sheetId="77" r:id="rId18"/>
    <sheet name=" RDI Transform Railings" sheetId="32" r:id="rId19"/>
    <sheet name=" PT Railings" sheetId="31" r:id="rId20"/>
    <sheet name="Trex Select Round Bal- Cocktail" sheetId="37" r:id="rId21"/>
    <sheet name="AZEK Vintage Collection Decking" sheetId="45" r:id="rId22"/>
    <sheet name="AZEK Arbor Collection Decking" sheetId="46" r:id="rId23"/>
    <sheet name="AZEK Harvest Collection Decking" sheetId="47" r:id="rId24"/>
    <sheet name="Timbertech Pro Legacy " sheetId="48" r:id="rId25"/>
    <sheet name="Timbertech Pro Reserve " sheetId="49" r:id="rId26"/>
    <sheet name="Timbertech Pro Terrain" sheetId="50" r:id="rId27"/>
    <sheet name="Timbertech Edge Premier" sheetId="51" r:id="rId28"/>
    <sheet name="Timbertech Edge Prime+" sheetId="52" r:id="rId29"/>
    <sheet name="Timbertech Edge Prime" sheetId="53" r:id="rId30"/>
    <sheet name="Moistur. Elevate-Premium " sheetId="54" r:id="rId31"/>
    <sheet name="Moistur. Elevate-Original" sheetId="55" r:id="rId32"/>
    <sheet name="Moistur. Vision Cool" sheetId="56" r:id="rId33"/>
    <sheet name="Moistur. Vision Non Cool " sheetId="57" r:id="rId34"/>
    <sheet name="Moistur. Vantage " sheetId="58" r:id="rId35"/>
    <sheet name="Fiberon Good Life - Weekender" sheetId="59" r:id="rId36"/>
    <sheet name="Fiberon Good Life Escapes" sheetId="60" r:id="rId37"/>
    <sheet name="Wolf Perspective " sheetId="61" r:id="rId38"/>
    <sheet name="DuraLife Siesta Landscape" sheetId="63" r:id="rId39"/>
    <sheet name="DuraLife Siesta Hardwoods" sheetId="64" r:id="rId40"/>
    <sheet name="DuraLife MVP Landscape" sheetId="65" r:id="rId41"/>
    <sheet name="DuraLife MVP Harwoods" sheetId="66" r:id="rId42"/>
    <sheet name="Labor Calculations " sheetId="27" r:id="rId43"/>
    <sheet name="Contemporary Round Alu Ba " sheetId="39" r:id="rId44"/>
    <sheet name="Contemporary- Square Comp Balus" sheetId="40" r:id="rId45"/>
    <sheet name="Contemporary-Feeney Cablerail" sheetId="38" r:id="rId46"/>
    <sheet name="Premier - Comp Black Balusters" sheetId="35" r:id="rId47"/>
    <sheet name="Premier - Alum Round Balusters" sheetId="36" r:id="rId48"/>
    <sheet name="TimberTech Premier White Balust" sheetId="33" r:id="rId49"/>
    <sheet name="TimberTech Premier - Feeney" sheetId="34" r:id="rId50"/>
    <sheet name="Warranties Prices" sheetId="9" state="hidden" r:id="rId51"/>
    <sheet name="Sheet1" sheetId="26" state="hidden" r:id="rId52"/>
    <sheet name="UPGRADES TABLE" sheetId="8" state="hidden" r:id="rId53"/>
    <sheet name="GAF Estimate" sheetId="10" state="hidden" r:id="rId54"/>
    <sheet name="RUBBER" sheetId="12" state="hidden" r:id="rId55"/>
  </sheets>
  <definedNames>
    <definedName name="_xlnm.Print_Area" localSheetId="19">' PT Railings'!$A$1:$O$51</definedName>
    <definedName name="_xlnm.Print_Area" localSheetId="18">' RDI Transform Railings'!$A$1:$O$53</definedName>
    <definedName name="_xlnm.Print_Area" localSheetId="22">'AZEK Arbor Collection Decking'!$A$1:$O$51</definedName>
    <definedName name="_xlnm.Print_Area" localSheetId="23">'AZEK Harvest Collection Decking'!$A$1:$O$51</definedName>
    <definedName name="_xlnm.Print_Area" localSheetId="21">'AZEK Vintage Collection Decking'!$A$1:$O$51</definedName>
    <definedName name="_xlnm.Print_Area" localSheetId="43">'Contemporary Round Alu Ba '!$A$1:$O$51</definedName>
    <definedName name="_xlnm.Print_Area" localSheetId="44">'Contemporary- Square Comp Balus'!$A$1:$O$51</definedName>
    <definedName name="_xlnm.Print_Area" localSheetId="45">'Contemporary-Feeney Cablerail'!$A$1:$O$51</definedName>
    <definedName name="_xlnm.Print_Area" localSheetId="1">'Deck TakeOff'!$A$1:$O$106</definedName>
    <definedName name="_xlnm.Print_Area" localSheetId="41">'DuraLife MVP Harwoods'!$A$1:$O$51</definedName>
    <definedName name="_xlnm.Print_Area" localSheetId="40">'DuraLife MVP Landscape'!$A$1:$O$51</definedName>
    <definedName name="_xlnm.Print_Area" localSheetId="39">'DuraLife Siesta Hardwoods'!$A$1:$O$51</definedName>
    <definedName name="_xlnm.Print_Area" localSheetId="38">'DuraLife Siesta Landscape'!$A$1:$O$51</definedName>
    <definedName name="_xlnm.Print_Area" localSheetId="35">'Fiberon Good Life - Weekender'!$A$1:$O$51</definedName>
    <definedName name="_xlnm.Print_Area" localSheetId="36">'Fiberon Good Life Escapes'!$A$1:$O$51</definedName>
    <definedName name="_xlnm.Print_Area" localSheetId="53">'GAF Estimate'!$A$1:$AA$99</definedName>
    <definedName name="_xlnm.Print_Area" localSheetId="4">'Galv. Strap Fastners Footings'!$A$1:$O$50</definedName>
    <definedName name="_xlnm.Print_Area" localSheetId="3">'General Estimate'!$A$1:$O$49</definedName>
    <definedName name="_xlnm.Print_Area" localSheetId="42">'Labor Calculations '!$A$1:$L$71</definedName>
    <definedName name="_xlnm.Print_Area" localSheetId="0">'Material Price'!$A$1:$L$372</definedName>
    <definedName name="_xlnm.Print_Area" localSheetId="31">'Moistur. Elevate-Original'!$A$1:$O$51</definedName>
    <definedName name="_xlnm.Print_Area" localSheetId="30">'Moistur. Elevate-Premium '!$A$1:$O$51</definedName>
    <definedName name="_xlnm.Print_Area" localSheetId="34">'Moistur. Vantage '!$A$1:$O$51</definedName>
    <definedName name="_xlnm.Print_Area" localSheetId="32">'Moistur. Vision Cool'!$A$1:$O$51</definedName>
    <definedName name="_xlnm.Print_Area" localSheetId="33">'Moistur. Vision Non Cool '!$A$1:$O$51</definedName>
    <definedName name="_xlnm.Print_Area" localSheetId="17">'PolyComposite Railings'!$A$1:$O$52</definedName>
    <definedName name="_xlnm.Print_Area" localSheetId="47">'Premier - Alum Round Balusters'!$A$1:$O$51</definedName>
    <definedName name="_xlnm.Print_Area" localSheetId="46">'Premier - Comp Black Balusters'!$A$1:$O$51</definedName>
    <definedName name="_xlnm.Print_Area" localSheetId="13">'Pressure Treated Decking Boards'!$A$1:$O$51</definedName>
    <definedName name="_xlnm.Print_Area" localSheetId="7">'PT Finish'!$A$1:$O$51</definedName>
    <definedName name="_xlnm.Print_Area" localSheetId="5">'PT Frame by LF'!$A$1:$O$34</definedName>
    <definedName name="_xlnm.Print_Area" localSheetId="6">'PT Frame Material'!$A$1:$O$51</definedName>
    <definedName name="_xlnm.Print_Area" localSheetId="8">'PVC - White Finish'!$A$1:$O$51</definedName>
    <definedName name="_xlnm.Print_Area" localSheetId="54">RUBBER!$A$1:$O$73</definedName>
    <definedName name="_xlnm.Print_Area" localSheetId="27">'Timbertech Edge Premier'!$A$1:$O$51</definedName>
    <definedName name="_xlnm.Print_Area" localSheetId="29">'Timbertech Edge Prime'!$A$1:$O$51</definedName>
    <definedName name="_xlnm.Print_Area" localSheetId="28">'Timbertech Edge Prime+'!$A$1:$O$51</definedName>
    <definedName name="_xlnm.Print_Area" localSheetId="49">'TimberTech Premier - Feeney'!$A$1:$O$53</definedName>
    <definedName name="_xlnm.Print_Area" localSheetId="48">'TimberTech Premier White Balust'!$A$1:$O$53</definedName>
    <definedName name="_xlnm.Print_Area" localSheetId="24">'Timbertech Pro Legacy '!$A$1:$O$51</definedName>
    <definedName name="_xlnm.Print_Area" localSheetId="25">'Timbertech Pro Reserve '!$A$1:$O$51</definedName>
    <definedName name="_xlnm.Print_Area" localSheetId="26">'Timbertech Pro Terrain'!$A$1:$O$51</definedName>
    <definedName name="_xlnm.Print_Area" localSheetId="16">'Trex Enhance Natural Decking'!$A$1:$O$51</definedName>
    <definedName name="_xlnm.Print_Area" localSheetId="2">'Trex Rain Scape'!$A$1:$O$51</definedName>
    <definedName name="_xlnm.Print_Area" localSheetId="14">'Trex Select Decking'!$A$1:$O$51</definedName>
    <definedName name="_xlnm.Print_Area" localSheetId="20">'Trex Select Round Bal- Cocktail'!$A$1:$O$52</definedName>
    <definedName name="_xlnm.Print_Area" localSheetId="15">'Trex Transcend Decking'!$A$1:$O$51</definedName>
    <definedName name="_xlnm.Print_Area" localSheetId="37">'Wolf Perspective '!$A$1:$O$51</definedName>
    <definedName name="Hourly_Rate" localSheetId="19">' PT Railings'!#REF!</definedName>
    <definedName name="Hourly_Rate" localSheetId="18">' RDI Transform Railings'!#REF!</definedName>
    <definedName name="Hourly_Rate" localSheetId="22">'AZEK Arbor Collection Decking'!#REF!</definedName>
    <definedName name="Hourly_Rate" localSheetId="23">'AZEK Harvest Collection Decking'!#REF!</definedName>
    <definedName name="Hourly_Rate" localSheetId="21">'AZEK Vintage Collection Decking'!#REF!</definedName>
    <definedName name="Hourly_Rate" localSheetId="43">'Contemporary Round Alu Ba '!#REF!</definedName>
    <definedName name="Hourly_Rate" localSheetId="44">'Contemporary- Square Comp Balus'!#REF!</definedName>
    <definedName name="Hourly_Rate" localSheetId="45">'Contemporary-Feeney Cablerail'!#REF!</definedName>
    <definedName name="Hourly_Rate" localSheetId="41">'DuraLife MVP Harwoods'!#REF!</definedName>
    <definedName name="Hourly_Rate" localSheetId="40">'DuraLife MVP Landscape'!#REF!</definedName>
    <definedName name="Hourly_Rate" localSheetId="39">'DuraLife Siesta Hardwoods'!#REF!</definedName>
    <definedName name="Hourly_Rate" localSheetId="38">'DuraLife Siesta Landscape'!#REF!</definedName>
    <definedName name="Hourly_Rate" localSheetId="35">'Fiberon Good Life - Weekender'!#REF!</definedName>
    <definedName name="Hourly_Rate" localSheetId="36">'Fiberon Good Life Escapes'!#REF!</definedName>
    <definedName name="Hourly_Rate" localSheetId="53">'GAF Estimate'!#REF!</definedName>
    <definedName name="Hourly_Rate" localSheetId="4">'Galv. Strap Fastners Footings'!#REF!</definedName>
    <definedName name="Hourly_Rate" localSheetId="3">'General Estimate'!#REF!</definedName>
    <definedName name="Hourly_Rate" localSheetId="42">'Labor Calculations '!#REF!</definedName>
    <definedName name="Hourly_Rate" localSheetId="0">'Material Price'!#REF!</definedName>
    <definedName name="Hourly_Rate" localSheetId="31">'Moistur. Elevate-Original'!#REF!</definedName>
    <definedName name="Hourly_Rate" localSheetId="30">'Moistur. Elevate-Premium '!#REF!</definedName>
    <definedName name="Hourly_Rate" localSheetId="34">'Moistur. Vantage '!#REF!</definedName>
    <definedName name="Hourly_Rate" localSheetId="32">'Moistur. Vision Cool'!#REF!</definedName>
    <definedName name="Hourly_Rate" localSheetId="33">'Moistur. Vision Non Cool '!#REF!</definedName>
    <definedName name="Hourly_Rate" localSheetId="17">'PolyComposite Railings'!#REF!</definedName>
    <definedName name="Hourly_Rate" localSheetId="47">'Premier - Alum Round Balusters'!#REF!</definedName>
    <definedName name="Hourly_Rate" localSheetId="46">'Premier - Comp Black Balusters'!#REF!</definedName>
    <definedName name="Hourly_Rate" localSheetId="13">'Pressure Treated Decking Boards'!#REF!</definedName>
    <definedName name="Hourly_Rate" localSheetId="7">'PT Finish'!#REF!</definedName>
    <definedName name="Hourly_Rate" localSheetId="5">'PT Frame by LF'!#REF!</definedName>
    <definedName name="Hourly_Rate" localSheetId="6">'PT Frame Material'!#REF!</definedName>
    <definedName name="Hourly_Rate" localSheetId="8">'PVC - White Finish'!#REF!</definedName>
    <definedName name="Hourly_Rate" localSheetId="54">RUBBER!#REF!</definedName>
    <definedName name="Hourly_Rate" localSheetId="27">'Timbertech Edge Premier'!#REF!</definedName>
    <definedName name="Hourly_Rate" localSheetId="29">'Timbertech Edge Prime'!#REF!</definedName>
    <definedName name="Hourly_Rate" localSheetId="28">'Timbertech Edge Prime+'!#REF!</definedName>
    <definedName name="Hourly_Rate" localSheetId="49">'TimberTech Premier - Feeney'!#REF!</definedName>
    <definedName name="Hourly_Rate" localSheetId="48">'TimberTech Premier White Balust'!#REF!</definedName>
    <definedName name="Hourly_Rate" localSheetId="24">'Timbertech Pro Legacy '!#REF!</definedName>
    <definedName name="Hourly_Rate" localSheetId="25">'Timbertech Pro Reserve '!#REF!</definedName>
    <definedName name="Hourly_Rate" localSheetId="26">'Timbertech Pro Terrain'!#REF!</definedName>
    <definedName name="Hourly_Rate" localSheetId="16">'Trex Enhance Natural Decking'!#REF!</definedName>
    <definedName name="Hourly_Rate" localSheetId="2">'Trex Rain Scape'!#REF!</definedName>
    <definedName name="Hourly_Rate" localSheetId="14">'Trex Select Decking'!#REF!</definedName>
    <definedName name="Hourly_Rate" localSheetId="20">'Trex Select Round Bal- Cocktail'!#REF!</definedName>
    <definedName name="Hourly_Rate" localSheetId="15">'Trex Transcend Decking'!#REF!</definedName>
    <definedName name="Hourly_Rate" localSheetId="37">'Wolf Perspective '!#REF!</definedName>
    <definedName name="Hourly_Rate">'Deck TakeOff'!#REF!</definedName>
    <definedName name="Week_Start" localSheetId="19">' PT Railings'!#REF!</definedName>
    <definedName name="Week_Start" localSheetId="18">' RDI Transform Railings'!#REF!</definedName>
    <definedName name="Week_Start" localSheetId="22">'AZEK Arbor Collection Decking'!#REF!</definedName>
    <definedName name="Week_Start" localSheetId="23">'AZEK Harvest Collection Decking'!#REF!</definedName>
    <definedName name="Week_Start" localSheetId="21">'AZEK Vintage Collection Decking'!#REF!</definedName>
    <definedName name="Week_Start" localSheetId="43">'Contemporary Round Alu Ba '!#REF!</definedName>
    <definedName name="Week_Start" localSheetId="44">'Contemporary- Square Comp Balus'!#REF!</definedName>
    <definedName name="Week_Start" localSheetId="45">'Contemporary-Feeney Cablerail'!#REF!</definedName>
    <definedName name="Week_Start" localSheetId="41">'DuraLife MVP Harwoods'!#REF!</definedName>
    <definedName name="Week_Start" localSheetId="40">'DuraLife MVP Landscape'!#REF!</definedName>
    <definedName name="Week_Start" localSheetId="39">'DuraLife Siesta Hardwoods'!#REF!</definedName>
    <definedName name="Week_Start" localSheetId="38">'DuraLife Siesta Landscape'!#REF!</definedName>
    <definedName name="Week_Start" localSheetId="35">'Fiberon Good Life - Weekender'!#REF!</definedName>
    <definedName name="Week_Start" localSheetId="36">'Fiberon Good Life Escapes'!#REF!</definedName>
    <definedName name="Week_Start" localSheetId="53">'GAF Estimate'!$D$6</definedName>
    <definedName name="Week_Start" localSheetId="4">'Galv. Strap Fastners Footings'!#REF!</definedName>
    <definedName name="Week_Start" localSheetId="3">'General Estimate'!#REF!</definedName>
    <definedName name="Week_Start" localSheetId="42">'Labor Calculations '!#REF!</definedName>
    <definedName name="Week_Start" localSheetId="0">'Material Price'!#REF!</definedName>
    <definedName name="Week_Start" localSheetId="31">'Moistur. Elevate-Original'!#REF!</definedName>
    <definedName name="Week_Start" localSheetId="30">'Moistur. Elevate-Premium '!#REF!</definedName>
    <definedName name="Week_Start" localSheetId="34">'Moistur. Vantage '!#REF!</definedName>
    <definedName name="Week_Start" localSheetId="32">'Moistur. Vision Cool'!#REF!</definedName>
    <definedName name="Week_Start" localSheetId="33">'Moistur. Vision Non Cool '!#REF!</definedName>
    <definedName name="Week_Start" localSheetId="17">'PolyComposite Railings'!#REF!</definedName>
    <definedName name="Week_Start" localSheetId="47">'Premier - Alum Round Balusters'!#REF!</definedName>
    <definedName name="Week_Start" localSheetId="46">'Premier - Comp Black Balusters'!#REF!</definedName>
    <definedName name="Week_Start" localSheetId="13">'Pressure Treated Decking Boards'!#REF!</definedName>
    <definedName name="Week_Start" localSheetId="7">'PT Finish'!#REF!</definedName>
    <definedName name="Week_Start" localSheetId="5">'PT Frame by LF'!#REF!</definedName>
    <definedName name="Week_Start" localSheetId="6">'PT Frame Material'!#REF!</definedName>
    <definedName name="Week_Start" localSheetId="8">'PVC - White Finish'!#REF!</definedName>
    <definedName name="Week_Start" localSheetId="54">RUBBER!$D$6</definedName>
    <definedName name="Week_Start" localSheetId="27">'Timbertech Edge Premier'!#REF!</definedName>
    <definedName name="Week_Start" localSheetId="29">'Timbertech Edge Prime'!#REF!</definedName>
    <definedName name="Week_Start" localSheetId="28">'Timbertech Edge Prime+'!#REF!</definedName>
    <definedName name="Week_Start" localSheetId="49">'TimberTech Premier - Feeney'!#REF!</definedName>
    <definedName name="Week_Start" localSheetId="48">'TimberTech Premier White Balust'!#REF!</definedName>
    <definedName name="Week_Start" localSheetId="24">'Timbertech Pro Legacy '!#REF!</definedName>
    <definedName name="Week_Start" localSheetId="25">'Timbertech Pro Reserve '!#REF!</definedName>
    <definedName name="Week_Start" localSheetId="26">'Timbertech Pro Terrain'!#REF!</definedName>
    <definedName name="Week_Start" localSheetId="16">'Trex Enhance Natural Decking'!#REF!</definedName>
    <definedName name="Week_Start" localSheetId="2">'Trex Rain Scape'!#REF!</definedName>
    <definedName name="Week_Start" localSheetId="14">'Trex Select Decking'!#REF!</definedName>
    <definedName name="Week_Start" localSheetId="20">'Trex Select Round Bal- Cocktail'!#REF!</definedName>
    <definedName name="Week_Start" localSheetId="15">'Trex Transcend Decking'!#REF!</definedName>
    <definedName name="Week_Start" localSheetId="37">'Wolf Perspective '!#REF!</definedName>
    <definedName name="Week_Start">'Deck TakeOff'!#REF!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2" i="41" l="1"/>
  <c r="C25" i="77"/>
  <c r="L48" i="77"/>
  <c r="L47" i="77"/>
  <c r="K46" i="77"/>
  <c r="L46" i="77" s="1"/>
  <c r="K45" i="77"/>
  <c r="L45" i="77" s="1"/>
  <c r="K44" i="77"/>
  <c r="L44" i="77" s="1"/>
  <c r="K43" i="77"/>
  <c r="L43" i="77" s="1"/>
  <c r="K42" i="77"/>
  <c r="L42" i="77" s="1"/>
  <c r="K41" i="77"/>
  <c r="L41" i="77" s="1"/>
  <c r="K40" i="77"/>
  <c r="L40" i="77" s="1"/>
  <c r="L39" i="77"/>
  <c r="K39" i="77"/>
  <c r="K38" i="77"/>
  <c r="L38" i="77" s="1"/>
  <c r="K37" i="77"/>
  <c r="L36" i="77"/>
  <c r="L35" i="77"/>
  <c r="K34" i="77"/>
  <c r="L34" i="77" s="1"/>
  <c r="C34" i="77"/>
  <c r="K33" i="77"/>
  <c r="L33" i="77" s="1"/>
  <c r="C33" i="77"/>
  <c r="L32" i="77"/>
  <c r="K31" i="77"/>
  <c r="K30" i="77"/>
  <c r="C17" i="77"/>
  <c r="L17" i="77" s="1"/>
  <c r="K16" i="77"/>
  <c r="C16" i="77"/>
  <c r="C13" i="77"/>
  <c r="L13" i="77" s="1"/>
  <c r="L11" i="77"/>
  <c r="L10" i="77"/>
  <c r="E6" i="77"/>
  <c r="E5" i="77"/>
  <c r="L31" i="32"/>
  <c r="L32" i="32"/>
  <c r="T18" i="68"/>
  <c r="T19" i="68"/>
  <c r="T20" i="68"/>
  <c r="T21" i="68"/>
  <c r="T22" i="68"/>
  <c r="T23" i="68"/>
  <c r="T24" i="68"/>
  <c r="T25" i="68"/>
  <c r="T26" i="68"/>
  <c r="K45" i="29"/>
  <c r="K44" i="29"/>
  <c r="K43" i="29"/>
  <c r="K42" i="29"/>
  <c r="K41" i="29"/>
  <c r="K40" i="29"/>
  <c r="K39" i="29"/>
  <c r="K38" i="29"/>
  <c r="K24" i="29"/>
  <c r="K23" i="29"/>
  <c r="K22" i="29"/>
  <c r="K21" i="29"/>
  <c r="K20" i="29"/>
  <c r="K19" i="29"/>
  <c r="K18" i="29"/>
  <c r="K17" i="29"/>
  <c r="K16" i="29"/>
  <c r="K15" i="29"/>
  <c r="K14" i="29"/>
  <c r="K13" i="29"/>
  <c r="K12" i="29"/>
  <c r="K10" i="29"/>
  <c r="K11" i="29"/>
  <c r="K25" i="29"/>
  <c r="L16" i="77" l="1"/>
  <c r="K46" i="29"/>
  <c r="L46" i="29" s="1"/>
  <c r="K22" i="69"/>
  <c r="K21" i="69"/>
  <c r="C20" i="69"/>
  <c r="C21" i="69"/>
  <c r="C22" i="69"/>
  <c r="E24" i="1"/>
  <c r="E81" i="28"/>
  <c r="C45" i="29" s="1"/>
  <c r="C25" i="29"/>
  <c r="K27" i="69"/>
  <c r="L27" i="29"/>
  <c r="L26" i="29"/>
  <c r="L28" i="29"/>
  <c r="L35" i="29"/>
  <c r="L34" i="29"/>
  <c r="L36" i="29"/>
  <c r="D22" i="69"/>
  <c r="D21" i="69"/>
  <c r="D20" i="69"/>
  <c r="D19" i="69"/>
  <c r="D18" i="69"/>
  <c r="D17" i="69"/>
  <c r="L36" i="69"/>
  <c r="L35" i="69"/>
  <c r="L45" i="29" l="1"/>
  <c r="L25" i="29"/>
  <c r="L14" i="72"/>
  <c r="L15" i="72"/>
  <c r="K17" i="72"/>
  <c r="L17" i="72" s="1"/>
  <c r="K20" i="72"/>
  <c r="L20" i="72" s="1"/>
  <c r="K21" i="72"/>
  <c r="L21" i="72" s="1"/>
  <c r="L22" i="72"/>
  <c r="K23" i="72"/>
  <c r="L23" i="72" s="1"/>
  <c r="K24" i="72"/>
  <c r="L24" i="72" s="1"/>
  <c r="L13" i="72"/>
  <c r="L12" i="72"/>
  <c r="L47" i="72"/>
  <c r="L46" i="72"/>
  <c r="L45" i="72"/>
  <c r="L44" i="72"/>
  <c r="L43" i="72"/>
  <c r="L42" i="72"/>
  <c r="L41" i="72"/>
  <c r="L40" i="72"/>
  <c r="L39" i="72"/>
  <c r="L38" i="72"/>
  <c r="L37" i="72"/>
  <c r="L36" i="72"/>
  <c r="L35" i="72"/>
  <c r="L34" i="72"/>
  <c r="L33" i="72"/>
  <c r="L32" i="72"/>
  <c r="L31" i="72"/>
  <c r="L30" i="72"/>
  <c r="L29" i="72"/>
  <c r="L28" i="72"/>
  <c r="L26" i="72"/>
  <c r="L25" i="72"/>
  <c r="L27" i="72"/>
  <c r="L19" i="72"/>
  <c r="L16" i="72"/>
  <c r="L11" i="72"/>
  <c r="L10" i="72"/>
  <c r="E6" i="72"/>
  <c r="E5" i="72"/>
  <c r="L18" i="72" l="1"/>
  <c r="L48" i="72" s="1"/>
  <c r="L49" i="72" s="1"/>
  <c r="K15" i="69" s="1"/>
  <c r="K37" i="69"/>
  <c r="L37" i="69" s="1"/>
  <c r="L40" i="69" s="1"/>
  <c r="K16" i="70" l="1"/>
  <c r="J37" i="5"/>
  <c r="K14" i="70" s="1"/>
  <c r="J27" i="5"/>
  <c r="K12" i="70" s="1"/>
  <c r="K25" i="67"/>
  <c r="K30" i="32"/>
  <c r="K29" i="32"/>
  <c r="K31" i="37"/>
  <c r="K30" i="37"/>
  <c r="K34" i="34"/>
  <c r="K33" i="34"/>
  <c r="K30" i="33"/>
  <c r="K29" i="33"/>
  <c r="K28" i="36"/>
  <c r="K27" i="36"/>
  <c r="K27" i="35"/>
  <c r="K28" i="35"/>
  <c r="K33" i="38"/>
  <c r="K32" i="38"/>
  <c r="K27" i="40"/>
  <c r="K26" i="40"/>
  <c r="K28" i="39"/>
  <c r="K27" i="39"/>
  <c r="K25" i="31"/>
  <c r="K24" i="31"/>
  <c r="C36" i="34"/>
  <c r="K32" i="34"/>
  <c r="L32" i="34" s="1"/>
  <c r="K15" i="70"/>
  <c r="L47" i="70"/>
  <c r="L46" i="70"/>
  <c r="L45" i="70"/>
  <c r="L44" i="70"/>
  <c r="L43" i="70"/>
  <c r="L42" i="70"/>
  <c r="L41" i="70"/>
  <c r="L40" i="70"/>
  <c r="L39" i="70"/>
  <c r="L38" i="70"/>
  <c r="L37" i="70"/>
  <c r="L36" i="70"/>
  <c r="L35" i="70"/>
  <c r="L34" i="70"/>
  <c r="L33" i="70"/>
  <c r="L31" i="70"/>
  <c r="L30" i="70"/>
  <c r="L29" i="70"/>
  <c r="L28" i="70"/>
  <c r="L24" i="70"/>
  <c r="L22" i="70"/>
  <c r="L21" i="70"/>
  <c r="L20" i="70"/>
  <c r="L17" i="70"/>
  <c r="K13" i="70"/>
  <c r="L11" i="70"/>
  <c r="L10" i="70"/>
  <c r="E6" i="70"/>
  <c r="E5" i="70"/>
  <c r="J76" i="1"/>
  <c r="K18" i="69" s="1"/>
  <c r="J77" i="1"/>
  <c r="K19" i="69" s="1"/>
  <c r="J78" i="1"/>
  <c r="K20" i="69" s="1"/>
  <c r="J79" i="1"/>
  <c r="J80" i="1"/>
  <c r="J75" i="1"/>
  <c r="K17" i="69" s="1"/>
  <c r="C19" i="69"/>
  <c r="C18" i="69"/>
  <c r="C17" i="69"/>
  <c r="J43" i="69"/>
  <c r="E6" i="69"/>
  <c r="E5" i="69"/>
  <c r="K12" i="53"/>
  <c r="K12" i="52"/>
  <c r="L28" i="67"/>
  <c r="K24" i="67"/>
  <c r="H130" i="28"/>
  <c r="J81" i="1" l="1"/>
  <c r="L23" i="68" s="1"/>
  <c r="L27" i="70"/>
  <c r="K17" i="67"/>
  <c r="H140" i="28"/>
  <c r="H139" i="28"/>
  <c r="C17" i="67" s="1"/>
  <c r="H131" i="28"/>
  <c r="C30" i="77" s="1"/>
  <c r="L30" i="77" s="1"/>
  <c r="H132" i="28"/>
  <c r="C31" i="77" s="1"/>
  <c r="L31" i="77" s="1"/>
  <c r="H133" i="28"/>
  <c r="H143" i="28" s="1"/>
  <c r="H134" i="28"/>
  <c r="H144" i="28" s="1"/>
  <c r="H135" i="28"/>
  <c r="C21" i="67" s="1"/>
  <c r="H136" i="28"/>
  <c r="H137" i="28"/>
  <c r="H142" i="28" s="1"/>
  <c r="K23" i="67"/>
  <c r="K22" i="67"/>
  <c r="K21" i="67"/>
  <c r="K16" i="67"/>
  <c r="K15" i="67"/>
  <c r="K14" i="67"/>
  <c r="K13" i="67"/>
  <c r="K12" i="67"/>
  <c r="K19" i="41"/>
  <c r="K20" i="67"/>
  <c r="K19" i="67"/>
  <c r="K18" i="67"/>
  <c r="L47" i="67"/>
  <c r="L46" i="67"/>
  <c r="L45" i="67"/>
  <c r="L44" i="67"/>
  <c r="L43" i="67"/>
  <c r="L42" i="67"/>
  <c r="L41" i="67"/>
  <c r="L40" i="67"/>
  <c r="L39" i="67"/>
  <c r="L38" i="67"/>
  <c r="L37" i="67"/>
  <c r="L36" i="67"/>
  <c r="L35" i="67"/>
  <c r="L34" i="67"/>
  <c r="L33" i="67"/>
  <c r="L31" i="67"/>
  <c r="L30" i="67"/>
  <c r="L29" i="67"/>
  <c r="L11" i="67"/>
  <c r="L10" i="67"/>
  <c r="E6" i="67"/>
  <c r="E5" i="67"/>
  <c r="C22" i="31"/>
  <c r="C23" i="31" s="1"/>
  <c r="K23" i="31"/>
  <c r="K22" i="31"/>
  <c r="C22" i="67" l="1"/>
  <c r="L22" i="67" s="1"/>
  <c r="L26" i="67"/>
  <c r="C31" i="37"/>
  <c r="C28" i="39"/>
  <c r="C30" i="32"/>
  <c r="C34" i="34"/>
  <c r="C25" i="31"/>
  <c r="L25" i="31" s="1"/>
  <c r="C27" i="40"/>
  <c r="L27" i="40" s="1"/>
  <c r="L26" i="70"/>
  <c r="C30" i="33"/>
  <c r="L30" i="33" s="1"/>
  <c r="C28" i="36"/>
  <c r="C28" i="35"/>
  <c r="C33" i="38"/>
  <c r="C29" i="33"/>
  <c r="L29" i="33" s="1"/>
  <c r="C26" i="40"/>
  <c r="C29" i="32"/>
  <c r="C27" i="39"/>
  <c r="L27" i="39" s="1"/>
  <c r="C30" i="37"/>
  <c r="L30" i="37" s="1"/>
  <c r="L25" i="70"/>
  <c r="C27" i="35"/>
  <c r="L27" i="35" s="1"/>
  <c r="C24" i="31"/>
  <c r="C27" i="36"/>
  <c r="L27" i="36" s="1"/>
  <c r="C33" i="34"/>
  <c r="L33" i="34" s="1"/>
  <c r="C32" i="38"/>
  <c r="L32" i="38" s="1"/>
  <c r="C24" i="67"/>
  <c r="L27" i="67"/>
  <c r="H145" i="28"/>
  <c r="H141" i="28"/>
  <c r="L21" i="67"/>
  <c r="L17" i="67"/>
  <c r="C35" i="33"/>
  <c r="C34" i="33"/>
  <c r="C37" i="34"/>
  <c r="C34" i="32"/>
  <c r="C35" i="32"/>
  <c r="C34" i="37"/>
  <c r="C33" i="37"/>
  <c r="C34" i="36"/>
  <c r="C35" i="36"/>
  <c r="C35" i="35"/>
  <c r="C34" i="35"/>
  <c r="C34" i="40"/>
  <c r="C35" i="40"/>
  <c r="C36" i="38"/>
  <c r="C35" i="38"/>
  <c r="C34" i="39"/>
  <c r="C35" i="39"/>
  <c r="D132" i="28"/>
  <c r="C149" i="28" s="1"/>
  <c r="C12" i="70" s="1"/>
  <c r="D133" i="28"/>
  <c r="C150" i="28" s="1"/>
  <c r="D134" i="28"/>
  <c r="C144" i="28" s="1"/>
  <c r="C13" i="67" s="1"/>
  <c r="D135" i="28"/>
  <c r="D136" i="28"/>
  <c r="D131" i="28"/>
  <c r="D130" i="28"/>
  <c r="K13" i="66"/>
  <c r="K20" i="66" s="1"/>
  <c r="L20" i="66" s="1"/>
  <c r="K12" i="66"/>
  <c r="K16" i="66" s="1"/>
  <c r="L16" i="66" s="1"/>
  <c r="L47" i="66"/>
  <c r="L46" i="66"/>
  <c r="L45" i="66"/>
  <c r="L44" i="66"/>
  <c r="L43" i="66"/>
  <c r="L42" i="66"/>
  <c r="L41" i="66"/>
  <c r="L40" i="66"/>
  <c r="L39" i="66"/>
  <c r="L38" i="66"/>
  <c r="L37" i="66"/>
  <c r="L36" i="66"/>
  <c r="L35" i="66"/>
  <c r="L34" i="66"/>
  <c r="L33" i="66"/>
  <c r="L31" i="66"/>
  <c r="L30" i="66"/>
  <c r="L29" i="66"/>
  <c r="L28" i="66"/>
  <c r="L26" i="66"/>
  <c r="L25" i="66"/>
  <c r="K24" i="66"/>
  <c r="K23" i="66"/>
  <c r="K22" i="66"/>
  <c r="L21" i="66"/>
  <c r="L11" i="66"/>
  <c r="L10" i="66"/>
  <c r="E6" i="66"/>
  <c r="E5" i="66"/>
  <c r="K24" i="65"/>
  <c r="K13" i="65"/>
  <c r="K20" i="65" s="1"/>
  <c r="K12" i="65"/>
  <c r="K15" i="65" s="1"/>
  <c r="L15" i="65" s="1"/>
  <c r="L47" i="65"/>
  <c r="L46" i="65"/>
  <c r="L45" i="65"/>
  <c r="L44" i="65"/>
  <c r="L43" i="65"/>
  <c r="L42" i="65"/>
  <c r="L41" i="65"/>
  <c r="L40" i="65"/>
  <c r="L39" i="65"/>
  <c r="L38" i="65"/>
  <c r="L37" i="65"/>
  <c r="L36" i="65"/>
  <c r="L35" i="65"/>
  <c r="L34" i="65"/>
  <c r="L33" i="65"/>
  <c r="L31" i="65"/>
  <c r="L30" i="65"/>
  <c r="L29" i="65"/>
  <c r="L28" i="65"/>
  <c r="L26" i="65"/>
  <c r="L25" i="65"/>
  <c r="K23" i="65"/>
  <c r="K22" i="65"/>
  <c r="L21" i="65"/>
  <c r="L11" i="65"/>
  <c r="L10" i="65"/>
  <c r="E6" i="65"/>
  <c r="E5" i="65"/>
  <c r="K12" i="64"/>
  <c r="K20" i="64" s="1"/>
  <c r="L20" i="64" s="1"/>
  <c r="L47" i="64"/>
  <c r="L46" i="64"/>
  <c r="L45" i="64"/>
  <c r="L44" i="64"/>
  <c r="L43" i="64"/>
  <c r="L42" i="64"/>
  <c r="L41" i="64"/>
  <c r="L40" i="64"/>
  <c r="L39" i="64"/>
  <c r="L38" i="64"/>
  <c r="L37" i="64"/>
  <c r="L36" i="64"/>
  <c r="L35" i="64"/>
  <c r="L34" i="64"/>
  <c r="L33" i="64"/>
  <c r="L31" i="64"/>
  <c r="L30" i="64"/>
  <c r="L29" i="64"/>
  <c r="L28" i="64"/>
  <c r="L26" i="64"/>
  <c r="L25" i="64"/>
  <c r="L24" i="64"/>
  <c r="K23" i="64"/>
  <c r="K22" i="64"/>
  <c r="L21" i="64"/>
  <c r="L13" i="64"/>
  <c r="L11" i="64"/>
  <c r="L10" i="64"/>
  <c r="E6" i="64"/>
  <c r="E5" i="64"/>
  <c r="K22" i="63"/>
  <c r="K23" i="63"/>
  <c r="K12" i="63"/>
  <c r="K18" i="63" s="1"/>
  <c r="L18" i="63" s="1"/>
  <c r="L47" i="63"/>
  <c r="L46" i="63"/>
  <c r="L45" i="63"/>
  <c r="L44" i="63"/>
  <c r="L43" i="63"/>
  <c r="L42" i="63"/>
  <c r="L41" i="63"/>
  <c r="L40" i="63"/>
  <c r="L39" i="63"/>
  <c r="L38" i="63"/>
  <c r="L37" i="63"/>
  <c r="L36" i="63"/>
  <c r="L35" i="63"/>
  <c r="L34" i="63"/>
  <c r="L33" i="63"/>
  <c r="L31" i="63"/>
  <c r="L30" i="63"/>
  <c r="L29" i="63"/>
  <c r="L28" i="63"/>
  <c r="L26" i="63"/>
  <c r="L25" i="63"/>
  <c r="L24" i="63"/>
  <c r="L13" i="63"/>
  <c r="L11" i="63"/>
  <c r="L10" i="63"/>
  <c r="E6" i="63"/>
  <c r="E5" i="63"/>
  <c r="L24" i="67" l="1"/>
  <c r="C25" i="67"/>
  <c r="L25" i="67" s="1"/>
  <c r="C138" i="28"/>
  <c r="L12" i="70" s="1"/>
  <c r="C20" i="67"/>
  <c r="L20" i="67" s="1"/>
  <c r="C16" i="70"/>
  <c r="L16" i="70" s="1"/>
  <c r="C152" i="28"/>
  <c r="C19" i="67"/>
  <c r="L19" i="67" s="1"/>
  <c r="C15" i="70"/>
  <c r="L15" i="70" s="1"/>
  <c r="L19" i="70"/>
  <c r="C13" i="70"/>
  <c r="L13" i="70" s="1"/>
  <c r="K17" i="65"/>
  <c r="L17" i="65" s="1"/>
  <c r="K18" i="65"/>
  <c r="L18" i="65" s="1"/>
  <c r="C141" i="28"/>
  <c r="C15" i="67" s="1"/>
  <c r="L15" i="67" s="1"/>
  <c r="C139" i="28"/>
  <c r="K20" i="63"/>
  <c r="L20" i="63" s="1"/>
  <c r="K19" i="65"/>
  <c r="L19" i="65" s="1"/>
  <c r="K15" i="66"/>
  <c r="L15" i="66" s="1"/>
  <c r="K19" i="63"/>
  <c r="L19" i="63" s="1"/>
  <c r="K17" i="66"/>
  <c r="L17" i="66" s="1"/>
  <c r="K14" i="66"/>
  <c r="L14" i="66" s="1"/>
  <c r="K18" i="66"/>
  <c r="L18" i="66" s="1"/>
  <c r="K19" i="66"/>
  <c r="L19" i="66" s="1"/>
  <c r="K16" i="65"/>
  <c r="L16" i="65" s="1"/>
  <c r="L20" i="65"/>
  <c r="K14" i="65"/>
  <c r="L14" i="65" s="1"/>
  <c r="K19" i="64"/>
  <c r="L19" i="64" s="1"/>
  <c r="K16" i="64"/>
  <c r="L16" i="64" s="1"/>
  <c r="K17" i="64"/>
  <c r="L17" i="64" s="1"/>
  <c r="K14" i="64"/>
  <c r="L14" i="64" s="1"/>
  <c r="K18" i="64"/>
  <c r="L18" i="64" s="1"/>
  <c r="K15" i="64"/>
  <c r="L15" i="64" s="1"/>
  <c r="L21" i="63"/>
  <c r="K14" i="63"/>
  <c r="L14" i="63" s="1"/>
  <c r="K15" i="63"/>
  <c r="L15" i="63" s="1"/>
  <c r="K16" i="63"/>
  <c r="L16" i="63" s="1"/>
  <c r="K17" i="63"/>
  <c r="L17" i="63" s="1"/>
  <c r="K12" i="61"/>
  <c r="K19" i="61" s="1"/>
  <c r="L19" i="61" s="1"/>
  <c r="L47" i="61"/>
  <c r="L46" i="61"/>
  <c r="L45" i="61"/>
  <c r="L44" i="61"/>
  <c r="L43" i="61"/>
  <c r="L42" i="61"/>
  <c r="L41" i="61"/>
  <c r="L40" i="61"/>
  <c r="L39" i="61"/>
  <c r="L38" i="61"/>
  <c r="L37" i="61"/>
  <c r="L36" i="61"/>
  <c r="L35" i="61"/>
  <c r="L34" i="61"/>
  <c r="L33" i="61"/>
  <c r="L31" i="61"/>
  <c r="L30" i="61"/>
  <c r="L29" i="61"/>
  <c r="L28" i="61"/>
  <c r="L26" i="61"/>
  <c r="L25" i="61"/>
  <c r="L24" i="61"/>
  <c r="L23" i="61"/>
  <c r="K22" i="61"/>
  <c r="K21" i="61"/>
  <c r="L20" i="61"/>
  <c r="L13" i="61"/>
  <c r="L11" i="61"/>
  <c r="L10" i="61"/>
  <c r="E6" i="61"/>
  <c r="E5" i="61"/>
  <c r="K12" i="60"/>
  <c r="K15" i="60" s="1"/>
  <c r="L15" i="60" s="1"/>
  <c r="L47" i="60"/>
  <c r="L46" i="60"/>
  <c r="L45" i="60"/>
  <c r="L44" i="60"/>
  <c r="L43" i="60"/>
  <c r="L42" i="60"/>
  <c r="L41" i="60"/>
  <c r="L40" i="60"/>
  <c r="L39" i="60"/>
  <c r="L38" i="60"/>
  <c r="L37" i="60"/>
  <c r="L36" i="60"/>
  <c r="L35" i="60"/>
  <c r="L34" i="60"/>
  <c r="L33" i="60"/>
  <c r="L31" i="60"/>
  <c r="L30" i="60"/>
  <c r="L29" i="60"/>
  <c r="L28" i="60"/>
  <c r="L26" i="60"/>
  <c r="L25" i="60"/>
  <c r="L24" i="60"/>
  <c r="L23" i="60"/>
  <c r="K22" i="60"/>
  <c r="K21" i="60"/>
  <c r="L20" i="60"/>
  <c r="L19" i="60"/>
  <c r="L17" i="60"/>
  <c r="L13" i="60"/>
  <c r="L11" i="60"/>
  <c r="L10" i="60"/>
  <c r="E6" i="60"/>
  <c r="E5" i="60"/>
  <c r="K22" i="59"/>
  <c r="K12" i="59"/>
  <c r="K14" i="59" s="1"/>
  <c r="L14" i="59" s="1"/>
  <c r="K21" i="59"/>
  <c r="L47" i="59"/>
  <c r="L46" i="59"/>
  <c r="L45" i="59"/>
  <c r="L44" i="59"/>
  <c r="L43" i="59"/>
  <c r="L42" i="59"/>
  <c r="L41" i="59"/>
  <c r="L40" i="59"/>
  <c r="L39" i="59"/>
  <c r="L38" i="59"/>
  <c r="L37" i="59"/>
  <c r="L36" i="59"/>
  <c r="L35" i="59"/>
  <c r="L34" i="59"/>
  <c r="L33" i="59"/>
  <c r="L31" i="59"/>
  <c r="L30" i="59"/>
  <c r="L29" i="59"/>
  <c r="L28" i="59"/>
  <c r="L26" i="59"/>
  <c r="L25" i="59"/>
  <c r="L24" i="59"/>
  <c r="L23" i="59"/>
  <c r="L20" i="59"/>
  <c r="L19" i="59"/>
  <c r="L17" i="59"/>
  <c r="L13" i="59"/>
  <c r="L11" i="59"/>
  <c r="L10" i="59"/>
  <c r="E6" i="59"/>
  <c r="E5" i="59"/>
  <c r="K12" i="58"/>
  <c r="K15" i="58" s="1"/>
  <c r="L15" i="58" s="1"/>
  <c r="L47" i="58"/>
  <c r="L46" i="58"/>
  <c r="L45" i="58"/>
  <c r="L44" i="58"/>
  <c r="L43" i="58"/>
  <c r="L42" i="58"/>
  <c r="L41" i="58"/>
  <c r="L40" i="58"/>
  <c r="L39" i="58"/>
  <c r="L38" i="58"/>
  <c r="L37" i="58"/>
  <c r="L36" i="58"/>
  <c r="L35" i="58"/>
  <c r="L34" i="58"/>
  <c r="L33" i="58"/>
  <c r="L31" i="58"/>
  <c r="L30" i="58"/>
  <c r="L29" i="58"/>
  <c r="L28" i="58"/>
  <c r="L26" i="58"/>
  <c r="L25" i="58"/>
  <c r="L24" i="58"/>
  <c r="L23" i="58"/>
  <c r="K22" i="58"/>
  <c r="K21" i="58"/>
  <c r="L20" i="58"/>
  <c r="L13" i="58"/>
  <c r="L11" i="58"/>
  <c r="L10" i="58"/>
  <c r="E6" i="58"/>
  <c r="E5" i="58"/>
  <c r="K12" i="57"/>
  <c r="K18" i="57" s="1"/>
  <c r="L18" i="57" s="1"/>
  <c r="L47" i="57"/>
  <c r="L46" i="57"/>
  <c r="L45" i="57"/>
  <c r="L44" i="57"/>
  <c r="L43" i="57"/>
  <c r="L42" i="57"/>
  <c r="L41" i="57"/>
  <c r="L40" i="57"/>
  <c r="L39" i="57"/>
  <c r="L38" i="57"/>
  <c r="L37" i="57"/>
  <c r="L36" i="57"/>
  <c r="L35" i="57"/>
  <c r="L34" i="57"/>
  <c r="L33" i="57"/>
  <c r="L31" i="57"/>
  <c r="L30" i="57"/>
  <c r="L29" i="57"/>
  <c r="L28" i="57"/>
  <c r="L26" i="57"/>
  <c r="L25" i="57"/>
  <c r="L24" i="57"/>
  <c r="L23" i="57"/>
  <c r="K22" i="57"/>
  <c r="K21" i="57"/>
  <c r="L20" i="57"/>
  <c r="L19" i="57"/>
  <c r="L13" i="57"/>
  <c r="L11" i="57"/>
  <c r="L10" i="57"/>
  <c r="E6" i="57"/>
  <c r="E5" i="57"/>
  <c r="K12" i="56"/>
  <c r="K17" i="56" s="1"/>
  <c r="K22" i="56"/>
  <c r="C12" i="67" l="1"/>
  <c r="L12" i="67" s="1"/>
  <c r="L13" i="67"/>
  <c r="K17" i="61"/>
  <c r="L17" i="61" s="1"/>
  <c r="K18" i="61"/>
  <c r="L18" i="61" s="1"/>
  <c r="K14" i="61"/>
  <c r="L14" i="61" s="1"/>
  <c r="K16" i="61"/>
  <c r="L16" i="61" s="1"/>
  <c r="K15" i="61"/>
  <c r="L15" i="61" s="1"/>
  <c r="K18" i="58"/>
  <c r="L18" i="58" s="1"/>
  <c r="K19" i="58"/>
  <c r="L19" i="58" s="1"/>
  <c r="K17" i="57"/>
  <c r="L17" i="57" s="1"/>
  <c r="K17" i="58"/>
  <c r="L17" i="58" s="1"/>
  <c r="K16" i="60"/>
  <c r="L16" i="60" s="1"/>
  <c r="K14" i="60"/>
  <c r="L14" i="60" s="1"/>
  <c r="K18" i="60"/>
  <c r="L18" i="60" s="1"/>
  <c r="K16" i="59"/>
  <c r="L16" i="59" s="1"/>
  <c r="K15" i="59"/>
  <c r="L15" i="59" s="1"/>
  <c r="K18" i="59"/>
  <c r="L18" i="59" s="1"/>
  <c r="K16" i="58"/>
  <c r="L16" i="58" s="1"/>
  <c r="K14" i="58"/>
  <c r="L14" i="58" s="1"/>
  <c r="K14" i="57"/>
  <c r="L14" i="57" s="1"/>
  <c r="K15" i="57"/>
  <c r="L15" i="57" s="1"/>
  <c r="K16" i="57"/>
  <c r="L16" i="57" s="1"/>
  <c r="L47" i="56"/>
  <c r="L46" i="56"/>
  <c r="L45" i="56"/>
  <c r="L44" i="56"/>
  <c r="L43" i="56"/>
  <c r="L42" i="56"/>
  <c r="L41" i="56"/>
  <c r="L40" i="56"/>
  <c r="L39" i="56"/>
  <c r="L38" i="56"/>
  <c r="L37" i="56"/>
  <c r="L36" i="56"/>
  <c r="L35" i="56"/>
  <c r="L34" i="56"/>
  <c r="L33" i="56"/>
  <c r="L31" i="56"/>
  <c r="L30" i="56"/>
  <c r="L29" i="56"/>
  <c r="L28" i="56"/>
  <c r="L26" i="56"/>
  <c r="L25" i="56"/>
  <c r="L24" i="56"/>
  <c r="L23" i="56"/>
  <c r="K21" i="56"/>
  <c r="L20" i="56"/>
  <c r="L19" i="56"/>
  <c r="L17" i="56"/>
  <c r="L13" i="56"/>
  <c r="K14" i="56"/>
  <c r="L14" i="56" s="1"/>
  <c r="L11" i="56"/>
  <c r="L10" i="56"/>
  <c r="E6" i="56"/>
  <c r="E5" i="56"/>
  <c r="K12" i="55"/>
  <c r="K12" i="54"/>
  <c r="K16" i="54" s="1"/>
  <c r="L16" i="54" s="1"/>
  <c r="L47" i="55"/>
  <c r="L46" i="55"/>
  <c r="L45" i="55"/>
  <c r="L44" i="55"/>
  <c r="L43" i="55"/>
  <c r="L42" i="55"/>
  <c r="L41" i="55"/>
  <c r="L40" i="55"/>
  <c r="L39" i="55"/>
  <c r="L38" i="55"/>
  <c r="L37" i="55"/>
  <c r="L36" i="55"/>
  <c r="L35" i="55"/>
  <c r="L34" i="55"/>
  <c r="L33" i="55"/>
  <c r="L31" i="55"/>
  <c r="L30" i="55"/>
  <c r="L29" i="55"/>
  <c r="L28" i="55"/>
  <c r="L26" i="55"/>
  <c r="L25" i="55"/>
  <c r="L24" i="55"/>
  <c r="L23" i="55"/>
  <c r="K21" i="55"/>
  <c r="L20" i="55"/>
  <c r="L19" i="55"/>
  <c r="L17" i="55"/>
  <c r="L13" i="55"/>
  <c r="L11" i="55"/>
  <c r="L10" i="55"/>
  <c r="E6" i="55"/>
  <c r="E5" i="55"/>
  <c r="K22" i="55"/>
  <c r="K21" i="54"/>
  <c r="L47" i="54"/>
  <c r="L46" i="54"/>
  <c r="L45" i="54"/>
  <c r="L44" i="54"/>
  <c r="L43" i="54"/>
  <c r="L42" i="54"/>
  <c r="L41" i="54"/>
  <c r="L40" i="54"/>
  <c r="L39" i="54"/>
  <c r="L38" i="54"/>
  <c r="L37" i="54"/>
  <c r="L36" i="54"/>
  <c r="L35" i="54"/>
  <c r="L34" i="54"/>
  <c r="L33" i="54"/>
  <c r="L31" i="54"/>
  <c r="L30" i="54"/>
  <c r="L29" i="54"/>
  <c r="L28" i="54"/>
  <c r="L26" i="54"/>
  <c r="L25" i="54"/>
  <c r="L24" i="54"/>
  <c r="L23" i="54"/>
  <c r="L20" i="54"/>
  <c r="L19" i="54"/>
  <c r="L17" i="54"/>
  <c r="L13" i="54"/>
  <c r="L11" i="54"/>
  <c r="L10" i="54"/>
  <c r="E6" i="54"/>
  <c r="E5" i="54"/>
  <c r="L47" i="53"/>
  <c r="L46" i="53"/>
  <c r="L45" i="53"/>
  <c r="L44" i="53"/>
  <c r="L43" i="53"/>
  <c r="L42" i="53"/>
  <c r="L41" i="53"/>
  <c r="L40" i="53"/>
  <c r="L39" i="53"/>
  <c r="L38" i="53"/>
  <c r="L37" i="53"/>
  <c r="L36" i="53"/>
  <c r="L35" i="53"/>
  <c r="L34" i="53"/>
  <c r="L33" i="53"/>
  <c r="L31" i="53"/>
  <c r="L30" i="53"/>
  <c r="L29" i="53"/>
  <c r="L28" i="53"/>
  <c r="L26" i="53"/>
  <c r="L25" i="53"/>
  <c r="L24" i="53"/>
  <c r="L23" i="53"/>
  <c r="K22" i="53"/>
  <c r="K21" i="53"/>
  <c r="L20" i="53"/>
  <c r="L19" i="53"/>
  <c r="L13" i="53"/>
  <c r="K18" i="53"/>
  <c r="L18" i="53" s="1"/>
  <c r="L11" i="53"/>
  <c r="L10" i="53"/>
  <c r="E6" i="53"/>
  <c r="E5" i="53"/>
  <c r="L47" i="52"/>
  <c r="L46" i="52"/>
  <c r="L45" i="52"/>
  <c r="L44" i="52"/>
  <c r="L43" i="52"/>
  <c r="L42" i="52"/>
  <c r="L41" i="52"/>
  <c r="L40" i="52"/>
  <c r="L39" i="52"/>
  <c r="L38" i="52"/>
  <c r="L37" i="52"/>
  <c r="L36" i="52"/>
  <c r="L35" i="52"/>
  <c r="L34" i="52"/>
  <c r="L33" i="52"/>
  <c r="L31" i="52"/>
  <c r="L30" i="52"/>
  <c r="L29" i="52"/>
  <c r="L28" i="52"/>
  <c r="L26" i="52"/>
  <c r="L25" i="52"/>
  <c r="L24" i="52"/>
  <c r="L23" i="52"/>
  <c r="K22" i="52"/>
  <c r="K21" i="52"/>
  <c r="L20" i="52"/>
  <c r="L19" i="52"/>
  <c r="L13" i="52"/>
  <c r="K15" i="52"/>
  <c r="L15" i="52" s="1"/>
  <c r="L11" i="52"/>
  <c r="L10" i="52"/>
  <c r="E6" i="52"/>
  <c r="E5" i="52"/>
  <c r="K12" i="51"/>
  <c r="K15" i="51" s="1"/>
  <c r="L15" i="51" s="1"/>
  <c r="L47" i="51"/>
  <c r="L46" i="51"/>
  <c r="L45" i="51"/>
  <c r="L44" i="51"/>
  <c r="L43" i="51"/>
  <c r="L42" i="51"/>
  <c r="L41" i="51"/>
  <c r="L40" i="51"/>
  <c r="L39" i="51"/>
  <c r="L38" i="51"/>
  <c r="L37" i="51"/>
  <c r="L36" i="51"/>
  <c r="L35" i="51"/>
  <c r="L34" i="51"/>
  <c r="L33" i="51"/>
  <c r="L31" i="51"/>
  <c r="L30" i="51"/>
  <c r="L29" i="51"/>
  <c r="L28" i="51"/>
  <c r="L26" i="51"/>
  <c r="L25" i="51"/>
  <c r="L24" i="51"/>
  <c r="L23" i="51"/>
  <c r="K22" i="51"/>
  <c r="K21" i="51"/>
  <c r="L20" i="51"/>
  <c r="L19" i="51"/>
  <c r="L13" i="51"/>
  <c r="L11" i="51"/>
  <c r="L10" i="51"/>
  <c r="E6" i="51"/>
  <c r="E5" i="51"/>
  <c r="K12" i="50"/>
  <c r="K15" i="50" s="1"/>
  <c r="L15" i="50" s="1"/>
  <c r="L47" i="50"/>
  <c r="L46" i="50"/>
  <c r="L45" i="50"/>
  <c r="L44" i="50"/>
  <c r="L43" i="50"/>
  <c r="L42" i="50"/>
  <c r="L41" i="50"/>
  <c r="L40" i="50"/>
  <c r="L39" i="50"/>
  <c r="L38" i="50"/>
  <c r="L37" i="50"/>
  <c r="L36" i="50"/>
  <c r="L35" i="50"/>
  <c r="L34" i="50"/>
  <c r="L33" i="50"/>
  <c r="L31" i="50"/>
  <c r="L30" i="50"/>
  <c r="L29" i="50"/>
  <c r="L28" i="50"/>
  <c r="L26" i="50"/>
  <c r="L25" i="50"/>
  <c r="L24" i="50"/>
  <c r="L23" i="50"/>
  <c r="K22" i="50"/>
  <c r="K21" i="50"/>
  <c r="L20" i="50"/>
  <c r="L19" i="50"/>
  <c r="L13" i="50"/>
  <c r="L11" i="50"/>
  <c r="L10" i="50"/>
  <c r="E6" i="50"/>
  <c r="E5" i="50"/>
  <c r="K12" i="49"/>
  <c r="K18" i="49" s="1"/>
  <c r="L18" i="49" s="1"/>
  <c r="L47" i="49"/>
  <c r="L46" i="49"/>
  <c r="L45" i="49"/>
  <c r="L44" i="49"/>
  <c r="L43" i="49"/>
  <c r="L42" i="49"/>
  <c r="L41" i="49"/>
  <c r="L40" i="49"/>
  <c r="L39" i="49"/>
  <c r="L38" i="49"/>
  <c r="L37" i="49"/>
  <c r="L36" i="49"/>
  <c r="L35" i="49"/>
  <c r="L34" i="49"/>
  <c r="L33" i="49"/>
  <c r="L31" i="49"/>
  <c r="L30" i="49"/>
  <c r="L29" i="49"/>
  <c r="L28" i="49"/>
  <c r="L26" i="49"/>
  <c r="L25" i="49"/>
  <c r="L24" i="49"/>
  <c r="L23" i="49"/>
  <c r="K22" i="49"/>
  <c r="K21" i="49"/>
  <c r="L20" i="49"/>
  <c r="L19" i="49"/>
  <c r="L13" i="49"/>
  <c r="L11" i="49"/>
  <c r="L10" i="49"/>
  <c r="E6" i="49"/>
  <c r="E5" i="49"/>
  <c r="K12" i="48"/>
  <c r="L19" i="48" s="1"/>
  <c r="L47" i="48"/>
  <c r="L46" i="48"/>
  <c r="L45" i="48"/>
  <c r="L44" i="48"/>
  <c r="L43" i="48"/>
  <c r="L42" i="48"/>
  <c r="L41" i="48"/>
  <c r="L40" i="48"/>
  <c r="L39" i="48"/>
  <c r="L38" i="48"/>
  <c r="L37" i="48"/>
  <c r="L36" i="48"/>
  <c r="L35" i="48"/>
  <c r="L34" i="48"/>
  <c r="L33" i="48"/>
  <c r="L31" i="48"/>
  <c r="L30" i="48"/>
  <c r="L29" i="48"/>
  <c r="L28" i="48"/>
  <c r="L26" i="48"/>
  <c r="L25" i="48"/>
  <c r="L24" i="48"/>
  <c r="L23" i="48"/>
  <c r="K22" i="48"/>
  <c r="K21" i="48"/>
  <c r="L20" i="48"/>
  <c r="L13" i="48"/>
  <c r="L11" i="48"/>
  <c r="L10" i="48"/>
  <c r="E6" i="48"/>
  <c r="E5" i="48"/>
  <c r="K12" i="47"/>
  <c r="K15" i="47" s="1"/>
  <c r="L15" i="47" s="1"/>
  <c r="L47" i="47"/>
  <c r="L46" i="47"/>
  <c r="L45" i="47"/>
  <c r="L44" i="47"/>
  <c r="L43" i="47"/>
  <c r="L42" i="47"/>
  <c r="L41" i="47"/>
  <c r="L40" i="47"/>
  <c r="L39" i="47"/>
  <c r="L38" i="47"/>
  <c r="L37" i="47"/>
  <c r="L36" i="47"/>
  <c r="L35" i="47"/>
  <c r="L34" i="47"/>
  <c r="L33" i="47"/>
  <c r="L31" i="47"/>
  <c r="L30" i="47"/>
  <c r="L29" i="47"/>
  <c r="L28" i="47"/>
  <c r="L26" i="47"/>
  <c r="L25" i="47"/>
  <c r="L24" i="47"/>
  <c r="L23" i="47"/>
  <c r="K22" i="47"/>
  <c r="K21" i="47"/>
  <c r="L20" i="47"/>
  <c r="L13" i="47"/>
  <c r="L11" i="47"/>
  <c r="L10" i="47"/>
  <c r="E6" i="47"/>
  <c r="E5" i="47"/>
  <c r="K12" i="46"/>
  <c r="K16" i="46" s="1"/>
  <c r="L16" i="46" s="1"/>
  <c r="L47" i="46"/>
  <c r="L46" i="46"/>
  <c r="L45" i="46"/>
  <c r="L44" i="46"/>
  <c r="L43" i="46"/>
  <c r="L42" i="46"/>
  <c r="L41" i="46"/>
  <c r="L40" i="46"/>
  <c r="L39" i="46"/>
  <c r="L38" i="46"/>
  <c r="L37" i="46"/>
  <c r="L36" i="46"/>
  <c r="L35" i="46"/>
  <c r="L34" i="46"/>
  <c r="L33" i="46"/>
  <c r="L31" i="46"/>
  <c r="L30" i="46"/>
  <c r="L29" i="46"/>
  <c r="L28" i="46"/>
  <c r="L26" i="46"/>
  <c r="L25" i="46"/>
  <c r="L24" i="46"/>
  <c r="L23" i="46"/>
  <c r="K22" i="46"/>
  <c r="K21" i="46"/>
  <c r="L20" i="46"/>
  <c r="L13" i="46"/>
  <c r="L11" i="46"/>
  <c r="L10" i="46"/>
  <c r="E6" i="46"/>
  <c r="E5" i="46"/>
  <c r="K22" i="45"/>
  <c r="K21" i="45"/>
  <c r="K12" i="45"/>
  <c r="K16" i="45" s="1"/>
  <c r="L16" i="45" s="1"/>
  <c r="L47" i="45"/>
  <c r="L46" i="45"/>
  <c r="L45" i="45"/>
  <c r="L44" i="45"/>
  <c r="L43" i="45"/>
  <c r="L42" i="45"/>
  <c r="L41" i="45"/>
  <c r="L40" i="45"/>
  <c r="L39" i="45"/>
  <c r="L38" i="45"/>
  <c r="L37" i="45"/>
  <c r="L36" i="45"/>
  <c r="L35" i="45"/>
  <c r="L34" i="45"/>
  <c r="L33" i="45"/>
  <c r="L31" i="45"/>
  <c r="L30" i="45"/>
  <c r="L29" i="45"/>
  <c r="L28" i="45"/>
  <c r="L26" i="45"/>
  <c r="L25" i="45"/>
  <c r="L24" i="45"/>
  <c r="L23" i="45"/>
  <c r="L20" i="45"/>
  <c r="L13" i="45"/>
  <c r="L11" i="45"/>
  <c r="L10" i="45"/>
  <c r="E6" i="45"/>
  <c r="E5" i="45"/>
  <c r="K12" i="44"/>
  <c r="K19" i="44" s="1"/>
  <c r="L19" i="44" s="1"/>
  <c r="L47" i="44"/>
  <c r="L46" i="44"/>
  <c r="L45" i="44"/>
  <c r="L44" i="44"/>
  <c r="L43" i="44"/>
  <c r="L42" i="44"/>
  <c r="L41" i="44"/>
  <c r="L40" i="44"/>
  <c r="L39" i="44"/>
  <c r="L38" i="44"/>
  <c r="L37" i="44"/>
  <c r="L36" i="44"/>
  <c r="L35" i="44"/>
  <c r="L34" i="44"/>
  <c r="L33" i="44"/>
  <c r="L31" i="44"/>
  <c r="L30" i="44"/>
  <c r="L29" i="44"/>
  <c r="L28" i="44"/>
  <c r="L26" i="44"/>
  <c r="L25" i="44"/>
  <c r="L24" i="44"/>
  <c r="L23" i="44"/>
  <c r="K22" i="44"/>
  <c r="K21" i="44"/>
  <c r="L20" i="44"/>
  <c r="L13" i="44"/>
  <c r="L11" i="44"/>
  <c r="L10" i="44"/>
  <c r="E6" i="44"/>
  <c r="E5" i="44"/>
  <c r="K12" i="43"/>
  <c r="K18" i="43" s="1"/>
  <c r="L18" i="43" s="1"/>
  <c r="K12" i="42"/>
  <c r="K19" i="42" s="1"/>
  <c r="L19" i="42" s="1"/>
  <c r="L47" i="43"/>
  <c r="L46" i="43"/>
  <c r="L45" i="43"/>
  <c r="L44" i="43"/>
  <c r="L43" i="43"/>
  <c r="L42" i="43"/>
  <c r="L41" i="43"/>
  <c r="L40" i="43"/>
  <c r="L39" i="43"/>
  <c r="L38" i="43"/>
  <c r="L37" i="43"/>
  <c r="L36" i="43"/>
  <c r="L35" i="43"/>
  <c r="L34" i="43"/>
  <c r="L33" i="43"/>
  <c r="L31" i="43"/>
  <c r="L30" i="43"/>
  <c r="L29" i="43"/>
  <c r="L28" i="43"/>
  <c r="L26" i="43"/>
  <c r="L25" i="43"/>
  <c r="L24" i="43"/>
  <c r="L23" i="43"/>
  <c r="K22" i="43"/>
  <c r="K21" i="43"/>
  <c r="L20" i="43"/>
  <c r="L13" i="43"/>
  <c r="L11" i="43"/>
  <c r="L10" i="43"/>
  <c r="E6" i="43"/>
  <c r="E5" i="43"/>
  <c r="K22" i="42"/>
  <c r="K21" i="42"/>
  <c r="L47" i="42"/>
  <c r="L46" i="42"/>
  <c r="L45" i="42"/>
  <c r="L44" i="42"/>
  <c r="L43" i="42"/>
  <c r="L42" i="42"/>
  <c r="L41" i="42"/>
  <c r="L40" i="42"/>
  <c r="L39" i="42"/>
  <c r="L38" i="42"/>
  <c r="L37" i="42"/>
  <c r="L36" i="42"/>
  <c r="L35" i="42"/>
  <c r="L34" i="42"/>
  <c r="L33" i="42"/>
  <c r="L31" i="42"/>
  <c r="L30" i="42"/>
  <c r="L29" i="42"/>
  <c r="L28" i="42"/>
  <c r="L26" i="42"/>
  <c r="L25" i="42"/>
  <c r="L24" i="42"/>
  <c r="L23" i="42"/>
  <c r="L20" i="42"/>
  <c r="L13" i="42"/>
  <c r="L11" i="42"/>
  <c r="L10" i="42"/>
  <c r="E6" i="42"/>
  <c r="E5" i="42"/>
  <c r="K12" i="41"/>
  <c r="K16" i="41" s="1"/>
  <c r="K20" i="41"/>
  <c r="K22" i="54" l="1"/>
  <c r="K15" i="53"/>
  <c r="L15" i="53" s="1"/>
  <c r="K16" i="53"/>
  <c r="L16" i="53" s="1"/>
  <c r="K15" i="49"/>
  <c r="L15" i="49" s="1"/>
  <c r="K18" i="48"/>
  <c r="L18" i="48" s="1"/>
  <c r="K16" i="49"/>
  <c r="L16" i="49" s="1"/>
  <c r="K16" i="47"/>
  <c r="L16" i="47" s="1"/>
  <c r="K17" i="48"/>
  <c r="L17" i="48" s="1"/>
  <c r="K15" i="54"/>
  <c r="L15" i="54" s="1"/>
  <c r="K14" i="53"/>
  <c r="L14" i="53" s="1"/>
  <c r="K15" i="55"/>
  <c r="L15" i="55" s="1"/>
  <c r="K16" i="52"/>
  <c r="L16" i="52" s="1"/>
  <c r="K17" i="47"/>
  <c r="L17" i="47" s="1"/>
  <c r="K17" i="53"/>
  <c r="L17" i="53" s="1"/>
  <c r="K17" i="52"/>
  <c r="L17" i="52" s="1"/>
  <c r="K19" i="47"/>
  <c r="L19" i="47" s="1"/>
  <c r="K15" i="56"/>
  <c r="L15" i="56" s="1"/>
  <c r="K16" i="56"/>
  <c r="L16" i="56" s="1"/>
  <c r="K18" i="56"/>
  <c r="L18" i="56" s="1"/>
  <c r="K18" i="55"/>
  <c r="L18" i="55" s="1"/>
  <c r="K14" i="55"/>
  <c r="L14" i="55" s="1"/>
  <c r="K18" i="54"/>
  <c r="L18" i="54" s="1"/>
  <c r="K16" i="55"/>
  <c r="L16" i="55" s="1"/>
  <c r="K14" i="54"/>
  <c r="L14" i="54" s="1"/>
  <c r="K14" i="52"/>
  <c r="L14" i="52" s="1"/>
  <c r="K18" i="52"/>
  <c r="L18" i="52" s="1"/>
  <c r="K16" i="51"/>
  <c r="L16" i="51" s="1"/>
  <c r="K17" i="51"/>
  <c r="L17" i="51" s="1"/>
  <c r="K14" i="51"/>
  <c r="L14" i="51" s="1"/>
  <c r="K18" i="51"/>
  <c r="L18" i="51" s="1"/>
  <c r="K16" i="50"/>
  <c r="L16" i="50" s="1"/>
  <c r="K17" i="50"/>
  <c r="L17" i="50" s="1"/>
  <c r="K14" i="50"/>
  <c r="L14" i="50" s="1"/>
  <c r="K18" i="50"/>
  <c r="L18" i="50" s="1"/>
  <c r="K17" i="49"/>
  <c r="L17" i="49" s="1"/>
  <c r="K14" i="49"/>
  <c r="L14" i="49" s="1"/>
  <c r="K16" i="48"/>
  <c r="L16" i="48" s="1"/>
  <c r="K14" i="48"/>
  <c r="L14" i="48" s="1"/>
  <c r="K15" i="48"/>
  <c r="L15" i="48" s="1"/>
  <c r="K18" i="47"/>
  <c r="L18" i="47" s="1"/>
  <c r="K14" i="47"/>
  <c r="L14" i="47" s="1"/>
  <c r="K18" i="46"/>
  <c r="L18" i="46" s="1"/>
  <c r="K19" i="46"/>
  <c r="L19" i="46" s="1"/>
  <c r="K17" i="46"/>
  <c r="L17" i="46" s="1"/>
  <c r="K14" i="46"/>
  <c r="L14" i="46" s="1"/>
  <c r="K15" i="46"/>
  <c r="L15" i="46" s="1"/>
  <c r="K14" i="45"/>
  <c r="L14" i="45" s="1"/>
  <c r="K17" i="45"/>
  <c r="L17" i="45" s="1"/>
  <c r="K18" i="45"/>
  <c r="L18" i="45" s="1"/>
  <c r="K15" i="45"/>
  <c r="L15" i="45" s="1"/>
  <c r="K19" i="45"/>
  <c r="L19" i="45" s="1"/>
  <c r="K18" i="44"/>
  <c r="L18" i="44" s="1"/>
  <c r="K17" i="44"/>
  <c r="L17" i="44" s="1"/>
  <c r="K15" i="44"/>
  <c r="L15" i="44" s="1"/>
  <c r="K16" i="44"/>
  <c r="L16" i="44" s="1"/>
  <c r="K14" i="44"/>
  <c r="L14" i="44" s="1"/>
  <c r="K17" i="43"/>
  <c r="L17" i="43" s="1"/>
  <c r="K18" i="42"/>
  <c r="L18" i="42" s="1"/>
  <c r="K14" i="42"/>
  <c r="L14" i="42" s="1"/>
  <c r="K15" i="42"/>
  <c r="L15" i="42" s="1"/>
  <c r="K16" i="42"/>
  <c r="L16" i="42" s="1"/>
  <c r="K17" i="42"/>
  <c r="L17" i="42" s="1"/>
  <c r="K14" i="43"/>
  <c r="L14" i="43" s="1"/>
  <c r="K15" i="43"/>
  <c r="L15" i="43" s="1"/>
  <c r="K19" i="43"/>
  <c r="L19" i="43" s="1"/>
  <c r="K16" i="43"/>
  <c r="L16" i="43" s="1"/>
  <c r="K17" i="41"/>
  <c r="L17" i="41" s="1"/>
  <c r="K18" i="41"/>
  <c r="L18" i="41" s="1"/>
  <c r="K14" i="41"/>
  <c r="L14" i="41" s="1"/>
  <c r="K15" i="41"/>
  <c r="L15" i="41" s="1"/>
  <c r="L47" i="41"/>
  <c r="L46" i="41"/>
  <c r="L45" i="41"/>
  <c r="L44" i="41"/>
  <c r="L43" i="41"/>
  <c r="L42" i="41"/>
  <c r="L41" i="41"/>
  <c r="L40" i="41"/>
  <c r="L39" i="41"/>
  <c r="L38" i="41"/>
  <c r="L37" i="41"/>
  <c r="L36" i="41"/>
  <c r="L35" i="41"/>
  <c r="L34" i="41"/>
  <c r="L33" i="41"/>
  <c r="L31" i="41"/>
  <c r="L30" i="41"/>
  <c r="L29" i="41"/>
  <c r="L28" i="41"/>
  <c r="L26" i="41"/>
  <c r="L25" i="41"/>
  <c r="L24" i="41"/>
  <c r="L23" i="41"/>
  <c r="L22" i="41"/>
  <c r="L13" i="41"/>
  <c r="L11" i="41"/>
  <c r="L10" i="41"/>
  <c r="E6" i="41"/>
  <c r="E5" i="41"/>
  <c r="K23" i="40"/>
  <c r="K21" i="40"/>
  <c r="K26" i="39"/>
  <c r="C24" i="40"/>
  <c r="L24" i="40" s="1"/>
  <c r="L47" i="40"/>
  <c r="K46" i="40"/>
  <c r="L46" i="40" s="1"/>
  <c r="K45" i="40"/>
  <c r="L45" i="40" s="1"/>
  <c r="K44" i="40"/>
  <c r="L44" i="40" s="1"/>
  <c r="K43" i="40"/>
  <c r="L43" i="40" s="1"/>
  <c r="K42" i="40"/>
  <c r="L42" i="40" s="1"/>
  <c r="K41" i="40"/>
  <c r="L41" i="40" s="1"/>
  <c r="K40" i="40"/>
  <c r="L40" i="40" s="1"/>
  <c r="K39" i="40"/>
  <c r="L39" i="40" s="1"/>
  <c r="K38" i="40"/>
  <c r="L38" i="40" s="1"/>
  <c r="K37" i="40"/>
  <c r="L36" i="40"/>
  <c r="K35" i="40"/>
  <c r="K34" i="40"/>
  <c r="L34" i="40" s="1"/>
  <c r="L33" i="40"/>
  <c r="L32" i="40"/>
  <c r="L31" i="40"/>
  <c r="L30" i="40"/>
  <c r="L29" i="40"/>
  <c r="L28" i="40"/>
  <c r="C25" i="40"/>
  <c r="L25" i="40" s="1"/>
  <c r="L22" i="40"/>
  <c r="L20" i="40"/>
  <c r="K19" i="40"/>
  <c r="K18" i="40"/>
  <c r="K17" i="40"/>
  <c r="C17" i="40"/>
  <c r="K16" i="40"/>
  <c r="K15" i="40"/>
  <c r="K14" i="40"/>
  <c r="K13" i="40"/>
  <c r="K12" i="40"/>
  <c r="C12" i="40"/>
  <c r="L11" i="40"/>
  <c r="L10" i="40"/>
  <c r="E6" i="40"/>
  <c r="E5" i="40"/>
  <c r="K25" i="39"/>
  <c r="K24" i="39"/>
  <c r="K23" i="39"/>
  <c r="K22" i="39"/>
  <c r="L22" i="39" s="1"/>
  <c r="K21" i="39"/>
  <c r="K20" i="39"/>
  <c r="L20" i="39" s="1"/>
  <c r="C25" i="39"/>
  <c r="C24" i="39"/>
  <c r="C12" i="39"/>
  <c r="K19" i="39"/>
  <c r="C12" i="38"/>
  <c r="K31" i="38"/>
  <c r="L47" i="39"/>
  <c r="K46" i="39"/>
  <c r="L46" i="39" s="1"/>
  <c r="K45" i="39"/>
  <c r="L45" i="39" s="1"/>
  <c r="K44" i="39"/>
  <c r="L44" i="39" s="1"/>
  <c r="K43" i="39"/>
  <c r="L43" i="39" s="1"/>
  <c r="K42" i="39"/>
  <c r="L42" i="39" s="1"/>
  <c r="K41" i="39"/>
  <c r="L41" i="39" s="1"/>
  <c r="K40" i="39"/>
  <c r="L40" i="39" s="1"/>
  <c r="K39" i="39"/>
  <c r="L39" i="39" s="1"/>
  <c r="K38" i="39"/>
  <c r="L38" i="39" s="1"/>
  <c r="K37" i="39"/>
  <c r="L36" i="39"/>
  <c r="K35" i="39"/>
  <c r="K34" i="39"/>
  <c r="L34" i="39" s="1"/>
  <c r="L33" i="39"/>
  <c r="L32" i="39"/>
  <c r="L31" i="39"/>
  <c r="L30" i="39"/>
  <c r="L29" i="39"/>
  <c r="L28" i="39"/>
  <c r="K18" i="39"/>
  <c r="K17" i="39"/>
  <c r="C17" i="39"/>
  <c r="K16" i="39"/>
  <c r="K15" i="39"/>
  <c r="K14" i="39"/>
  <c r="K13" i="39"/>
  <c r="K12" i="39"/>
  <c r="L11" i="39"/>
  <c r="L10" i="39"/>
  <c r="E6" i="39"/>
  <c r="E5" i="39"/>
  <c r="K20" i="38"/>
  <c r="K19" i="38"/>
  <c r="K18" i="38"/>
  <c r="K17" i="38"/>
  <c r="C17" i="38"/>
  <c r="K16" i="38"/>
  <c r="K15" i="38"/>
  <c r="K14" i="38"/>
  <c r="K13" i="38"/>
  <c r="K12" i="38"/>
  <c r="L35" i="40" l="1"/>
  <c r="L35" i="39"/>
  <c r="L17" i="40"/>
  <c r="L16" i="41"/>
  <c r="L12" i="40"/>
  <c r="L25" i="39"/>
  <c r="L24" i="39"/>
  <c r="L17" i="39"/>
  <c r="K47" i="38"/>
  <c r="L47" i="38" s="1"/>
  <c r="K46" i="38"/>
  <c r="L46" i="38" s="1"/>
  <c r="K45" i="38"/>
  <c r="L45" i="38" s="1"/>
  <c r="K44" i="38"/>
  <c r="L44" i="38" s="1"/>
  <c r="K43" i="38"/>
  <c r="L43" i="38" s="1"/>
  <c r="K42" i="38"/>
  <c r="L42" i="38" s="1"/>
  <c r="K41" i="38"/>
  <c r="L41" i="38" s="1"/>
  <c r="K40" i="38"/>
  <c r="L40" i="38" s="1"/>
  <c r="K39" i="38"/>
  <c r="L39" i="38" s="1"/>
  <c r="K38" i="38"/>
  <c r="L37" i="38"/>
  <c r="K36" i="38"/>
  <c r="K35" i="38"/>
  <c r="L34" i="38"/>
  <c r="L33" i="38"/>
  <c r="K30" i="38"/>
  <c r="L30" i="38" s="1"/>
  <c r="K29" i="38"/>
  <c r="L29" i="38" s="1"/>
  <c r="K28" i="38"/>
  <c r="K27" i="38"/>
  <c r="K26" i="38"/>
  <c r="K25" i="38"/>
  <c r="K24" i="38"/>
  <c r="K23" i="38"/>
  <c r="K22" i="38"/>
  <c r="K21" i="38"/>
  <c r="L20" i="38"/>
  <c r="L11" i="38"/>
  <c r="L10" i="38"/>
  <c r="E6" i="38"/>
  <c r="E5" i="38"/>
  <c r="K29" i="37"/>
  <c r="K27" i="37"/>
  <c r="K25" i="37"/>
  <c r="K26" i="37"/>
  <c r="K21" i="37"/>
  <c r="K22" i="37"/>
  <c r="K23" i="37"/>
  <c r="K24" i="37"/>
  <c r="K20" i="37"/>
  <c r="K19" i="37"/>
  <c r="K18" i="37"/>
  <c r="K17" i="37"/>
  <c r="K16" i="37"/>
  <c r="K15" i="37"/>
  <c r="K14" i="37"/>
  <c r="K13" i="37"/>
  <c r="K12" i="37"/>
  <c r="C26" i="37"/>
  <c r="L35" i="38" l="1"/>
  <c r="L36" i="38"/>
  <c r="C17" i="37"/>
  <c r="C16" i="37"/>
  <c r="K28" i="33"/>
  <c r="K27" i="33"/>
  <c r="K26" i="36"/>
  <c r="K25" i="36"/>
  <c r="K26" i="35"/>
  <c r="K25" i="35"/>
  <c r="C28" i="33"/>
  <c r="C26" i="36"/>
  <c r="C27" i="33"/>
  <c r="C25" i="36"/>
  <c r="C26" i="35"/>
  <c r="C25" i="35"/>
  <c r="L48" i="37" l="1"/>
  <c r="L47" i="37"/>
  <c r="K46" i="37"/>
  <c r="L46" i="37" s="1"/>
  <c r="K45" i="37"/>
  <c r="L45" i="37" s="1"/>
  <c r="K44" i="37"/>
  <c r="L44" i="37" s="1"/>
  <c r="K43" i="37"/>
  <c r="L43" i="37" s="1"/>
  <c r="K42" i="37"/>
  <c r="L42" i="37" s="1"/>
  <c r="K41" i="37"/>
  <c r="L41" i="37" s="1"/>
  <c r="K40" i="37"/>
  <c r="L40" i="37" s="1"/>
  <c r="K39" i="37"/>
  <c r="L39" i="37" s="1"/>
  <c r="K38" i="37"/>
  <c r="L38" i="37" s="1"/>
  <c r="K37" i="37"/>
  <c r="L36" i="37"/>
  <c r="L35" i="37"/>
  <c r="K34" i="37"/>
  <c r="K33" i="37"/>
  <c r="L32" i="37"/>
  <c r="L31" i="37"/>
  <c r="L27" i="37"/>
  <c r="L26" i="37"/>
  <c r="L17" i="37"/>
  <c r="L16" i="37"/>
  <c r="C13" i="37"/>
  <c r="L13" i="37" s="1"/>
  <c r="L11" i="37"/>
  <c r="L10" i="37"/>
  <c r="E6" i="37"/>
  <c r="E5" i="37"/>
  <c r="K21" i="36"/>
  <c r="K22" i="36"/>
  <c r="K23" i="36"/>
  <c r="K24" i="36"/>
  <c r="L34" i="37" l="1"/>
  <c r="L33" i="37"/>
  <c r="L47" i="36"/>
  <c r="K46" i="36"/>
  <c r="L46" i="36" s="1"/>
  <c r="K45" i="36"/>
  <c r="L45" i="36" s="1"/>
  <c r="K44" i="36"/>
  <c r="L44" i="36" s="1"/>
  <c r="K43" i="36"/>
  <c r="L43" i="36" s="1"/>
  <c r="K42" i="36"/>
  <c r="L42" i="36" s="1"/>
  <c r="K41" i="36"/>
  <c r="L41" i="36" s="1"/>
  <c r="K40" i="36"/>
  <c r="L40" i="36" s="1"/>
  <c r="K39" i="36"/>
  <c r="L39" i="36" s="1"/>
  <c r="K38" i="36"/>
  <c r="L38" i="36" s="1"/>
  <c r="K37" i="36"/>
  <c r="L36" i="36"/>
  <c r="K35" i="36"/>
  <c r="K34" i="36"/>
  <c r="L33" i="36"/>
  <c r="L32" i="36"/>
  <c r="L31" i="36"/>
  <c r="L30" i="36"/>
  <c r="L29" i="36"/>
  <c r="L28" i="36"/>
  <c r="L26" i="36"/>
  <c r="L25" i="36"/>
  <c r="K20" i="36"/>
  <c r="C20" i="36"/>
  <c r="K19" i="36"/>
  <c r="K18" i="36"/>
  <c r="K17" i="36"/>
  <c r="K16" i="36"/>
  <c r="K15" i="36"/>
  <c r="K14" i="36"/>
  <c r="K13" i="36"/>
  <c r="C13" i="36"/>
  <c r="K12" i="36"/>
  <c r="L11" i="36"/>
  <c r="L10" i="36"/>
  <c r="E6" i="36"/>
  <c r="E5" i="36"/>
  <c r="K24" i="35"/>
  <c r="K23" i="35"/>
  <c r="K22" i="35"/>
  <c r="K21" i="35"/>
  <c r="L47" i="35"/>
  <c r="K46" i="35"/>
  <c r="L46" i="35" s="1"/>
  <c r="K45" i="35"/>
  <c r="L45" i="35" s="1"/>
  <c r="K44" i="35"/>
  <c r="L44" i="35" s="1"/>
  <c r="K43" i="35"/>
  <c r="L43" i="35" s="1"/>
  <c r="K42" i="35"/>
  <c r="L42" i="35" s="1"/>
  <c r="K41" i="35"/>
  <c r="L41" i="35" s="1"/>
  <c r="K40" i="35"/>
  <c r="L40" i="35" s="1"/>
  <c r="K39" i="35"/>
  <c r="L39" i="35" s="1"/>
  <c r="K38" i="35"/>
  <c r="L38" i="35" s="1"/>
  <c r="K37" i="35"/>
  <c r="L36" i="35"/>
  <c r="K35" i="35"/>
  <c r="L35" i="35" s="1"/>
  <c r="K34" i="35"/>
  <c r="L33" i="35"/>
  <c r="L32" i="35"/>
  <c r="L31" i="35"/>
  <c r="L30" i="35"/>
  <c r="L29" i="35"/>
  <c r="L28" i="35"/>
  <c r="L26" i="35"/>
  <c r="L25" i="35"/>
  <c r="K20" i="35"/>
  <c r="C20" i="35"/>
  <c r="K19" i="35"/>
  <c r="K18" i="35"/>
  <c r="K17" i="35"/>
  <c r="K16" i="35"/>
  <c r="K15" i="35"/>
  <c r="K14" i="35"/>
  <c r="K13" i="35"/>
  <c r="C13" i="35"/>
  <c r="K12" i="35"/>
  <c r="L11" i="35"/>
  <c r="L10" i="35"/>
  <c r="E6" i="35"/>
  <c r="E5" i="35"/>
  <c r="L13" i="35" l="1"/>
  <c r="L35" i="36"/>
  <c r="L34" i="35"/>
  <c r="L34" i="36"/>
  <c r="L13" i="36"/>
  <c r="L20" i="35"/>
  <c r="L20" i="36"/>
  <c r="C28" i="32"/>
  <c r="C20" i="33"/>
  <c r="C20" i="34"/>
  <c r="F116" i="28"/>
  <c r="F115" i="28"/>
  <c r="K31" i="34"/>
  <c r="K30" i="34"/>
  <c r="K29" i="34"/>
  <c r="K27" i="34"/>
  <c r="C116" i="28"/>
  <c r="C115" i="28"/>
  <c r="K23" i="34"/>
  <c r="K24" i="34"/>
  <c r="K25" i="34"/>
  <c r="K26" i="34"/>
  <c r="K28" i="34"/>
  <c r="K22" i="34"/>
  <c r="K21" i="34"/>
  <c r="C126" i="28" l="1"/>
  <c r="C127" i="28" s="1"/>
  <c r="C124" i="28"/>
  <c r="C24" i="34" s="1"/>
  <c r="C25" i="38" l="1"/>
  <c r="L25" i="38" s="1"/>
  <c r="C125" i="28"/>
  <c r="C23" i="34" s="1"/>
  <c r="L23" i="34" s="1"/>
  <c r="C24" i="38"/>
  <c r="L24" i="38" s="1"/>
  <c r="C25" i="34"/>
  <c r="L25" i="34" s="1"/>
  <c r="L49" i="34"/>
  <c r="K48" i="34"/>
  <c r="L48" i="34" s="1"/>
  <c r="K47" i="34"/>
  <c r="L47" i="34" s="1"/>
  <c r="K46" i="34"/>
  <c r="L46" i="34" s="1"/>
  <c r="K45" i="34"/>
  <c r="L45" i="34" s="1"/>
  <c r="K44" i="34"/>
  <c r="L44" i="34" s="1"/>
  <c r="K43" i="34"/>
  <c r="L43" i="34" s="1"/>
  <c r="K42" i="34"/>
  <c r="L42" i="34" s="1"/>
  <c r="K41" i="34"/>
  <c r="L41" i="34" s="1"/>
  <c r="K40" i="34"/>
  <c r="L40" i="34" s="1"/>
  <c r="K39" i="34"/>
  <c r="L38" i="34"/>
  <c r="K37" i="34"/>
  <c r="K36" i="34"/>
  <c r="L35" i="34"/>
  <c r="L34" i="34"/>
  <c r="L30" i="34"/>
  <c r="L29" i="34"/>
  <c r="L24" i="34"/>
  <c r="K20" i="34"/>
  <c r="K19" i="34"/>
  <c r="K18" i="34"/>
  <c r="K17" i="34"/>
  <c r="K16" i="34"/>
  <c r="K15" i="34"/>
  <c r="K14" i="34"/>
  <c r="K13" i="34"/>
  <c r="C13" i="34"/>
  <c r="K12" i="34"/>
  <c r="L11" i="34"/>
  <c r="L10" i="34"/>
  <c r="E6" i="34"/>
  <c r="E5" i="34"/>
  <c r="K24" i="33"/>
  <c r="K23" i="33"/>
  <c r="C23" i="38" l="1"/>
  <c r="L23" i="38" s="1"/>
  <c r="C26" i="34"/>
  <c r="L26" i="34" s="1"/>
  <c r="C26" i="38"/>
  <c r="L26" i="38" s="1"/>
  <c r="L20" i="34"/>
  <c r="L37" i="34"/>
  <c r="L13" i="34"/>
  <c r="L36" i="34"/>
  <c r="K26" i="33"/>
  <c r="K25" i="33"/>
  <c r="K22" i="33" l="1"/>
  <c r="K21" i="33"/>
  <c r="C13" i="33" l="1"/>
  <c r="P106" i="28" l="1"/>
  <c r="P105" i="28"/>
  <c r="U103" i="28"/>
  <c r="T103" i="28"/>
  <c r="Q103" i="28"/>
  <c r="P103" i="28"/>
  <c r="U102" i="28"/>
  <c r="T102" i="28"/>
  <c r="Q102" i="28"/>
  <c r="P102" i="28"/>
  <c r="Q114" i="28" l="1"/>
  <c r="C21" i="77" s="1"/>
  <c r="L21" i="77" s="1"/>
  <c r="Q111" i="28"/>
  <c r="C18" i="77" s="1"/>
  <c r="L18" i="77" s="1"/>
  <c r="Q112" i="28"/>
  <c r="C19" i="77" s="1"/>
  <c r="P111" i="28"/>
  <c r="P113" i="28"/>
  <c r="P114" i="28"/>
  <c r="C22" i="32" s="1"/>
  <c r="P112" i="28"/>
  <c r="C20" i="32" s="1"/>
  <c r="Q113" i="28"/>
  <c r="C20" i="77" s="1"/>
  <c r="L20" i="77" s="1"/>
  <c r="K16" i="33"/>
  <c r="L19" i="77" l="1"/>
  <c r="C26" i="77"/>
  <c r="L26" i="77" s="1"/>
  <c r="C21" i="37"/>
  <c r="L21" i="37" s="1"/>
  <c r="C20" i="37"/>
  <c r="L20" i="37" s="1"/>
  <c r="I75" i="28"/>
  <c r="M80" i="28" s="1"/>
  <c r="C19" i="37"/>
  <c r="L19" i="37" s="1"/>
  <c r="I74" i="28"/>
  <c r="M79" i="28" s="1"/>
  <c r="C18" i="37"/>
  <c r="I86" i="28"/>
  <c r="M86" i="28" s="1"/>
  <c r="I87" i="28"/>
  <c r="M87" i="28" s="1"/>
  <c r="C21" i="32"/>
  <c r="C19" i="32"/>
  <c r="G95" i="28"/>
  <c r="G87" i="28"/>
  <c r="C26" i="32"/>
  <c r="K12" i="33"/>
  <c r="K13" i="33"/>
  <c r="K14" i="33"/>
  <c r="K15" i="33"/>
  <c r="K17" i="33"/>
  <c r="K18" i="33"/>
  <c r="K19" i="33"/>
  <c r="K20" i="33"/>
  <c r="L49" i="33"/>
  <c r="L48" i="33"/>
  <c r="K47" i="33"/>
  <c r="L47" i="33" s="1"/>
  <c r="K46" i="33"/>
  <c r="L46" i="33" s="1"/>
  <c r="K45" i="33"/>
  <c r="L45" i="33" s="1"/>
  <c r="K44" i="33"/>
  <c r="L44" i="33" s="1"/>
  <c r="K43" i="33"/>
  <c r="L43" i="33" s="1"/>
  <c r="K42" i="33"/>
  <c r="L42" i="33" s="1"/>
  <c r="K41" i="33"/>
  <c r="L41" i="33" s="1"/>
  <c r="K40" i="33"/>
  <c r="L40" i="33" s="1"/>
  <c r="K39" i="33"/>
  <c r="L39" i="33" s="1"/>
  <c r="K38" i="33"/>
  <c r="L37" i="33"/>
  <c r="L36" i="33"/>
  <c r="K35" i="33"/>
  <c r="K34" i="33"/>
  <c r="L33" i="33"/>
  <c r="L32" i="33"/>
  <c r="L31" i="33"/>
  <c r="L28" i="33"/>
  <c r="L27" i="33"/>
  <c r="L11" i="33"/>
  <c r="L10" i="33"/>
  <c r="E6" i="33"/>
  <c r="E5" i="33"/>
  <c r="F107" i="28"/>
  <c r="F104" i="28"/>
  <c r="C14" i="32"/>
  <c r="C13" i="32"/>
  <c r="C12" i="32"/>
  <c r="K47" i="32"/>
  <c r="L47" i="32" s="1"/>
  <c r="K46" i="32"/>
  <c r="L46" i="32" s="1"/>
  <c r="K45" i="32"/>
  <c r="L45" i="32" s="1"/>
  <c r="K44" i="32"/>
  <c r="L44" i="32" s="1"/>
  <c r="K43" i="32"/>
  <c r="L43" i="32" s="1"/>
  <c r="K42" i="32"/>
  <c r="L42" i="32" s="1"/>
  <c r="K41" i="32"/>
  <c r="L41" i="32" s="1"/>
  <c r="K40" i="32"/>
  <c r="L40" i="32" s="1"/>
  <c r="K39" i="32"/>
  <c r="L39" i="32" s="1"/>
  <c r="K35" i="32"/>
  <c r="K34" i="32"/>
  <c r="K28" i="32"/>
  <c r="K27" i="32"/>
  <c r="K26" i="32"/>
  <c r="K25" i="32"/>
  <c r="K24" i="32"/>
  <c r="K23" i="32"/>
  <c r="K22" i="32"/>
  <c r="K21" i="32"/>
  <c r="K20" i="32"/>
  <c r="K19" i="32"/>
  <c r="K18" i="32"/>
  <c r="K17" i="32"/>
  <c r="K16" i="32"/>
  <c r="L16" i="32" s="1"/>
  <c r="K15" i="32"/>
  <c r="K14" i="32"/>
  <c r="K13" i="32"/>
  <c r="K12" i="32"/>
  <c r="L36" i="32"/>
  <c r="L37" i="32"/>
  <c r="L30" i="32"/>
  <c r="L33" i="32"/>
  <c r="L29" i="32"/>
  <c r="L49" i="32"/>
  <c r="L48" i="32"/>
  <c r="K38" i="32"/>
  <c r="L11" i="32"/>
  <c r="L10" i="32"/>
  <c r="E6" i="32"/>
  <c r="E5" i="32"/>
  <c r="K21" i="31"/>
  <c r="K20" i="31"/>
  <c r="L19" i="32" l="1"/>
  <c r="C21" i="34"/>
  <c r="L21" i="34" s="1"/>
  <c r="C21" i="38"/>
  <c r="L21" i="38" s="1"/>
  <c r="J74" i="28"/>
  <c r="L18" i="37"/>
  <c r="L79" i="28"/>
  <c r="L80" i="28"/>
  <c r="J75" i="28"/>
  <c r="L35" i="32"/>
  <c r="J87" i="28"/>
  <c r="L87" i="28"/>
  <c r="J86" i="28"/>
  <c r="L86" i="28"/>
  <c r="L35" i="33"/>
  <c r="L28" i="32"/>
  <c r="L34" i="33"/>
  <c r="L14" i="32"/>
  <c r="L20" i="33"/>
  <c r="L13" i="33"/>
  <c r="L34" i="32"/>
  <c r="L26" i="32"/>
  <c r="F111" i="28"/>
  <c r="L22" i="32"/>
  <c r="L21" i="32"/>
  <c r="L20" i="32"/>
  <c r="L13" i="32"/>
  <c r="L12" i="32"/>
  <c r="K19" i="31"/>
  <c r="K18" i="31"/>
  <c r="K17" i="31"/>
  <c r="K16" i="31"/>
  <c r="K15" i="31"/>
  <c r="K14" i="31"/>
  <c r="K13" i="31"/>
  <c r="K12" i="31"/>
  <c r="L37" i="29"/>
  <c r="I80" i="28" l="1"/>
  <c r="C23" i="35" s="1"/>
  <c r="L23" i="35" s="1"/>
  <c r="L23" i="36"/>
  <c r="J89" i="28"/>
  <c r="J90" i="28" s="1"/>
  <c r="J91" i="28" s="1"/>
  <c r="C21" i="33" s="1"/>
  <c r="L21" i="33" s="1"/>
  <c r="L21" i="36"/>
  <c r="C88" i="28"/>
  <c r="C87" i="28"/>
  <c r="C86" i="28"/>
  <c r="C85" i="28"/>
  <c r="C21" i="35" l="1"/>
  <c r="L21" i="35" s="1"/>
  <c r="C97" i="28"/>
  <c r="C96" i="28"/>
  <c r="L12" i="31"/>
  <c r="L10" i="31"/>
  <c r="L47" i="31"/>
  <c r="L33" i="31"/>
  <c r="L32" i="31"/>
  <c r="L31" i="31"/>
  <c r="L30" i="31"/>
  <c r="L29" i="31"/>
  <c r="L28" i="31"/>
  <c r="L24" i="31"/>
  <c r="L23" i="31"/>
  <c r="L22" i="31"/>
  <c r="L15" i="31"/>
  <c r="L13" i="31"/>
  <c r="L11" i="31"/>
  <c r="E6" i="31"/>
  <c r="E5" i="31"/>
  <c r="L74" i="28"/>
  <c r="L73" i="28"/>
  <c r="E52" i="1"/>
  <c r="J24" i="1"/>
  <c r="L24" i="30"/>
  <c r="L25" i="30"/>
  <c r="L18" i="30"/>
  <c r="E6" i="30"/>
  <c r="E5" i="30"/>
  <c r="L75" i="28" l="1"/>
  <c r="E55" i="1" s="1"/>
  <c r="M63" i="28" s="1"/>
  <c r="L17" i="30"/>
  <c r="C33" i="29"/>
  <c r="M62" i="28"/>
  <c r="C31" i="29"/>
  <c r="C30" i="29"/>
  <c r="K33" i="29"/>
  <c r="K32" i="29"/>
  <c r="K31" i="29"/>
  <c r="K30" i="29"/>
  <c r="L23" i="29"/>
  <c r="L24" i="29"/>
  <c r="K13" i="7"/>
  <c r="K14" i="7"/>
  <c r="K15" i="7"/>
  <c r="K12" i="7"/>
  <c r="K11" i="7"/>
  <c r="K10" i="7"/>
  <c r="D30" i="29"/>
  <c r="E80" i="28"/>
  <c r="E79" i="28"/>
  <c r="C14" i="29" s="1"/>
  <c r="L29" i="29"/>
  <c r="E6" i="29"/>
  <c r="E5" i="29"/>
  <c r="L33" i="29" l="1"/>
  <c r="L68" i="28"/>
  <c r="C15" i="29"/>
  <c r="L15" i="29" s="1"/>
  <c r="L15" i="69"/>
  <c r="L14" i="29"/>
  <c r="L31" i="29"/>
  <c r="K14" i="30"/>
  <c r="L14" i="30" s="1"/>
  <c r="K16" i="30"/>
  <c r="L16" i="30" s="1"/>
  <c r="K15" i="30"/>
  <c r="L15" i="30" s="1"/>
  <c r="K13" i="30"/>
  <c r="L13" i="30" s="1"/>
  <c r="K12" i="30"/>
  <c r="L12" i="30" s="1"/>
  <c r="K19" i="30"/>
  <c r="L19" i="30" s="1"/>
  <c r="K23" i="30"/>
  <c r="L23" i="30" s="1"/>
  <c r="K20" i="30"/>
  <c r="L20" i="30" s="1"/>
  <c r="K22" i="30"/>
  <c r="L22" i="30" s="1"/>
  <c r="K21" i="30"/>
  <c r="L21" i="30" s="1"/>
  <c r="K30" i="30"/>
  <c r="L30" i="30" s="1"/>
  <c r="K28" i="30"/>
  <c r="L28" i="30" s="1"/>
  <c r="K29" i="30"/>
  <c r="L29" i="30" s="1"/>
  <c r="K27" i="30"/>
  <c r="L27" i="30" s="1"/>
  <c r="K31" i="30"/>
  <c r="L31" i="30" s="1"/>
  <c r="K44" i="30"/>
  <c r="L44" i="30" s="1"/>
  <c r="K46" i="30"/>
  <c r="L46" i="30" s="1"/>
  <c r="K45" i="30"/>
  <c r="L45" i="30" s="1"/>
  <c r="K47" i="30"/>
  <c r="L47" i="30" s="1"/>
  <c r="K43" i="30"/>
  <c r="L43" i="30" s="1"/>
  <c r="K42" i="30"/>
  <c r="L42" i="30" s="1"/>
  <c r="K38" i="30"/>
  <c r="L38" i="30" s="1"/>
  <c r="K41" i="30"/>
  <c r="L41" i="30" s="1"/>
  <c r="K40" i="30"/>
  <c r="L40" i="30" s="1"/>
  <c r="K39" i="30"/>
  <c r="L39" i="30" s="1"/>
  <c r="K36" i="30"/>
  <c r="L36" i="30" s="1"/>
  <c r="K37" i="30"/>
  <c r="L37" i="30" s="1"/>
  <c r="K35" i="30"/>
  <c r="L35" i="30" s="1"/>
  <c r="K33" i="30"/>
  <c r="L33" i="30" s="1"/>
  <c r="K34" i="30"/>
  <c r="L34" i="30" s="1"/>
  <c r="L66" i="28"/>
  <c r="L67" i="28"/>
  <c r="L30" i="29"/>
  <c r="C7" i="28"/>
  <c r="C6" i="28"/>
  <c r="C5" i="28"/>
  <c r="E86" i="1"/>
  <c r="L48" i="30" l="1"/>
  <c r="L69" i="28"/>
  <c r="H60" i="28"/>
  <c r="I60" i="28" s="1"/>
  <c r="J60" i="28" s="1"/>
  <c r="B74" i="28" s="1"/>
  <c r="C4" i="28"/>
  <c r="C32" i="29" l="1"/>
  <c r="L32" i="29" s="1"/>
  <c r="L54" i="28"/>
  <c r="L53" i="28"/>
  <c r="L50" i="28"/>
  <c r="L49" i="28"/>
  <c r="L48" i="28"/>
  <c r="K54" i="28"/>
  <c r="K53" i="28"/>
  <c r="J54" i="28"/>
  <c r="J50" i="28"/>
  <c r="J49" i="28"/>
  <c r="J48" i="28"/>
  <c r="I54" i="28"/>
  <c r="H53" i="28"/>
  <c r="H50" i="28"/>
  <c r="H49" i="28"/>
  <c r="G49" i="28"/>
  <c r="H48" i="28"/>
  <c r="D54" i="28"/>
  <c r="C54" i="28"/>
  <c r="D53" i="28"/>
  <c r="J53" i="28" s="1"/>
  <c r="C53" i="28"/>
  <c r="D52" i="28"/>
  <c r="J52" i="28" s="1"/>
  <c r="C52" i="28"/>
  <c r="D50" i="28"/>
  <c r="K50" i="28" s="1"/>
  <c r="C50" i="28"/>
  <c r="D49" i="28"/>
  <c r="K49" i="28" s="1"/>
  <c r="C49" i="28"/>
  <c r="D48" i="28"/>
  <c r="K48" i="28" s="1"/>
  <c r="C48" i="28"/>
  <c r="V7" i="28"/>
  <c r="V3" i="28"/>
  <c r="D16" i="28"/>
  <c r="D14" i="28"/>
  <c r="H9" i="28"/>
  <c r="I9" i="28"/>
  <c r="B14" i="28"/>
  <c r="C14" i="28" s="1"/>
  <c r="B13" i="28"/>
  <c r="D13" i="28" s="1"/>
  <c r="J44" i="1"/>
  <c r="B15" i="28"/>
  <c r="D15" i="28" s="1"/>
  <c r="G17" i="28"/>
  <c r="G16" i="28"/>
  <c r="P7" i="28"/>
  <c r="P6" i="28"/>
  <c r="P5" i="28"/>
  <c r="O4" i="28"/>
  <c r="N7" i="28"/>
  <c r="N6" i="28"/>
  <c r="N5" i="28"/>
  <c r="M7" i="28"/>
  <c r="O7" i="28" s="1"/>
  <c r="M6" i="28"/>
  <c r="O6" i="28" s="1"/>
  <c r="M5" i="28"/>
  <c r="O5" i="28" s="1"/>
  <c r="M4" i="28"/>
  <c r="N4" i="28"/>
  <c r="P4" i="28" s="1"/>
  <c r="K52" i="28" l="1"/>
  <c r="B16" i="28"/>
  <c r="C16" i="28" s="1"/>
  <c r="H38" i="28"/>
  <c r="C13" i="28"/>
  <c r="C15" i="28"/>
  <c r="E50" i="28"/>
  <c r="F50" i="28" s="1"/>
  <c r="E49" i="28"/>
  <c r="F49" i="28" s="1"/>
  <c r="I49" i="28" s="1"/>
  <c r="Y15" i="28"/>
  <c r="E71" i="28" s="1"/>
  <c r="E48" i="28"/>
  <c r="F48" i="28" s="1"/>
  <c r="E54" i="28"/>
  <c r="F54" i="28" s="1"/>
  <c r="L52" i="28"/>
  <c r="L55" i="28" s="1"/>
  <c r="Y17" i="28" s="1"/>
  <c r="E73" i="28" s="1"/>
  <c r="K55" i="28"/>
  <c r="Y18" i="28" s="1"/>
  <c r="E74" i="28" s="1"/>
  <c r="C16" i="29" s="1"/>
  <c r="L16" i="29" s="1"/>
  <c r="J55" i="28"/>
  <c r="Y16" i="28" s="1"/>
  <c r="E52" i="28"/>
  <c r="F52" i="28" s="1"/>
  <c r="I52" i="28" s="1"/>
  <c r="E53" i="28"/>
  <c r="F53" i="28" s="1"/>
  <c r="D40" i="28"/>
  <c r="E40" i="28" s="1"/>
  <c r="D18" i="28"/>
  <c r="H19" i="28"/>
  <c r="I17" i="28"/>
  <c r="H18" i="28"/>
  <c r="I18" i="28"/>
  <c r="I19" i="28"/>
  <c r="H16" i="28"/>
  <c r="H17" i="28"/>
  <c r="I16" i="28"/>
  <c r="H27" i="28"/>
  <c r="H26" i="28"/>
  <c r="H25" i="28"/>
  <c r="J48" i="1"/>
  <c r="E48" i="1"/>
  <c r="C43" i="29" l="1"/>
  <c r="L43" i="29" s="1"/>
  <c r="C13" i="29"/>
  <c r="L13" i="29" s="1"/>
  <c r="C17" i="29"/>
  <c r="L17" i="29" s="1"/>
  <c r="C40" i="29"/>
  <c r="L40" i="29" s="1"/>
  <c r="Y19" i="28"/>
  <c r="E75" i="28" s="1"/>
  <c r="E72" i="28"/>
  <c r="C18" i="29" s="1"/>
  <c r="L18" i="29" s="1"/>
  <c r="D19" i="28"/>
  <c r="D39" i="28"/>
  <c r="E39" i="28" s="1"/>
  <c r="F39" i="28" s="1"/>
  <c r="G48" i="28"/>
  <c r="I48" i="28"/>
  <c r="G53" i="28"/>
  <c r="I53" i="28"/>
  <c r="Y20" i="28"/>
  <c r="E76" i="28" s="1"/>
  <c r="G54" i="28"/>
  <c r="H54" i="28"/>
  <c r="G52" i="28"/>
  <c r="H52" i="28"/>
  <c r="I50" i="28"/>
  <c r="G50" i="28"/>
  <c r="K6" i="28"/>
  <c r="J7" i="28"/>
  <c r="L7" i="28"/>
  <c r="J6" i="28"/>
  <c r="L6" i="28" s="1"/>
  <c r="J5" i="28"/>
  <c r="L5" i="28" s="1"/>
  <c r="J4" i="28"/>
  <c r="L4" i="28" s="1"/>
  <c r="J29" i="1"/>
  <c r="I7" i="28"/>
  <c r="K7" i="28" s="1"/>
  <c r="I5" i="28"/>
  <c r="K5" i="28" s="1"/>
  <c r="I6" i="28"/>
  <c r="I4" i="28"/>
  <c r="K4" i="28" s="1"/>
  <c r="E4" i="28"/>
  <c r="B4" i="28" s="1"/>
  <c r="U3" i="28" s="1"/>
  <c r="E6" i="28"/>
  <c r="B6" i="28" s="1"/>
  <c r="U5" i="28" s="1"/>
  <c r="E7" i="28"/>
  <c r="B7" i="28" s="1"/>
  <c r="U9" i="28" s="1"/>
  <c r="C25" i="28"/>
  <c r="D25" i="28" s="1"/>
  <c r="F25" i="28" s="1"/>
  <c r="C26" i="28"/>
  <c r="D26" i="28" s="1"/>
  <c r="F26" i="28" s="1"/>
  <c r="B27" i="28"/>
  <c r="C27" i="28"/>
  <c r="D27" i="28" s="1"/>
  <c r="F27" i="28" s="1"/>
  <c r="B28" i="28"/>
  <c r="C28" i="28"/>
  <c r="D28" i="28" s="1"/>
  <c r="F28" i="28" s="1"/>
  <c r="H28" i="28"/>
  <c r="L25" i="28" s="1"/>
  <c r="M25" i="28" s="1"/>
  <c r="B33" i="28"/>
  <c r="C33" i="28"/>
  <c r="B34" i="28"/>
  <c r="T8" i="28" s="1"/>
  <c r="C34" i="28"/>
  <c r="D34" i="28" s="1"/>
  <c r="G5" i="27"/>
  <c r="J5" i="27" s="1"/>
  <c r="J6" i="27"/>
  <c r="J7" i="27"/>
  <c r="J8" i="27"/>
  <c r="J9" i="27"/>
  <c r="J10" i="27"/>
  <c r="J11" i="27"/>
  <c r="J12" i="27"/>
  <c r="J13" i="27"/>
  <c r="J14" i="27"/>
  <c r="J15" i="27"/>
  <c r="J16" i="27"/>
  <c r="J17" i="27"/>
  <c r="J18" i="27"/>
  <c r="J19" i="27"/>
  <c r="J20" i="27"/>
  <c r="J21" i="27"/>
  <c r="J22" i="27"/>
  <c r="J23" i="27"/>
  <c r="J24" i="27"/>
  <c r="J25" i="27"/>
  <c r="J26" i="27"/>
  <c r="J27" i="27"/>
  <c r="J28" i="27"/>
  <c r="J29" i="27"/>
  <c r="J30" i="27"/>
  <c r="J31" i="27"/>
  <c r="J32" i="27"/>
  <c r="J33" i="27"/>
  <c r="J34" i="27"/>
  <c r="J35" i="27"/>
  <c r="J36" i="27"/>
  <c r="J37" i="27"/>
  <c r="J38" i="27"/>
  <c r="J39" i="27"/>
  <c r="J40" i="27"/>
  <c r="J41" i="27"/>
  <c r="J42" i="27"/>
  <c r="J43" i="27"/>
  <c r="J44" i="27"/>
  <c r="J45" i="27"/>
  <c r="J46" i="27"/>
  <c r="J47" i="27"/>
  <c r="J48" i="27"/>
  <c r="J49" i="27"/>
  <c r="J50" i="27"/>
  <c r="J51" i="27"/>
  <c r="J52" i="27"/>
  <c r="J53" i="27"/>
  <c r="J54" i="27"/>
  <c r="J55" i="27"/>
  <c r="J56" i="27"/>
  <c r="J57" i="27"/>
  <c r="C58" i="27"/>
  <c r="J58" i="27" a="1"/>
  <c r="J58" i="27" s="1"/>
  <c r="C59" i="27" a="1"/>
  <c r="E59" i="27" s="1"/>
  <c r="J59" i="27" a="1"/>
  <c r="J59" i="27" s="1"/>
  <c r="C60" i="27" a="1"/>
  <c r="H60" i="27" s="1"/>
  <c r="J60" i="27" a="1"/>
  <c r="J60" i="27" s="1"/>
  <c r="C61" i="27" a="1"/>
  <c r="E61" i="27" s="1"/>
  <c r="J61" i="27" a="1"/>
  <c r="K61" i="27" s="1"/>
  <c r="C62" i="27" a="1"/>
  <c r="F62" i="27" s="1"/>
  <c r="J62" i="27" a="1"/>
  <c r="J62" i="27" s="1"/>
  <c r="E5" i="7"/>
  <c r="E6" i="7"/>
  <c r="L16" i="7"/>
  <c r="L17" i="7"/>
  <c r="L18" i="7"/>
  <c r="L19" i="7"/>
  <c r="L20" i="7"/>
  <c r="L21" i="7"/>
  <c r="L22" i="7"/>
  <c r="L23" i="7"/>
  <c r="L24" i="7"/>
  <c r="L25" i="7"/>
  <c r="L26" i="7"/>
  <c r="L27" i="7"/>
  <c r="L28" i="7"/>
  <c r="L29" i="7"/>
  <c r="L30" i="7"/>
  <c r="L31" i="7"/>
  <c r="L3" i="9"/>
  <c r="L4" i="9"/>
  <c r="L5" i="9"/>
  <c r="L6" i="9"/>
  <c r="L7" i="9"/>
  <c r="L8" i="9"/>
  <c r="B3" i="8"/>
  <c r="B4" i="8" s="1"/>
  <c r="C3" i="8"/>
  <c r="L3" i="8"/>
  <c r="R3" i="8"/>
  <c r="C4" i="8"/>
  <c r="R4" i="8"/>
  <c r="D5" i="8"/>
  <c r="E5" i="8"/>
  <c r="B8" i="8"/>
  <c r="B9" i="8" s="1"/>
  <c r="C8" i="8"/>
  <c r="D8" i="8" s="1"/>
  <c r="L8" i="8"/>
  <c r="R8" i="8"/>
  <c r="C9" i="8"/>
  <c r="R9" i="8"/>
  <c r="B13" i="8"/>
  <c r="B16" i="8" s="1"/>
  <c r="C13" i="8"/>
  <c r="D13" i="8" s="1"/>
  <c r="L13" i="8"/>
  <c r="R13" i="8"/>
  <c r="S13" i="8"/>
  <c r="C14" i="8"/>
  <c r="R14" i="8"/>
  <c r="S14" i="8"/>
  <c r="S15" i="8" s="1"/>
  <c r="S16" i="8" s="1"/>
  <c r="B15" i="8"/>
  <c r="C15" i="8"/>
  <c r="D15" i="8" s="1"/>
  <c r="E15" i="8" s="1"/>
  <c r="R15" i="8"/>
  <c r="C16" i="8"/>
  <c r="R16" i="8"/>
  <c r="B20" i="8"/>
  <c r="C20" i="8"/>
  <c r="D20" i="8" s="1"/>
  <c r="K20" i="8"/>
  <c r="L20" i="8"/>
  <c r="R20" i="8"/>
  <c r="S20" i="8"/>
  <c r="B21" i="8"/>
  <c r="C21" i="8"/>
  <c r="D21" i="8" s="1"/>
  <c r="E21" i="8" s="1"/>
  <c r="K21" i="8"/>
  <c r="R21" i="8"/>
  <c r="S21" i="8"/>
  <c r="B25" i="8"/>
  <c r="D25" i="8"/>
  <c r="E25" i="8"/>
  <c r="L25" i="8"/>
  <c r="R25" i="8"/>
  <c r="B26" i="8"/>
  <c r="C26" i="8"/>
  <c r="D26" i="8" s="1"/>
  <c r="R26" i="8"/>
  <c r="D27" i="8"/>
  <c r="E27" i="8" s="1"/>
  <c r="E5" i="10"/>
  <c r="J5" i="10"/>
  <c r="E6" i="10"/>
  <c r="J6" i="10"/>
  <c r="E7" i="10"/>
  <c r="J7" i="10"/>
  <c r="E8" i="10"/>
  <c r="I17" i="10"/>
  <c r="N46" i="10" s="1"/>
  <c r="V17" i="10"/>
  <c r="N50" i="10" s="1"/>
  <c r="I34" i="10"/>
  <c r="N49" i="10" s="1"/>
  <c r="N44" i="10"/>
  <c r="H46" i="10"/>
  <c r="H47" i="10"/>
  <c r="H48" i="10"/>
  <c r="H49" i="10"/>
  <c r="H50" i="10"/>
  <c r="L12" i="12"/>
  <c r="L13" i="12"/>
  <c r="L14" i="12"/>
  <c r="L15" i="12"/>
  <c r="L16" i="12"/>
  <c r="L17" i="12"/>
  <c r="L18" i="12"/>
  <c r="L19" i="12"/>
  <c r="L20" i="12"/>
  <c r="L21" i="12"/>
  <c r="L22" i="12"/>
  <c r="L23" i="12"/>
  <c r="L24" i="12"/>
  <c r="L25" i="12"/>
  <c r="L26" i="12"/>
  <c r="L27" i="12"/>
  <c r="L28" i="12"/>
  <c r="L29" i="12"/>
  <c r="L30" i="12"/>
  <c r="L31" i="12"/>
  <c r="L32" i="12"/>
  <c r="L33" i="12"/>
  <c r="L34" i="12"/>
  <c r="L35" i="12"/>
  <c r="L36" i="12"/>
  <c r="L37" i="12"/>
  <c r="L38" i="12"/>
  <c r="L39" i="12"/>
  <c r="L40" i="12"/>
  <c r="N40" i="12"/>
  <c r="L41" i="12"/>
  <c r="L42" i="12"/>
  <c r="L48" i="12"/>
  <c r="L49" i="12"/>
  <c r="N49" i="12"/>
  <c r="L50" i="12"/>
  <c r="L51" i="12"/>
  <c r="L60" i="12"/>
  <c r="K62" i="12"/>
  <c r="L65" i="12"/>
  <c r="L66" i="12"/>
  <c r="L67" i="12"/>
  <c r="L69" i="12"/>
  <c r="L71" i="12"/>
  <c r="B26" i="28"/>
  <c r="E29" i="1"/>
  <c r="E5" i="28"/>
  <c r="B5" i="28" s="1"/>
  <c r="U7" i="28" s="1"/>
  <c r="B25" i="28"/>
  <c r="C151" i="28" l="1"/>
  <c r="C14" i="70" s="1"/>
  <c r="C19" i="29"/>
  <c r="L19" i="29" s="1"/>
  <c r="C20" i="29"/>
  <c r="L20" i="29" s="1"/>
  <c r="C42" i="29"/>
  <c r="L42" i="29" s="1"/>
  <c r="D33" i="28"/>
  <c r="C140" i="28"/>
  <c r="T4" i="28"/>
  <c r="Y14" i="28" s="1"/>
  <c r="E70" i="28" s="1"/>
  <c r="G25" i="28"/>
  <c r="F61" i="27"/>
  <c r="K62" i="27"/>
  <c r="K58" i="27"/>
  <c r="D9" i="8"/>
  <c r="E9" i="8" s="1"/>
  <c r="L9" i="8" s="1"/>
  <c r="I22" i="10" s="1"/>
  <c r="N47" i="10" s="1"/>
  <c r="D16" i="8"/>
  <c r="E16" i="8" s="1"/>
  <c r="L16" i="8" s="1"/>
  <c r="I29" i="10" s="1"/>
  <c r="N48" i="10" s="1"/>
  <c r="B14" i="8"/>
  <c r="D14" i="8" s="1"/>
  <c r="E14" i="8" s="1"/>
  <c r="D4" i="8"/>
  <c r="E4" i="8" s="1"/>
  <c r="I16" i="10" s="1"/>
  <c r="L21" i="8"/>
  <c r="I33" i="10"/>
  <c r="I27" i="10"/>
  <c r="L15" i="8"/>
  <c r="C59" i="27"/>
  <c r="H61" i="27"/>
  <c r="B61" i="28"/>
  <c r="E34" i="28"/>
  <c r="B62" i="28"/>
  <c r="I55" i="28"/>
  <c r="B73" i="28" s="1"/>
  <c r="C15" i="7" s="1"/>
  <c r="L15" i="7" s="1"/>
  <c r="H13" i="28"/>
  <c r="H55" i="28"/>
  <c r="B72" i="28" s="1"/>
  <c r="C14" i="7" s="1"/>
  <c r="L14" i="7" s="1"/>
  <c r="G55" i="28"/>
  <c r="B71" i="28" s="1"/>
  <c r="G27" i="28"/>
  <c r="H12" i="28"/>
  <c r="I12" i="28"/>
  <c r="I13" i="28"/>
  <c r="B10" i="28"/>
  <c r="I25" i="28"/>
  <c r="D5" i="28"/>
  <c r="G11" i="28" s="1"/>
  <c r="B11" i="28"/>
  <c r="F59" i="27"/>
  <c r="H59" i="27"/>
  <c r="D7" i="28"/>
  <c r="G15" i="28" s="1"/>
  <c r="E60" i="27"/>
  <c r="D28" i="8"/>
  <c r="E28" i="8" s="1"/>
  <c r="L26" i="8" s="1"/>
  <c r="E26" i="8"/>
  <c r="G62" i="27"/>
  <c r="K59" i="27"/>
  <c r="D60" i="27"/>
  <c r="D62" i="27"/>
  <c r="G61" i="27"/>
  <c r="J61" i="27"/>
  <c r="C61" i="27"/>
  <c r="D59" i="27"/>
  <c r="G26" i="28"/>
  <c r="F60" i="27"/>
  <c r="K60" i="27"/>
  <c r="E62" i="27"/>
  <c r="D4" i="28"/>
  <c r="H62" i="27"/>
  <c r="C62" i="27"/>
  <c r="G59" i="27"/>
  <c r="G60" i="27"/>
  <c r="D61" i="27"/>
  <c r="C60" i="27"/>
  <c r="I27" i="28"/>
  <c r="D6" i="28"/>
  <c r="G28" i="28"/>
  <c r="I28" i="28"/>
  <c r="I26" i="28"/>
  <c r="L14" i="70" l="1"/>
  <c r="C19" i="41"/>
  <c r="L19" i="41" s="1"/>
  <c r="C12" i="29"/>
  <c r="L12" i="29" s="1"/>
  <c r="C14" i="67"/>
  <c r="L14" i="67" s="1"/>
  <c r="E33" i="28"/>
  <c r="L34" i="28" s="1"/>
  <c r="E37" i="1"/>
  <c r="I28" i="10"/>
  <c r="L4" i="8"/>
  <c r="I26" i="10"/>
  <c r="L14" i="8"/>
  <c r="I21" i="10"/>
  <c r="N52" i="10"/>
  <c r="N51" i="10"/>
  <c r="E87" i="1"/>
  <c r="G29" i="28"/>
  <c r="J38" i="1"/>
  <c r="C62" i="28"/>
  <c r="I105" i="28" s="1"/>
  <c r="J37" i="1"/>
  <c r="F34" i="28"/>
  <c r="G34" i="28" s="1"/>
  <c r="H34" i="28" s="1"/>
  <c r="G10" i="28"/>
  <c r="G14" i="28"/>
  <c r="H14" i="28" s="1"/>
  <c r="I14" i="28"/>
  <c r="Y6" i="28" s="1"/>
  <c r="W28" i="28" s="1"/>
  <c r="H11" i="28"/>
  <c r="Y7" i="28" s="1"/>
  <c r="X26" i="28" s="1"/>
  <c r="I11" i="28"/>
  <c r="Y8" i="28" s="1"/>
  <c r="X28" i="28" s="1"/>
  <c r="H15" i="28"/>
  <c r="Y9" i="28" s="1"/>
  <c r="Y26" i="28" s="1"/>
  <c r="I15" i="28"/>
  <c r="Y10" i="28" s="1"/>
  <c r="Y28" i="28" s="1"/>
  <c r="C11" i="28"/>
  <c r="K25" i="28"/>
  <c r="L31" i="28" s="1"/>
  <c r="J25" i="28"/>
  <c r="H10" i="28" l="1"/>
  <c r="G21" i="28" s="1"/>
  <c r="B68" i="28" s="1"/>
  <c r="C10" i="7" s="1"/>
  <c r="L10" i="7" s="1"/>
  <c r="I10" i="28"/>
  <c r="Y4" i="28" s="1"/>
  <c r="V28" i="28" s="1"/>
  <c r="E78" i="28" s="1"/>
  <c r="C22" i="59"/>
  <c r="L22" i="59" s="1"/>
  <c r="C22" i="60"/>
  <c r="L22" i="60" s="1"/>
  <c r="C22" i="49"/>
  <c r="L22" i="49" s="1"/>
  <c r="C22" i="42"/>
  <c r="L22" i="42" s="1"/>
  <c r="C12" i="65"/>
  <c r="L12" i="65" s="1"/>
  <c r="C12" i="66"/>
  <c r="L12" i="66" s="1"/>
  <c r="C22" i="47"/>
  <c r="L22" i="47" s="1"/>
  <c r="C22" i="51"/>
  <c r="L22" i="51" s="1"/>
  <c r="C61" i="28"/>
  <c r="I104" i="28" s="1"/>
  <c r="K102" i="28" s="1"/>
  <c r="C24" i="65"/>
  <c r="L24" i="65" s="1"/>
  <c r="C24" i="66"/>
  <c r="L24" i="66" s="1"/>
  <c r="C22" i="43"/>
  <c r="L22" i="43" s="1"/>
  <c r="C22" i="61"/>
  <c r="L22" i="61" s="1"/>
  <c r="C22" i="48"/>
  <c r="L22" i="48" s="1"/>
  <c r="C22" i="53"/>
  <c r="L22" i="53" s="1"/>
  <c r="C22" i="54"/>
  <c r="L22" i="54" s="1"/>
  <c r="C22" i="56"/>
  <c r="L22" i="56" s="1"/>
  <c r="C22" i="46"/>
  <c r="L22" i="46" s="1"/>
  <c r="C22" i="52"/>
  <c r="L22" i="52" s="1"/>
  <c r="C22" i="57"/>
  <c r="L22" i="57" s="1"/>
  <c r="C22" i="45"/>
  <c r="L22" i="45" s="1"/>
  <c r="C22" i="44"/>
  <c r="L22" i="44" s="1"/>
  <c r="C22" i="50"/>
  <c r="L22" i="50" s="1"/>
  <c r="C22" i="58"/>
  <c r="L22" i="58" s="1"/>
  <c r="C22" i="55"/>
  <c r="L22" i="55" s="1"/>
  <c r="C23" i="66"/>
  <c r="L23" i="66" s="1"/>
  <c r="C23" i="65"/>
  <c r="L23" i="65" s="1"/>
  <c r="C23" i="64"/>
  <c r="L23" i="64" s="1"/>
  <c r="C23" i="63"/>
  <c r="L23" i="63" s="1"/>
  <c r="J28" i="28"/>
  <c r="L33" i="28"/>
  <c r="J36" i="1"/>
  <c r="F101" i="28"/>
  <c r="M103" i="28"/>
  <c r="L103" i="28"/>
  <c r="K103" i="28"/>
  <c r="I103" i="28"/>
  <c r="U111" i="28" s="1"/>
  <c r="I64" i="28" s="1"/>
  <c r="J103" i="28"/>
  <c r="S111" i="28" s="1"/>
  <c r="I62" i="28" s="1"/>
  <c r="D62" i="28"/>
  <c r="C143" i="28" s="1"/>
  <c r="E38" i="1"/>
  <c r="E36" i="1" s="1"/>
  <c r="C10" i="28"/>
  <c r="D10" i="28" s="1"/>
  <c r="F33" i="28"/>
  <c r="G33" i="28" s="1"/>
  <c r="H33" i="28" s="1"/>
  <c r="H35" i="28" s="1"/>
  <c r="L30" i="28" s="1"/>
  <c r="C12" i="46" s="1"/>
  <c r="D11" i="28"/>
  <c r="Y5" i="28"/>
  <c r="W26" i="28" s="1"/>
  <c r="L22" i="29" l="1"/>
  <c r="M102" i="28"/>
  <c r="S103" i="28" s="1"/>
  <c r="J102" i="28"/>
  <c r="R111" i="28" s="1"/>
  <c r="L102" i="28"/>
  <c r="X103" i="28" s="1"/>
  <c r="Q119" i="28" s="1"/>
  <c r="D61" i="28"/>
  <c r="C142" i="28" s="1"/>
  <c r="I102" i="28"/>
  <c r="T111" i="28" s="1"/>
  <c r="G22" i="28"/>
  <c r="B69" i="28" s="1"/>
  <c r="C11" i="7" s="1"/>
  <c r="L11" i="7" s="1"/>
  <c r="Y13" i="28"/>
  <c r="E69" i="28" s="1"/>
  <c r="Y3" i="28"/>
  <c r="V26" i="28" s="1"/>
  <c r="E77" i="28" s="1"/>
  <c r="C13" i="66"/>
  <c r="L13" i="66" s="1"/>
  <c r="C13" i="65"/>
  <c r="L13" i="65" s="1"/>
  <c r="C12" i="63"/>
  <c r="L12" i="63" s="1"/>
  <c r="C12" i="64"/>
  <c r="L12" i="64" s="1"/>
  <c r="C21" i="42"/>
  <c r="L21" i="42" s="1"/>
  <c r="C22" i="66"/>
  <c r="L22" i="66" s="1"/>
  <c r="C22" i="65"/>
  <c r="L22" i="65" s="1"/>
  <c r="C22" i="64"/>
  <c r="L22" i="64" s="1"/>
  <c r="C22" i="63"/>
  <c r="L22" i="63" s="1"/>
  <c r="C21" i="61"/>
  <c r="L21" i="61" s="1"/>
  <c r="C21" i="58"/>
  <c r="L21" i="58" s="1"/>
  <c r="C21" i="57"/>
  <c r="L21" i="57" s="1"/>
  <c r="C21" i="59"/>
  <c r="L21" i="59" s="1"/>
  <c r="C21" i="60"/>
  <c r="L21" i="60" s="1"/>
  <c r="C21" i="52"/>
  <c r="L21" i="52" s="1"/>
  <c r="C21" i="55"/>
  <c r="L21" i="55" s="1"/>
  <c r="C21" i="48"/>
  <c r="L21" i="48" s="1"/>
  <c r="C21" i="47"/>
  <c r="L21" i="47" s="1"/>
  <c r="C21" i="45"/>
  <c r="L21" i="45" s="1"/>
  <c r="C21" i="51"/>
  <c r="L21" i="51" s="1"/>
  <c r="C21" i="46"/>
  <c r="L21" i="46" s="1"/>
  <c r="C21" i="56"/>
  <c r="L21" i="56" s="1"/>
  <c r="C21" i="54"/>
  <c r="L21" i="54" s="1"/>
  <c r="C21" i="50"/>
  <c r="L21" i="50" s="1"/>
  <c r="C21" i="44"/>
  <c r="L21" i="44" s="1"/>
  <c r="C21" i="53"/>
  <c r="L21" i="53" s="1"/>
  <c r="C21" i="43"/>
  <c r="L21" i="43" s="1"/>
  <c r="C21" i="49"/>
  <c r="L21" i="49" s="1"/>
  <c r="Y103" i="28"/>
  <c r="Q120" i="28" s="1"/>
  <c r="AA103" i="28"/>
  <c r="Q122" i="28" s="1"/>
  <c r="C92" i="28" s="1"/>
  <c r="C12" i="42"/>
  <c r="L12" i="42" s="1"/>
  <c r="C12" i="60"/>
  <c r="L12" i="60" s="1"/>
  <c r="C12" i="58"/>
  <c r="L12" i="58" s="1"/>
  <c r="C12" i="59"/>
  <c r="L12" i="59" s="1"/>
  <c r="C12" i="61"/>
  <c r="L12" i="61" s="1"/>
  <c r="C12" i="57"/>
  <c r="L12" i="57" s="1"/>
  <c r="C12" i="48"/>
  <c r="L12" i="48" s="1"/>
  <c r="C12" i="43"/>
  <c r="L12" i="43" s="1"/>
  <c r="C12" i="54"/>
  <c r="L12" i="54" s="1"/>
  <c r="C12" i="52"/>
  <c r="L12" i="52" s="1"/>
  <c r="C12" i="50"/>
  <c r="L12" i="50" s="1"/>
  <c r="C12" i="45"/>
  <c r="L12" i="45" s="1"/>
  <c r="C12" i="47"/>
  <c r="L12" i="47" s="1"/>
  <c r="C12" i="55"/>
  <c r="L12" i="55" s="1"/>
  <c r="C12" i="44"/>
  <c r="L12" i="44" s="1"/>
  <c r="C12" i="53"/>
  <c r="L12" i="53" s="1"/>
  <c r="C12" i="51"/>
  <c r="L12" i="51" s="1"/>
  <c r="C12" i="49"/>
  <c r="L12" i="49" s="1"/>
  <c r="C12" i="56"/>
  <c r="L12" i="56" s="1"/>
  <c r="L12" i="46"/>
  <c r="L12" i="41"/>
  <c r="C38" i="32"/>
  <c r="F100" i="28"/>
  <c r="C20" i="31" s="1"/>
  <c r="E97" i="1"/>
  <c r="R102" i="28"/>
  <c r="P115" i="28" s="1"/>
  <c r="V102" i="28"/>
  <c r="P117" i="28" s="1"/>
  <c r="Q116" i="28"/>
  <c r="C23" i="77" s="1"/>
  <c r="L23" i="77" s="1"/>
  <c r="Z102" i="28"/>
  <c r="P121" i="28" s="1"/>
  <c r="C91" i="28" s="1"/>
  <c r="X102" i="28"/>
  <c r="E62" i="28"/>
  <c r="C108" i="28" s="1"/>
  <c r="D108" i="28" s="1"/>
  <c r="F35" i="28"/>
  <c r="G35" i="28"/>
  <c r="C12" i="36" l="1"/>
  <c r="L12" i="36" s="1"/>
  <c r="C12" i="77"/>
  <c r="C14" i="77" s="1"/>
  <c r="L48" i="57"/>
  <c r="L49" i="57" s="1"/>
  <c r="D19" i="68" s="1" a="1"/>
  <c r="D19" i="68" s="1"/>
  <c r="E61" i="28"/>
  <c r="C107" i="28" s="1"/>
  <c r="D107" i="28" s="1"/>
  <c r="L21" i="29"/>
  <c r="L27" i="69"/>
  <c r="C11" i="29"/>
  <c r="L11" i="29" s="1"/>
  <c r="C21" i="31"/>
  <c r="L21" i="31" s="1"/>
  <c r="W103" i="28"/>
  <c r="Q118" i="28" s="1"/>
  <c r="C16" i="67"/>
  <c r="L16" i="67" s="1"/>
  <c r="C145" i="28"/>
  <c r="Y12" i="28"/>
  <c r="Y22" i="28" s="1"/>
  <c r="L48" i="42"/>
  <c r="L49" i="42" s="1"/>
  <c r="D4" i="68" s="1"/>
  <c r="L48" i="49"/>
  <c r="L49" i="49" s="1"/>
  <c r="D11" i="68" s="1" a="1"/>
  <c r="D11" i="68" s="1"/>
  <c r="L48" i="61"/>
  <c r="L49" i="61" s="1"/>
  <c r="D23" i="68" s="1" a="1"/>
  <c r="D23" i="68" s="1"/>
  <c r="L48" i="47"/>
  <c r="L49" i="47" s="1"/>
  <c r="D9" i="68" s="1" a="1"/>
  <c r="D9" i="68" s="1"/>
  <c r="L48" i="53"/>
  <c r="L49" i="53" s="1"/>
  <c r="D15" i="68" s="1" a="1"/>
  <c r="D15" i="68" s="1"/>
  <c r="C12" i="33"/>
  <c r="L12" i="33" s="1"/>
  <c r="V103" i="28"/>
  <c r="Q117" i="28" s="1"/>
  <c r="C24" i="77" s="1"/>
  <c r="L24" i="77" s="1"/>
  <c r="C12" i="34"/>
  <c r="L12" i="34" s="1"/>
  <c r="R103" i="28"/>
  <c r="Q115" i="28" s="1"/>
  <c r="B76" i="28"/>
  <c r="C12" i="37"/>
  <c r="L12" i="37" s="1"/>
  <c r="Z103" i="28"/>
  <c r="Q121" i="28" s="1"/>
  <c r="C13" i="38"/>
  <c r="L13" i="38" s="1"/>
  <c r="C19" i="40"/>
  <c r="L19" i="40" s="1"/>
  <c r="C19" i="39"/>
  <c r="L19" i="39" s="1"/>
  <c r="C113" i="28"/>
  <c r="C114" i="28" s="1"/>
  <c r="C123" i="28" s="1"/>
  <c r="C13" i="40"/>
  <c r="L13" i="40" s="1"/>
  <c r="I63" i="28"/>
  <c r="I96" i="28"/>
  <c r="L90" i="28" s="1"/>
  <c r="C13" i="39"/>
  <c r="L13" i="39" s="1"/>
  <c r="C12" i="35"/>
  <c r="L12" i="35" s="1"/>
  <c r="C31" i="38"/>
  <c r="L31" i="38" s="1"/>
  <c r="L48" i="65"/>
  <c r="L49" i="65" s="1"/>
  <c r="D26" i="68" s="1" a="1"/>
  <c r="D26" i="68" s="1"/>
  <c r="L48" i="51"/>
  <c r="L49" i="51" s="1"/>
  <c r="D13" i="68" s="1" a="1"/>
  <c r="D13" i="68" s="1"/>
  <c r="L48" i="58"/>
  <c r="L49" i="58" s="1"/>
  <c r="D20" i="68" s="1" a="1"/>
  <c r="D20" i="68" s="1"/>
  <c r="L48" i="46"/>
  <c r="L49" i="46" s="1"/>
  <c r="D8" i="68" s="1" a="1"/>
  <c r="D8" i="68" s="1"/>
  <c r="L48" i="59"/>
  <c r="L49" i="59" s="1"/>
  <c r="D21" i="68" s="1" a="1"/>
  <c r="D21" i="68" s="1"/>
  <c r="L48" i="50"/>
  <c r="L49" i="50" s="1"/>
  <c r="D12" i="68" s="1" a="1"/>
  <c r="D12" i="68" s="1"/>
  <c r="L48" i="66"/>
  <c r="L49" i="66" s="1"/>
  <c r="D27" i="68" s="1" a="1"/>
  <c r="D27" i="68" s="1"/>
  <c r="L48" i="55"/>
  <c r="L49" i="55" s="1"/>
  <c r="D17" i="68" s="1" a="1"/>
  <c r="D17" i="68" s="1"/>
  <c r="L48" i="43"/>
  <c r="L49" i="43" s="1"/>
  <c r="D5" i="68" s="1"/>
  <c r="L48" i="44"/>
  <c r="L49" i="44" s="1"/>
  <c r="D6" i="68" s="1" a="1"/>
  <c r="D6" i="68" s="1"/>
  <c r="L48" i="48"/>
  <c r="L49" i="48" s="1"/>
  <c r="D10" i="68" s="1" a="1"/>
  <c r="D10" i="68" s="1"/>
  <c r="L48" i="45"/>
  <c r="L49" i="45" s="1"/>
  <c r="D7" i="68" s="1" a="1"/>
  <c r="D7" i="68" s="1"/>
  <c r="L48" i="54"/>
  <c r="L49" i="54" s="1"/>
  <c r="D16" i="68" s="1" a="1"/>
  <c r="D16" i="68" s="1"/>
  <c r="L48" i="64"/>
  <c r="L49" i="64" s="1"/>
  <c r="D25" i="68" s="1" a="1"/>
  <c r="D25" i="68" s="1"/>
  <c r="L48" i="56"/>
  <c r="L49" i="56" s="1"/>
  <c r="D18" i="68" s="1" a="1"/>
  <c r="D18" i="68" s="1"/>
  <c r="L48" i="63"/>
  <c r="L49" i="63" s="1"/>
  <c r="D24" i="68" s="1" a="1"/>
  <c r="D24" i="68" s="1"/>
  <c r="L48" i="60"/>
  <c r="L49" i="60" s="1"/>
  <c r="D22" i="68" s="1" a="1"/>
  <c r="D22" i="68" s="1"/>
  <c r="L48" i="52"/>
  <c r="L49" i="52" s="1"/>
  <c r="D14" i="68" s="1" a="1"/>
  <c r="D14" i="68" s="1"/>
  <c r="L32" i="28"/>
  <c r="C15" i="32"/>
  <c r="C17" i="32" s="1"/>
  <c r="L17" i="32" s="1"/>
  <c r="L12" i="38"/>
  <c r="L12" i="39"/>
  <c r="I77" i="28"/>
  <c r="M82" i="28" s="1"/>
  <c r="C23" i="37"/>
  <c r="L23" i="37" s="1"/>
  <c r="L23" i="33"/>
  <c r="I79" i="28"/>
  <c r="M84" i="28" s="1"/>
  <c r="L24" i="33"/>
  <c r="I78" i="28"/>
  <c r="M83" i="28" s="1"/>
  <c r="H59" i="1"/>
  <c r="C118" i="28" s="1"/>
  <c r="C89" i="28"/>
  <c r="C90" i="28"/>
  <c r="C95" i="28" s="1"/>
  <c r="C100" i="28" s="1"/>
  <c r="C16" i="31" s="1"/>
  <c r="L16" i="31" s="1"/>
  <c r="C25" i="33"/>
  <c r="L25" i="33" s="1"/>
  <c r="C24" i="32"/>
  <c r="L24" i="32" s="1"/>
  <c r="G86" i="28"/>
  <c r="C23" i="32"/>
  <c r="G93" i="28"/>
  <c r="I61" i="28"/>
  <c r="B75" i="28"/>
  <c r="C104" i="28"/>
  <c r="D104" i="28" s="1"/>
  <c r="L20" i="31"/>
  <c r="P119" i="28"/>
  <c r="G94" i="28" s="1"/>
  <c r="F103" i="28"/>
  <c r="F62" i="28"/>
  <c r="F106" i="28"/>
  <c r="L38" i="32"/>
  <c r="C14" i="36" l="1"/>
  <c r="F61" i="28"/>
  <c r="G61" i="28" s="1"/>
  <c r="B70" i="28" s="1"/>
  <c r="H39" i="28" s="1"/>
  <c r="C37" i="40"/>
  <c r="L37" i="40" s="1"/>
  <c r="C37" i="77"/>
  <c r="L37" i="77" s="1"/>
  <c r="C16" i="33"/>
  <c r="L16" i="33" s="1"/>
  <c r="L25" i="77"/>
  <c r="C38" i="38"/>
  <c r="L38" i="38" s="1"/>
  <c r="C37" i="35"/>
  <c r="L37" i="35" s="1"/>
  <c r="L12" i="77"/>
  <c r="C103" i="28"/>
  <c r="D103" i="28" s="1"/>
  <c r="C26" i="33"/>
  <c r="L26" i="33" s="1"/>
  <c r="C22" i="77"/>
  <c r="C27" i="77" s="1"/>
  <c r="L27" i="77" s="1"/>
  <c r="C25" i="37"/>
  <c r="L25" i="37" s="1"/>
  <c r="G85" i="28"/>
  <c r="G89" i="28" s="1"/>
  <c r="G90" i="28" s="1"/>
  <c r="G91" i="28" s="1"/>
  <c r="C37" i="36"/>
  <c r="L37" i="36" s="1"/>
  <c r="C39" i="34"/>
  <c r="L39" i="34" s="1"/>
  <c r="C25" i="32"/>
  <c r="L25" i="32" s="1"/>
  <c r="C18" i="33"/>
  <c r="C19" i="33" s="1"/>
  <c r="L19" i="33" s="1"/>
  <c r="C24" i="37"/>
  <c r="L24" i="37" s="1"/>
  <c r="C16" i="34"/>
  <c r="L16" i="34" s="1"/>
  <c r="C15" i="39"/>
  <c r="L15" i="39" s="1"/>
  <c r="E68" i="28"/>
  <c r="C10" i="29" s="1"/>
  <c r="L10" i="29" s="1"/>
  <c r="C20" i="41"/>
  <c r="L20" i="41" s="1"/>
  <c r="L48" i="41" s="1"/>
  <c r="L49" i="41" s="1"/>
  <c r="D3" i="68" s="1"/>
  <c r="K10" i="69" s="1"/>
  <c r="C38" i="33"/>
  <c r="L38" i="33" s="1"/>
  <c r="C14" i="37"/>
  <c r="L14" i="37" s="1"/>
  <c r="C37" i="37"/>
  <c r="L37" i="37" s="1"/>
  <c r="C37" i="39"/>
  <c r="L37" i="39" s="1"/>
  <c r="C15" i="38"/>
  <c r="L15" i="38" s="1"/>
  <c r="C15" i="40"/>
  <c r="L15" i="40" s="1"/>
  <c r="C18" i="67"/>
  <c r="L18" i="67" s="1"/>
  <c r="C16" i="35"/>
  <c r="C17" i="35" s="1"/>
  <c r="L17" i="35" s="1"/>
  <c r="C16" i="36"/>
  <c r="C17" i="36" s="1"/>
  <c r="L17" i="36" s="1"/>
  <c r="L39" i="29"/>
  <c r="C38" i="29"/>
  <c r="L38" i="29" s="1"/>
  <c r="C14" i="35"/>
  <c r="C15" i="35" s="1"/>
  <c r="L15" i="35" s="1"/>
  <c r="C18" i="36"/>
  <c r="C19" i="36" s="1"/>
  <c r="L19" i="36" s="1"/>
  <c r="C14" i="34"/>
  <c r="C15" i="34" s="1"/>
  <c r="L15" i="34" s="1"/>
  <c r="C14" i="39"/>
  <c r="I95" i="28"/>
  <c r="L89" i="28" s="1"/>
  <c r="M89" i="28" s="1"/>
  <c r="M93" i="28" s="1"/>
  <c r="C22" i="36" s="1"/>
  <c r="C18" i="35"/>
  <c r="C19" i="35" s="1"/>
  <c r="L19" i="35" s="1"/>
  <c r="C22" i="37"/>
  <c r="L22" i="37" s="1"/>
  <c r="C18" i="34"/>
  <c r="C19" i="34" s="1"/>
  <c r="L19" i="34" s="1"/>
  <c r="I76" i="28"/>
  <c r="M81" i="28" s="1"/>
  <c r="M92" i="28" s="1"/>
  <c r="C14" i="33"/>
  <c r="C15" i="33" s="1"/>
  <c r="L15" i="33" s="1"/>
  <c r="C14" i="40"/>
  <c r="H65" i="1"/>
  <c r="C22" i="38" s="1"/>
  <c r="L22" i="38" s="1"/>
  <c r="C14" i="38"/>
  <c r="C13" i="7"/>
  <c r="L13" i="7" s="1"/>
  <c r="F110" i="28"/>
  <c r="C18" i="32"/>
  <c r="L18" i="32" s="1"/>
  <c r="C31" i="34"/>
  <c r="L31" i="34" s="1"/>
  <c r="C19" i="38"/>
  <c r="L19" i="38" s="1"/>
  <c r="L15" i="32"/>
  <c r="L82" i="28"/>
  <c r="J77" i="28"/>
  <c r="C15" i="36"/>
  <c r="L15" i="36" s="1"/>
  <c r="L14" i="36"/>
  <c r="L17" i="38"/>
  <c r="J78" i="28"/>
  <c r="L83" i="28"/>
  <c r="J79" i="28"/>
  <c r="L84" i="28"/>
  <c r="C117" i="28"/>
  <c r="G96" i="28"/>
  <c r="F96" i="28" s="1"/>
  <c r="G97" i="28" s="1"/>
  <c r="C17" i="31" s="1"/>
  <c r="L17" i="31" s="1"/>
  <c r="C94" i="28"/>
  <c r="C99" i="28" s="1"/>
  <c r="C14" i="31" s="1"/>
  <c r="L14" i="31" s="1"/>
  <c r="C17" i="33" l="1"/>
  <c r="L17" i="33" s="1"/>
  <c r="C15" i="77"/>
  <c r="L15" i="77" s="1"/>
  <c r="L14" i="77"/>
  <c r="L22" i="77"/>
  <c r="C17" i="34"/>
  <c r="L17" i="34" s="1"/>
  <c r="C16" i="39"/>
  <c r="L16" i="39" s="1"/>
  <c r="C16" i="38"/>
  <c r="C18" i="38" s="1"/>
  <c r="L18" i="38" s="1"/>
  <c r="L14" i="39"/>
  <c r="C15" i="37"/>
  <c r="L15" i="37" s="1"/>
  <c r="L18" i="33"/>
  <c r="L16" i="36"/>
  <c r="C16" i="40"/>
  <c r="C18" i="40" s="1"/>
  <c r="L18" i="40" s="1"/>
  <c r="C23" i="67"/>
  <c r="L23" i="67" s="1"/>
  <c r="L48" i="67" s="1"/>
  <c r="L49" i="67" s="1"/>
  <c r="L21" i="68" s="1" a="1"/>
  <c r="L21" i="68" s="1"/>
  <c r="O19" i="68" s="1"/>
  <c r="K14" i="69" s="1"/>
  <c r="L23" i="70"/>
  <c r="L18" i="70"/>
  <c r="C41" i="29"/>
  <c r="L41" i="29" s="1"/>
  <c r="L16" i="35"/>
  <c r="L14" i="34"/>
  <c r="L18" i="36"/>
  <c r="L14" i="35"/>
  <c r="C22" i="34"/>
  <c r="L22" i="34" s="1"/>
  <c r="L18" i="35"/>
  <c r="J95" i="28"/>
  <c r="J98" i="28" s="1"/>
  <c r="C28" i="37"/>
  <c r="L28" i="37" s="1"/>
  <c r="L18" i="34"/>
  <c r="C21" i="39"/>
  <c r="L14" i="40"/>
  <c r="L14" i="38"/>
  <c r="L14" i="33"/>
  <c r="J76" i="28"/>
  <c r="I82" i="28" s="1"/>
  <c r="C23" i="40" s="1"/>
  <c r="L23" i="40" s="1"/>
  <c r="L81" i="28"/>
  <c r="C44" i="29"/>
  <c r="L44" i="29" s="1"/>
  <c r="C24" i="36"/>
  <c r="L24" i="36" s="1"/>
  <c r="C23" i="39"/>
  <c r="L23" i="39" s="1"/>
  <c r="C120" i="28"/>
  <c r="L35" i="28"/>
  <c r="C19" i="31" s="1"/>
  <c r="L19" i="31" s="1"/>
  <c r="C18" i="31"/>
  <c r="L18" i="31" s="1"/>
  <c r="C12" i="7"/>
  <c r="L12" i="7" s="1"/>
  <c r="L32" i="7" s="1"/>
  <c r="L33" i="7" s="1"/>
  <c r="L23" i="32"/>
  <c r="L27" i="32"/>
  <c r="I81" i="28" l="1"/>
  <c r="C24" i="35" s="1"/>
  <c r="L24" i="35" s="1"/>
  <c r="L28" i="77"/>
  <c r="C29" i="77"/>
  <c r="L29" i="77" s="1"/>
  <c r="L49" i="77" s="1"/>
  <c r="L50" i="77" s="1"/>
  <c r="C18" i="39"/>
  <c r="L18" i="39" s="1"/>
  <c r="L11" i="30"/>
  <c r="L49" i="30" s="1"/>
  <c r="L16" i="38"/>
  <c r="C29" i="37"/>
  <c r="L29" i="37" s="1"/>
  <c r="L49" i="37" s="1"/>
  <c r="L50" i="37" s="1"/>
  <c r="L11" i="68" s="1"/>
  <c r="L16" i="40"/>
  <c r="L48" i="70"/>
  <c r="L49" i="70" s="1"/>
  <c r="L22" i="68" s="1"/>
  <c r="O20" i="68" s="1"/>
  <c r="L47" i="29"/>
  <c r="L48" i="29" s="1"/>
  <c r="J97" i="28"/>
  <c r="C21" i="40" s="1"/>
  <c r="L26" i="40"/>
  <c r="L22" i="36"/>
  <c r="L48" i="36" s="1"/>
  <c r="L49" i="36" s="1"/>
  <c r="L8" i="68" s="1"/>
  <c r="C122" i="28"/>
  <c r="C22" i="33"/>
  <c r="L22" i="33" s="1"/>
  <c r="L50" i="33" s="1"/>
  <c r="L51" i="33" s="1"/>
  <c r="L10" i="68" s="1"/>
  <c r="C22" i="35"/>
  <c r="L22" i="35" s="1"/>
  <c r="L48" i="31"/>
  <c r="L49" i="31" s="1"/>
  <c r="L3" i="68" s="1" a="1"/>
  <c r="L3" i="68" s="1"/>
  <c r="L50" i="32"/>
  <c r="L51" i="32" l="1"/>
  <c r="L12" i="68" s="1"/>
  <c r="L13" i="68"/>
  <c r="L19" i="68" a="1"/>
  <c r="L19" i="68" s="1"/>
  <c r="K12" i="69"/>
  <c r="L12" i="69" s="1"/>
  <c r="L14" i="69"/>
  <c r="L48" i="40"/>
  <c r="L49" i="40" s="1"/>
  <c r="L5" i="68" s="1" a="1"/>
  <c r="L5" i="68" s="1"/>
  <c r="L20" i="68" a="1"/>
  <c r="L20" i="68" s="1"/>
  <c r="K13" i="69"/>
  <c r="C26" i="39"/>
  <c r="L26" i="39" s="1"/>
  <c r="L48" i="39" s="1"/>
  <c r="L49" i="39" s="1"/>
  <c r="L4" i="68" s="1" a="1"/>
  <c r="L4" i="68" s="1"/>
  <c r="C28" i="38"/>
  <c r="L28" i="38" s="1"/>
  <c r="C28" i="34"/>
  <c r="L28" i="34" s="1"/>
  <c r="C121" i="28"/>
  <c r="L48" i="35"/>
  <c r="L49" i="35" s="1"/>
  <c r="L7" i="68" s="1"/>
  <c r="K11" i="69" l="1"/>
  <c r="L13" i="69"/>
  <c r="C27" i="38"/>
  <c r="L27" i="38" s="1"/>
  <c r="L48" i="38" s="1"/>
  <c r="L49" i="38" s="1"/>
  <c r="L6" i="68" s="1" a="1"/>
  <c r="L6" i="68" s="1"/>
  <c r="Q5" i="68" s="1"/>
  <c r="C27" i="34"/>
  <c r="L27" i="34" s="1"/>
  <c r="L50" i="34" s="1"/>
  <c r="L51" i="34" s="1"/>
  <c r="L9" i="68" s="1"/>
  <c r="K23" i="69" s="1"/>
  <c r="J42" i="69" s="1"/>
  <c r="J44" i="69"/>
  <c r="J45" i="69" l="1"/>
  <c r="J46" i="69" s="1"/>
  <c r="K47" i="6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Araujo</author>
  </authors>
  <commentList>
    <comment ref="K53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Numner of sheets to be purchased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54" authorId="0" shapeId="0" xr:uid="{3FCA2AB8-311B-4F61-85C2-1CAEC54C9A3A}">
      <text>
        <r>
          <rPr>
            <sz val="9"/>
            <color indexed="81"/>
            <rFont val="Tahoma"/>
            <family val="2"/>
          </rPr>
          <t xml:space="preserve">It includes ao trims around the lattice (liner ft). 
</t>
        </r>
      </text>
    </comment>
    <comment ref="G64" authorId="0" shapeId="0" xr:uid="{00000000-0006-0000-0000-000004000000}">
      <text>
        <r>
          <rPr>
            <sz val="9"/>
            <color indexed="81"/>
            <rFont val="Tahoma"/>
            <family val="2"/>
          </rPr>
          <t xml:space="preserve">6' Rail: (1) Picket
8' Rail: (2) Pickets 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<sst xmlns="http://schemas.openxmlformats.org/spreadsheetml/2006/main" count="2608" uniqueCount="1389">
  <si>
    <t>DESCRIPTION</t>
  </si>
  <si>
    <t>TOTAL</t>
  </si>
  <si>
    <t>QTY</t>
  </si>
  <si>
    <t>DUMPSTER</t>
  </si>
  <si>
    <t>LABOR COST</t>
  </si>
  <si>
    <t>WARRANTY - GENFLEX</t>
  </si>
  <si>
    <t>EAGLEVIEW</t>
  </si>
  <si>
    <t>PERMIT</t>
  </si>
  <si>
    <t>EXTRA MATERIALS</t>
  </si>
  <si>
    <t>MATERIALS</t>
  </si>
  <si>
    <t>TAX</t>
  </si>
  <si>
    <t>AMOUNT</t>
  </si>
  <si>
    <t>UNIT</t>
  </si>
  <si>
    <t>RESUME</t>
  </si>
  <si>
    <t>ADDITIONAL COSTS</t>
  </si>
  <si>
    <t>PROFIT</t>
  </si>
  <si>
    <t>MODEL/DETAILS</t>
  </si>
  <si>
    <t>PRICE FOR CUSTOMER</t>
  </si>
  <si>
    <t>12" ROLL LEAD</t>
  </si>
  <si>
    <t>1/2"Brown Board</t>
  </si>
  <si>
    <t>1/4"Drill bit for concret</t>
  </si>
  <si>
    <t>PT 2"x4"x10'</t>
  </si>
  <si>
    <t>PRIME CEMENT</t>
  </si>
  <si>
    <t>paiting brush</t>
  </si>
  <si>
    <t xml:space="preserve">roller cover w/ handle </t>
  </si>
  <si>
    <t>GENFLEX 9"FINISHING TAPE</t>
  </si>
  <si>
    <t>Adco  6 COVER TAPE</t>
  </si>
  <si>
    <t xml:space="preserve">MORTAR CEMENT </t>
  </si>
  <si>
    <t>ADCO SEAM TAPE</t>
  </si>
  <si>
    <t>GENFLAX TERMINATION BAR</t>
  </si>
  <si>
    <t>WATER STOP</t>
  </si>
  <si>
    <t>90deg tape</t>
  </si>
  <si>
    <t>EPDM CAULK</t>
  </si>
  <si>
    <t>3" Retrofit Drain</t>
  </si>
  <si>
    <t>Pourable Sealer</t>
  </si>
  <si>
    <t>2"plates</t>
  </si>
  <si>
    <t>EPDM BONDING ADHESIVE</t>
  </si>
  <si>
    <t>100CTS BOX 3" PLATES</t>
  </si>
  <si>
    <t>100CTS BOX 5 1/2" SCREWS</t>
  </si>
  <si>
    <t>METAL COIL (BRONZE)</t>
  </si>
  <si>
    <t>1.5"DRIVEN NAILS (100CTS)</t>
  </si>
  <si>
    <t xml:space="preserve">Witch Hat </t>
  </si>
  <si>
    <t>2"INSULATION ISO BOARD</t>
  </si>
  <si>
    <t>4"x6"x10' PT</t>
  </si>
  <si>
    <t>10X50 EPDM RUBBER</t>
  </si>
  <si>
    <t xml:space="preserve">3x3 Dripedge </t>
  </si>
  <si>
    <t xml:space="preserve">Custom dripedges </t>
  </si>
  <si>
    <t>ZIP COD</t>
  </si>
  <si>
    <t>ADDRESS</t>
  </si>
  <si>
    <t>ROOFING JOB</t>
  </si>
  <si>
    <t>Shingle</t>
  </si>
  <si>
    <t>CELL</t>
  </si>
  <si>
    <t>PHONE</t>
  </si>
  <si>
    <t>CUSTOMER</t>
  </si>
  <si>
    <t xml:space="preserve">JOB LOC </t>
  </si>
  <si>
    <t>E-MAIL</t>
  </si>
  <si>
    <t>Amount</t>
  </si>
  <si>
    <t>LEAK BARRIER</t>
  </si>
  <si>
    <t>RIDGE VENT</t>
  </si>
  <si>
    <t>Ridge Vent</t>
  </si>
  <si>
    <t>WARRANTY</t>
  </si>
  <si>
    <t>LABOR</t>
  </si>
  <si>
    <t>MATERIAL</t>
  </si>
  <si>
    <t>Leak Barrier</t>
  </si>
  <si>
    <t>Deck Protection</t>
  </si>
  <si>
    <t>GAF</t>
  </si>
  <si>
    <t>Price</t>
  </si>
  <si>
    <t>Shingles</t>
  </si>
  <si>
    <t>Unit</t>
  </si>
  <si>
    <t xml:space="preserve">Timberline Ultra HD® Arc Shingles </t>
  </si>
  <si>
    <t>STORM GUARD ICE&amp;WATER™</t>
  </si>
  <si>
    <t xml:space="preserve">Deck Protection </t>
  </si>
  <si>
    <r>
      <t xml:space="preserve">Felt Paper </t>
    </r>
    <r>
      <rPr>
        <i/>
        <sz val="12"/>
        <color indexed="63"/>
        <rFont val="Arial Narrow"/>
        <family val="2"/>
      </rPr>
      <t>(included)</t>
    </r>
  </si>
  <si>
    <r>
      <t xml:space="preserve">Timberline HD® Arc Shingles </t>
    </r>
    <r>
      <rPr>
        <i/>
        <sz val="12"/>
        <color indexed="63"/>
        <rFont val="Arial Narrow"/>
        <family val="2"/>
      </rPr>
      <t>(included)</t>
    </r>
  </si>
  <si>
    <t>WEATHER WATCH® ICE&amp;WATER (included)</t>
  </si>
  <si>
    <t>FeltBuster™</t>
  </si>
  <si>
    <t>DeckArmor™</t>
  </si>
  <si>
    <t>Cobra® Snow Country™</t>
  </si>
  <si>
    <t>TigerPaw™</t>
  </si>
  <si>
    <t>ESTIMATE</t>
  </si>
  <si>
    <t>OUR GAF STANDARD PACKAGE INCLUDES:</t>
  </si>
  <si>
    <t>add</t>
  </si>
  <si>
    <t>Upgrade?</t>
  </si>
  <si>
    <t>DECK PROTECTION</t>
  </si>
  <si>
    <t>SHINGLE</t>
  </si>
  <si>
    <t>Golden Pledge</t>
  </si>
  <si>
    <t>QUOTE FOR GAF STANDARD PACKAGE</t>
  </si>
  <si>
    <t>Standard GAF Package</t>
  </si>
  <si>
    <t>Accessories &amp; Warranty Upgrade</t>
  </si>
  <si>
    <t>Warranty</t>
  </si>
  <si>
    <r>
      <t xml:space="preserve">Timberline HD® Arc Shingles </t>
    </r>
    <r>
      <rPr>
        <i/>
        <sz val="20"/>
        <color indexed="57"/>
        <rFont val="Calibri"/>
        <family val="2"/>
      </rPr>
      <t>(included)</t>
    </r>
  </si>
  <si>
    <r>
      <t xml:space="preserve">Weather Watch® Ice&amp;Water </t>
    </r>
    <r>
      <rPr>
        <i/>
        <sz val="20"/>
        <color indexed="57"/>
        <rFont val="Calibri"/>
        <family val="2"/>
      </rPr>
      <t>(included)</t>
    </r>
  </si>
  <si>
    <r>
      <t xml:space="preserve">Felt Paper </t>
    </r>
    <r>
      <rPr>
        <i/>
        <sz val="20"/>
        <color indexed="57"/>
        <rFont val="Calibri"/>
        <family val="2"/>
      </rPr>
      <t>(included)</t>
    </r>
  </si>
  <si>
    <r>
      <t xml:space="preserve">Cobra® Exhaust Vent </t>
    </r>
    <r>
      <rPr>
        <i/>
        <sz val="20"/>
        <color indexed="57"/>
        <rFont val="Calibri"/>
        <family val="2"/>
      </rPr>
      <t>(included)</t>
    </r>
  </si>
  <si>
    <r>
      <t xml:space="preserve">Seal-a-Ridge® </t>
    </r>
    <r>
      <rPr>
        <i/>
        <sz val="20"/>
        <color indexed="63"/>
        <rFont val="Calibri"/>
        <family val="2"/>
      </rPr>
      <t xml:space="preserve">as a Deck Protection </t>
    </r>
    <r>
      <rPr>
        <i/>
        <sz val="20"/>
        <color indexed="57"/>
        <rFont val="Calibri"/>
        <family val="2"/>
      </rPr>
      <t>(included)</t>
    </r>
  </si>
  <si>
    <r>
      <t xml:space="preserve">Pro-Starter™ </t>
    </r>
    <r>
      <rPr>
        <i/>
        <sz val="20"/>
        <color indexed="63"/>
        <rFont val="Calibri"/>
        <family val="2"/>
      </rPr>
      <t xml:space="preserve">as a Starter Strip Shingles </t>
    </r>
    <r>
      <rPr>
        <i/>
        <sz val="20"/>
        <color indexed="57"/>
        <rFont val="Calibri"/>
        <family val="2"/>
      </rPr>
      <t>(included)</t>
    </r>
  </si>
  <si>
    <r>
      <t xml:space="preserve">8" Metal Drip Edge </t>
    </r>
    <r>
      <rPr>
        <i/>
        <sz val="20"/>
        <color indexed="57"/>
        <rFont val="Calibri"/>
        <family val="2"/>
      </rPr>
      <t>(included)</t>
    </r>
  </si>
  <si>
    <r>
      <t>1⅟4 Hurricane Nailing -</t>
    </r>
    <r>
      <rPr>
        <i/>
        <sz val="20"/>
        <color indexed="63"/>
        <rFont val="Calibri"/>
        <family val="2"/>
      </rPr>
      <t xml:space="preserve"> 6 Nails per Shingle </t>
    </r>
    <r>
      <rPr>
        <i/>
        <sz val="20"/>
        <color indexed="57"/>
        <rFont val="Calibri"/>
        <family val="2"/>
      </rPr>
      <t>(included)</t>
    </r>
  </si>
  <si>
    <t xml:space="preserve">Total </t>
  </si>
  <si>
    <t>GAF MANUFACTURE OPTION</t>
  </si>
  <si>
    <t>Description</t>
  </si>
  <si>
    <t xml:space="preserve">Total Amount </t>
  </si>
  <si>
    <r>
      <t xml:space="preserve">Reflash Chimney if needed </t>
    </r>
    <r>
      <rPr>
        <i/>
        <sz val="20"/>
        <color indexed="57"/>
        <rFont val="Calibri"/>
        <family val="2"/>
      </rPr>
      <t>(included)</t>
    </r>
  </si>
  <si>
    <t xml:space="preserve">Timb. Ultra HD® Arc Shingles    </t>
  </si>
  <si>
    <t>any size</t>
  </si>
  <si>
    <t>per sq</t>
  </si>
  <si>
    <t>…</t>
  </si>
  <si>
    <t>Total Cost</t>
  </si>
  <si>
    <t>TOTAL COST</t>
  </si>
  <si>
    <t>System Plus Limited Warranty   (included)</t>
  </si>
  <si>
    <t>Labor &amp; Material for Golden Pledge</t>
  </si>
  <si>
    <t>Total for Golden Pledge</t>
  </si>
  <si>
    <t>Price with Profit</t>
  </si>
  <si>
    <t>Golden Pledge price per sq</t>
  </si>
  <si>
    <t>OPCOES UPGRADE</t>
  </si>
  <si>
    <t>Timberline HD® Arc Shingles (included)</t>
  </si>
  <si>
    <t>Cobra® Exhaust Vent (included)</t>
  </si>
  <si>
    <t>System Plus (included)</t>
  </si>
  <si>
    <r>
      <t xml:space="preserve">System Plus </t>
    </r>
    <r>
      <rPr>
        <i/>
        <sz val="20"/>
        <color indexed="21"/>
        <rFont val="Calibri"/>
        <family val="2"/>
      </rPr>
      <t>(included)</t>
    </r>
  </si>
  <si>
    <t>PRICES FOR WARRANTIES</t>
  </si>
  <si>
    <t>GAF System Plus</t>
  </si>
  <si>
    <t>GAF Golden Pledge</t>
  </si>
  <si>
    <t>Certainteed Sure Start</t>
  </si>
  <si>
    <t>OC -  Standard System</t>
  </si>
  <si>
    <t>OC - System Protection</t>
  </si>
  <si>
    <t xml:space="preserve">OC - Preferred Protection </t>
  </si>
  <si>
    <t>IKO Iron Glad</t>
  </si>
  <si>
    <t>Price per Sq</t>
  </si>
  <si>
    <t>Total Price for Upgrades</t>
  </si>
  <si>
    <t>Un Price</t>
  </si>
  <si>
    <t>Used for Material Calculation</t>
  </si>
  <si>
    <t xml:space="preserve">Warranty Calculations </t>
  </si>
  <si>
    <t>Brand</t>
  </si>
  <si>
    <t>OC- Standard System</t>
  </si>
  <si>
    <t>DECKING ESTIMATE</t>
  </si>
  <si>
    <t>DECK 1</t>
  </si>
  <si>
    <t>Width</t>
  </si>
  <si>
    <t>Depth</t>
  </si>
  <si>
    <t xml:space="preserve">Height </t>
  </si>
  <si>
    <t>STAIR 1</t>
  </si>
  <si>
    <t>STAIR 2</t>
  </si>
  <si>
    <t xml:space="preserve">Riser  </t>
  </si>
  <si>
    <t>Riser</t>
  </si>
  <si>
    <t>LANDING 1</t>
  </si>
  <si>
    <t>LANDING 2</t>
  </si>
  <si>
    <t>Helical Piers</t>
  </si>
  <si>
    <t>6' x 36" Level Rail</t>
  </si>
  <si>
    <t>8' x 36" Level Rail</t>
  </si>
  <si>
    <t>6' x 42" Level Rail</t>
  </si>
  <si>
    <t>8' x 42" Level Rail</t>
  </si>
  <si>
    <t xml:space="preserve">INPUTS FOR LABOR CALCULATIONS </t>
  </si>
  <si>
    <t xml:space="preserve">INPUTS FOR MATERIAL CALCULATIONS </t>
  </si>
  <si>
    <t># risers</t>
  </si>
  <si>
    <t xml:space="preserve">Total 36" Rail Length </t>
  </si>
  <si>
    <t xml:space="preserve">Total 42" Rail Length </t>
  </si>
  <si>
    <t>ft</t>
  </si>
  <si>
    <t>sf</t>
  </si>
  <si>
    <t>cts</t>
  </si>
  <si>
    <t>lf</t>
  </si>
  <si>
    <t xml:space="preserve">Demolition </t>
  </si>
  <si>
    <t>Footings</t>
  </si>
  <si>
    <t>Decking Boards Installation</t>
  </si>
  <si>
    <t>DECK 2</t>
  </si>
  <si>
    <t>Post Sleeve Installation</t>
  </si>
  <si>
    <t xml:space="preserve">Ceiling Beam (PVC) </t>
  </si>
  <si>
    <t>Farmer's Porch</t>
  </si>
  <si>
    <t>New  Beaded Plywood on Ceiling</t>
  </si>
  <si>
    <t>Number of Joists</t>
  </si>
  <si>
    <t>Splitted Rails</t>
  </si>
  <si>
    <t>Flush Mount Structural Post 36" Rail Height</t>
  </si>
  <si>
    <t xml:space="preserve">Flush Mount Structural Post 42" Rail Height </t>
  </si>
  <si>
    <t>Sections of Rail (wood/compoiste)</t>
  </si>
  <si>
    <t>Picture Frame</t>
  </si>
  <si>
    <t>Concrete Pad</t>
  </si>
  <si>
    <t xml:space="preserve">Level Pickets </t>
  </si>
  <si>
    <t>Stair Pickets</t>
  </si>
  <si>
    <t>Number of Landings</t>
  </si>
  <si>
    <t xml:space="preserve">Number of Stairs </t>
  </si>
  <si>
    <t xml:space="preserve">Number of Treads (both stairs) </t>
  </si>
  <si>
    <t>Stringer  Wrap</t>
  </si>
  <si>
    <t>Base Cap Molding (transition beam-ceiling)</t>
  </si>
  <si>
    <t xml:space="preserve">Water Table </t>
  </si>
  <si>
    <t>Water Table</t>
  </si>
  <si>
    <t>Lattice Trim</t>
  </si>
  <si>
    <t>Lattice Panel</t>
  </si>
  <si>
    <t>Gate to access under the deck</t>
  </si>
  <si>
    <t>80 Lb Concrete Mix - 5000 psi</t>
  </si>
  <si>
    <t xml:space="preserve">2X4X8 Pressure Treated </t>
  </si>
  <si>
    <t xml:space="preserve">2X4X10 Pressure Treated </t>
  </si>
  <si>
    <t xml:space="preserve">2X4X12 Pressure Treated </t>
  </si>
  <si>
    <t xml:space="preserve">2X4X14 Pressure Treated </t>
  </si>
  <si>
    <t xml:space="preserve">2X4X16 Pressure Treated </t>
  </si>
  <si>
    <t xml:space="preserve">2X6X8 Pressure Treated </t>
  </si>
  <si>
    <t xml:space="preserve">2X6X10 Pressure Treated </t>
  </si>
  <si>
    <t xml:space="preserve">2X6X12 Pressure Treated </t>
  </si>
  <si>
    <t xml:space="preserve">2X6X14 Pressure Treated </t>
  </si>
  <si>
    <t xml:space="preserve">2X6X16 Pressure Treated </t>
  </si>
  <si>
    <t xml:space="preserve">2X8X8 Pressure Treated </t>
  </si>
  <si>
    <t xml:space="preserve">2X8X10 Pressure Treated </t>
  </si>
  <si>
    <t xml:space="preserve">2X8X12 Pressure Treated </t>
  </si>
  <si>
    <t xml:space="preserve">2X8X14 Pressure Treated </t>
  </si>
  <si>
    <t xml:space="preserve">2X8X16 Pressure Treated </t>
  </si>
  <si>
    <t xml:space="preserve">2X8X18 Pressure Treated </t>
  </si>
  <si>
    <t xml:space="preserve">2X8X20 Pressure Treated </t>
  </si>
  <si>
    <t xml:space="preserve">2X10X8 Pressure Treated </t>
  </si>
  <si>
    <t xml:space="preserve">2X10X10 Pressure Treated </t>
  </si>
  <si>
    <t xml:space="preserve">2X10X12 Pressure Treated </t>
  </si>
  <si>
    <t xml:space="preserve">2X10X14 Pressure Treated </t>
  </si>
  <si>
    <t xml:space="preserve">2X10X16 Pressure Treated </t>
  </si>
  <si>
    <t xml:space="preserve">2X10X18 Pressure Treated </t>
  </si>
  <si>
    <t xml:space="preserve">2X10X20 Pressure Treated </t>
  </si>
  <si>
    <t xml:space="preserve">2X12X8 Pressure Treated </t>
  </si>
  <si>
    <t xml:space="preserve">2X12X10 Pressure Treated </t>
  </si>
  <si>
    <t xml:space="preserve">2X12X12 Pressure Treated </t>
  </si>
  <si>
    <t xml:space="preserve">2X12X14 Pressure Treated </t>
  </si>
  <si>
    <t xml:space="preserve">2X12X16 Pressure Treated </t>
  </si>
  <si>
    <t xml:space="preserve">2X12X18 Pressure Treated </t>
  </si>
  <si>
    <t xml:space="preserve">2X12X20 Pressure Treated </t>
  </si>
  <si>
    <t xml:space="preserve">4X4X8 Pressure Treated </t>
  </si>
  <si>
    <t xml:space="preserve">4X4X10 Pressure Treated </t>
  </si>
  <si>
    <t xml:space="preserve">4X4X12 Pressure Treated </t>
  </si>
  <si>
    <t xml:space="preserve">4X4X16 Pressure Treated </t>
  </si>
  <si>
    <t xml:space="preserve">4X4X14 Pressure Treated </t>
  </si>
  <si>
    <t xml:space="preserve">4X6X8 Pressure Treated </t>
  </si>
  <si>
    <t xml:space="preserve">4X6X10 Pressure Treated </t>
  </si>
  <si>
    <t xml:space="preserve">4X6X12 Pressure Treated </t>
  </si>
  <si>
    <t xml:space="preserve">4X6X14 Pressure Treated </t>
  </si>
  <si>
    <t xml:space="preserve">4X6X16 Pressure Treated </t>
  </si>
  <si>
    <t xml:space="preserve">6X6X8 Pressure Treated </t>
  </si>
  <si>
    <t xml:space="preserve">6X6X10 Pressure Treated </t>
  </si>
  <si>
    <t xml:space="preserve">6X6X12 Pressure Treated </t>
  </si>
  <si>
    <t xml:space="preserve">6X6X14 Pressure Treated </t>
  </si>
  <si>
    <t xml:space="preserve">6X6X16 Pressure Treated </t>
  </si>
  <si>
    <t>Frame Grade</t>
  </si>
  <si>
    <t>Deck Grade</t>
  </si>
  <si>
    <t>Support Post Grade</t>
  </si>
  <si>
    <t>Bigfooting</t>
  </si>
  <si>
    <t xml:space="preserve">Extra Material </t>
  </si>
  <si>
    <t>Unit Cost</t>
  </si>
  <si>
    <t xml:space="preserve">Extra Labor </t>
  </si>
  <si>
    <t>Footings and Pads</t>
  </si>
  <si>
    <t>DESCRIPTIONS</t>
  </si>
  <si>
    <t>Pressure Treated Lumber</t>
  </si>
  <si>
    <t xml:space="preserve">1 x 8 x 8 Pressure Treated </t>
  </si>
  <si>
    <t>1 x8 x 10 Pressure Treated</t>
  </si>
  <si>
    <t>1 x 8 x 12 Pressure Treated</t>
  </si>
  <si>
    <t>1 x 8 x 14 Pressure Treated</t>
  </si>
  <si>
    <t>1 x 8 x 16 Pressure Treated</t>
  </si>
  <si>
    <t>1 x 6 x 8 Pressure Treated Decking Boards</t>
  </si>
  <si>
    <t>1 x 6 x 10 Pressure Treated Decking Boards</t>
  </si>
  <si>
    <t>1 x 6 x 12 Pressure Treated Decking Boards</t>
  </si>
  <si>
    <t>1 x 6 x 14 Pressure Treated Decking Boards</t>
  </si>
  <si>
    <t>1 x 6 x 16 Pressure Treated Decking Boards</t>
  </si>
  <si>
    <t>5/4 x 6 x 8 Pressure Treated Decking Boards</t>
  </si>
  <si>
    <t>5/4 x 6 x 10 Pressure Treated Decking Boards</t>
  </si>
  <si>
    <t>5/4 x 6 x 12 Pressure Treated Decking Boards</t>
  </si>
  <si>
    <t>5/4 x 6 x 14 Pressure Treated Decking Boards</t>
  </si>
  <si>
    <t>5/4 x 6 x 16 Pressure Treated Decking Boards</t>
  </si>
  <si>
    <t>Galvanized Straps</t>
  </si>
  <si>
    <t>4 DTT1Z connectors (4 kit) - Galvanized Deck Tension Tie Kit</t>
  </si>
  <si>
    <t>Galvanized Face-Mount Joist Hanger for 2x8 Nominal Lumber</t>
  </si>
  <si>
    <t>Galvanized Face-Mount Joist Hanger for 2x10 Nominal Lumber</t>
  </si>
  <si>
    <t>LSC 18-Gauge ZMAX Galvanized Adjustable Stringer Connector</t>
  </si>
  <si>
    <t>18-Gauge Galvanized Hurricane Tie</t>
  </si>
  <si>
    <t>ABA ZMAX Galvanized Adjustable Standoff Post Base for 6x6 Nominal Lumber</t>
  </si>
  <si>
    <t>ABA ZMAX Galvanized Adjustable Standoff Post Base for 4x6 Nominal Lumber</t>
  </si>
  <si>
    <t>ABA ZMAX Galvanized Adjustable Standoff Post Base for 4x4 Nominal Lumber</t>
  </si>
  <si>
    <t>BCS ZMAX Galvanized Post Cap/Base for Double 2x Beam, 4x Post</t>
  </si>
  <si>
    <t>BCS ZMAX Galvanized Post Cap/Base for Double 2x Beam, 6x Post</t>
  </si>
  <si>
    <t>Zinc-Plated Steel Hex-Nut-Head Sleeve Anchor</t>
  </si>
  <si>
    <t>DTT1Z connectors (Tension Tie - 4 Pack)</t>
  </si>
  <si>
    <t>DTT2Z connectors (Tension Tie - 2 Pack)</t>
  </si>
  <si>
    <t>Roof Fascia (PVC)</t>
  </si>
  <si>
    <t xml:space="preserve">Deck Fascia Board </t>
  </si>
  <si>
    <t>LedgerLok Coarse Steel External Hex Drive</t>
  </si>
  <si>
    <t>4x4 Railing Post</t>
  </si>
  <si>
    <t>Flush Mount Structural Post</t>
  </si>
  <si>
    <t>Deck Fascia Wrap</t>
  </si>
  <si>
    <t xml:space="preserve">Porch Ceiling </t>
  </si>
  <si>
    <t>Porch Fascia</t>
  </si>
  <si>
    <t xml:space="preserve">Porch Soffit </t>
  </si>
  <si>
    <t>Rate</t>
  </si>
  <si>
    <t>Per</t>
  </si>
  <si>
    <t>Quantity</t>
  </si>
  <si>
    <t>Hrs</t>
  </si>
  <si>
    <t xml:space="preserve">Sections of Rail Wood Railing </t>
  </si>
  <si>
    <t xml:space="preserve">Sections of Rail Composite Railing </t>
  </si>
  <si>
    <t xml:space="preserve">Number of Treads - Composite </t>
  </si>
  <si>
    <t>Number of Treads - Pressure Treated</t>
  </si>
  <si>
    <t>PVC Water Table</t>
  </si>
  <si>
    <t>PVC Stringer  Wrap</t>
  </si>
  <si>
    <t>PVC Deck Fascia Wrap</t>
  </si>
  <si>
    <t>Installation of Deck Gate</t>
  </si>
  <si>
    <t>Landings (framing only)</t>
  </si>
  <si>
    <t>Stairs (framing only)</t>
  </si>
  <si>
    <t>Number of PVC Risers</t>
  </si>
  <si>
    <t>Numer of PT Risers</t>
  </si>
  <si>
    <t>Composite Railing Gate</t>
  </si>
  <si>
    <t>PT Railing Gate</t>
  </si>
  <si>
    <t>PT Decking Boards Installation</t>
  </si>
  <si>
    <t>Composite Decking Boards Installation</t>
  </si>
  <si>
    <t>Installation of DTT1Z connectors (Tension Tie - 4 Pack)</t>
  </si>
  <si>
    <t>Installation of DTT2Z connectors (Tension Tie - 2 Pack)</t>
  </si>
  <si>
    <t>cts (Lateral Load - 750 lb)</t>
  </si>
  <si>
    <t xml:space="preserve">Lattice Panel </t>
  </si>
  <si>
    <t xml:space="preserve">Porch Ceiling (beaded baord) </t>
  </si>
  <si>
    <t>Porch Soffit  (PVC)</t>
  </si>
  <si>
    <t>Porch Fascia  (PVC)</t>
  </si>
  <si>
    <t>Porch Ceiling Beam ( PVC)</t>
  </si>
  <si>
    <t xml:space="preserve">Wrap Porch Collumns with PVC </t>
  </si>
  <si>
    <t xml:space="preserve">Fiberglass Collumns Installation </t>
  </si>
  <si>
    <t xml:space="preserve">DESCRIPTIONS OF LABOR </t>
  </si>
  <si>
    <t>Bed Molding (transition beam-ceiling)</t>
  </si>
  <si>
    <t xml:space="preserve">Cable Rail - Total 36" Rail Length </t>
  </si>
  <si>
    <t xml:space="preserve">Cable Rail - Total 42" Rail Length </t>
  </si>
  <si>
    <t>Cable Rail - Straght Sections of 36" Height</t>
  </si>
  <si>
    <t>Cable Rail - Straght Sections of 42" Height</t>
  </si>
  <si>
    <t xml:space="preserve">Cable Rail - Level Pickets </t>
  </si>
  <si>
    <t>Cable Rail - Stair Pickets</t>
  </si>
  <si>
    <t xml:space="preserve">Cable Rail - Pass Through Posts </t>
  </si>
  <si>
    <t>FOOTINGS / PADS / FRAMING</t>
  </si>
  <si>
    <t xml:space="preserve">COMPOSITE DECKING </t>
  </si>
  <si>
    <t xml:space="preserve">PRESSURE TREATED DECKING </t>
  </si>
  <si>
    <t>COMPOSITE RAILINGS</t>
  </si>
  <si>
    <t xml:space="preserve">PRESSURE TREATED RAILINGS </t>
  </si>
  <si>
    <t>CABLE RAILINGS</t>
  </si>
  <si>
    <t>PT FINISHING</t>
  </si>
  <si>
    <t>COMPOSITE FINISHING</t>
  </si>
  <si>
    <t>Time</t>
  </si>
  <si>
    <t xml:space="preserve">Number of Joists to be installed </t>
  </si>
  <si>
    <t>Deck 1</t>
  </si>
  <si>
    <t>Joists</t>
  </si>
  <si>
    <t>double edge</t>
  </si>
  <si>
    <t>Total</t>
  </si>
  <si>
    <t>Deck 2</t>
  </si>
  <si>
    <t>Landing 1</t>
  </si>
  <si>
    <t>Landing 2</t>
  </si>
  <si>
    <t>If (4.5)</t>
  </si>
  <si>
    <t xml:space="preserve">Deck 2 </t>
  </si>
  <si>
    <t>Stair 1</t>
  </si>
  <si>
    <t>Stair 2</t>
  </si>
  <si>
    <t xml:space="preserve">Width </t>
  </si>
  <si>
    <t># of boards</t>
  </si>
  <si>
    <t>Waste Factor</t>
  </si>
  <si>
    <t>Total of boards</t>
  </si>
  <si>
    <t>Total LF</t>
  </si>
  <si>
    <t>Pic Frame</t>
  </si>
  <si>
    <t xml:space="preserve">Riser </t>
  </si>
  <si>
    <t># treads</t>
  </si>
  <si>
    <t># Risers</t>
  </si>
  <si>
    <t># Treads</t>
  </si>
  <si>
    <t>Deck SF</t>
  </si>
  <si>
    <t>Total Deck SF</t>
  </si>
  <si>
    <t>D1 Beam LF</t>
  </si>
  <si>
    <t>D2 Beam LF</t>
  </si>
  <si>
    <t>Total Beam D1</t>
  </si>
  <si>
    <t>Total Beam D2</t>
  </si>
  <si>
    <t>EXTRA LABOR</t>
  </si>
  <si>
    <t>Waste Factor:</t>
  </si>
  <si>
    <t>Select the Beam</t>
  </si>
  <si>
    <t>Double by 8</t>
  </si>
  <si>
    <t>Triple by 8</t>
  </si>
  <si>
    <t>Double by 10</t>
  </si>
  <si>
    <t>Triple by 10</t>
  </si>
  <si>
    <t xml:space="preserve"> </t>
  </si>
  <si>
    <t>Joist Hanger</t>
  </si>
  <si>
    <t>Stringer Connc</t>
  </si>
  <si>
    <t># Stringers</t>
  </si>
  <si>
    <t>Stringer length</t>
  </si>
  <si>
    <t>Total Str. lf</t>
  </si>
  <si>
    <t xml:space="preserve">Ledger Board Attachment </t>
  </si>
  <si>
    <t>Screw</t>
  </si>
  <si>
    <t>Anchor</t>
  </si>
  <si>
    <t>Concrete</t>
  </si>
  <si>
    <t xml:space="preserve">Wood </t>
  </si>
  <si>
    <t>Ledger attaches to…</t>
  </si>
  <si>
    <t>(lf)</t>
  </si>
  <si>
    <t>Support Post</t>
  </si>
  <si>
    <t>4x4</t>
  </si>
  <si>
    <t>6x6</t>
  </si>
  <si>
    <t>4x6</t>
  </si>
  <si>
    <t>Select Grade</t>
  </si>
  <si>
    <t>Deck Width</t>
  </si>
  <si>
    <t>Deck Depth</t>
  </si>
  <si>
    <t xml:space="preserve">Deck Height </t>
  </si>
  <si>
    <t>Select Structure</t>
  </si>
  <si>
    <t>Beam Grade</t>
  </si>
  <si>
    <t>Decking Area</t>
  </si>
  <si>
    <t>Lf of treads</t>
  </si>
  <si>
    <t>LF TOTAL PIC</t>
  </si>
  <si>
    <t>Total Joist (lf)</t>
  </si>
  <si>
    <t>Ledger + Rim deck 1</t>
  </si>
  <si>
    <t>Ledger + Rim deck 2</t>
  </si>
  <si>
    <t>Deck 1 Beam</t>
  </si>
  <si>
    <t>Deck 2 Beam</t>
  </si>
  <si>
    <t>Stair 1 Beam</t>
  </si>
  <si>
    <t>Stair 2 Beam</t>
  </si>
  <si>
    <t>Stair 1 Beam lf</t>
  </si>
  <si>
    <t>Stair 2 Beam lf</t>
  </si>
  <si>
    <t>Total Stair Beam 1</t>
  </si>
  <si>
    <t>Total Stair Beam 2</t>
  </si>
  <si>
    <t>2 x 10 Frame</t>
  </si>
  <si>
    <t xml:space="preserve">2 x 8 Frame </t>
  </si>
  <si>
    <t>Select Frame Grade</t>
  </si>
  <si>
    <t>Ledger Board</t>
  </si>
  <si>
    <t xml:space="preserve">Ledger Board </t>
  </si>
  <si>
    <t>Ledger D1</t>
  </si>
  <si>
    <t>Ledger D2</t>
  </si>
  <si>
    <t>Ledger L1</t>
  </si>
  <si>
    <t>Ledger L2</t>
  </si>
  <si>
    <t>Wood</t>
  </si>
  <si>
    <t>Total of 2x8 to be purchased (lf)</t>
  </si>
  <si>
    <t>Total of 2x10 to be purchased (lf)</t>
  </si>
  <si>
    <t>Uni</t>
  </si>
  <si>
    <t>D1</t>
  </si>
  <si>
    <t>D2</t>
  </si>
  <si>
    <t>S1</t>
  </si>
  <si>
    <t>L1</t>
  </si>
  <si>
    <t>S2</t>
  </si>
  <si>
    <t>L2</t>
  </si>
  <si>
    <t>Hurricane Ties</t>
  </si>
  <si>
    <t xml:space="preserve">Hanger </t>
  </si>
  <si>
    <t>2x8 D1</t>
  </si>
  <si>
    <t>2x10 D1</t>
  </si>
  <si>
    <t>2x8 L1</t>
  </si>
  <si>
    <t>2x10 L1</t>
  </si>
  <si>
    <t>2x8 D2</t>
  </si>
  <si>
    <t>2x10 D2</t>
  </si>
  <si>
    <t>2x8 L2</t>
  </si>
  <si>
    <t>2x10 L2</t>
  </si>
  <si>
    <t>2x8 Hangers</t>
  </si>
  <si>
    <t>2x10 Hangers</t>
  </si>
  <si>
    <t>20' sq Edge pieces for stairs</t>
  </si>
  <si>
    <t>10% Waste</t>
  </si>
  <si>
    <t>Grooved Total LF</t>
  </si>
  <si>
    <t>Picture Frame total</t>
  </si>
  <si>
    <t>Square Edge for Stairs</t>
  </si>
  <si>
    <t xml:space="preserve">Total Sq Edge </t>
  </si>
  <si>
    <t xml:space="preserve">Total Gtooved </t>
  </si>
  <si>
    <t>D1 Support Post</t>
  </si>
  <si>
    <t>L1 Support Post</t>
  </si>
  <si>
    <t>S1 Support Post</t>
  </si>
  <si>
    <t>LF</t>
  </si>
  <si>
    <t>(Ct)</t>
  </si>
  <si>
    <t>Height</t>
  </si>
  <si>
    <t>Cts</t>
  </si>
  <si>
    <t>LF (with waste)</t>
  </si>
  <si>
    <t>D2 Support Post</t>
  </si>
  <si>
    <t>L2 Support Post</t>
  </si>
  <si>
    <t>S2 Support Post</t>
  </si>
  <si>
    <t>4x6 Post Base</t>
  </si>
  <si>
    <t>4x4 Post Base</t>
  </si>
  <si>
    <t>6x6 Post Base</t>
  </si>
  <si>
    <t>2x Beam 4 Post Cap</t>
  </si>
  <si>
    <t>3x Beam 6 Post Cap</t>
  </si>
  <si>
    <t>(Hanger - String Conn - Hurricane) Nails</t>
  </si>
  <si>
    <t xml:space="preserve">Framing Nails </t>
  </si>
  <si>
    <t xml:space="preserve">Screws for PT Decking </t>
  </si>
  <si>
    <t>Screws/Clamps for Grooved</t>
  </si>
  <si>
    <t>Screws/plugs for Square Edge</t>
  </si>
  <si>
    <t xml:space="preserve">Stringers Lenghts </t>
  </si>
  <si>
    <t xml:space="preserve">Total Run </t>
  </si>
  <si>
    <t>Treads</t>
  </si>
  <si>
    <t>Stringer Length</t>
  </si>
  <si>
    <t xml:space="preserve">Total lf per stair </t>
  </si>
  <si>
    <t>Total of 2x12 (lf)</t>
  </si>
  <si>
    <t>4x4 Railing Posts</t>
  </si>
  <si>
    <t>Number of Posts</t>
  </si>
  <si>
    <t># of 4x4x10</t>
  </si>
  <si>
    <t xml:space="preserve">4x8 Lattice Panel  </t>
  </si>
  <si>
    <t xml:space="preserve">1x6 Lattice trim </t>
  </si>
  <si>
    <t>Framing Material</t>
  </si>
  <si>
    <t>Lumber</t>
  </si>
  <si>
    <t>4x4 Post</t>
  </si>
  <si>
    <t>4x6 Post</t>
  </si>
  <si>
    <t>6x6 Post</t>
  </si>
  <si>
    <t>2x12 Stringer</t>
  </si>
  <si>
    <t>2x8 Joist</t>
  </si>
  <si>
    <t>2x10 Joist</t>
  </si>
  <si>
    <t>Galvanized</t>
  </si>
  <si>
    <t xml:space="preserve">Counts </t>
  </si>
  <si>
    <t xml:space="preserve">Screws / Nails </t>
  </si>
  <si>
    <t>6"</t>
  </si>
  <si>
    <t>Double 2x8 Hanger</t>
  </si>
  <si>
    <t>Double 2x10 Hanger</t>
  </si>
  <si>
    <t>Hangers (double - Triple )</t>
  </si>
  <si>
    <t>D1 2x8</t>
  </si>
  <si>
    <t>L1 2x8</t>
  </si>
  <si>
    <t>D1 2x10</t>
  </si>
  <si>
    <t>L1 2x10</t>
  </si>
  <si>
    <t>D2 2x8</t>
  </si>
  <si>
    <t>L2 2x8</t>
  </si>
  <si>
    <t>D2 2x10</t>
  </si>
  <si>
    <t>L2 2x10</t>
  </si>
  <si>
    <t>2 DTT2Z connectors (2 kit) - Galvanized Deck Tension Tie Kit</t>
  </si>
  <si>
    <t>LUS ZMAX Galvanized Face-Mount Joist Hanger for Double 2x10 Nominal Lumber</t>
  </si>
  <si>
    <t>LUS ZMAX Galvanized Face-Mount Joist Hanger for Double 2x8 Nominal Lumber</t>
  </si>
  <si>
    <t>LUS ZMAX Galvanized Face-Mount Joist Hanger for Triple 2x8 Nominal Lumber</t>
  </si>
  <si>
    <t>LUS ZMAX Galvanized Face-Mount Joist Hanger for Triple 2x10 Nominal Lumber</t>
  </si>
  <si>
    <t>2 in. x 2 in. x 42 in. Wood Pressure-Treated Mitered B2E Baluster (16-Pack)</t>
  </si>
  <si>
    <t>2 in. x 2 in. x 36 in. Wood Pressure-Treated Mitered B2E Baluster (16-Pack)</t>
  </si>
  <si>
    <t xml:space="preserve">12" x 48" Sonotube </t>
  </si>
  <si>
    <t xml:space="preserve">10" x 48" Sonotube </t>
  </si>
  <si>
    <t>Big Foot - 22 in. x 16-1/2 in. x 22 in. Plastic Concrete Footing Form</t>
  </si>
  <si>
    <r>
      <t xml:space="preserve">#10 x 1-1/2 in. 1/4-Hex Drive, Strong-Drive SD Connector (100-Pack) - </t>
    </r>
    <r>
      <rPr>
        <sz val="14"/>
        <color rgb="FFFF0000"/>
        <rFont val="Calibri"/>
        <family val="2"/>
      </rPr>
      <t>(for galvanized straps)</t>
    </r>
  </si>
  <si>
    <r>
      <t xml:space="preserve">1/2 in. x 3 in. Zinc-Plated Steel Hex-Nut-Head Sleeve Anchor </t>
    </r>
    <r>
      <rPr>
        <sz val="12"/>
        <color rgb="FFFF0000"/>
        <rFont val="Calibri"/>
        <family val="2"/>
      </rPr>
      <t>(for Ledger Board)</t>
    </r>
  </si>
  <si>
    <r>
      <t xml:space="preserve">Trex Hideaway Universal Hidden Fastener System - 90 Counts / 50 SF </t>
    </r>
    <r>
      <rPr>
        <sz val="16"/>
        <color rgb="FFFF0000"/>
        <rFont val="Calibri"/>
        <family val="2"/>
      </rPr>
      <t>(Clips for Trex)</t>
    </r>
  </si>
  <si>
    <r>
      <t xml:space="preserve">Cortex 2-1/2" Fastening System for Trex Decking - 224 counts </t>
    </r>
    <r>
      <rPr>
        <sz val="16"/>
        <color rgb="FFFF0000"/>
        <rFont val="Calibri"/>
        <family val="2"/>
      </rPr>
      <t>(Trex Picture Frame)</t>
    </r>
  </si>
  <si>
    <r>
      <rPr>
        <sz val="14"/>
        <color theme="3"/>
        <rFont val="Calibri"/>
        <family val="2"/>
      </rPr>
      <t>Cortex 2-1/2" Fastening System for TimberTech Decking - 224 counts</t>
    </r>
    <r>
      <rPr>
        <sz val="18"/>
        <color theme="3"/>
        <rFont val="Calibri"/>
        <family val="2"/>
      </rPr>
      <t xml:space="preserve"> - </t>
    </r>
    <r>
      <rPr>
        <sz val="14"/>
        <color rgb="FFFF0000"/>
        <rFont val="Calibri"/>
        <family val="2"/>
      </rPr>
      <t>(TimberTechr Picture Frame)</t>
    </r>
  </si>
  <si>
    <r>
      <t xml:space="preserve">#9 x 2-1/2 in. Star Drive Bugle Head R4 Multi-Purpose Screw 110 counts </t>
    </r>
    <r>
      <rPr>
        <sz val="12"/>
        <color rgb="FFFF0000"/>
        <rFont val="Calibri"/>
        <family val="2"/>
      </rPr>
      <t>(for PT decking boards and balusters)</t>
    </r>
  </si>
  <si>
    <t xml:space="preserve">Screws / Nails and Flashing </t>
  </si>
  <si>
    <r>
      <t xml:space="preserve">1-5/8 in. x 50 ft. Butyl Joist Tape </t>
    </r>
    <r>
      <rPr>
        <sz val="18"/>
        <color rgb="FFFF0000"/>
        <rFont val="Calibri"/>
        <family val="2"/>
      </rPr>
      <t>(tape for joists)</t>
    </r>
  </si>
  <si>
    <r>
      <t xml:space="preserve">3 in. x 8 ft. White Galvanized Steel Deck Ledger Wall Connector Flashing </t>
    </r>
    <r>
      <rPr>
        <sz val="16"/>
        <color rgb="FFFF0000"/>
        <rFont val="Calibri"/>
        <family val="2"/>
      </rPr>
      <t>(flashing for ledger)</t>
    </r>
  </si>
  <si>
    <t>Decking Boards</t>
  </si>
  <si>
    <r>
      <t xml:space="preserve">Azek - Timbertech CONCEALoc Fasteners with Screws - 175 counts / 100 sf </t>
    </r>
    <r>
      <rPr>
        <sz val="14"/>
        <color rgb="FFFF0000"/>
        <rFont val="Calibri"/>
        <family val="2"/>
      </rPr>
      <t>(Clips for Azek-Timbertech)</t>
    </r>
  </si>
  <si>
    <t xml:space="preserve">Gravel Path, Havana Gold, Island Mist, Lava Rock, Rope Swing, Spiced Rum, </t>
  </si>
  <si>
    <t>Tiki Torch, Vintage Lantern</t>
  </si>
  <si>
    <t>TREX</t>
  </si>
  <si>
    <t>Coastal Bluff, Foggy Wharf, Rocky Harbor, and Toasted Sand</t>
  </si>
  <si>
    <t>Madeira, Pebble Gray, Saddle, Winchester Gray, and Woodland Brown</t>
  </si>
  <si>
    <t>Trex Select Deck Boards (Grooved and Square Edge - 12', 16' 20')</t>
  </si>
  <si>
    <t>Trex Transcend Deck Boards (Grooved and Square Edge - 12', 16' 20')</t>
  </si>
  <si>
    <t>Price per LF</t>
  </si>
  <si>
    <t>TIMBERTECH AZEK</t>
  </si>
  <si>
    <t>Coastline, Cypress, Dark Hickory, English Wallnut, Mahogany, Weathered Teak</t>
  </si>
  <si>
    <t>Silver Oak, Morado, Autumn Chestnut, Hazelwood, Brazillian Walnut, Mountain Redwood, Island Oak</t>
  </si>
  <si>
    <t>Kona*, Slate Gray, Brownstone</t>
  </si>
  <si>
    <t>AZEK Vintage Collection (Grooved and Square Edge - 12', 16' 20')</t>
  </si>
  <si>
    <t>AZEK Arbor Collection (Grooved and Square Edge - 12', 16' 20')</t>
  </si>
  <si>
    <t>AZEK Harvest Collection (Grooved and Square Edge - 12', 16' 20' - KONA is Square only)</t>
  </si>
  <si>
    <t>TIMBERTECH PRO</t>
  </si>
  <si>
    <r>
      <t>Trex Enhance Naturals Deck Boards (Grooved and Square Edge - 12', 16' 20') -</t>
    </r>
    <r>
      <rPr>
        <sz val="16"/>
        <color rgb="FFFF0000"/>
        <rFont val="Calibri"/>
        <family val="2"/>
      </rPr>
      <t xml:space="preserve"> Scalloped</t>
    </r>
  </si>
  <si>
    <t>Espresso, Whitewash Cedar, Tigerwood, Ashwood, Pecan, Mocha</t>
  </si>
  <si>
    <t>Driftwood, Storm Gray, Antique Leather, Dark Roast</t>
  </si>
  <si>
    <t>Sandy Birch, Stone Ash, Rustic Elm, Silver Maple, Brown Oak</t>
  </si>
  <si>
    <t>TIMBERTECH EDGE</t>
  </si>
  <si>
    <t>Maritime Gray, Dark Teak, Tidal Sand, Beachwood Gray</t>
  </si>
  <si>
    <t>Coconut Husk, Sea Salt Gray</t>
  </si>
  <si>
    <t>Maritime Gray, Dark Teak</t>
  </si>
  <si>
    <t xml:space="preserve">MOISTURESHIELD </t>
  </si>
  <si>
    <r>
      <t xml:space="preserve">Elevate Collection (Grooved - 12', 16' 20' / Square Edge 20' only) - </t>
    </r>
    <r>
      <rPr>
        <sz val="18"/>
        <color rgb="FFFF0000"/>
        <rFont val="Calibri"/>
        <family val="2"/>
      </rPr>
      <t>Scalloped</t>
    </r>
  </si>
  <si>
    <r>
      <t>Original Colors:</t>
    </r>
    <r>
      <rPr>
        <sz val="18"/>
        <color rgb="FF0070C0"/>
        <rFont val="Calibri"/>
        <family val="2"/>
      </rPr>
      <t xml:space="preserve"> Canoe, Lake Fog</t>
    </r>
  </si>
  <si>
    <r>
      <t xml:space="preserve">Premium Colors: </t>
    </r>
    <r>
      <rPr>
        <sz val="18"/>
        <color rgb="FF0070C0"/>
        <rFont val="Calibri"/>
        <family val="2"/>
      </rPr>
      <t>Alpine Gray, Riverbank</t>
    </r>
  </si>
  <si>
    <t>Vision Collection (Grooved - 12', 16' 20' / Square Edge 16', 20' only)</t>
  </si>
  <si>
    <r>
      <t xml:space="preserve">Vision Cool Deck: </t>
    </r>
    <r>
      <rPr>
        <sz val="18"/>
        <color rgb="FF0070C0"/>
        <rFont val="Calibri"/>
        <family val="2"/>
      </rPr>
      <t>Cathedral Stone, Mochaccino</t>
    </r>
  </si>
  <si>
    <r>
      <t xml:space="preserve">Vision Non Cool Deck: </t>
    </r>
    <r>
      <rPr>
        <sz val="18"/>
        <color rgb="FF0070C0"/>
        <rFont val="Calibri"/>
        <family val="2"/>
      </rPr>
      <t>Spanish Leather, Smokey Gray, Sandstone</t>
    </r>
  </si>
  <si>
    <t>Vantage Collection (Grooved and Square Edge - 12', 16' 20')</t>
  </si>
  <si>
    <r>
      <t xml:space="preserve">Vantage: </t>
    </r>
    <r>
      <rPr>
        <sz val="18"/>
        <color rgb="FF0070C0"/>
        <rFont val="Calibri"/>
        <family val="2"/>
      </rPr>
      <t>Cape Code Gray, Mahogany, Earthtone, Cedar, Bridle</t>
    </r>
  </si>
  <si>
    <r>
      <t xml:space="preserve">Vantage: </t>
    </r>
    <r>
      <rPr>
        <sz val="18"/>
        <color rgb="FF0070C0"/>
        <rFont val="Calibri"/>
        <family val="2"/>
      </rPr>
      <t>Tigerwood, Wallnut</t>
    </r>
  </si>
  <si>
    <t>FIBERON</t>
  </si>
  <si>
    <t>Fiberon Good Life (Grooved - 12', 16' 20' / Square Edge 20')</t>
  </si>
  <si>
    <r>
      <t xml:space="preserve">Escapes Collection: </t>
    </r>
    <r>
      <rPr>
        <sz val="18"/>
        <color rgb="FF0070C0"/>
        <rFont val="Calibri"/>
        <family val="2"/>
      </rPr>
      <t>Beach House, Bungalow, Tuscan Villa</t>
    </r>
  </si>
  <si>
    <r>
      <t xml:space="preserve">Weekender Collection: </t>
    </r>
    <r>
      <rPr>
        <sz val="18"/>
        <color rgb="FF0070C0"/>
        <rFont val="Calibri"/>
        <family val="2"/>
      </rPr>
      <t>Cabin, Cottage</t>
    </r>
  </si>
  <si>
    <t>WOLF DECKING</t>
  </si>
  <si>
    <t>Wolf Perpective Collection (Grooved - 12', 16' 20' )</t>
  </si>
  <si>
    <r>
      <t xml:space="preserve">Perpective: </t>
    </r>
    <r>
      <rPr>
        <sz val="18"/>
        <color rgb="FF0070C0"/>
        <rFont val="Calibri"/>
        <family val="2"/>
      </rPr>
      <t>Dune, Redwood, Potomac Grey, Cedar Ridge, Acacia</t>
    </r>
  </si>
  <si>
    <t>DURALIFE</t>
  </si>
  <si>
    <t>DuraLife Siesta Deck Boards (Grooved - 12', 16' 20' / Square Edge 16, 20')</t>
  </si>
  <si>
    <r>
      <t xml:space="preserve">Hardwoods Collection: </t>
    </r>
    <r>
      <rPr>
        <sz val="16"/>
        <color rgb="FF0070C0"/>
        <rFont val="Calibri"/>
        <family val="2"/>
      </rPr>
      <t>Golden Teak, Brazillian Cherry, Tropical Walnut, Garapa Gray</t>
    </r>
  </si>
  <si>
    <r>
      <t xml:space="preserve">Landscapes Collection: </t>
    </r>
    <r>
      <rPr>
        <sz val="18"/>
        <color rgb="FF0070C0"/>
        <rFont val="Calibri"/>
        <family val="2"/>
      </rPr>
      <t>Pebble, Mahogany, CoastalGrey, Slate</t>
    </r>
  </si>
  <si>
    <r>
      <rPr>
        <sz val="18"/>
        <color theme="3"/>
        <rFont val="Calibri"/>
        <family val="2"/>
      </rPr>
      <t>DuraLife MVP Deck Boards (Grooved - 12', 16' 20' / Square Edge 16, 20')</t>
    </r>
    <r>
      <rPr>
        <sz val="14"/>
        <color theme="3"/>
        <rFont val="Calibri"/>
        <family val="2"/>
      </rPr>
      <t xml:space="preserve"> </t>
    </r>
    <r>
      <rPr>
        <sz val="14"/>
        <color rgb="FFFF0000"/>
        <rFont val="Calibri"/>
        <family val="2"/>
      </rPr>
      <t>Scalloped</t>
    </r>
  </si>
  <si>
    <t xml:space="preserve">Railing System </t>
  </si>
  <si>
    <t>RDI Transforms</t>
  </si>
  <si>
    <t>Structural Post for 42" Railing Height – Flush Mount</t>
  </si>
  <si>
    <t>5" x 5" x 39"  Post Sleeve – Boxed – SATIN WHITE</t>
  </si>
  <si>
    <t>5" x  5" x 54" Post Sleeve – Boxed – SATIN WHITE</t>
  </si>
  <si>
    <t>5" x 5" x 120"  Post Sleeve – Boxed – SATIN WHITE</t>
  </si>
  <si>
    <t>5" x 5" Zenith Post Cap – SATIN WHITE</t>
  </si>
  <si>
    <t>5" x 5" Base Trim – SATIN WHITE</t>
  </si>
  <si>
    <t xml:space="preserve">Structural Post for 36" Railing Height – Flush Mount </t>
  </si>
  <si>
    <t>6' x 36" Transform Rail Kit – Square Baluster – SATIN WHITE</t>
  </si>
  <si>
    <t>8' x 36" Transform Rail Kit – Square Baluster – SATIN WHITE</t>
  </si>
  <si>
    <t>6' x 42" Transform Rail Kit – Square Baluster – SATIN WHITE</t>
  </si>
  <si>
    <t>8' x 42" Transform Rail Kit – Square Baluster – SATIN WHITE</t>
  </si>
  <si>
    <t>6' x 36" Transform Stair Kit – Square Baluster – SATIN WHITE</t>
  </si>
  <si>
    <t>6' x 42" Transform Stair Kit – Square Baluster – SATIN WHITE</t>
  </si>
  <si>
    <t>6' Transform Top Rail – Aspire – SATIN WHITE</t>
  </si>
  <si>
    <t>8' Transform Top Rail – Aspire – SATIN WHITE</t>
  </si>
  <si>
    <t>6' Transform Graspable Top Rail – SATIN WHITE</t>
  </si>
  <si>
    <t>Transform Brackets – Set of 4</t>
  </si>
  <si>
    <t>120" RDI Vinyl Clad Aluminum Hand Rail – WHITE</t>
  </si>
  <si>
    <t>104" RDI Vinyl Clad Aluminum Hand Rail – WHITE</t>
  </si>
  <si>
    <t>80" RDI Vinyl Clad Aluminum Hand Rail – WHITE</t>
  </si>
  <si>
    <t>90° Post Return – WHITE</t>
  </si>
  <si>
    <t>Straight Wall Return – WHITE</t>
  </si>
  <si>
    <t>Joint Ring – WHITE</t>
  </si>
  <si>
    <t>Internal Straight Joiner (no color)</t>
  </si>
  <si>
    <t>1/8" Standard QuickConnect by Feeney</t>
  </si>
  <si>
    <t>1/8" Tensioning QuickConnect by Feeney</t>
  </si>
  <si>
    <t xml:space="preserve">1/8" - 500ft Cable Rail Stainless </t>
  </si>
  <si>
    <t>Quick-Connect® Release Tool</t>
  </si>
  <si>
    <t>CableRail Cable Lacing Needle</t>
  </si>
  <si>
    <t>CableRail Stainless Protector Sleeves by Feeney (20 pack)</t>
  </si>
  <si>
    <t>Cable Cutter</t>
  </si>
  <si>
    <t>36" Gate Kit – SATIN WHITE - No Wider than 48"</t>
  </si>
  <si>
    <t>42" Gate Kit – SATIN WHITE - No Wider than 48"</t>
  </si>
  <si>
    <t>6' Beam Kit for Cable Rail – SATIN WHITE</t>
  </si>
  <si>
    <t>8' Beam Kit for Cable Rail – SATIN WHITE</t>
  </si>
  <si>
    <t>1/8" Standard CableRail Quick-Connect Pivot Lag By Feeney</t>
  </si>
  <si>
    <t>1/8" Tensioning CableRail Quick-Connect Pivot Lag By Feeney</t>
  </si>
  <si>
    <t>Handrail Mounting Bracket – WHITE</t>
  </si>
  <si>
    <t xml:space="preserve">Handrail </t>
  </si>
  <si>
    <t>44" Level Rail CableRail Intermediate Picket By Feeney (1/8" Compatible Cable)</t>
  </si>
  <si>
    <t>44" Stair Rail CableRail Intermediate Picket By Feeney (1/8" Compatible Cable)</t>
  </si>
  <si>
    <t>Feeney CableRail</t>
  </si>
  <si>
    <t>RDI Rail Kit for Feeney CableRail</t>
  </si>
  <si>
    <t>* Beam Kit comes with intermediate Picket by RDI</t>
  </si>
  <si>
    <t>TimberTech Premier Rail by AZEK</t>
  </si>
  <si>
    <t>TimberTech Universal Hardware Kit By AZEK</t>
  </si>
  <si>
    <t>35" Level TimberTech Premier Rail Composite Baluster Pack By AZEK (White) - 18 Pack</t>
  </si>
  <si>
    <t>29" Level TimberTech Premier Rail Composite Baluster Pack By AZEK (White) - 18 Pack</t>
  </si>
  <si>
    <t>29" Level TimberTech Premier Rail Composite Baluster Pack By AZEK (Black) - 18 Pack</t>
  </si>
  <si>
    <t>* For 36 in Rail Height: Level rail 29 in / Stair rail 31 in</t>
  </si>
  <si>
    <t>35" Level TimberTech Premier Rail Composite Baluster Pack By AZEK (Black) - 18 Pack</t>
  </si>
  <si>
    <t>31" Level TimberTech Premier Rail Composite Baluster Pack By AZEK (White) - 18 Pack</t>
  </si>
  <si>
    <t>31" Level TimberTech Premier Rail Composite Baluster Pack By AZEK (Black) - 18 Pack</t>
  </si>
  <si>
    <t>37" Level TimberTech Premier Rail Composite Baluster Pack By AZEK (White) - 18 Pack</t>
  </si>
  <si>
    <t>37" Level TimberTech Premier Rail Composite Baluster Pack By AZEK (Black) - 18 Pack</t>
  </si>
  <si>
    <t>* For 42 in Rail Height: Level rail 35 in / Stair rail 37 in</t>
  </si>
  <si>
    <t>29" Level TimberTech Premier Rail Round Aluminum Baluster Pack By AZEK (Black) - 20 Pack</t>
  </si>
  <si>
    <t>35" Level TimberTech Premier Rail Round Aluminum Baluster Pack By AZEK (Black) - 20 Pack</t>
  </si>
  <si>
    <t>Total of PT 2x8 Lumber to be Purchased (LF)</t>
  </si>
  <si>
    <t>Total of PT 2x10 Lumber to be Purchased (LF)</t>
  </si>
  <si>
    <t>Total of PT 2x12 Lumber to be Purchased (LF)</t>
  </si>
  <si>
    <t>Total of PT 4x4 Lumber to be Purchased (LF)</t>
  </si>
  <si>
    <t>Total of PT 4x6 Lumber to be Purchased (LF)</t>
  </si>
  <si>
    <t>Total of PT 6x6 Lumber to be Purchased (LF)</t>
  </si>
  <si>
    <t>PT Lumber For Frame</t>
  </si>
  <si>
    <t>Price Per LF</t>
  </si>
  <si>
    <t>4 DTT1Z connectors (4 kit)</t>
  </si>
  <si>
    <t>2 DTT2Z connectors (2 kit)</t>
  </si>
  <si>
    <t>Galvanized Strap - Footings</t>
  </si>
  <si>
    <t xml:space="preserve">8" x 48" Sonotube </t>
  </si>
  <si>
    <t>Sonotubes</t>
  </si>
  <si>
    <t>8" x 48" Sonotube</t>
  </si>
  <si>
    <t>10" x 48" Sonotube</t>
  </si>
  <si>
    <t>12" x 48" Sonotube</t>
  </si>
  <si>
    <t>Select Sonotube…</t>
  </si>
  <si>
    <t xml:space="preserve"># of Footings </t>
  </si>
  <si>
    <t>Conc. Begs</t>
  </si>
  <si>
    <t># Pads</t>
  </si>
  <si>
    <t>Total of 80 lbs Bags</t>
  </si>
  <si>
    <t>8" + Pads</t>
  </si>
  <si>
    <t>10" + Pads</t>
  </si>
  <si>
    <t>12" + Pads</t>
  </si>
  <si>
    <t>Total:</t>
  </si>
  <si>
    <t xml:space="preserve">Material for Footings </t>
  </si>
  <si>
    <t>JOISTS / LEDGER / RIM JOIST / BEAMS</t>
  </si>
  <si>
    <t>STRINGERS</t>
  </si>
  <si>
    <t>SUPPORT POSTS / RAILING POSTS</t>
  </si>
  <si>
    <t>Number of Pads</t>
  </si>
  <si>
    <t xml:space="preserve">2X8X8 #1 Pressure Treated </t>
  </si>
  <si>
    <t xml:space="preserve">2X8X10 #1 Pressure Treated </t>
  </si>
  <si>
    <t xml:space="preserve">2X8X12 #1 Pressure Treated </t>
  </si>
  <si>
    <t xml:space="preserve">2X8X14 #1 Pressure Treated </t>
  </si>
  <si>
    <t xml:space="preserve">2X8X16 #1 Pressure Treated </t>
  </si>
  <si>
    <t>2X8X18 #1 Pressure Treated (Special Order)</t>
  </si>
  <si>
    <t>2X8X20 #1 Pressure Treated (Special Order)</t>
  </si>
  <si>
    <t xml:space="preserve">2X10X8 #1 Pressure Treated </t>
  </si>
  <si>
    <t xml:space="preserve">2X10X10 #1 Pressure Treated </t>
  </si>
  <si>
    <t xml:space="preserve">2X10X12 #1 Pressure Treated </t>
  </si>
  <si>
    <t xml:space="preserve">2X10X14 #1 Pressure Treated </t>
  </si>
  <si>
    <t xml:space="preserve">2X10X16 #1 Pressure Treated </t>
  </si>
  <si>
    <t>2X10X18 #1 Pressure Treated (Special Order)</t>
  </si>
  <si>
    <t>2X10X20 #1 Pressure Treated (Special Order)</t>
  </si>
  <si>
    <t xml:space="preserve">2X12X8 #1 Pressure Treated </t>
  </si>
  <si>
    <t xml:space="preserve">2X12X10 #1 Pressure Treated </t>
  </si>
  <si>
    <t xml:space="preserve">2X12X12 #1 Pressure Treated </t>
  </si>
  <si>
    <t xml:space="preserve">2X12X14 #1 Pressure Treated </t>
  </si>
  <si>
    <t xml:space="preserve">2X12X16 #1 Pressure Treated </t>
  </si>
  <si>
    <t xml:space="preserve">4X4X8 #1 Pressure Treated </t>
  </si>
  <si>
    <t xml:space="preserve">4X4X10 #1 Pressure Treated </t>
  </si>
  <si>
    <t xml:space="preserve">4X4X12 #1 Pressure Treated </t>
  </si>
  <si>
    <t xml:space="preserve">4X4X14 #1 Pressure Treated </t>
  </si>
  <si>
    <t xml:space="preserve">4X4X16 #1 Pressure Treated </t>
  </si>
  <si>
    <t xml:space="preserve">4X6X8 #1 Pressure Treated </t>
  </si>
  <si>
    <t xml:space="preserve">4X6X10 #1 Pressure Treated </t>
  </si>
  <si>
    <t xml:space="preserve">4X6X12 #1 Pressure Treated </t>
  </si>
  <si>
    <t xml:space="preserve">4X6X14 #1 Pressure Treated </t>
  </si>
  <si>
    <t xml:space="preserve">4X6X16 #1 Pressure Treated </t>
  </si>
  <si>
    <t xml:space="preserve">6X6X8 #1 Pressure Treated </t>
  </si>
  <si>
    <t xml:space="preserve">6X6X10 #1 Pressure Treated </t>
  </si>
  <si>
    <t xml:space="preserve">6X6X12 #1 Pressure Treated </t>
  </si>
  <si>
    <t xml:space="preserve">6X6X14 #1 Pressure Treated </t>
  </si>
  <si>
    <t xml:space="preserve">6X6X16 #1 Pressure Treated </t>
  </si>
  <si>
    <t xml:space="preserve">Pressure Treated Railings </t>
  </si>
  <si>
    <t>2x8 PT Lumber Cost</t>
  </si>
  <si>
    <t>2x10 PT Lumber Cost</t>
  </si>
  <si>
    <t>2x12 PT Lumber Cost</t>
  </si>
  <si>
    <t>4x4 PT Lumber Cost</t>
  </si>
  <si>
    <t>4x6 PT Lumber Cost</t>
  </si>
  <si>
    <t>6x6 PT Lumber Cost</t>
  </si>
  <si>
    <t>2x4 PT Lumber Cost</t>
  </si>
  <si>
    <t>6' Level Rail 36"</t>
  </si>
  <si>
    <t>8' Level Rail 36"</t>
  </si>
  <si>
    <t>6' Level Rail 42"</t>
  </si>
  <si>
    <t>8' Level Rail 42"</t>
  </si>
  <si>
    <t>6' Stair Rail 36"</t>
  </si>
  <si>
    <t>8' Stair Rail 36"</t>
  </si>
  <si>
    <t>6' Stair Rail 42"</t>
  </si>
  <si>
    <t>8' Stair Rail 42"</t>
  </si>
  <si>
    <t>2x4 PT and Screws for Railings</t>
  </si>
  <si>
    <t>Stairs 2x4x12</t>
  </si>
  <si>
    <t>Level 2x4x12</t>
  </si>
  <si>
    <t>2x4x12 to order</t>
  </si>
  <si>
    <t>2x4x16 to order</t>
  </si>
  <si>
    <t>Stairs 2x4x16</t>
  </si>
  <si>
    <t>Level 2x4x16</t>
  </si>
  <si>
    <t># of Balusters</t>
  </si>
  <si>
    <t>Purchase</t>
  </si>
  <si>
    <t>Pack of 16</t>
  </si>
  <si>
    <t>Level 42"</t>
  </si>
  <si>
    <t>Total balusters</t>
  </si>
  <si>
    <t xml:space="preserve">42" PT Balusters </t>
  </si>
  <si>
    <t xml:space="preserve">36" PT Balusters </t>
  </si>
  <si>
    <t>Level 36"</t>
  </si>
  <si>
    <t xml:space="preserve">Frame Screws &amp; Nails - Flashings </t>
  </si>
  <si>
    <r>
      <t xml:space="preserve">1/2 in. x 3 in. Zinc-Plated Steel Hex-Nut-Head Sleeve Anchor </t>
    </r>
    <r>
      <rPr>
        <sz val="12"/>
        <rFont val="Calibri"/>
        <family val="2"/>
      </rPr>
      <t>(for Ledger Board)</t>
    </r>
  </si>
  <si>
    <t>#10 x 1-1/2 in. 1/4-Hex Drive, Strong-Drive SD Connector (100-Pack) - (for galvanized straps)</t>
  </si>
  <si>
    <t>3 in. x 8 ft. White Galvanized Steel Deck Ledger Wall Connector Flashing (flashing for ledger)</t>
  </si>
  <si>
    <t>1-5/8 in. x 50 ft. Butyl Joist Tape (tape for joists)</t>
  </si>
  <si>
    <t>Box of 50</t>
  </si>
  <si>
    <t xml:space="preserve">Deck Flashing </t>
  </si>
  <si>
    <t>Ledger Flashing</t>
  </si>
  <si>
    <t>Joist Tape</t>
  </si>
  <si>
    <t xml:space="preserve">Siding Repair </t>
  </si>
  <si>
    <t>(Hanger - String Conn - Hurricane) Nails 100 box</t>
  </si>
  <si>
    <t xml:space="preserve">Screws / PT For Railings </t>
  </si>
  <si>
    <t>Screws for PT Balusters</t>
  </si>
  <si>
    <t xml:space="preserve">#9 x 2-1/2 in. Star Drive Bugle Head R4 Multi-Purpose Screw 110 counts </t>
  </si>
  <si>
    <t>PT Handrail</t>
  </si>
  <si>
    <t xml:space="preserve">Handrail Brackts </t>
  </si>
  <si>
    <t>Handrail Brackets</t>
  </si>
  <si>
    <t>PT Handrail (lf)</t>
  </si>
  <si>
    <t xml:space="preserve">RDI Transform Railings </t>
  </si>
  <si>
    <t>Transform Rail Brackets – Set of 4</t>
  </si>
  <si>
    <t xml:space="preserve">RDI Handrail </t>
  </si>
  <si>
    <t xml:space="preserve">RDI Railing Gate </t>
  </si>
  <si>
    <r>
      <t xml:space="preserve">36" Gate Kit – SATIN WHITE - </t>
    </r>
    <r>
      <rPr>
        <sz val="18"/>
        <color rgb="FFFF0000"/>
        <rFont val="Calibri"/>
        <family val="2"/>
      </rPr>
      <t>No Wider than 48"</t>
    </r>
  </si>
  <si>
    <r>
      <t xml:space="preserve">42" Gate Kit – SATIN WHITE - </t>
    </r>
    <r>
      <rPr>
        <sz val="18"/>
        <color rgb="FFFF0000"/>
        <rFont val="Calibri"/>
        <family val="2"/>
      </rPr>
      <t>No Wider than 48"</t>
    </r>
  </si>
  <si>
    <t>End Cap</t>
  </si>
  <si>
    <t>Handrail Kit by LF</t>
  </si>
  <si>
    <t>RDI Handrail Kit</t>
  </si>
  <si>
    <t>Handrail By LF</t>
  </si>
  <si>
    <t xml:space="preserve">Vinyl Handrail </t>
  </si>
  <si>
    <t>S1 Rail Length</t>
  </si>
  <si>
    <t>S2 Rail Length</t>
  </si>
  <si>
    <t xml:space="preserve">RDI Stair Railing </t>
  </si>
  <si>
    <t>8'x42''</t>
  </si>
  <si>
    <t>6'x36"</t>
  </si>
  <si>
    <t>6'x42''</t>
  </si>
  <si>
    <t>8'x36''</t>
  </si>
  <si>
    <t>6x36 to order</t>
  </si>
  <si>
    <t>6x42 to order</t>
  </si>
  <si>
    <t>CABLERAIL INFO</t>
  </si>
  <si>
    <t>5.5" x 5.5" x 54" TimberTech Post Sleeve for Premier Rail by AZEK - White</t>
  </si>
  <si>
    <t>5.5" x 5.5" x 39" TimberTech Post Sleeve for Premier Rail by AZEK - White</t>
  </si>
  <si>
    <t>5.5" TimberTech Premier Rail Pyramid Post Cap by AZEK - White</t>
  </si>
  <si>
    <t>5.5" 	TimberTech Premier Rail Post Skirt by AZEK - White</t>
  </si>
  <si>
    <t>8ft TimberTech Universal Bottom Rail by AZEK - White</t>
  </si>
  <si>
    <t>8ft TimberTech Premier Top Rail by AZEK - White</t>
  </si>
  <si>
    <t>6ft TimberTech Universal Bottom Rail by AZEK - White</t>
  </si>
  <si>
    <t>6ft TimberTech Premier Top Rail by AZEK - White</t>
  </si>
  <si>
    <t xml:space="preserve">Universal Gate </t>
  </si>
  <si>
    <r>
      <t xml:space="preserve">36" Gate Kit – WHITE - </t>
    </r>
    <r>
      <rPr>
        <sz val="18"/>
        <color rgb="FFFF0000"/>
        <rFont val="Calibri"/>
        <family val="2"/>
      </rPr>
      <t>No Wider than 48"</t>
    </r>
  </si>
  <si>
    <r>
      <t xml:space="preserve">42" Gate Kit – WHITE - </t>
    </r>
    <r>
      <rPr>
        <sz val="18"/>
        <color rgb="FFFF0000"/>
        <rFont val="Calibri"/>
        <family val="2"/>
      </rPr>
      <t>No Wider than 48"</t>
    </r>
  </si>
  <si>
    <t>Timbertech Composite Balusters</t>
  </si>
  <si>
    <t>6' - 42"- Level</t>
  </si>
  <si>
    <t>8' - 42"- Level</t>
  </si>
  <si>
    <t>35" Piece</t>
  </si>
  <si>
    <t># Balusters</t>
  </si>
  <si>
    <t>8ft TimberTech Universal Rail Kit by AZEK - White - With Baluster</t>
  </si>
  <si>
    <t>6ft TimberTech Universal Rail Kit by AZEK - White - With Baluster</t>
  </si>
  <si>
    <t>Extra for RDI Stair 1</t>
  </si>
  <si>
    <t>Extra for RDI Stair 2</t>
  </si>
  <si>
    <t>Stair 1 - 48" Post</t>
  </si>
  <si>
    <t>Stair 2 - 48" Post</t>
  </si>
  <si>
    <t>RDI</t>
  </si>
  <si>
    <t>Others</t>
  </si>
  <si>
    <t>Stair 1 Treads</t>
  </si>
  <si>
    <t>Railings on Both Sides?</t>
  </si>
  <si>
    <t>Railings on both Sides</t>
  </si>
  <si>
    <t>Select…</t>
  </si>
  <si>
    <t>Posts</t>
  </si>
  <si>
    <t>Railings</t>
  </si>
  <si>
    <t>Others 8'</t>
  </si>
  <si>
    <t>Posts RDI</t>
  </si>
  <si>
    <t>Posts Others</t>
  </si>
  <si>
    <t>Stair 2 Treads</t>
  </si>
  <si>
    <t>RDI 6' Rail</t>
  </si>
  <si>
    <t>Calcs for Stairs Post and Rail - Railings on Both Sides</t>
  </si>
  <si>
    <t>RDI Post</t>
  </si>
  <si>
    <t xml:space="preserve">Others  6' </t>
  </si>
  <si>
    <t>Others  8'</t>
  </si>
  <si>
    <t>Railing System and 48" Posts to be Purchased</t>
  </si>
  <si>
    <t xml:space="preserve">RDI </t>
  </si>
  <si>
    <t>6' Level Rail - 36</t>
  </si>
  <si>
    <t>8' Level Rail - 36</t>
  </si>
  <si>
    <t>6' Level Rail - 42</t>
  </si>
  <si>
    <t>8' Level Rail - 42</t>
  </si>
  <si>
    <t>Yes, both sides</t>
  </si>
  <si>
    <t>No, one side</t>
  </si>
  <si>
    <t>6' Stair 1 Rail - 36</t>
  </si>
  <si>
    <t>8' Stair 1 Rail - 36</t>
  </si>
  <si>
    <t>6' Stair 1 Rail - 42</t>
  </si>
  <si>
    <t>8' Stair 1 Rail - 42</t>
  </si>
  <si>
    <t>6' Stair 2 Rail - 36</t>
  </si>
  <si>
    <t>8' Stair 2 Rail - 36</t>
  </si>
  <si>
    <t>6' Stair 2 Rail - 42</t>
  </si>
  <si>
    <t>8' Stair 2 Rail - 42</t>
  </si>
  <si>
    <t>Level 6' - 36"</t>
  </si>
  <si>
    <t>Level 8' - 36"</t>
  </si>
  <si>
    <t>Level 6' - 42"</t>
  </si>
  <si>
    <t>Level 8' - 42"</t>
  </si>
  <si>
    <t>Stair1 6' - 36"</t>
  </si>
  <si>
    <t>Stair1 8' - 36"</t>
  </si>
  <si>
    <t>Stair1 6' - 42"</t>
  </si>
  <si>
    <t>Stair1 8' - 42"</t>
  </si>
  <si>
    <t>Stair2 6' - 36"</t>
  </si>
  <si>
    <t>Stair2 8' - 36"</t>
  </si>
  <si>
    <t>Stair2 6' - 42"</t>
  </si>
  <si>
    <t>Stair2 8' - 42"</t>
  </si>
  <si>
    <t>4x4 PT Posts (level only)</t>
  </si>
  <si>
    <t>36" Composite Sleeves (Level only)</t>
  </si>
  <si>
    <t>42" Composite Sleeves (Level only)</t>
  </si>
  <si>
    <t>Extra for Others Stair 1</t>
  </si>
  <si>
    <t>Extra for Others Stair 2</t>
  </si>
  <si>
    <t>4x4 Level Rail Post</t>
  </si>
  <si>
    <t>4x4 Stair Rail Post (RDI)</t>
  </si>
  <si>
    <t>4x4 Stair Rail Post (Others)</t>
  </si>
  <si>
    <t>Handrail Calc</t>
  </si>
  <si>
    <t>PT</t>
  </si>
  <si>
    <t>Handrail</t>
  </si>
  <si>
    <t>Deck 1 RDI Post</t>
  </si>
  <si>
    <t>Deck 2 RDI Post</t>
  </si>
  <si>
    <t>Deck 1 Others Post</t>
  </si>
  <si>
    <t>Deck 2 Others Post</t>
  </si>
  <si>
    <t>Handrail ?</t>
  </si>
  <si>
    <t>For 42 in Rail Height: Level rail 35 in / Stair rail 37 in</t>
  </si>
  <si>
    <t>Correction (posts deduction)</t>
  </si>
  <si>
    <t>Stair 1&amp;2</t>
  </si>
  <si>
    <t>37" Pieces</t>
  </si>
  <si>
    <t>18 packs</t>
  </si>
  <si>
    <t>18 Pack to be ordered</t>
  </si>
  <si>
    <t>8ft TimberTech Universal Bottom Rail by AZEK FOR CABLERAIL - White</t>
  </si>
  <si>
    <t>6ft TimberTech Universal Bottom Rail by AZEK FOR CABLERAIL- White</t>
  </si>
  <si>
    <t xml:space="preserve">Cablerail </t>
  </si>
  <si>
    <t>Pass Through Posts</t>
  </si>
  <si>
    <t>Total 36" Rail Length</t>
  </si>
  <si>
    <t>Total 42" Rail Length</t>
  </si>
  <si>
    <t>Total of cable (lf)</t>
  </si>
  <si>
    <t>100 ft roll</t>
  </si>
  <si>
    <t>500ft roll</t>
  </si>
  <si>
    <t xml:space="preserve">1/8" - 100ft Cable Rail Stainless </t>
  </si>
  <si>
    <t>Protector Sleeve</t>
  </si>
  <si>
    <t>Tensioning QuickConnect</t>
  </si>
  <si>
    <t>Standard QuickConnect</t>
  </si>
  <si>
    <t>Standard QuickConnect Pivot</t>
  </si>
  <si>
    <t>Tensioning QuickConnect Pivot</t>
  </si>
  <si>
    <t>Level Straght Sections of 36" Height</t>
  </si>
  <si>
    <t>Level Straght Sections of 42" Height</t>
  </si>
  <si>
    <t>Stair Straght Sections of 36" Height</t>
  </si>
  <si>
    <t>Stair Straght Sections of 42" Height</t>
  </si>
  <si>
    <r>
      <t xml:space="preserve">42" Height Deck Gate </t>
    </r>
    <r>
      <rPr>
        <b/>
        <sz val="8"/>
        <color rgb="FFFF0000"/>
        <rFont val="Calibri"/>
        <family val="2"/>
      </rPr>
      <t>(No Wider than 48")</t>
    </r>
  </si>
  <si>
    <t>cts (Lateral Load 1500 lb) - NEW CONTRUCTION</t>
  </si>
  <si>
    <t>For 36 in Rail Height: Level rail 29 in / Stair rail 31 in</t>
  </si>
  <si>
    <t>6' - 36"- Level</t>
  </si>
  <si>
    <t>8' - 36"- Level</t>
  </si>
  <si>
    <t>6' - 36"- Stair 1</t>
  </si>
  <si>
    <t>8' - 36"- Stair 1</t>
  </si>
  <si>
    <t>6' - 36"- Stair 2</t>
  </si>
  <si>
    <t>8' - 36"- Stair 2</t>
  </si>
  <si>
    <t>29" Pack to be ordered</t>
  </si>
  <si>
    <t>31" Pack to be ordered</t>
  </si>
  <si>
    <t>31" TimberTech Premier Rail Composite Baluster Pack By AZEK (BLACK) - 18 Pack</t>
  </si>
  <si>
    <t>29" TimberTech Premier Rail Composite Baluster Pack By AZEK (BLACK) - 18 Pack</t>
  </si>
  <si>
    <t>37" TimberTech Premier Rail Composite Baluster Pack By AZEK (BLACK) - 18 Pack</t>
  </si>
  <si>
    <t>35" TimberTech Premier Rail Composite Baluster Pack By AZEK (BLACK) - 18 Pack</t>
  </si>
  <si>
    <t>35" TimberTech Premier Rail Composite Baluster Pack By AZEK (White) - 18 Pack</t>
  </si>
  <si>
    <t>37" TimberTech Premier Rail Composite Baluster Pack By AZEK (White) - 18 Pack</t>
  </si>
  <si>
    <t>29" TimberTech Premier Rail Composite Baluster Pack By AZEK (White) - 18 Pack</t>
  </si>
  <si>
    <t>31" TimberTech Premier Rail Composite Baluster Pack By AZEK (White) - 18 Pack</t>
  </si>
  <si>
    <t>31" Level TimberTech Premier Rail Round Aluminum Baluster Pack By AZEK (Black) - 20 Pack</t>
  </si>
  <si>
    <t>37" Level TimberTech Premier Rail Round Aluminum Baluster Pack By AZEK (Black) - 20 Pack</t>
  </si>
  <si>
    <t>35" TimberTech Premier Rail Aluminum Round Baluster Pack By AZEK (BLACK) - 20 Pack</t>
  </si>
  <si>
    <t>37" TimberTech Premier Rail Aluminum Round Baluster Pack By AZEK (BLACK) - 20 Pack</t>
  </si>
  <si>
    <t>29" TimberTech Premier Rail Aluminum Round Baluster Pack By AZEK (BLACK) - 20 Pack</t>
  </si>
  <si>
    <t>31" TimberTech Premier Rail Aluminum Round Baluster Pack By AZEK (BLACK) - 20 Pack</t>
  </si>
  <si>
    <t>Round Aluminum Balusters</t>
  </si>
  <si>
    <t>37" Pack to be ordered</t>
  </si>
  <si>
    <t>For 36 in Rail Height: 31" Stair and level</t>
  </si>
  <si>
    <t>For 42 in Rail Height: 37" Stair and level</t>
  </si>
  <si>
    <t xml:space="preserve">Correction </t>
  </si>
  <si>
    <t>Trex Select Railing System</t>
  </si>
  <si>
    <t xml:space="preserve">Trex Aluminum Surface Mount Post for 36" Rail Height </t>
  </si>
  <si>
    <t xml:space="preserve">Trex Aluminum Surface Mount Post for 42" Rail Height </t>
  </si>
  <si>
    <t>36" Secure Adjustable Mount Post - 4"</t>
  </si>
  <si>
    <t>42" Secure Adjustable Mount Post - 4"</t>
  </si>
  <si>
    <t>4" x 4" x 39" Trex Select Post Sleeve</t>
  </si>
  <si>
    <t>4" x 4" x 54" Trex Select Post Sleeve</t>
  </si>
  <si>
    <t>4" x 4" Trex Select Post Skirt - White</t>
  </si>
  <si>
    <t>4" x 4" Trex Select Flat Top Post Cap</t>
  </si>
  <si>
    <t>LEVEL 6' X 36" TREX® SELECT RAIL &amp; BALUSTER KIT - Round Black Balusters</t>
  </si>
  <si>
    <t>STAIR 6' X 36" TREX® SELECT RAIL &amp; BALUSTER KIT - Round Black Balusters</t>
  </si>
  <si>
    <t>LEVEL 8' X 36" TREX® SELECT RAIL &amp; BALUSTER KIT - Round Black Balusters</t>
  </si>
  <si>
    <t>LEVEL 6' X 42" TREX® SELECT RAIL &amp; BALUSTER KIT - Round Black Balusters</t>
  </si>
  <si>
    <t>LEVEL 8' X 42" TREX® SELECT RAIL &amp; BALUSTER KIT - Round Black Balusters</t>
  </si>
  <si>
    <t>STAIR 8' X 36" TREX® SELECT RAIL &amp; BALUSTER KIT - Round Black Balusters</t>
  </si>
  <si>
    <t>STAIR 6' X 42" TREX® SELECT RAIL &amp; BALUSTER KIT - Round Black Balusters</t>
  </si>
  <si>
    <t>STAIR 8' X 42" TREX® SELECT RAIL &amp; BALUSTER KIT - Round Black Balusters</t>
  </si>
  <si>
    <t>4" x 4" x 54" Trex Select Post Sleeve - White</t>
  </si>
  <si>
    <t>4" x 4" x 39" Trex Select Post Sleeve - White</t>
  </si>
  <si>
    <t>4" x 4" Trex Select Flat Top Post Cap - White</t>
  </si>
  <si>
    <t>TREX® MOUNTING HARDWARE KIT - Level</t>
  </si>
  <si>
    <t>TREX® MOUNTING HARDWARE KIT - Stairs</t>
  </si>
  <si>
    <t xml:space="preserve">TREX® MOUNTING HARDWARE KIT - Level </t>
  </si>
  <si>
    <t>Composite Top Rail - Cocktail Rail - (12' Board)</t>
  </si>
  <si>
    <t>Cortex Fastening System with color caps - 224 counts - Cocktail Rail Color</t>
  </si>
  <si>
    <t>TimberTech Contemporary TimberTech</t>
  </si>
  <si>
    <t>5" x 5" Contemporary Post Skit - Classic Black/Traditional Walnut</t>
  </si>
  <si>
    <t>5" x 5" x 42" TimberTech Evolutions Rail Post Cover Classic - Black/Traditional Walnut</t>
  </si>
  <si>
    <t>6' TimberTech Evolutions Rail Contemporary Rail Pack</t>
  </si>
  <si>
    <t>8' TimberTech Evolutions Rail Contemporary Rail Pack</t>
  </si>
  <si>
    <t>16' TimberTech Evolutions Rail Contemporary Top Rail - Black/Traditional Walnut</t>
  </si>
  <si>
    <t>TimberTech Evolutions Rail Hardware Kit - Black/Traditional Walnut</t>
  </si>
  <si>
    <t>TimberTech End Coating By AZEK - Color matching top rail</t>
  </si>
  <si>
    <t xml:space="preserve">120" Vinyl Clad Aluminum Hand Rail – Confirm Color </t>
  </si>
  <si>
    <t xml:space="preserve">104" Vinyl Clad Aluminum Hand Rail – Confirm Color </t>
  </si>
  <si>
    <t xml:space="preserve">80" Vinyl Clad Aluminum Hand Rail – Confirm Color </t>
  </si>
  <si>
    <t xml:space="preserve">Handrail Mounting Bracket – Confirm Color </t>
  </si>
  <si>
    <t xml:space="preserve">90° Post Return – Confirm Color </t>
  </si>
  <si>
    <t xml:space="preserve">Straight Wall Return – Confirm Color </t>
  </si>
  <si>
    <t xml:space="preserve">Joint Ring – Confirm Color </t>
  </si>
  <si>
    <t xml:space="preserve">End Cap - Confirm Color </t>
  </si>
  <si>
    <r>
      <t xml:space="preserve">36" Gate Kit – Confirm Color  - </t>
    </r>
    <r>
      <rPr>
        <sz val="18"/>
        <color rgb="FFFF0000"/>
        <rFont val="Calibri"/>
        <family val="2"/>
      </rPr>
      <t>No Wider than 48"</t>
    </r>
  </si>
  <si>
    <r>
      <t xml:space="preserve">42" Gate Kit – Confirm Color  - </t>
    </r>
    <r>
      <rPr>
        <sz val="18"/>
        <color rgb="FFFF0000"/>
        <rFont val="Calibri"/>
        <family val="2"/>
      </rPr>
      <t>No Wider than 48"</t>
    </r>
  </si>
  <si>
    <t>5" x 5" x 8' TimberTech Evolutions Rail Post Cover Classic - Black/Traditional Walnut</t>
  </si>
  <si>
    <t>DO NOT use Structural Posts for cablerail</t>
  </si>
  <si>
    <t>Premiere</t>
  </si>
  <si>
    <t>Pack 31 for Contemp</t>
  </si>
  <si>
    <t>Stairs Balusters Connectors - 18 PACK</t>
  </si>
  <si>
    <t>35" TimberTech Evolutions Rail Contemporary Round Aluminum Baluster (BLACK) - 20 Pack</t>
  </si>
  <si>
    <t>37" TimberTech Evolutions Rail Contemporary Round Aluminum Baluster (BLACK) - 20 Pack</t>
  </si>
  <si>
    <t>29" TimberTech Evolutions Rail Contemporary Round Aluminum Baluster (BLACK) - 20 Pack</t>
  </si>
  <si>
    <t>31" TimberTech Evolutions Rail Contemporary Round Aluminum Baluster (BLACK) - 20 Pack</t>
  </si>
  <si>
    <t>31" TimberTech Evolutions Rail Contemporary Aluminum Baluster (BLACK) - 20 Pack</t>
  </si>
  <si>
    <t>37" TimberTech Evolutions Rail Contemporary Aluminum Baluster (BLACK) - 20 Pack</t>
  </si>
  <si>
    <t>31" TimberTech Evolutions Rail Contemporary Composite Baluster (BLACK) - 18 Pack</t>
  </si>
  <si>
    <t>37" TimberTech Evolutions Rail Contemporary Composite Baluster (BLACK) - 18 Pack</t>
  </si>
  <si>
    <t>35" TimberTech Evolutions Rail Contemporary Composite Baluster (BLACK) - 18 Pack</t>
  </si>
  <si>
    <t>29" TimberTech Evolutions Rail Contemporary Composite Baluster (BLACK) - 18 Pack</t>
  </si>
  <si>
    <t>Pass Through Posts Stair</t>
  </si>
  <si>
    <t xml:space="preserve">Pass Through Posts (level only) </t>
  </si>
  <si>
    <t>TimberTech Premier Rail by AZEK with Feeney Cable Rail</t>
  </si>
  <si>
    <t>TimberTech Contemporary Rail - Square Composite Balusters</t>
  </si>
  <si>
    <t>TimberTech Premier Rail by AZEK - Black Composite Balusters</t>
  </si>
  <si>
    <t>TimberTech Premier Rail by AZEK - Black Aluminum Round Balusters</t>
  </si>
  <si>
    <t>Trex Select with Aluminum Round Balusters and Cocktail Rail</t>
  </si>
  <si>
    <t>TimberTech Contemporary Rail by AZEK with Feeney Cable Rail</t>
  </si>
  <si>
    <t>TimberTech Premier Rail by AZEK with White Composite Balusters</t>
  </si>
  <si>
    <t>Pressure Treated Decking Boards</t>
  </si>
  <si>
    <t>5/4 x 6 Pressure Treated Decking Boards (Cost by LF)</t>
  </si>
  <si>
    <t>#9 x 2-1/2 in. Star Drive Bugle Head R4 Multi-Purpose Screw 110 counts</t>
  </si>
  <si>
    <t>5/4 x 6 PT Lumber Cost</t>
  </si>
  <si>
    <t xml:space="preserve">Trex Select Decking Boards </t>
  </si>
  <si>
    <t>Trex Select Decking Boards (by LF)</t>
  </si>
  <si>
    <t xml:space="preserve">12' Grooved Trex Select Decking Boards </t>
  </si>
  <si>
    <t xml:space="preserve">16' Grooved Trex Select Decking Boards </t>
  </si>
  <si>
    <t xml:space="preserve">20' Grooved Trex Select Decking Boards </t>
  </si>
  <si>
    <t xml:space="preserve">12' Square Edge Trex Select Decking Boards </t>
  </si>
  <si>
    <t xml:space="preserve">16' Square Edge Select Decking Boards </t>
  </si>
  <si>
    <t xml:space="preserve">20' Square Edge Select Decking Boards </t>
  </si>
  <si>
    <t>Trex Hideaway Universal Hidden Fastener System - 90 Counts / 50 SF</t>
  </si>
  <si>
    <t>Using Tape on Joists</t>
  </si>
  <si>
    <t>Using Tape for Joists</t>
  </si>
  <si>
    <t>Yes</t>
  </si>
  <si>
    <t>No</t>
  </si>
  <si>
    <t>Cortex 2-1/2" Fastening System for Trex Decking - 224 counts - Color Match</t>
  </si>
  <si>
    <r>
      <t xml:space="preserve">Cortex 2-1/2" Fastening System for Azek Decking - Box of 350 - 100 Sq  </t>
    </r>
    <r>
      <rPr>
        <sz val="14"/>
        <color rgb="FFFF0000"/>
        <rFont val="Calibri"/>
        <family val="2"/>
      </rPr>
      <t>(Azek Picture Frame)</t>
    </r>
  </si>
  <si>
    <t xml:space="preserve">Trex Transcend Decking Boards </t>
  </si>
  <si>
    <t>Trex Transcend Decking Boards (by LF)</t>
  </si>
  <si>
    <t xml:space="preserve">12' Grooved Trex Transcend Decking Boards </t>
  </si>
  <si>
    <t xml:space="preserve">16' Grooved Trex Transcend Decking Boards </t>
  </si>
  <si>
    <t xml:space="preserve">20' Grooved Trex Transcend Decking Boards </t>
  </si>
  <si>
    <t xml:space="preserve">12' Square Edge Trex Transcend Decking Boards </t>
  </si>
  <si>
    <t xml:space="preserve">16' Square Edge Trex Transcend Decking Boards </t>
  </si>
  <si>
    <t xml:space="preserve">20' Square Edge Trex Transcend Decking Boards </t>
  </si>
  <si>
    <t xml:space="preserve">12' Grooved Trex Enhance Naturals Decking Boards </t>
  </si>
  <si>
    <t xml:space="preserve">Trex Enhance Naturals Decking Boards </t>
  </si>
  <si>
    <t>Trex Enhance Naturals Decking Boards (by LF)</t>
  </si>
  <si>
    <t xml:space="preserve">16' Grooved Trex Enhance Naturals Decking Boards </t>
  </si>
  <si>
    <t xml:space="preserve">20' Grooved Trex Enhance Naturals Decking Boards </t>
  </si>
  <si>
    <t xml:space="preserve">12' Square Edge Trex Enhance Naturals Decking Boards </t>
  </si>
  <si>
    <t xml:space="preserve">16' Square Edge Trex Enhance Naturals Decking Boards </t>
  </si>
  <si>
    <t xml:space="preserve">20' Square Edge Trex Enhance Naturals Decking Boards </t>
  </si>
  <si>
    <t xml:space="preserve">AZEK Vintage Collection Decking Boards </t>
  </si>
  <si>
    <t>AZEK Vintage Collection Decking Boards (by LF)</t>
  </si>
  <si>
    <t xml:space="preserve">12' Grooved AZEK Vintage Collection Decking Boards </t>
  </si>
  <si>
    <t xml:space="preserve">16' Grooved AZEK Vintage Collection Decking Boards </t>
  </si>
  <si>
    <t xml:space="preserve">20' Grooved AZEK Vintage Collection Decking Boards </t>
  </si>
  <si>
    <t xml:space="preserve">12' Square Edge AZEK Vintage Collection Decking Boards </t>
  </si>
  <si>
    <t xml:space="preserve">16' Square Edge AZEK Vintage Collection Decking Boards </t>
  </si>
  <si>
    <t xml:space="preserve">20' Square Edge AZEK Vintage Collection Decking Boards </t>
  </si>
  <si>
    <t>Cortex 2-1/2" Fastening System for Azek Decking - Box of 350 - 100 Sq - Color Match</t>
  </si>
  <si>
    <t>Azek - Timbertech CONCEALoc Fasteners with Screws - 175 counts / 100 sf</t>
  </si>
  <si>
    <t xml:space="preserve">AZEK Arbor Collection Decking Boards </t>
  </si>
  <si>
    <t>AZEK Arbor Collection Decking Boards (by LF)</t>
  </si>
  <si>
    <t xml:space="preserve">12' Grooved AZEK Arbor Collection Decking Boards </t>
  </si>
  <si>
    <t xml:space="preserve">16' Grooved AZEK Arbor Collection Decking Boards </t>
  </si>
  <si>
    <t xml:space="preserve">20' Grooved AZEK Arbor Collection Decking Boards </t>
  </si>
  <si>
    <t xml:space="preserve">12' Square Edge AZEK Arbor Collection Decking Boards </t>
  </si>
  <si>
    <t xml:space="preserve">16' Square Edge AZEK Arbor Collection Decking Boards </t>
  </si>
  <si>
    <t xml:space="preserve">20' Square Edge AZEK Arbor Collection Decking Boards </t>
  </si>
  <si>
    <t xml:space="preserve">AZEK Harvest Collection Decking Boards </t>
  </si>
  <si>
    <t>AZEK Harvest Collection Decking Boards (by LF)</t>
  </si>
  <si>
    <t xml:space="preserve">12' Grooved AZEK Harvest Collection Decking Boards </t>
  </si>
  <si>
    <t xml:space="preserve">16' Grooved AZEK Harvest Collection Decking Boards </t>
  </si>
  <si>
    <t xml:space="preserve">20' Grooved AZEK Harvest Collection Decking Boards </t>
  </si>
  <si>
    <t xml:space="preserve">12' Square Edge AZEK Harvest Collection Decking Boards </t>
  </si>
  <si>
    <t xml:space="preserve">16' Square Edge AZEK Harvest Collection Decking Boards </t>
  </si>
  <si>
    <t xml:space="preserve">20' Square Edge AZEK Harvest Collection Decking Boards </t>
  </si>
  <si>
    <t>* Kona is Square Edge Only</t>
  </si>
  <si>
    <t xml:space="preserve">Timbertech Pro Legacy Collection Decking Boards </t>
  </si>
  <si>
    <t>Timbertech Pro Legacy Collection Decking Boards (by LF)</t>
  </si>
  <si>
    <t xml:space="preserve">12' Grooved Timbertech Pro Legacy Collection Decking Boards </t>
  </si>
  <si>
    <t xml:space="preserve">16' Grooved Timbertech Pro Legacy Collection Decking Boards </t>
  </si>
  <si>
    <t xml:space="preserve">20' Grooved Timbertech Pro Legacy Collection Decking Boards </t>
  </si>
  <si>
    <t>* 12' Square Only</t>
  </si>
  <si>
    <t xml:space="preserve">16' Square Edge Timbertech Pro Legacy Collection Decking Boards </t>
  </si>
  <si>
    <t xml:space="preserve">20' Square Edge Timbertech Pro Legacy Collection Decking Boards </t>
  </si>
  <si>
    <t>Timbertech Pro Reserve Collection Decking Boards (by LF)</t>
  </si>
  <si>
    <t xml:space="preserve">Timbertech Pro Reserve Collection Decking Boards </t>
  </si>
  <si>
    <t xml:space="preserve">12' Grooved Timbertech Pro Reserve Collection Decking Boards </t>
  </si>
  <si>
    <t xml:space="preserve">16' Grooved Timbertech Pro Reserve Collection Decking Boards </t>
  </si>
  <si>
    <t xml:space="preserve">20' Grooved Timbertech Pro Reserve Collection Decking Boards </t>
  </si>
  <si>
    <t xml:space="preserve">16' Square Edge Timbertech Pro Reserve Collection Decking Boards </t>
  </si>
  <si>
    <t xml:space="preserve">20' Square Edge Timbertech Pro Reserve Collection Decking Boards </t>
  </si>
  <si>
    <t>Legacy Collection (Grooved - 12', 16' 20' / 12' only available in grooved)</t>
  </si>
  <si>
    <t>Reserve Collection (Grooved - 12', 16' 20' / 12' only available in grooved)</t>
  </si>
  <si>
    <t>Terrain Collection (Grooved - 12', 16' 20' / 12' only available in grooved)</t>
  </si>
  <si>
    <t xml:space="preserve">Timbertech Pro Terrain Collection Decking Boards </t>
  </si>
  <si>
    <t>Timbertech Pro Terrain Collection Decking Boards (by LF)</t>
  </si>
  <si>
    <t xml:space="preserve">12' Grooved Timbertech Pro Terrain Collection Decking Boards </t>
  </si>
  <si>
    <t xml:space="preserve">16' Grooved Timbertech Pro Terrain Collection Decking Boards </t>
  </si>
  <si>
    <t xml:space="preserve">20' Grooved Timbertech Pro Terrain Collection Decking Boards </t>
  </si>
  <si>
    <t xml:space="preserve">16' Square Edge Timbertech Pro Terrain Collection Decking Boards </t>
  </si>
  <si>
    <t xml:space="preserve">20' Square Edge Timbertech Pro Terrain Collection Decking Boards </t>
  </si>
  <si>
    <t xml:space="preserve">Timbertech Edge Premier Collection Decking Boards </t>
  </si>
  <si>
    <t>Timbertech Edge Premier Collection Decking Boards (by LF)</t>
  </si>
  <si>
    <t xml:space="preserve">12' Grooved Timbertech Edge Premier Collection Decking Boards </t>
  </si>
  <si>
    <t xml:space="preserve">16' Grooved Timbertech Edge Premier Collection Decking Boards </t>
  </si>
  <si>
    <t xml:space="preserve">20' Grooved Timbertech Edge Premier Collection Decking Boards </t>
  </si>
  <si>
    <t xml:space="preserve">16' Square Edge Timbertech Edge Premier Collection Decking Boards </t>
  </si>
  <si>
    <t xml:space="preserve">20' Square Edge Timbertech Edge Premier Collection Decking Boards </t>
  </si>
  <si>
    <t>Premier Collection (Grooved - 12', 16' 20' / 12' only available in grooved)</t>
  </si>
  <si>
    <r>
      <t xml:space="preserve">Prime+ Collection (Grooved - 12', 16' 20' / 12' only available in grooved) - </t>
    </r>
    <r>
      <rPr>
        <sz val="16"/>
        <color rgb="FFFF0000"/>
        <rFont val="Calibri"/>
        <family val="2"/>
      </rPr>
      <t>Scalloped</t>
    </r>
  </si>
  <si>
    <r>
      <t xml:space="preserve">Prime Collection (Grooved - 12', 16' 20' / 12' only available in grooved) - </t>
    </r>
    <r>
      <rPr>
        <sz val="16"/>
        <color rgb="FFFF0000"/>
        <rFont val="Calibri"/>
        <family val="2"/>
      </rPr>
      <t>Scalloped</t>
    </r>
  </si>
  <si>
    <t xml:space="preserve">Timbertech Edge Prime+ Collection Decking Boards </t>
  </si>
  <si>
    <t>Timbertech Edge Prime+ Collection Decking Boards (by LF)</t>
  </si>
  <si>
    <t xml:space="preserve">12' Grooved Timbertech Edge Prime+ Collection Decking Boards </t>
  </si>
  <si>
    <t xml:space="preserve">16' Grooved Timbertech Edge Prime+ Collection Decking Boards </t>
  </si>
  <si>
    <t xml:space="preserve">20' Grooved Timbertech Edge Prime+ Collection Decking Boards </t>
  </si>
  <si>
    <t xml:space="preserve">16' Square Edge Timbertech Edge Prime+ Collection Decking Boards </t>
  </si>
  <si>
    <t xml:space="preserve">20' Square Edge Timbertech Edge Prime+ Collection Decking Boards </t>
  </si>
  <si>
    <t xml:space="preserve">Timbertech Edge Prime Collection Decking Boards </t>
  </si>
  <si>
    <t>Timbertech Edge Prime Collection Decking Boards (by LF)</t>
  </si>
  <si>
    <t xml:space="preserve">12' Grooved Timbertech Edge Prime Collection Decking Boards </t>
  </si>
  <si>
    <t xml:space="preserve">16' Grooved Timbertech Edge Prime Collection Decking Boards </t>
  </si>
  <si>
    <t xml:space="preserve">20' Grooved Timbertech Edge Prime Collection Decking Boards </t>
  </si>
  <si>
    <t xml:space="preserve">16' Square Edge Timbertech Edge Prime Collection Decking Boards </t>
  </si>
  <si>
    <t xml:space="preserve">20' Square Edge Timbertech Edge Prime Collection Decking Boards </t>
  </si>
  <si>
    <t>Moistureshield Elevation Collection - Premium Colors (by LF)</t>
  </si>
  <si>
    <t xml:space="preserve">Moistureshield Elevation Collection - Premium Colors- Decking Boards </t>
  </si>
  <si>
    <t>12' Grooved Moistureshield Elevation Collection - Premium Colors</t>
  </si>
  <si>
    <t>16' Grooved Moistureshield Elevation Collection - Premium Colors</t>
  </si>
  <si>
    <t>20' Grooved Moistureshield Elevation Collection - Premium Colors</t>
  </si>
  <si>
    <t>20' Square Edge Moistureshield Elevation Collection - Premium Colors</t>
  </si>
  <si>
    <t xml:space="preserve">* Square Edge in 20' Only </t>
  </si>
  <si>
    <t>Mantis Clip With Standard Screws - (90) Clips / (5) Starter Clips / (5) Finish Clips</t>
  </si>
  <si>
    <r>
      <t xml:space="preserve">Mantis 396 Clip With Standard Screws - (90) Clips / (5) Starter Clips / (5) Finish Clips - </t>
    </r>
    <r>
      <rPr>
        <sz val="12"/>
        <color rgb="FFFF0000"/>
        <rFont val="Calibri"/>
        <family val="2"/>
      </rPr>
      <t>(Moistureshield Clips)</t>
    </r>
  </si>
  <si>
    <r>
      <t xml:space="preserve">#10 X 2-3/4" Cap-Tor xd Screws for PVC and Composite Decking - 100 Pack - </t>
    </r>
    <r>
      <rPr>
        <sz val="12"/>
        <color rgb="FFFF0000"/>
        <rFont val="Calibri"/>
        <family val="2"/>
      </rPr>
      <t>(Moistureshield screws for Picture Frame)</t>
    </r>
  </si>
  <si>
    <t>#10 X 2-3/4" Cap-Tor ® xd Epoxy Coated Carbon Steel - 100 Pieces - Color Match</t>
  </si>
  <si>
    <t xml:space="preserve">Moistureshield Elevation Collection - Original Colors- Decking Boards </t>
  </si>
  <si>
    <t>Moistureshield Elevation Collection - Original Colors (by LF)</t>
  </si>
  <si>
    <t>12' Grooved Moistureshield Elevation Collection - Original Colors</t>
  </si>
  <si>
    <t>16' Grooved Moistureshield Elevation Collection - Original Colors</t>
  </si>
  <si>
    <t>20' Grooved Moistureshield Elevation Collection - Original Colors</t>
  </si>
  <si>
    <t>20' Square Edge Moistureshield Elevation Collection - Original Colors</t>
  </si>
  <si>
    <t xml:space="preserve">Moistureshield Vision Cool Collection Decking Boards </t>
  </si>
  <si>
    <t>12' Grooved Moistureshield Vision Collection - Cool Colors</t>
  </si>
  <si>
    <t>16' Grooved Moistureshield Vision Collection - Cool Colors</t>
  </si>
  <si>
    <t>20' Grooved Moistureshield Vision Collection - Cool Colors</t>
  </si>
  <si>
    <t>20' Square Edge Moistureshield Vision Collection - Cool Colors</t>
  </si>
  <si>
    <t>16' Square Edge Moistureshield Vision Collection - Cool Colors</t>
  </si>
  <si>
    <t xml:space="preserve">* Square Edge in 20' and 16' Only </t>
  </si>
  <si>
    <t>Moistureshield Vision Collection - Cool Colors (by LF)</t>
  </si>
  <si>
    <r>
      <t xml:space="preserve">Pro Plug System for MoistureShield Decking - 100sf - 350 pack - </t>
    </r>
    <r>
      <rPr>
        <sz val="12"/>
        <color rgb="FFFF0000"/>
        <rFont val="Calibri"/>
        <family val="2"/>
      </rPr>
      <t>(Moistureshield screws for Picture Frame)</t>
    </r>
  </si>
  <si>
    <t>Pro Plug System for MoistureShield Decking - 100sf - 350 pack - Color Match</t>
  </si>
  <si>
    <t xml:space="preserve">Moistureshield Vision Non-Cool Collection Decking Boards </t>
  </si>
  <si>
    <t>Moistureshield Vision Collection - Non-Cool Colors (by LF)</t>
  </si>
  <si>
    <t>12' Grooved Moistureshield Vision Collection - Non-Cool Colors</t>
  </si>
  <si>
    <t>16' Grooved Moistureshield Vision Collection - Non-Cool Colors</t>
  </si>
  <si>
    <t>20' Grooved Moistureshield Vision Collection - Non-Cool Colors</t>
  </si>
  <si>
    <t>16' Square Edge Moistureshield Vision Collection - Non-Cool Colors</t>
  </si>
  <si>
    <t>20' Square Edge Moistureshield Vision Collection - Non-Cool Colors</t>
  </si>
  <si>
    <t xml:space="preserve">Moistureshield Vantage Collection Decking Boards </t>
  </si>
  <si>
    <t>12' Grooved Moistureshield Vantage Collection - Non-Cool Colors</t>
  </si>
  <si>
    <t>16' Grooved Moistureshield Vantage Collection - Non-Cool Colors</t>
  </si>
  <si>
    <t>20' Grooved Moistureshield Vantage Collection - Non-Cool Colors</t>
  </si>
  <si>
    <t>12' Square Edge Moistureshield Vantage Collection - Non-Cool Colors</t>
  </si>
  <si>
    <t>16' Square Edge Moistureshield Vantage Collection - Non-Cool Colors</t>
  </si>
  <si>
    <t>20' Square Edge Moistureshield Vantage Collection - Non-Cool Colors</t>
  </si>
  <si>
    <t xml:space="preserve">Fiberon Good Life Decking Boards -  Weekender Collection </t>
  </si>
  <si>
    <t>Fiberon Good Life Decking Boards -  Weekender Collection (by LF)</t>
  </si>
  <si>
    <t>12' Grooved Fiberon Good Life Decking Boards -  Weekender Collection</t>
  </si>
  <si>
    <t>16' Grooved Fiberon Good Life Decking Boards -  Weekender Collection</t>
  </si>
  <si>
    <t>20' Grooved Fiberon Good Life Decking Boards -  Weekender Collection</t>
  </si>
  <si>
    <t>20' Square Edge Fiberon Good Life Decking Boards -  Weekender Collection</t>
  </si>
  <si>
    <t>ArmorGuard Hidden Deck Fastener Kit - 50 sf - 90 pack</t>
  </si>
  <si>
    <r>
      <t xml:space="preserve">ArmorGuard Hidden Deck Fastener Kit - 50 sf - 90 pack </t>
    </r>
    <r>
      <rPr>
        <sz val="12"/>
        <color rgb="FFFF0000"/>
        <rFont val="Calibri"/>
        <family val="2"/>
      </rPr>
      <t>(clips for Fiberon)</t>
    </r>
  </si>
  <si>
    <t>Pro Plug System for Fiberon Decking - Screws &amp; Plugs - 100 Square Feet - 350 pack</t>
  </si>
  <si>
    <r>
      <t xml:space="preserve">Pro Plug System for Fiberon Decking - Screws &amp; Plugs - 100 Square Feet - 350 pack </t>
    </r>
    <r>
      <rPr>
        <sz val="12"/>
        <color rgb="FFFF0000"/>
        <rFont val="Calibri"/>
        <family val="2"/>
      </rPr>
      <t>(screws and plugs for picture frame)</t>
    </r>
  </si>
  <si>
    <t xml:space="preserve">Fiberon Good Life Decking Boards -  Escapes Collection </t>
  </si>
  <si>
    <t>Fiberon Good Life Decking Boards -  Escapes Collection (by LF)</t>
  </si>
  <si>
    <t>12' Grooved Fiberon Good Life Decking Boards -  Escapes Collection</t>
  </si>
  <si>
    <t>16' Grooved Fiberon Good Life Decking Boards -  Escapes Collection</t>
  </si>
  <si>
    <t>20' Grooved Fiberon Good Life Decking Boards -  Escapes Collection</t>
  </si>
  <si>
    <t>20' Square Edge Fiberon Good Life Decking Boards -  Escapes Collection</t>
  </si>
  <si>
    <r>
      <t xml:space="preserve">Phantom Universal Hidden Deck Fastener Box - 50sf - 90 pack </t>
    </r>
    <r>
      <rPr>
        <sz val="12"/>
        <color rgb="FFFF0000"/>
        <rFont val="Calibri"/>
        <family val="2"/>
      </rPr>
      <t>(clips for wolf decking)</t>
    </r>
  </si>
  <si>
    <t>Wolf Perspective Decking Boards</t>
  </si>
  <si>
    <t>Wolf Perspective Decking Boards -  (by LF)</t>
  </si>
  <si>
    <t>12' Grooved Wolf Perspective Decking Boards</t>
  </si>
  <si>
    <t>16' Grooved Wolf Perspective Decking Boards</t>
  </si>
  <si>
    <t>20' Grooved Wolf Perspective Decking Boards</t>
  </si>
  <si>
    <t>20' Square Edge Wolf Perspective Decking Boards</t>
  </si>
  <si>
    <t>12' Square Edge Wolf Perspective Decking Boards</t>
  </si>
  <si>
    <t>16' Square Edge Wolf Perspective Decking Boards</t>
  </si>
  <si>
    <t>Phantom Universal Hidden Deck Fastener Box - 50sf - 90 pack</t>
  </si>
  <si>
    <t>Pro Plug System for Wolf Decking - Screws &amp; Plugs - 100 Square Feet - 350 pack</t>
  </si>
  <si>
    <t>TimberTech Contemporary Rail by AZEK with Round Aluminum Balusters</t>
  </si>
  <si>
    <t xml:space="preserve">DuraLife Siesta Landscape Collection Decking Boards </t>
  </si>
  <si>
    <t>DuraLife Siesta Landscape Collection  (by LF)</t>
  </si>
  <si>
    <t xml:space="preserve">12' Grooved DuraLife Siesta Landscape Collection </t>
  </si>
  <si>
    <t xml:space="preserve">16' Grooved DuraLife Siesta Landscape Collection </t>
  </si>
  <si>
    <t xml:space="preserve">20' Grooved DuraLife Siesta Landscape Collection </t>
  </si>
  <si>
    <t xml:space="preserve">16' Square Edge DuraLife Siesta Landscape Collection </t>
  </si>
  <si>
    <t xml:space="preserve">20' Square Edge DuraLife Siesta Landscape Collection </t>
  </si>
  <si>
    <t>Duralife Step-Clip Deck Fastenators with Steel Screws (100-Count)</t>
  </si>
  <si>
    <r>
      <t xml:space="preserve">Duralife Step-Clip Deck Fastenators with Steel Screws </t>
    </r>
    <r>
      <rPr>
        <sz val="12"/>
        <color rgb="FFFF0000"/>
        <rFont val="Calibri"/>
        <family val="2"/>
      </rPr>
      <t>(100-Count) (clips for Duralife decking)</t>
    </r>
  </si>
  <si>
    <t>Cortex 2-1/2" Fastening System for DuraLife Decking - Box of 350 - 100 Sq - Color Match</t>
  </si>
  <si>
    <t xml:space="preserve">16' Starter Profile DuraLife Siesta Landscape Collection </t>
  </si>
  <si>
    <t xml:space="preserve">* Square Edge and Starter Profile in 20' and 16' Only </t>
  </si>
  <si>
    <t xml:space="preserve">20' Starter Profile DuraLife Siesta Landscape Collection </t>
  </si>
  <si>
    <t xml:space="preserve">DuraLife Siesta Hardwoods Collection Decking Boards </t>
  </si>
  <si>
    <t>DuraLife Siesta Hardwoods Collection  (by LF)</t>
  </si>
  <si>
    <t xml:space="preserve">12' Grooved DuraLife Siesta Hardwoods Collection </t>
  </si>
  <si>
    <t xml:space="preserve">16' Grooved DuraLife Siesta Hardwoods Collection </t>
  </si>
  <si>
    <t xml:space="preserve">20' Grooved DuraLife Siesta Hardwoods Collection </t>
  </si>
  <si>
    <t xml:space="preserve">16' Square Edge DuraLife Siesta Hardwoods Collection </t>
  </si>
  <si>
    <t xml:space="preserve">20' Square Edge DuraLife Siesta Hardwoods Collection </t>
  </si>
  <si>
    <t xml:space="preserve">16' Starter Profile DuraLife Siesta Hardwoods Collection </t>
  </si>
  <si>
    <t xml:space="preserve">20' Starter Profile DuraLife Siesta Hardwoods Collection </t>
  </si>
  <si>
    <t xml:space="preserve">DuraLife MVP Landscape Collection Decking Boards </t>
  </si>
  <si>
    <t>DuraLife MVP Landscape Collection  (by LF)</t>
  </si>
  <si>
    <t xml:space="preserve">12' Grooved DuraLife MVP Landscape Collection </t>
  </si>
  <si>
    <t xml:space="preserve">16' Grooved DuraLife MVP Landscape Collection </t>
  </si>
  <si>
    <t xml:space="preserve">20' Grooved DuraLife MVP Landscape Collection </t>
  </si>
  <si>
    <t xml:space="preserve">16' Square Edge DuraLife MVP Landscape Collection </t>
  </si>
  <si>
    <t xml:space="preserve">20' Square Edge DuraLife MVP Landscape Collection </t>
  </si>
  <si>
    <t xml:space="preserve">16' Starter Profile DuraLife MVP Landscape Collection </t>
  </si>
  <si>
    <t xml:space="preserve">20' Starter Profile DuraLife MVP Landscape Collection </t>
  </si>
  <si>
    <t>DuraLife Siesta Landscape Collection - Square Edge  (by LF)</t>
  </si>
  <si>
    <t xml:space="preserve">DuraLife Color Matched Deck Board End Caps -  20 Pack </t>
  </si>
  <si>
    <t xml:space="preserve">DuraLife MVP Harwoods Collection Decking Boards </t>
  </si>
  <si>
    <t>DuraLife MVP Harwoods Collection  (by LF)</t>
  </si>
  <si>
    <t>DuraLife Siesta Harwoods Collection - Square Edge  (by LF)</t>
  </si>
  <si>
    <t xml:space="preserve">12' Grooved DuraLife MVP Harwoods Collection </t>
  </si>
  <si>
    <t xml:space="preserve">16' Grooved DuraLife MVP Harwoods Collection </t>
  </si>
  <si>
    <t xml:space="preserve">20' Grooved DuraLife MVP Harwoods Collection </t>
  </si>
  <si>
    <t xml:space="preserve">16' Square Edge DuraLife MVP Harwoods Collection </t>
  </si>
  <si>
    <t xml:space="preserve">20' Square Edge DuraLife MVP Harwoods Collection </t>
  </si>
  <si>
    <t xml:space="preserve">16' Starter Profile DuraLife MVP Harwoods Collection </t>
  </si>
  <si>
    <t xml:space="preserve">20' Starter Profile DuraLife MVP Harwoods Collection </t>
  </si>
  <si>
    <t>PVC Finishing</t>
  </si>
  <si>
    <t>42" Height Deck Gate (No Wider than 48")</t>
  </si>
  <si>
    <t>36" Height Deck Gate (No Wider than 48")</t>
  </si>
  <si>
    <t xml:space="preserve"># Cortex  </t>
  </si>
  <si>
    <r>
      <t xml:space="preserve">36" Height Deck Gate </t>
    </r>
    <r>
      <rPr>
        <b/>
        <sz val="8"/>
        <color rgb="FFFF0000"/>
        <rFont val="Calibri"/>
        <family val="2"/>
      </rPr>
      <t>(No Wider than 48")</t>
    </r>
  </si>
  <si>
    <t>10 in. Child Safety Gate Latch</t>
  </si>
  <si>
    <t>Black Self-Closing Metal Gate Hinge (2-Pack)</t>
  </si>
  <si>
    <t>Cortex 75-Piece Fastener Set for PVC Trim</t>
  </si>
  <si>
    <r>
      <t xml:space="preserve">Cortex 2-1/2" Fastening System for DuraLife Decking - Box of 350 - 100 Sq  </t>
    </r>
    <r>
      <rPr>
        <sz val="12"/>
        <color rgb="FFFF0000"/>
        <rFont val="Calibri"/>
        <family val="2"/>
      </rPr>
      <t>(Azek Picture Frame)</t>
    </r>
  </si>
  <si>
    <t xml:space="preserve">PVC Finishing </t>
  </si>
  <si>
    <t>Black Self-Closing Gate Kit</t>
  </si>
  <si>
    <t>4 ft. x 8 ft. White Privacy Diamond Vinyl Lattice</t>
  </si>
  <si>
    <t>1x6x18 PVC Lattice Trim</t>
  </si>
  <si>
    <t>1x8x18 PVC Risers</t>
  </si>
  <si>
    <t>1x8x18 PVC Fascia</t>
  </si>
  <si>
    <t>1x10x18 PVC Fascia</t>
  </si>
  <si>
    <t>5/4"x6x18 PVC Water Table</t>
  </si>
  <si>
    <t>1x12x18 PVC Stringers S1</t>
  </si>
  <si>
    <t>1x12x18 PVC Stringers S2</t>
  </si>
  <si>
    <t>1 x 8 x 16 Pressure Treated Board</t>
  </si>
  <si>
    <t>1-5/8-in x 12-ft PVC Bed Moulding</t>
  </si>
  <si>
    <t>Soffit trim (PVC)</t>
  </si>
  <si>
    <t>6" x 6" x 8.5' PVC Square Columns Wrap</t>
  </si>
  <si>
    <t xml:space="preserve">8" x 8" x 8' Fiberglass Round Tapered Column </t>
  </si>
  <si>
    <t xml:space="preserve">PVC Beaded Planks on Ceiling </t>
  </si>
  <si>
    <t>Christy's Red Hot White Vinyl Adhesive  16 fl oz</t>
  </si>
  <si>
    <t>Farmers Porch</t>
  </si>
  <si>
    <t>1x8x18 PVC for Beam</t>
  </si>
  <si>
    <t>1x8x18 PVC for Facia</t>
  </si>
  <si>
    <t>1x8x18 PVC for Soffit</t>
  </si>
  <si>
    <t>7.313-in x 8.0-ft White PVC Plank (14.62 sf)</t>
  </si>
  <si>
    <t>1x5x18 PVC for Beam</t>
  </si>
  <si>
    <t>5/4" x 6 x 18 PVC Trim Board</t>
  </si>
  <si>
    <t>2-in 15-Gauge Pneumatic Finish Nails (1000-Count)</t>
  </si>
  <si>
    <t>8ft TimberTech Universal Rail Pack by AZEK - White</t>
  </si>
  <si>
    <r>
      <t xml:space="preserve">8ft TimberTech Universal Rail Pack by AZEK </t>
    </r>
    <r>
      <rPr>
        <sz val="18"/>
        <color rgb="FFFF0000"/>
        <rFont val="Calibri"/>
        <family val="2"/>
      </rPr>
      <t>FOR CABLERAIL</t>
    </r>
    <r>
      <rPr>
        <sz val="18"/>
        <color theme="3"/>
        <rFont val="Calibri"/>
        <family val="2"/>
      </rPr>
      <t xml:space="preserve"> - White</t>
    </r>
  </si>
  <si>
    <r>
      <t xml:space="preserve">6ft TimberTech Universal Rail Pack by AZEK </t>
    </r>
    <r>
      <rPr>
        <sz val="18"/>
        <color rgb="FFFF0000"/>
        <rFont val="Calibri"/>
        <family val="2"/>
      </rPr>
      <t>FOR CABLERAIL</t>
    </r>
    <r>
      <rPr>
        <sz val="18"/>
        <color theme="3"/>
        <rFont val="Calibri"/>
        <family val="2"/>
      </rPr>
      <t xml:space="preserve"> - White</t>
    </r>
  </si>
  <si>
    <t>8ft TimberTech Universal Rail Pack by AZEK  - For Round Aluminum Balusters - White</t>
  </si>
  <si>
    <t>6ft TimberTech Universal Rail Pack by AZEK - For Round Aluminum Balusters - White</t>
  </si>
  <si>
    <t>8ft TimberTech Universal Rail Pack by AZEK  - White</t>
  </si>
  <si>
    <t>6ft TimberTech Universal Rail Pack by  - White</t>
  </si>
  <si>
    <t>6ft TimberTech Universal Rail Pack by AZEK - White</t>
  </si>
  <si>
    <t>TimberTech Builder Rail 36" Round Metal Baluster (Black) - 20 Pack</t>
  </si>
  <si>
    <t>TimberTech Builder Rail 36" Round Metal Stair Baluster (Black) - 20 Pack</t>
  </si>
  <si>
    <t>Pressure Treated</t>
  </si>
  <si>
    <t>Cost</t>
  </si>
  <si>
    <t>Railing System</t>
  </si>
  <si>
    <t xml:space="preserve">Timbertech Contemporary - Round Aluminum Balusters </t>
  </si>
  <si>
    <t xml:space="preserve">Timbertech Contemporary - Feeney Cablerail </t>
  </si>
  <si>
    <t>Timbertech Premier - White Composite Square Balusters</t>
  </si>
  <si>
    <t>Timbertech Premier - Black Composite Square Balusters</t>
  </si>
  <si>
    <t xml:space="preserve">Timbertech Premier - Black Aluminum Round Balusters </t>
  </si>
  <si>
    <t>RDI Transform Railing - White  Composite Square Balusters</t>
  </si>
  <si>
    <t>Trex Select  - Black Round Balusters - Cocktail</t>
  </si>
  <si>
    <t>Timbertech Premier - Feeney Cablerail</t>
  </si>
  <si>
    <t>Frame</t>
  </si>
  <si>
    <t>Gavanized - Footings</t>
  </si>
  <si>
    <t>White Finishing</t>
  </si>
  <si>
    <t>Frame - Joists, Support Posts, Rail Posts, Ledger, Stringers and Beams</t>
  </si>
  <si>
    <t>Quoted By LF</t>
  </si>
  <si>
    <t>Extra Material</t>
  </si>
  <si>
    <t>General Decking Estimate</t>
  </si>
  <si>
    <t xml:space="preserve">PT Frame </t>
  </si>
  <si>
    <t xml:space="preserve">Select the Railing System to be used... </t>
  </si>
  <si>
    <t xml:space="preserve">Labor </t>
  </si>
  <si>
    <t>Extra Material:</t>
  </si>
  <si>
    <t>a</t>
  </si>
  <si>
    <t>b</t>
  </si>
  <si>
    <t>c</t>
  </si>
  <si>
    <t>d</t>
  </si>
  <si>
    <t xml:space="preserve">PT Finish </t>
  </si>
  <si>
    <t xml:space="preserve">1x6 Lattice Trim </t>
  </si>
  <si>
    <t>1x8x16 PT Fascia</t>
  </si>
  <si>
    <t>1x8x16 PT Risers</t>
  </si>
  <si>
    <t>4x8 PT Lattice</t>
  </si>
  <si>
    <t>1 x 6 x 16 PT Decking Board</t>
  </si>
  <si>
    <t>PT Finishing</t>
  </si>
  <si>
    <t>PT Finish</t>
  </si>
  <si>
    <t>1 x 8 x 16 PT Board</t>
  </si>
  <si>
    <t>4 ft. x 8 ft. Pressure Treated Privacy Lattice</t>
  </si>
  <si>
    <t>1x6x16 PT Lumber</t>
  </si>
  <si>
    <t>1x8x16 PT Lumber</t>
  </si>
  <si>
    <t>4x8 Pressure Treated Privacy Lattice</t>
  </si>
  <si>
    <t>General Estimate</t>
  </si>
  <si>
    <t>Timbertech Contemporary - Square Composite Balusters</t>
  </si>
  <si>
    <t>Choose the Finishing…</t>
  </si>
  <si>
    <t>OTHER COSTS</t>
  </si>
  <si>
    <t>TOTAL FOR LABOR</t>
  </si>
  <si>
    <t>TOTAL FOR MATERIAL</t>
  </si>
  <si>
    <t>DESCRIPTION OF WORK</t>
  </si>
  <si>
    <t xml:space="preserve">BUILDING PERMIT </t>
  </si>
  <si>
    <t xml:space="preserve">PORTABLE TOILET </t>
  </si>
  <si>
    <t>Select the Dumpster Size…</t>
  </si>
  <si>
    <t xml:space="preserve">Dumptruck </t>
  </si>
  <si>
    <t>Bagster - 1.5 Ton</t>
  </si>
  <si>
    <t>15 Yards - 3 Ton</t>
  </si>
  <si>
    <t>20 Yards - 3 Ton</t>
  </si>
  <si>
    <t xml:space="preserve">30 Yards - 4 Ton </t>
  </si>
  <si>
    <t>40 Yards - 6 Ton</t>
  </si>
  <si>
    <t xml:space="preserve">JOB PROFITABILITY </t>
  </si>
  <si>
    <t>TOTAL FOR OTHER COSTS</t>
  </si>
  <si>
    <t xml:space="preserve">PRICE FOR CUSTOMER </t>
  </si>
  <si>
    <t>No Disposal</t>
  </si>
  <si>
    <t xml:space="preserve">Select the Decking Boards to be used... </t>
  </si>
  <si>
    <t>5/4" Pressure Treated Decking Boards</t>
  </si>
  <si>
    <t>Trex Select Decking Boards</t>
  </si>
  <si>
    <t>Trex Transcend Decking Boards</t>
  </si>
  <si>
    <t>Trex Enhance Natural Decking Boards</t>
  </si>
  <si>
    <t>Azek Vintage Decking Boards</t>
  </si>
  <si>
    <t>Azek Arbor Decking Boards</t>
  </si>
  <si>
    <t>Azek Harvest Decking Boards</t>
  </si>
  <si>
    <t>Timbertech Pro Legacy Decking Boards</t>
  </si>
  <si>
    <t>Timbertech Pro Reserve Decking Boards</t>
  </si>
  <si>
    <t>Timbertech Pro Terrain Decking Boards</t>
  </si>
  <si>
    <t>Timbertech Edge Premier Decking Boards</t>
  </si>
  <si>
    <t>Timbertech Edge Preme Plus Decking Boards</t>
  </si>
  <si>
    <t>Timbertech Edge Prime Decking Boards</t>
  </si>
  <si>
    <t>Moistureshiled Elevate Premium Decking Boards</t>
  </si>
  <si>
    <t>Moistureshiled Elevate Original Decking Boards</t>
  </si>
  <si>
    <t>Moistureshiled Vision Cool Decking Boards</t>
  </si>
  <si>
    <t>Moistureshiled Vision Non Cool Decking Boards</t>
  </si>
  <si>
    <t>Moistureshiled Vantage Decking Boards</t>
  </si>
  <si>
    <t>Fiberon Good Life Weekender Decking Boards</t>
  </si>
  <si>
    <t>Fiberon Good Life Escapes Decking Boards</t>
  </si>
  <si>
    <t>Wolf Perpective Decking Boards</t>
  </si>
  <si>
    <t>Duralife Siesta Landscape Decking Boards</t>
  </si>
  <si>
    <t>Duralife Siesta Hardwoods Decking Boards</t>
  </si>
  <si>
    <t>Duralife MVP Landscape Decking Boards</t>
  </si>
  <si>
    <t>Duralife MVP Hardwoods Decking Boards</t>
  </si>
  <si>
    <t>Hangers</t>
  </si>
  <si>
    <t>right end cap</t>
  </si>
  <si>
    <t>left and cap</t>
  </si>
  <si>
    <t>elbows</t>
  </si>
  <si>
    <t xml:space="preserve">downpouts </t>
  </si>
  <si>
    <t>20 of gutters</t>
  </si>
  <si>
    <t>RainEscape Deck Drainage System Butyl Tape - 4" x 50'</t>
  </si>
  <si>
    <t>RainEscape Wall Flashing - 1 Roll</t>
  </si>
  <si>
    <t>RainEscape Post Flashing - 4" x 4"</t>
  </si>
  <si>
    <t>RainEscape Deck Drainage System Butyl Caulk Tube</t>
  </si>
  <si>
    <t>RainEscape Deck Drainage System Trough - 12' Length</t>
  </si>
  <si>
    <t>RainEscape Deck Drainage System Trough - 16' Length</t>
  </si>
  <si>
    <t>RainEscape Deck Drainage System Downspout</t>
  </si>
  <si>
    <t>Trex RainScape System</t>
  </si>
  <si>
    <t>Trex RainScape</t>
  </si>
  <si>
    <t>1-</t>
  </si>
  <si>
    <t>2-</t>
  </si>
  <si>
    <t>3-</t>
  </si>
  <si>
    <t>4-</t>
  </si>
  <si>
    <t>5-</t>
  </si>
  <si>
    <t>6-</t>
  </si>
  <si>
    <t>Gutters (LF)</t>
  </si>
  <si>
    <t xml:space="preserve">Downpouts </t>
  </si>
  <si>
    <t>Elbows</t>
  </si>
  <si>
    <t>Left end Cap</t>
  </si>
  <si>
    <t>Right end Cap</t>
  </si>
  <si>
    <t>90 Deg Corners</t>
  </si>
  <si>
    <t>ML 2 in. x 6 in. 12-Gauge ZMAX Galvanized Medium L Angle</t>
  </si>
  <si>
    <t xml:space="preserve">9" x 75" Ledger Flashing - Water Flashing Tape </t>
  </si>
  <si>
    <t>Ice and Water</t>
  </si>
  <si>
    <t>5" LedgerLok Ledger Board Fastener - Box of 50 (for Ledger Board)</t>
  </si>
  <si>
    <t>ML28Z  Galvanized Medium L Angle</t>
  </si>
  <si>
    <t>LSCZ 18-Gauge ZMAX Galvanized Adjustable Stringer Connector</t>
  </si>
  <si>
    <t xml:space="preserve">9" x 75' Ledger Flashing - Water Flashing Tape </t>
  </si>
  <si>
    <t>SKU#</t>
  </si>
  <si>
    <t>8' Beam Kit for Square  – SATIN WHITE</t>
  </si>
  <si>
    <t>3 1/4" Galvanized Coil Framing Nails</t>
  </si>
  <si>
    <r>
      <t xml:space="preserve">ThruLOK 8 in. Screw Bolt Fastening System </t>
    </r>
    <r>
      <rPr>
        <sz val="14"/>
        <rFont val="Calibri"/>
        <family val="2"/>
      </rPr>
      <t>(Fastners for Posts)</t>
    </r>
    <r>
      <rPr>
        <sz val="18"/>
        <rFont val="Calibri"/>
        <family val="2"/>
      </rPr>
      <t xml:space="preserve"> - (6-Pack)</t>
    </r>
  </si>
  <si>
    <r>
      <t xml:space="preserve">ThruLOK 8 in. Screw Bolt Fastening System </t>
    </r>
    <r>
      <rPr>
        <sz val="14"/>
        <color rgb="FFFF0000"/>
        <rFont val="Calibri"/>
        <family val="2"/>
      </rPr>
      <t>(Fastners for Posts)</t>
    </r>
    <r>
      <rPr>
        <sz val="18"/>
        <color theme="3"/>
        <rFont val="Calibri"/>
        <family val="2"/>
      </rPr>
      <t xml:space="preserve"> - (6 pack)</t>
    </r>
  </si>
  <si>
    <t>LUS210 - Joist Hanger for 2x10 Nominal Lumber</t>
  </si>
  <si>
    <t>LUS28Z - Joist Hanger for 2x8 Nominal Lumber</t>
  </si>
  <si>
    <t>BCS236Z - Galvanized Post Cap/Base for Double 2x Beam, 6x Post</t>
  </si>
  <si>
    <t>LUS28-2Z - Joist Hanger for Double 2x8 Nominal Lumber</t>
  </si>
  <si>
    <t>LUS210-2Z - Joist Hanger for Double 2x10 Nominal Lumber</t>
  </si>
  <si>
    <t>10D5HDG-R 10d x 3" Strong-Drive HDG Nail, 1lb Bucket - (for galvanized hangers)</t>
  </si>
  <si>
    <t>(Hanger - String Conn - Hurricane) Nails 50 box</t>
  </si>
  <si>
    <r>
      <t xml:space="preserve">10D5HDG-R 10d x 3" Strong-Drive HDG Nail, 1lb Bucket - </t>
    </r>
    <r>
      <rPr>
        <sz val="12"/>
        <color rgb="FFFF0000"/>
        <rFont val="Calibri"/>
        <family val="2"/>
      </rPr>
      <t>(for galvanized hangers)</t>
    </r>
  </si>
  <si>
    <r>
      <t xml:space="preserve">5" LedgerLok Ledger Board Fastener - Box of 50 </t>
    </r>
    <r>
      <rPr>
        <sz val="18"/>
        <color rgb="FFFF0000"/>
        <rFont val="Calibri"/>
        <family val="2"/>
      </rPr>
      <t>(for Ledger Board)</t>
    </r>
  </si>
  <si>
    <t>1 x 6 x 18 Wolf PVC Trim Board</t>
  </si>
  <si>
    <t>5/4" x 6 x 18 Wolf PVC Trim Board</t>
  </si>
  <si>
    <t>1 x 8 x 18 Wolf PVC  Trim Board</t>
  </si>
  <si>
    <t>1 x 10 x 18 Wolf PVC Trim Board</t>
  </si>
  <si>
    <t>1 x 12 x 18 Wolf PVC Trim Board</t>
  </si>
  <si>
    <t>1 x 5 x 18 Wolf PVC Trim Board</t>
  </si>
  <si>
    <t>1 x 4 x 18 Wolf PVC Trim Board</t>
  </si>
  <si>
    <t>1 x 8 x 18 Wolf PVC Trim Board</t>
  </si>
  <si>
    <t>5/4" X 6" X 18' Wolf PVC Trim Board</t>
  </si>
  <si>
    <t>T&amp;G Fir on Ceiling</t>
  </si>
  <si>
    <t>T&amp;G Fir on Ceiling (no stain)</t>
  </si>
  <si>
    <t>8' T&amp;G Douglas Fir Planks</t>
  </si>
  <si>
    <r>
      <t xml:space="preserve">8' T&amp;G Douglas Fir Planks </t>
    </r>
    <r>
      <rPr>
        <b/>
        <sz val="18"/>
        <color rgb="FFFF0000"/>
        <rFont val="Calibri"/>
        <family val="2"/>
      </rPr>
      <t>(confirm length)</t>
    </r>
  </si>
  <si>
    <t xml:space="preserve">7.313-in x 8.0-ft White PVC Plank </t>
  </si>
  <si>
    <t>36" Square Baluster – Stair – 10 pack  – SATIN WHITE (2 per section of 8')</t>
  </si>
  <si>
    <t>Traditional/Williamsburg White Stair Bracket Kit (4-Pack)</t>
  </si>
  <si>
    <t>Traditional/Williamsburg White Line Bracket Kit (4-Piece)</t>
  </si>
  <si>
    <t>4 in. x 4 in. x 100 in. White Traditional Post Jacket</t>
  </si>
  <si>
    <t>4 in. x 4 in. x 39 in. White Traditional Post Jacket</t>
  </si>
  <si>
    <t>4 in. x 4 in. White New England Base Trim</t>
  </si>
  <si>
    <t>4 in. x 4 in. White Vinyl New England Fence Post Cap</t>
  </si>
  <si>
    <t>Traditional 6 ft. x 36 in. White PolyComposite Pre-Built Rail Kit without Brackets ( 67-3/4 in)</t>
  </si>
  <si>
    <t>Traditional 8 ft. x 36 in. White PolyComposite Rail Kit without Brackets ( 92 in)</t>
  </si>
  <si>
    <t xml:space="preserve">Surface Mount Post for 36" Rail Height </t>
  </si>
  <si>
    <t>Traditional 6 ft. x 36 in. White PolyComposite Stair Rail Kit without Brackets ( 67-3/4 in)</t>
  </si>
  <si>
    <t>Traditional 8 ft. x 36 in. White PolyComposite Stair Rail Kit without Brackets ( 92 in)</t>
  </si>
  <si>
    <t>Williamsburg White Bracket Kit (4-Piece) - Line or Stair???</t>
  </si>
  <si>
    <t>PolyComposite Railings</t>
  </si>
  <si>
    <t xml:space="preserve">Total Grooved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</si>
</sst>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1">
    <numFmt numFmtId="164" formatCode="&quot;$&quot;#,##0_);[Red]\(&quot;$&quot;#,##0\)"/>
    <numFmt numFmtId="165" formatCode="&quot;$&quot;#,##0.00_);\(&quot;$&quot;#,##0.00\)"/>
    <numFmt numFmtId="166" formatCode="_(&quot;$&quot;* #,##0.00_);_(&quot;$&quot;* \(#,##0.00\);_(&quot;$&quot;* &quot;-&quot;??_);_(@_)"/>
    <numFmt numFmtId="167" formatCode="&quot;$&quot;#,##0.00"/>
    <numFmt numFmtId="168" formatCode="mm/dd/yy;@"/>
    <numFmt numFmtId="169" formatCode="[&lt;=9999999]###\-####;\(###\)\ ###\-####"/>
    <numFmt numFmtId="170" formatCode="00000"/>
    <numFmt numFmtId="171" formatCode="&quot;$&quot;#,##0.00;[Red]&quot;$&quot;#,##0.00"/>
    <numFmt numFmtId="172" formatCode="_(&quot;$&quot;* #,##0.0_);_(&quot;$&quot;* \(#,##0.0\);_(&quot;$&quot;* &quot;-&quot;??_);_(@_)"/>
    <numFmt numFmtId="173" formatCode="0.0"/>
    <numFmt numFmtId="174" formatCode="0.000"/>
  </numFmts>
  <fonts count="107" x14ac:knownFonts="1">
    <font>
      <sz val="12"/>
      <color theme="3"/>
      <name val="Arial Narrow"/>
      <family val="2"/>
      <scheme val="minor"/>
    </font>
    <font>
      <sz val="11"/>
      <color theme="1"/>
      <name val="Arial Narrow"/>
      <family val="2"/>
      <scheme val="minor"/>
    </font>
    <font>
      <sz val="18"/>
      <name val="Calibri"/>
      <family val="2"/>
    </font>
    <font>
      <i/>
      <sz val="18"/>
      <name val="Calibri"/>
      <family val="2"/>
    </font>
    <font>
      <sz val="16"/>
      <name val="Calibri"/>
      <family val="2"/>
    </font>
    <font>
      <sz val="14"/>
      <name val="Calibri"/>
      <family val="2"/>
    </font>
    <font>
      <sz val="9"/>
      <color indexed="81"/>
      <name val="Tahoma"/>
      <family val="2"/>
    </font>
    <font>
      <i/>
      <sz val="12"/>
      <color indexed="63"/>
      <name val="Arial Narrow"/>
      <family val="2"/>
    </font>
    <font>
      <sz val="20"/>
      <name val="Calibri"/>
      <family val="2"/>
    </font>
    <font>
      <i/>
      <sz val="20"/>
      <color indexed="63"/>
      <name val="Calibri"/>
      <family val="2"/>
    </font>
    <font>
      <i/>
      <sz val="20"/>
      <name val="Calibri"/>
      <family val="2"/>
    </font>
    <font>
      <i/>
      <sz val="20"/>
      <color indexed="57"/>
      <name val="Calibri"/>
      <family val="2"/>
    </font>
    <font>
      <b/>
      <sz val="18"/>
      <name val="Calibri"/>
      <family val="2"/>
    </font>
    <font>
      <b/>
      <sz val="20"/>
      <name val="Calibri"/>
      <family val="2"/>
    </font>
    <font>
      <i/>
      <sz val="20"/>
      <color indexed="21"/>
      <name val="Calibri"/>
      <family val="2"/>
    </font>
    <font>
      <sz val="12"/>
      <name val="Calibri"/>
      <family val="2"/>
    </font>
    <font>
      <b/>
      <sz val="9"/>
      <color indexed="81"/>
      <name val="Tahoma"/>
      <family val="2"/>
    </font>
    <font>
      <b/>
      <sz val="12"/>
      <name val="Calibri"/>
      <family val="2"/>
    </font>
    <font>
      <b/>
      <sz val="14"/>
      <name val="Calibri"/>
      <family val="2"/>
    </font>
    <font>
      <b/>
      <sz val="10"/>
      <name val="Calibri"/>
      <family val="2"/>
    </font>
    <font>
      <sz val="12"/>
      <color theme="3"/>
      <name val="Arial Narrow"/>
      <family val="2"/>
      <scheme val="minor"/>
    </font>
    <font>
      <b/>
      <sz val="20"/>
      <color theme="3"/>
      <name val="Arial Narrow"/>
      <family val="2"/>
      <scheme val="minor"/>
    </font>
    <font>
      <b/>
      <sz val="13"/>
      <color theme="3"/>
      <name val="Arial Narrow"/>
      <family val="2"/>
      <scheme val="minor"/>
    </font>
    <font>
      <b/>
      <sz val="12"/>
      <color theme="3"/>
      <name val="Arial Narrow"/>
      <family val="2"/>
      <scheme val="minor"/>
    </font>
    <font>
      <u/>
      <sz val="12"/>
      <color theme="10"/>
      <name val="Arial Narrow"/>
      <family val="2"/>
      <scheme val="minor"/>
    </font>
    <font>
      <sz val="18"/>
      <color theme="3"/>
      <name val="Calibri"/>
      <family val="2"/>
    </font>
    <font>
      <sz val="18"/>
      <color theme="0"/>
      <name val="Calibri"/>
      <family val="2"/>
    </font>
    <font>
      <b/>
      <sz val="18"/>
      <color theme="3"/>
      <name val="Calibri"/>
      <family val="2"/>
    </font>
    <font>
      <b/>
      <sz val="18"/>
      <color theme="0"/>
      <name val="Calibri"/>
      <family val="2"/>
    </font>
    <font>
      <sz val="18"/>
      <color rgb="FFFF0000"/>
      <name val="Calibri"/>
      <family val="2"/>
    </font>
    <font>
      <b/>
      <i/>
      <sz val="18"/>
      <color theme="3"/>
      <name val="Calibri"/>
      <family val="2"/>
    </font>
    <font>
      <b/>
      <sz val="18"/>
      <color rgb="FFFF0000"/>
      <name val="Calibri"/>
      <family val="2"/>
    </font>
    <font>
      <b/>
      <sz val="20"/>
      <color theme="3"/>
      <name val="Calibri"/>
      <family val="2"/>
    </font>
    <font>
      <sz val="20"/>
      <color theme="3"/>
      <name val="Calibri"/>
      <family val="2"/>
    </font>
    <font>
      <sz val="20"/>
      <color theme="0"/>
      <name val="Calibri"/>
      <family val="2"/>
    </font>
    <font>
      <sz val="20"/>
      <color rgb="FFFF0000"/>
      <name val="Calibri"/>
      <family val="2"/>
    </font>
    <font>
      <sz val="22"/>
      <color theme="3"/>
      <name val="Calibri"/>
      <family val="2"/>
    </font>
    <font>
      <sz val="22"/>
      <color theme="0"/>
      <name val="Calibri"/>
      <family val="2"/>
    </font>
    <font>
      <b/>
      <sz val="22"/>
      <color theme="3"/>
      <name val="Calibri"/>
      <family val="2"/>
    </font>
    <font>
      <sz val="12"/>
      <name val="Arial Narrow"/>
      <family val="2"/>
      <scheme val="minor"/>
    </font>
    <font>
      <sz val="18"/>
      <color theme="3"/>
      <name val="Arial Narrow"/>
      <family val="2"/>
      <scheme val="minor"/>
    </font>
    <font>
      <sz val="16"/>
      <color rgb="FFFF0000"/>
      <name val="Arial Narrow"/>
      <family val="2"/>
      <scheme val="minor"/>
    </font>
    <font>
      <b/>
      <sz val="18"/>
      <color theme="3"/>
      <name val="Arial Narrow"/>
      <family val="2"/>
      <scheme val="minor"/>
    </font>
    <font>
      <b/>
      <sz val="16"/>
      <color theme="3"/>
      <name val="Calibri"/>
      <family val="2"/>
    </font>
    <font>
      <sz val="14"/>
      <color theme="3"/>
      <name val="Calibri"/>
      <family val="2"/>
    </font>
    <font>
      <b/>
      <sz val="10"/>
      <color rgb="FFFF0000"/>
      <name val="Calibri"/>
      <family val="2"/>
    </font>
    <font>
      <b/>
      <sz val="12"/>
      <color rgb="FF7030A0"/>
      <name val="Calibri"/>
      <family val="2"/>
    </font>
    <font>
      <b/>
      <sz val="9"/>
      <color theme="3"/>
      <name val="Calibri"/>
      <family val="2"/>
    </font>
    <font>
      <b/>
      <sz val="10"/>
      <color theme="3"/>
      <name val="Calibri"/>
      <family val="2"/>
    </font>
    <font>
      <b/>
      <sz val="14"/>
      <color theme="3"/>
      <name val="Calibri"/>
      <family val="2"/>
    </font>
    <font>
      <b/>
      <sz val="12"/>
      <color theme="3"/>
      <name val="Calibri"/>
      <family val="2"/>
    </font>
    <font>
      <sz val="18"/>
      <color rgb="FF00B050"/>
      <name val="Calibri"/>
      <family val="2"/>
    </font>
    <font>
      <b/>
      <u/>
      <sz val="18"/>
      <color theme="3"/>
      <name val="Calibri"/>
      <family val="2"/>
    </font>
    <font>
      <sz val="16"/>
      <color theme="3"/>
      <name val="Calibri"/>
      <family val="2"/>
    </font>
    <font>
      <b/>
      <u/>
      <sz val="14"/>
      <color rgb="FFFF0000"/>
      <name val="Calibri"/>
      <family val="2"/>
    </font>
    <font>
      <b/>
      <sz val="14"/>
      <color rgb="FFFF0000"/>
      <name val="Calibri"/>
      <family val="2"/>
    </font>
    <font>
      <b/>
      <sz val="10"/>
      <color rgb="FF0070C0"/>
      <name val="Calibri"/>
      <family val="2"/>
    </font>
    <font>
      <b/>
      <u/>
      <sz val="14"/>
      <color rgb="FF0070C0"/>
      <name val="Calibri"/>
      <family val="2"/>
    </font>
    <font>
      <b/>
      <sz val="14"/>
      <color rgb="FF0070C0"/>
      <name val="Calibri"/>
      <family val="2"/>
    </font>
    <font>
      <b/>
      <sz val="11"/>
      <color rgb="FF0070C0"/>
      <name val="Calibri"/>
      <family val="2"/>
    </font>
    <font>
      <b/>
      <sz val="12"/>
      <color rgb="FF0070C0"/>
      <name val="Calibri"/>
      <family val="2"/>
    </font>
    <font>
      <sz val="12"/>
      <color theme="3"/>
      <name val="Calibri"/>
      <family val="2"/>
    </font>
    <font>
      <sz val="12"/>
      <color rgb="FF00B050"/>
      <name val="Calibri"/>
      <family val="2"/>
    </font>
    <font>
      <sz val="10"/>
      <color theme="3"/>
      <name val="Arial Narrow"/>
      <family val="2"/>
      <scheme val="minor"/>
    </font>
    <font>
      <sz val="9"/>
      <color theme="3"/>
      <name val="Arial Narrow"/>
      <family val="2"/>
      <scheme val="minor"/>
    </font>
    <font>
      <b/>
      <sz val="12"/>
      <color rgb="FFFF0000"/>
      <name val="Arial Narrow"/>
      <family val="2"/>
      <scheme val="minor"/>
    </font>
    <font>
      <b/>
      <sz val="11"/>
      <color rgb="FF00B0F0"/>
      <name val="Arial Narrow"/>
      <family val="2"/>
      <scheme val="minor"/>
    </font>
    <font>
      <b/>
      <sz val="12"/>
      <color rgb="FF00B0F0"/>
      <name val="Arial Narrow"/>
      <family val="2"/>
      <scheme val="minor"/>
    </font>
    <font>
      <sz val="11"/>
      <color theme="3"/>
      <name val="Arial Narrow"/>
      <family val="2"/>
      <scheme val="minor"/>
    </font>
    <font>
      <b/>
      <sz val="11"/>
      <color theme="3"/>
      <name val="Calibri"/>
      <family val="2"/>
    </font>
    <font>
      <sz val="8"/>
      <color rgb="FFFF0000"/>
      <name val="Calibri"/>
      <family val="2"/>
    </font>
    <font>
      <b/>
      <sz val="10"/>
      <color theme="0"/>
      <name val="Calibri"/>
      <family val="2"/>
    </font>
    <font>
      <sz val="16"/>
      <color theme="0"/>
      <name val="Calibri"/>
      <family val="2"/>
    </font>
    <font>
      <i/>
      <sz val="18"/>
      <color theme="3"/>
      <name val="Calibri"/>
      <family val="2"/>
    </font>
    <font>
      <sz val="11"/>
      <color rgb="FFFF0000"/>
      <name val="Calibri"/>
      <family val="2"/>
    </font>
    <font>
      <sz val="14"/>
      <color rgb="FFFF0000"/>
      <name val="Calibri"/>
      <family val="2"/>
    </font>
    <font>
      <b/>
      <sz val="16"/>
      <color rgb="FFFF0000"/>
      <name val="Calibri"/>
      <family val="2"/>
    </font>
    <font>
      <b/>
      <sz val="22"/>
      <color theme="1"/>
      <name val="Calibri"/>
      <family val="2"/>
    </font>
    <font>
      <b/>
      <sz val="20"/>
      <color rgb="FFFF0000"/>
      <name val="Calibri"/>
      <family val="2"/>
    </font>
    <font>
      <i/>
      <sz val="20"/>
      <color theme="3"/>
      <name val="Calibri"/>
      <family val="2"/>
    </font>
    <font>
      <sz val="8"/>
      <name val="Arial Narrow"/>
      <family val="2"/>
      <scheme val="minor"/>
    </font>
    <font>
      <sz val="12"/>
      <color rgb="FFFF0000"/>
      <name val="Arial Narrow"/>
      <family val="2"/>
      <scheme val="minor"/>
    </font>
    <font>
      <sz val="8"/>
      <color theme="3"/>
      <name val="Arial Narrow"/>
      <family val="2"/>
      <scheme val="minor"/>
    </font>
    <font>
      <sz val="9"/>
      <color rgb="FFFF0000"/>
      <name val="Arial Narrow"/>
      <family val="2"/>
      <scheme val="minor"/>
    </font>
    <font>
      <sz val="12"/>
      <color rgb="FFFF0000"/>
      <name val="Calibri"/>
      <family val="2"/>
    </font>
    <font>
      <sz val="16"/>
      <color rgb="FFFF0000"/>
      <name val="Calibri"/>
      <family val="2"/>
    </font>
    <font>
      <sz val="18"/>
      <color rgb="FF0070C0"/>
      <name val="Calibri"/>
      <family val="2"/>
    </font>
    <font>
      <sz val="14"/>
      <color rgb="FF0070C0"/>
      <name val="Calibri"/>
      <family val="2"/>
    </font>
    <font>
      <sz val="16"/>
      <color rgb="FF0070C0"/>
      <name val="Calibri"/>
      <family val="2"/>
    </font>
    <font>
      <sz val="15"/>
      <name val="Calibri"/>
      <family val="2"/>
    </font>
    <font>
      <sz val="15"/>
      <color theme="3"/>
      <name val="Calibri"/>
      <family val="2"/>
    </font>
    <font>
      <b/>
      <sz val="16"/>
      <color theme="0"/>
      <name val="Calibri"/>
      <family val="2"/>
    </font>
    <font>
      <b/>
      <sz val="14"/>
      <color theme="0"/>
      <name val="Calibri"/>
      <family val="2"/>
    </font>
    <font>
      <b/>
      <sz val="11"/>
      <color rgb="FFFF0000"/>
      <name val="Calibri"/>
      <family val="2"/>
    </font>
    <font>
      <b/>
      <sz val="11"/>
      <color rgb="FFFFC000"/>
      <name val="Calibri"/>
      <family val="2"/>
    </font>
    <font>
      <b/>
      <sz val="12"/>
      <color rgb="FFFF0000"/>
      <name val="Calibri"/>
      <family val="2"/>
    </font>
    <font>
      <b/>
      <sz val="8"/>
      <color theme="3"/>
      <name val="Calibri"/>
      <family val="2"/>
    </font>
    <font>
      <b/>
      <sz val="8"/>
      <color rgb="FFFF0000"/>
      <name val="Calibri"/>
      <family val="2"/>
    </font>
    <font>
      <sz val="18"/>
      <color theme="1"/>
      <name val="Calibri"/>
      <family val="2"/>
    </font>
    <font>
      <sz val="15"/>
      <color rgb="FFFF0000"/>
      <name val="Calibri"/>
      <family val="2"/>
    </font>
    <font>
      <b/>
      <sz val="9"/>
      <color rgb="FF0070C0"/>
      <name val="Calibri"/>
      <family val="2"/>
    </font>
    <font>
      <b/>
      <sz val="8"/>
      <color rgb="FF0070C0"/>
      <name val="Calibri"/>
      <family val="2"/>
    </font>
    <font>
      <sz val="12"/>
      <color theme="0"/>
      <name val="Arial Narrow"/>
      <family val="2"/>
      <scheme val="minor"/>
    </font>
    <font>
      <b/>
      <sz val="18"/>
      <color theme="1"/>
      <name val="Calibri"/>
      <family val="2"/>
    </font>
    <font>
      <b/>
      <sz val="16"/>
      <color rgb="FF00B050"/>
      <name val="Calibri"/>
      <family val="2"/>
    </font>
    <font>
      <b/>
      <sz val="16"/>
      <color rgb="FF0070C0"/>
      <name val="Calibri"/>
      <family val="2"/>
    </font>
    <font>
      <b/>
      <sz val="18"/>
      <color rgb="FF00B050"/>
      <name val="Calibri"/>
      <family val="2"/>
    </font>
  </fonts>
  <fills count="2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0.79998168889431442"/>
        <bgColor indexed="64"/>
      </patternFill>
    </fill>
    <fill>
      <gradientFill degree="90">
        <stop position="0">
          <color theme="4" tint="0.40000610370189521"/>
        </stop>
        <stop position="0.5">
          <color theme="0"/>
        </stop>
        <stop position="1">
          <color theme="4" tint="0.40000610370189521"/>
        </stop>
      </gradient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9"/>
      </patternFill>
    </fill>
    <fill>
      <gradientFill degree="180">
        <stop position="0">
          <color theme="0"/>
        </stop>
        <stop position="1">
          <color rgb="FF008000"/>
        </stop>
      </gradientFill>
    </fill>
    <fill>
      <patternFill patternType="solid">
        <fgColor rgb="FF008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auto="1"/>
      </patternFill>
    </fill>
    <fill>
      <patternFill patternType="solid">
        <fgColor theme="1"/>
        <bgColor indexed="18"/>
      </patternFill>
    </fill>
    <fill>
      <patternFill patternType="solid">
        <fgColor theme="1"/>
        <bgColor indexed="9"/>
      </patternFill>
    </fill>
  </fills>
  <borders count="6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5"/>
      </bottom>
      <diagonal/>
    </border>
    <border>
      <left/>
      <right/>
      <top/>
      <bottom style="thick">
        <color theme="5" tint="0.39994506668294322"/>
      </bottom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/>
      <top style="thick">
        <color rgb="FF008000"/>
      </top>
      <bottom/>
      <diagonal/>
    </border>
    <border>
      <left style="thin">
        <color rgb="FF008000"/>
      </left>
      <right/>
      <top style="thin">
        <color rgb="FF008000"/>
      </top>
      <bottom/>
      <diagonal/>
    </border>
    <border>
      <left/>
      <right/>
      <top style="thin">
        <color rgb="FF008000"/>
      </top>
      <bottom/>
      <diagonal/>
    </border>
    <border>
      <left/>
      <right style="thin">
        <color rgb="FF008000"/>
      </right>
      <top style="thin">
        <color rgb="FF008000"/>
      </top>
      <bottom/>
      <diagonal/>
    </border>
    <border>
      <left style="thin">
        <color rgb="FF008000"/>
      </left>
      <right/>
      <top style="thin">
        <color rgb="FF008000"/>
      </top>
      <bottom style="thin">
        <color rgb="FF008000"/>
      </bottom>
      <diagonal/>
    </border>
    <border>
      <left/>
      <right/>
      <top style="thin">
        <color rgb="FF008000"/>
      </top>
      <bottom style="thin">
        <color rgb="FF008000"/>
      </bottom>
      <diagonal/>
    </border>
    <border>
      <left/>
      <right style="thin">
        <color rgb="FF008000"/>
      </right>
      <top style="thin">
        <color rgb="FF008000"/>
      </top>
      <bottom style="thin">
        <color rgb="FF008000"/>
      </bottom>
      <diagonal/>
    </border>
    <border>
      <left/>
      <right/>
      <top style="thick">
        <color rgb="FF008000"/>
      </top>
      <bottom style="thick">
        <color rgb="FF00800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rgb="FF008000"/>
      </left>
      <right/>
      <top/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/>
      <right style="medium">
        <color indexed="64"/>
      </right>
      <top/>
      <bottom style="medium">
        <color theme="0"/>
      </bottom>
      <diagonal/>
    </border>
    <border>
      <left style="medium">
        <color theme="0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theme="0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8">
    <xf numFmtId="0" fontId="0" fillId="0" borderId="0"/>
    <xf numFmtId="166" fontId="20" fillId="0" borderId="0" applyFont="0" applyFill="0" applyBorder="0" applyAlignment="0" applyProtection="0"/>
    <xf numFmtId="0" fontId="21" fillId="0" borderId="30" applyNumberFormat="0" applyFill="0" applyAlignment="0" applyProtection="0"/>
    <xf numFmtId="0" fontId="22" fillId="0" borderId="31" applyNumberFormat="0" applyFill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9" fontId="20" fillId="0" borderId="0" applyFont="0" applyFill="0" applyBorder="0" applyAlignment="0" applyProtection="0"/>
    <xf numFmtId="0" fontId="1" fillId="0" borderId="0"/>
  </cellStyleXfs>
  <cellXfs count="944">
    <xf numFmtId="0" fontId="0" fillId="0" borderId="0" xfId="0"/>
    <xf numFmtId="0" fontId="25" fillId="0" borderId="0" xfId="0" applyFont="1" applyProtection="1">
      <protection locked="0"/>
    </xf>
    <xf numFmtId="0" fontId="25" fillId="0" borderId="0" xfId="0" applyFont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horizontal="center" vertical="center"/>
      <protection locked="0"/>
    </xf>
    <xf numFmtId="0" fontId="25" fillId="0" borderId="1" xfId="0" applyFont="1" applyBorder="1" applyProtection="1">
      <protection locked="0"/>
    </xf>
    <xf numFmtId="0" fontId="25" fillId="0" borderId="2" xfId="0" applyFont="1" applyBorder="1" applyProtection="1">
      <protection locked="0"/>
    </xf>
    <xf numFmtId="0" fontId="27" fillId="0" borderId="2" xfId="2" applyFont="1" applyBorder="1" applyAlignment="1" applyProtection="1">
      <alignment horizontal="left"/>
      <protection locked="0"/>
    </xf>
    <xf numFmtId="0" fontId="26" fillId="0" borderId="3" xfId="0" applyFont="1" applyBorder="1" applyAlignment="1" applyProtection="1">
      <alignment horizontal="center" vertical="center"/>
      <protection locked="0"/>
    </xf>
    <xf numFmtId="0" fontId="25" fillId="0" borderId="4" xfId="0" applyFont="1" applyBorder="1" applyProtection="1"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4" fontId="25" fillId="0" borderId="0" xfId="0" applyNumberFormat="1" applyFont="1" applyAlignment="1" applyProtection="1">
      <alignment horizontal="left"/>
      <protection locked="0"/>
    </xf>
    <xf numFmtId="0" fontId="25" fillId="0" borderId="0" xfId="0" applyFont="1" applyAlignment="1" applyProtection="1">
      <alignment horizontal="left"/>
      <protection locked="0"/>
    </xf>
    <xf numFmtId="14" fontId="27" fillId="0" borderId="0" xfId="0" applyNumberFormat="1" applyFont="1" applyAlignment="1" applyProtection="1">
      <alignment horizontal="right"/>
      <protection locked="0"/>
    </xf>
    <xf numFmtId="168" fontId="25" fillId="0" borderId="0" xfId="0" applyNumberFormat="1" applyFont="1" applyAlignment="1" applyProtection="1">
      <alignment horizontal="center" vertical="center"/>
      <protection locked="0"/>
    </xf>
    <xf numFmtId="0" fontId="28" fillId="3" borderId="6" xfId="0" applyFont="1" applyFill="1" applyBorder="1" applyAlignment="1" applyProtection="1">
      <alignment vertical="center"/>
      <protection locked="0"/>
    </xf>
    <xf numFmtId="0" fontId="25" fillId="4" borderId="6" xfId="0" applyFont="1" applyFill="1" applyBorder="1" applyAlignment="1">
      <alignment horizontal="left"/>
    </xf>
    <xf numFmtId="167" fontId="26" fillId="0" borderId="5" xfId="0" applyNumberFormat="1" applyFont="1" applyBorder="1" applyAlignment="1">
      <alignment horizontal="center" vertical="center"/>
    </xf>
    <xf numFmtId="0" fontId="25" fillId="0" borderId="7" xfId="0" applyFont="1" applyBorder="1" applyAlignment="1" applyProtection="1">
      <alignment horizontal="left"/>
      <protection locked="0"/>
    </xf>
    <xf numFmtId="9" fontId="25" fillId="0" borderId="7" xfId="6" applyFont="1" applyBorder="1" applyAlignment="1" applyProtection="1">
      <alignment horizontal="left"/>
      <protection locked="0"/>
    </xf>
    <xf numFmtId="167" fontId="29" fillId="0" borderId="7" xfId="0" applyNumberFormat="1" applyFont="1" applyBorder="1" applyAlignment="1" applyProtection="1">
      <alignment horizontal="center" vertical="center"/>
      <protection locked="0"/>
    </xf>
    <xf numFmtId="9" fontId="25" fillId="5" borderId="8" xfId="6" applyFont="1" applyFill="1" applyBorder="1" applyProtection="1">
      <protection locked="0"/>
    </xf>
    <xf numFmtId="9" fontId="25" fillId="5" borderId="7" xfId="6" applyFont="1" applyFill="1" applyBorder="1" applyProtection="1">
      <protection locked="0"/>
    </xf>
    <xf numFmtId="9" fontId="25" fillId="5" borderId="6" xfId="6" applyFont="1" applyFill="1" applyBorder="1" applyProtection="1">
      <protection locked="0"/>
    </xf>
    <xf numFmtId="167" fontId="25" fillId="5" borderId="6" xfId="0" applyNumberFormat="1" applyFont="1" applyFill="1" applyBorder="1" applyAlignment="1" applyProtection="1">
      <alignment horizontal="left"/>
      <protection locked="0"/>
    </xf>
    <xf numFmtId="9" fontId="25" fillId="0" borderId="7" xfId="6" applyFont="1" applyBorder="1" applyAlignment="1" applyProtection="1">
      <alignment horizontal="center"/>
      <protection locked="0"/>
    </xf>
    <xf numFmtId="9" fontId="25" fillId="4" borderId="6" xfId="6" applyFont="1" applyFill="1" applyBorder="1" applyAlignment="1">
      <alignment horizontal="center"/>
    </xf>
    <xf numFmtId="0" fontId="27" fillId="0" borderId="0" xfId="0" applyFont="1" applyProtection="1">
      <protection locked="0"/>
    </xf>
    <xf numFmtId="0" fontId="30" fillId="0" borderId="0" xfId="0" applyFont="1" applyAlignment="1" applyProtection="1">
      <alignment vertical="center"/>
      <protection locked="0"/>
    </xf>
    <xf numFmtId="0" fontId="30" fillId="0" borderId="9" xfId="0" applyFont="1" applyBorder="1" applyAlignment="1" applyProtection="1">
      <alignment vertical="center"/>
      <protection locked="0"/>
    </xf>
    <xf numFmtId="0" fontId="25" fillId="0" borderId="10" xfId="0" applyFont="1" applyBorder="1" applyProtection="1">
      <protection locked="0"/>
    </xf>
    <xf numFmtId="0" fontId="25" fillId="0" borderId="11" xfId="0" applyFont="1" applyBorder="1" applyProtection="1">
      <protection locked="0"/>
    </xf>
    <xf numFmtId="0" fontId="25" fillId="0" borderId="11" xfId="0" applyFont="1" applyBorder="1" applyAlignment="1" applyProtection="1">
      <alignment horizontal="center" vertical="center"/>
      <protection locked="0"/>
    </xf>
    <xf numFmtId="0" fontId="26" fillId="0" borderId="12" xfId="0" applyFont="1" applyBorder="1" applyAlignment="1" applyProtection="1">
      <alignment horizontal="center" vertical="center"/>
      <protection locked="0"/>
    </xf>
    <xf numFmtId="0" fontId="25" fillId="5" borderId="8" xfId="0" applyFont="1" applyFill="1" applyBorder="1" applyProtection="1">
      <protection locked="0"/>
    </xf>
    <xf numFmtId="0" fontId="25" fillId="5" borderId="7" xfId="0" applyFont="1" applyFill="1" applyBorder="1" applyProtection="1">
      <protection locked="0"/>
    </xf>
    <xf numFmtId="0" fontId="25" fillId="5" borderId="6" xfId="0" applyFont="1" applyFill="1" applyBorder="1" applyProtection="1">
      <protection locked="0"/>
    </xf>
    <xf numFmtId="167" fontId="25" fillId="0" borderId="0" xfId="0" applyNumberFormat="1" applyFont="1" applyProtection="1">
      <protection locked="0"/>
    </xf>
    <xf numFmtId="0" fontId="25" fillId="6" borderId="0" xfId="0" applyFont="1" applyFill="1" applyProtection="1">
      <protection locked="0"/>
    </xf>
    <xf numFmtId="0" fontId="25" fillId="6" borderId="0" xfId="0" applyFont="1" applyFill="1" applyAlignment="1" applyProtection="1">
      <alignment horizontal="left"/>
      <protection locked="0"/>
    </xf>
    <xf numFmtId="0" fontId="26" fillId="6" borderId="13" xfId="0" applyFont="1" applyFill="1" applyBorder="1" applyAlignment="1" applyProtection="1">
      <alignment horizontal="left" vertical="center" wrapText="1"/>
      <protection locked="0"/>
    </xf>
    <xf numFmtId="0" fontId="25" fillId="6" borderId="13" xfId="0" applyFont="1" applyFill="1" applyBorder="1" applyProtection="1">
      <protection locked="0"/>
    </xf>
    <xf numFmtId="0" fontId="25" fillId="6" borderId="7" xfId="0" applyFont="1" applyFill="1" applyBorder="1" applyProtection="1">
      <protection locked="0"/>
    </xf>
    <xf numFmtId="0" fontId="25" fillId="6" borderId="11" xfId="0" applyFont="1" applyFill="1" applyBorder="1" applyProtection="1">
      <protection locked="0"/>
    </xf>
    <xf numFmtId="9" fontId="25" fillId="4" borderId="8" xfId="6" applyFont="1" applyFill="1" applyBorder="1" applyAlignment="1" applyProtection="1">
      <alignment horizontal="left"/>
      <protection locked="0"/>
    </xf>
    <xf numFmtId="9" fontId="25" fillId="4" borderId="7" xfId="6" applyFont="1" applyFill="1" applyBorder="1" applyAlignment="1" applyProtection="1">
      <alignment horizontal="left"/>
      <protection locked="0"/>
    </xf>
    <xf numFmtId="9" fontId="25" fillId="4" borderId="6" xfId="6" applyFont="1" applyFill="1" applyBorder="1" applyAlignment="1" applyProtection="1">
      <alignment horizontal="left"/>
      <protection locked="0"/>
    </xf>
    <xf numFmtId="9" fontId="25" fillId="5" borderId="8" xfId="6" applyFont="1" applyFill="1" applyBorder="1" applyAlignment="1" applyProtection="1">
      <alignment horizontal="left"/>
      <protection locked="0"/>
    </xf>
    <xf numFmtId="9" fontId="25" fillId="5" borderId="7" xfId="6" applyFont="1" applyFill="1" applyBorder="1" applyAlignment="1" applyProtection="1">
      <alignment horizontal="left"/>
      <protection locked="0"/>
    </xf>
    <xf numFmtId="9" fontId="25" fillId="5" borderId="6" xfId="6" applyFont="1" applyFill="1" applyBorder="1" applyAlignment="1" applyProtection="1">
      <alignment horizontal="left"/>
      <protection locked="0"/>
    </xf>
    <xf numFmtId="14" fontId="27" fillId="0" borderId="0" xfId="0" applyNumberFormat="1" applyFont="1" applyAlignment="1" applyProtection="1">
      <alignment horizontal="right" vertical="center"/>
      <protection locked="0"/>
    </xf>
    <xf numFmtId="0" fontId="27" fillId="0" borderId="0" xfId="0" applyFont="1" applyAlignment="1" applyProtection="1">
      <alignment horizontal="right" vertical="center"/>
      <protection locked="0"/>
    </xf>
    <xf numFmtId="0" fontId="25" fillId="4" borderId="8" xfId="0" applyFont="1" applyFill="1" applyBorder="1" applyAlignment="1" applyProtection="1">
      <alignment horizontal="left"/>
      <protection locked="0"/>
    </xf>
    <xf numFmtId="0" fontId="25" fillId="4" borderId="7" xfId="0" applyFont="1" applyFill="1" applyBorder="1" applyAlignment="1" applyProtection="1">
      <alignment horizontal="left"/>
      <protection locked="0"/>
    </xf>
    <xf numFmtId="0" fontId="25" fillId="4" borderId="6" xfId="0" applyFont="1" applyFill="1" applyBorder="1" applyAlignment="1" applyProtection="1">
      <alignment horizontal="left"/>
      <protection locked="0"/>
    </xf>
    <xf numFmtId="0" fontId="25" fillId="5" borderId="8" xfId="0" applyFont="1" applyFill="1" applyBorder="1" applyAlignment="1" applyProtection="1">
      <alignment horizontal="left"/>
      <protection locked="0"/>
    </xf>
    <xf numFmtId="0" fontId="25" fillId="5" borderId="7" xfId="0" applyFont="1" applyFill="1" applyBorder="1" applyAlignment="1" applyProtection="1">
      <alignment horizontal="left"/>
      <protection locked="0"/>
    </xf>
    <xf numFmtId="0" fontId="25" fillId="5" borderId="6" xfId="0" applyFont="1" applyFill="1" applyBorder="1" applyAlignment="1" applyProtection="1">
      <alignment horizontal="left"/>
      <protection locked="0"/>
    </xf>
    <xf numFmtId="167" fontId="29" fillId="4" borderId="8" xfId="0" applyNumberFormat="1" applyFont="1" applyFill="1" applyBorder="1" applyAlignment="1">
      <alignment horizontal="center" vertical="center"/>
    </xf>
    <xf numFmtId="167" fontId="29" fillId="4" borderId="6" xfId="0" applyNumberFormat="1" applyFont="1" applyFill="1" applyBorder="1" applyAlignment="1">
      <alignment horizontal="center" vertical="center"/>
    </xf>
    <xf numFmtId="0" fontId="27" fillId="6" borderId="0" xfId="0" applyFont="1" applyFill="1" applyAlignment="1" applyProtection="1">
      <alignment horizontal="right"/>
      <protection locked="0"/>
    </xf>
    <xf numFmtId="0" fontId="25" fillId="6" borderId="0" xfId="0" applyFont="1" applyFill="1" applyAlignment="1">
      <alignment horizontal="left"/>
    </xf>
    <xf numFmtId="9" fontId="25" fillId="6" borderId="0" xfId="6" applyFont="1" applyFill="1" applyAlignment="1" applyProtection="1">
      <alignment horizontal="left"/>
      <protection locked="0"/>
    </xf>
    <xf numFmtId="167" fontId="29" fillId="6" borderId="0" xfId="0" applyNumberFormat="1" applyFont="1" applyFill="1" applyAlignment="1">
      <alignment horizontal="center" vertical="center"/>
    </xf>
    <xf numFmtId="9" fontId="25" fillId="6" borderId="0" xfId="6" applyFont="1" applyFill="1" applyAlignment="1" applyProtection="1">
      <alignment horizontal="center"/>
      <protection locked="0"/>
    </xf>
    <xf numFmtId="0" fontId="26" fillId="6" borderId="5" xfId="0" applyFont="1" applyFill="1" applyBorder="1" applyAlignment="1" applyProtection="1">
      <alignment horizontal="center" vertical="center"/>
      <protection locked="0"/>
    </xf>
    <xf numFmtId="0" fontId="25" fillId="6" borderId="0" xfId="0" applyFont="1" applyFill="1" applyAlignment="1" applyProtection="1">
      <alignment horizontal="center"/>
      <protection locked="0"/>
    </xf>
    <xf numFmtId="9" fontId="25" fillId="6" borderId="0" xfId="6" applyFont="1" applyFill="1" applyAlignment="1" applyProtection="1">
      <alignment horizontal="center" vertical="center"/>
      <protection locked="0"/>
    </xf>
    <xf numFmtId="0" fontId="31" fillId="0" borderId="0" xfId="0" applyFont="1" applyAlignment="1" applyProtection="1">
      <alignment vertical="center"/>
      <protection locked="0"/>
    </xf>
    <xf numFmtId="167" fontId="31" fillId="0" borderId="0" xfId="0" applyNumberFormat="1" applyFont="1" applyAlignment="1" applyProtection="1">
      <alignment vertical="center"/>
      <protection locked="0"/>
    </xf>
    <xf numFmtId="0" fontId="31" fillId="6" borderId="0" xfId="0" applyFont="1" applyFill="1" applyAlignment="1" applyProtection="1">
      <alignment vertical="center"/>
      <protection locked="0"/>
    </xf>
    <xf numFmtId="49" fontId="25" fillId="0" borderId="0" xfId="0" applyNumberFormat="1" applyFont="1" applyProtection="1">
      <protection locked="0"/>
    </xf>
    <xf numFmtId="0" fontId="25" fillId="0" borderId="0" xfId="0" applyFont="1"/>
    <xf numFmtId="0" fontId="32" fillId="0" borderId="2" xfId="2" applyFont="1" applyBorder="1" applyAlignment="1" applyProtection="1">
      <alignment horizontal="left"/>
      <protection locked="0"/>
    </xf>
    <xf numFmtId="0" fontId="33" fillId="6" borderId="0" xfId="0" applyFont="1" applyFill="1" applyProtection="1">
      <protection locked="0"/>
    </xf>
    <xf numFmtId="0" fontId="34" fillId="6" borderId="0" xfId="0" applyFont="1" applyFill="1" applyAlignment="1" applyProtection="1">
      <alignment horizontal="center" vertical="center"/>
      <protection locked="0"/>
    </xf>
    <xf numFmtId="0" fontId="33" fillId="0" borderId="0" xfId="0" applyFont="1" applyProtection="1">
      <protection locked="0"/>
    </xf>
    <xf numFmtId="0" fontId="33" fillId="0" borderId="5" xfId="0" applyFont="1" applyBorder="1" applyProtection="1">
      <protection locked="0"/>
    </xf>
    <xf numFmtId="0" fontId="33" fillId="0" borderId="0" xfId="0" applyFont="1" applyAlignment="1" applyProtection="1">
      <alignment horizontal="center" vertical="center"/>
      <protection locked="0"/>
    </xf>
    <xf numFmtId="0" fontId="34" fillId="0" borderId="0" xfId="0" applyFont="1" applyAlignment="1" applyProtection="1">
      <alignment horizontal="center" vertical="center"/>
      <protection locked="0"/>
    </xf>
    <xf numFmtId="0" fontId="33" fillId="0" borderId="11" xfId="0" applyFont="1" applyBorder="1" applyProtection="1">
      <protection locked="0"/>
    </xf>
    <xf numFmtId="0" fontId="33" fillId="0" borderId="1" xfId="0" applyFont="1" applyBorder="1" applyProtection="1">
      <protection locked="0"/>
    </xf>
    <xf numFmtId="0" fontId="33" fillId="0" borderId="2" xfId="0" applyFont="1" applyBorder="1" applyProtection="1">
      <protection locked="0"/>
    </xf>
    <xf numFmtId="0" fontId="34" fillId="0" borderId="2" xfId="0" applyFont="1" applyBorder="1" applyAlignment="1" applyProtection="1">
      <alignment horizontal="center" vertical="center"/>
      <protection locked="0"/>
    </xf>
    <xf numFmtId="0" fontId="33" fillId="0" borderId="4" xfId="0" applyFont="1" applyBorder="1" applyProtection="1">
      <protection locked="0"/>
    </xf>
    <xf numFmtId="0" fontId="33" fillId="0" borderId="0" xfId="0" applyFont="1" applyAlignment="1" applyProtection="1">
      <alignment horizontal="left"/>
      <protection locked="0"/>
    </xf>
    <xf numFmtId="0" fontId="33" fillId="0" borderId="0" xfId="0" applyFont="1"/>
    <xf numFmtId="14" fontId="32" fillId="0" borderId="0" xfId="0" applyNumberFormat="1" applyFont="1" applyAlignment="1" applyProtection="1">
      <alignment horizontal="right"/>
      <protection locked="0"/>
    </xf>
    <xf numFmtId="168" fontId="33" fillId="0" borderId="0" xfId="0" applyNumberFormat="1" applyFont="1" applyAlignment="1" applyProtection="1">
      <alignment horizontal="center" vertical="center"/>
      <protection locked="0"/>
    </xf>
    <xf numFmtId="14" fontId="32" fillId="0" borderId="0" xfId="0" applyNumberFormat="1" applyFont="1" applyAlignment="1" applyProtection="1">
      <alignment horizontal="right" vertical="center"/>
      <protection locked="0"/>
    </xf>
    <xf numFmtId="0" fontId="32" fillId="0" borderId="0" xfId="0" applyFont="1" applyAlignment="1" applyProtection="1">
      <alignment horizontal="right" vertical="center"/>
      <protection locked="0"/>
    </xf>
    <xf numFmtId="0" fontId="32" fillId="6" borderId="0" xfId="0" applyFont="1" applyFill="1" applyAlignment="1" applyProtection="1">
      <alignment horizontal="right"/>
      <protection locked="0"/>
    </xf>
    <xf numFmtId="0" fontId="32" fillId="6" borderId="5" xfId="0" applyFont="1" applyFill="1" applyBorder="1" applyAlignment="1" applyProtection="1">
      <alignment wrapText="1"/>
      <protection locked="0"/>
    </xf>
    <xf numFmtId="0" fontId="32" fillId="0" borderId="0" xfId="0" applyFont="1" applyProtection="1">
      <protection locked="0"/>
    </xf>
    <xf numFmtId="0" fontId="32" fillId="0" borderId="0" xfId="0" applyFont="1" applyAlignment="1" applyProtection="1">
      <alignment horizontal="center"/>
      <protection locked="0"/>
    </xf>
    <xf numFmtId="0" fontId="33" fillId="0" borderId="0" xfId="0" applyFont="1" applyAlignment="1" applyProtection="1">
      <alignment horizontal="left" vertical="center"/>
      <protection locked="0"/>
    </xf>
    <xf numFmtId="0" fontId="32" fillId="0" borderId="0" xfId="0" applyFont="1" applyAlignment="1" applyProtection="1">
      <alignment horizontal="left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6" borderId="0" xfId="0" applyFont="1" applyFill="1" applyAlignment="1" applyProtection="1">
      <alignment horizontal="center" vertical="center"/>
      <protection locked="0"/>
    </xf>
    <xf numFmtId="0" fontId="33" fillId="4" borderId="0" xfId="0" applyFont="1" applyFill="1" applyProtection="1">
      <protection locked="0"/>
    </xf>
    <xf numFmtId="0" fontId="33" fillId="4" borderId="0" xfId="0" applyFont="1" applyFill="1" applyAlignment="1" applyProtection="1">
      <alignment horizontal="left" vertical="center"/>
      <protection locked="0"/>
    </xf>
    <xf numFmtId="0" fontId="33" fillId="4" borderId="0" xfId="0" applyFont="1" applyFill="1" applyAlignment="1" applyProtection="1">
      <alignment horizontal="center" vertical="center"/>
      <protection locked="0"/>
    </xf>
    <xf numFmtId="0" fontId="34" fillId="4" borderId="0" xfId="0" applyFont="1" applyFill="1" applyAlignment="1" applyProtection="1">
      <alignment horizontal="center" vertical="center"/>
      <protection locked="0"/>
    </xf>
    <xf numFmtId="0" fontId="35" fillId="6" borderId="0" xfId="0" applyFont="1" applyFill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vertical="center"/>
      <protection locked="0"/>
    </xf>
    <xf numFmtId="167" fontId="34" fillId="6" borderId="0" xfId="0" applyNumberFormat="1" applyFont="1" applyFill="1" applyAlignment="1">
      <alignment horizontal="center" vertical="center"/>
    </xf>
    <xf numFmtId="0" fontId="33" fillId="0" borderId="10" xfId="0" applyFont="1" applyBorder="1" applyProtection="1">
      <protection locked="0"/>
    </xf>
    <xf numFmtId="0" fontId="33" fillId="0" borderId="11" xfId="0" applyFont="1" applyBorder="1" applyAlignment="1" applyProtection="1">
      <alignment horizontal="center" vertical="center"/>
      <protection locked="0"/>
    </xf>
    <xf numFmtId="0" fontId="34" fillId="6" borderId="11" xfId="0" applyFont="1" applyFill="1" applyBorder="1" applyAlignment="1" applyProtection="1">
      <alignment horizontal="center" vertical="center"/>
      <protection locked="0"/>
    </xf>
    <xf numFmtId="0" fontId="33" fillId="0" borderId="12" xfId="0" applyFont="1" applyBorder="1" applyProtection="1">
      <protection locked="0"/>
    </xf>
    <xf numFmtId="0" fontId="33" fillId="6" borderId="0" xfId="0" applyFont="1" applyFill="1" applyAlignment="1" applyProtection="1">
      <alignment horizontal="center"/>
      <protection locked="0"/>
    </xf>
    <xf numFmtId="0" fontId="35" fillId="0" borderId="0" xfId="0" applyFont="1" applyAlignment="1" applyProtection="1">
      <alignment horizontal="right"/>
      <protection locked="0"/>
    </xf>
    <xf numFmtId="0" fontId="33" fillId="6" borderId="0" xfId="0" applyFont="1" applyFill="1" applyAlignment="1" applyProtection="1">
      <alignment horizontal="left" vertical="center"/>
      <protection locked="0"/>
    </xf>
    <xf numFmtId="0" fontId="33" fillId="6" borderId="0" xfId="0" applyFont="1" applyFill="1" applyAlignment="1" applyProtection="1">
      <alignment horizontal="right"/>
      <protection locked="0"/>
    </xf>
    <xf numFmtId="164" fontId="33" fillId="6" borderId="0" xfId="0" applyNumberFormat="1" applyFont="1" applyFill="1" applyProtection="1">
      <protection locked="0"/>
    </xf>
    <xf numFmtId="0" fontId="33" fillId="6" borderId="32" xfId="0" applyFont="1" applyFill="1" applyBorder="1" applyProtection="1">
      <protection locked="0"/>
    </xf>
    <xf numFmtId="0" fontId="36" fillId="4" borderId="0" xfId="0" applyFont="1" applyFill="1" applyAlignment="1" applyProtection="1">
      <alignment horizontal="left" vertical="center"/>
      <protection locked="0"/>
    </xf>
    <xf numFmtId="0" fontId="36" fillId="4" borderId="0" xfId="0" applyFont="1" applyFill="1" applyAlignment="1" applyProtection="1">
      <alignment horizontal="center" vertical="center"/>
      <protection locked="0"/>
    </xf>
    <xf numFmtId="0" fontId="37" fillId="4" borderId="0" xfId="0" applyFont="1" applyFill="1" applyAlignment="1" applyProtection="1">
      <alignment horizontal="center" vertical="center"/>
      <protection locked="0"/>
    </xf>
    <xf numFmtId="0" fontId="36" fillId="4" borderId="0" xfId="0" applyFont="1" applyFill="1" applyProtection="1">
      <protection locked="0"/>
    </xf>
    <xf numFmtId="0" fontId="38" fillId="7" borderId="33" xfId="0" applyFont="1" applyFill="1" applyBorder="1" applyAlignment="1" applyProtection="1">
      <alignment vertical="center"/>
      <protection locked="0"/>
    </xf>
    <xf numFmtId="0" fontId="38" fillId="7" borderId="34" xfId="0" applyFont="1" applyFill="1" applyBorder="1" applyAlignment="1" applyProtection="1">
      <alignment vertical="center"/>
      <protection locked="0"/>
    </xf>
    <xf numFmtId="0" fontId="33" fillId="4" borderId="35" xfId="0" applyFont="1" applyFill="1" applyBorder="1" applyProtection="1">
      <protection locked="0"/>
    </xf>
    <xf numFmtId="0" fontId="25" fillId="8" borderId="36" xfId="0" applyFont="1" applyFill="1" applyBorder="1" applyAlignment="1" applyProtection="1">
      <alignment horizontal="left"/>
      <protection locked="0"/>
    </xf>
    <xf numFmtId="0" fontId="25" fillId="8" borderId="36" xfId="6" applyNumberFormat="1" applyFont="1" applyFill="1" applyBorder="1" applyAlignment="1" applyProtection="1">
      <alignment horizontal="left"/>
      <protection locked="0"/>
    </xf>
    <xf numFmtId="166" fontId="25" fillId="6" borderId="0" xfId="1" applyFont="1" applyFill="1" applyProtection="1">
      <protection locked="0"/>
    </xf>
    <xf numFmtId="166" fontId="25" fillId="0" borderId="0" xfId="1" applyFont="1" applyProtection="1">
      <protection locked="0"/>
    </xf>
    <xf numFmtId="171" fontId="25" fillId="9" borderId="0" xfId="6" applyNumberFormat="1" applyFont="1" applyFill="1" applyAlignment="1" applyProtection="1">
      <alignment horizontal="left"/>
      <protection locked="0"/>
    </xf>
    <xf numFmtId="171" fontId="25" fillId="9" borderId="32" xfId="6" applyNumberFormat="1" applyFont="1" applyFill="1" applyBorder="1" applyAlignment="1" applyProtection="1">
      <alignment horizontal="left"/>
      <protection locked="0"/>
    </xf>
    <xf numFmtId="167" fontId="0" fillId="0" borderId="0" xfId="0" applyNumberFormat="1"/>
    <xf numFmtId="167" fontId="39" fillId="0" borderId="0" xfId="0" applyNumberFormat="1" applyFont="1"/>
    <xf numFmtId="167" fontId="40" fillId="0" borderId="0" xfId="0" applyNumberFormat="1" applyFont="1" applyAlignment="1">
      <alignment horizontal="left"/>
    </xf>
    <xf numFmtId="167" fontId="41" fillId="0" borderId="0" xfId="0" applyNumberFormat="1" applyFont="1" applyAlignment="1">
      <alignment horizontal="left"/>
    </xf>
    <xf numFmtId="167" fontId="42" fillId="0" borderId="0" xfId="0" applyNumberFormat="1" applyFont="1" applyAlignment="1">
      <alignment horizontal="left"/>
    </xf>
    <xf numFmtId="0" fontId="8" fillId="6" borderId="0" xfId="0" applyFont="1" applyFill="1" applyAlignment="1" applyProtection="1">
      <alignment vertical="center"/>
      <protection locked="0"/>
    </xf>
    <xf numFmtId="0" fontId="32" fillId="0" borderId="5" xfId="0" applyFont="1" applyBorder="1" applyProtection="1">
      <protection locked="0"/>
    </xf>
    <xf numFmtId="0" fontId="13" fillId="0" borderId="0" xfId="0" applyFont="1" applyAlignment="1" applyProtection="1">
      <alignment vertical="center"/>
      <protection locked="0"/>
    </xf>
    <xf numFmtId="167" fontId="42" fillId="0" borderId="5" xfId="0" applyNumberFormat="1" applyFont="1" applyBorder="1" applyAlignment="1">
      <alignment horizontal="left"/>
    </xf>
    <xf numFmtId="0" fontId="0" fillId="4" borderId="0" xfId="0" applyFill="1"/>
    <xf numFmtId="0" fontId="0" fillId="4" borderId="0" xfId="0" applyFill="1" applyAlignment="1">
      <alignment horizontal="center"/>
    </xf>
    <xf numFmtId="166" fontId="20" fillId="4" borderId="0" xfId="1" applyFill="1" applyAlignment="1">
      <alignment horizontal="center"/>
    </xf>
    <xf numFmtId="167" fontId="0" fillId="4" borderId="0" xfId="0" applyNumberFormat="1" applyFill="1"/>
    <xf numFmtId="0" fontId="0" fillId="4" borderId="0" xfId="0" applyFill="1" applyAlignment="1">
      <alignment horizontal="right"/>
    </xf>
    <xf numFmtId="166" fontId="0" fillId="4" borderId="0" xfId="0" applyNumberFormat="1" applyFill="1"/>
    <xf numFmtId="166" fontId="20" fillId="4" borderId="0" xfId="1" applyFill="1"/>
    <xf numFmtId="0" fontId="0" fillId="6" borderId="0" xfId="0" applyFill="1"/>
    <xf numFmtId="0" fontId="0" fillId="5" borderId="0" xfId="0" applyFill="1" applyAlignment="1">
      <alignment horizontal="center"/>
    </xf>
    <xf numFmtId="0" fontId="0" fillId="5" borderId="0" xfId="0" applyFill="1"/>
    <xf numFmtId="0" fontId="0" fillId="5" borderId="0" xfId="0" applyFill="1" applyAlignment="1">
      <alignment horizontal="right"/>
    </xf>
    <xf numFmtId="167" fontId="0" fillId="4" borderId="0" xfId="0" applyNumberFormat="1" applyFill="1" applyAlignment="1">
      <alignment horizontal="center"/>
    </xf>
    <xf numFmtId="167" fontId="0" fillId="5" borderId="0" xfId="0" applyNumberFormat="1" applyFill="1"/>
    <xf numFmtId="0" fontId="38" fillId="4" borderId="0" xfId="0" applyFont="1" applyFill="1" applyAlignment="1" applyProtection="1">
      <alignment horizontal="right"/>
      <protection locked="0"/>
    </xf>
    <xf numFmtId="0" fontId="0" fillId="4" borderId="0" xfId="0" applyFill="1" applyAlignment="1">
      <alignment horizontal="left"/>
    </xf>
    <xf numFmtId="167" fontId="25" fillId="4" borderId="6" xfId="0" applyNumberFormat="1" applyFont="1" applyFill="1" applyBorder="1" applyAlignment="1">
      <alignment horizontal="left"/>
    </xf>
    <xf numFmtId="167" fontId="29" fillId="11" borderId="0" xfId="0" applyNumberFormat="1" applyFont="1" applyFill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25" fillId="0" borderId="0" xfId="0" applyFont="1" applyAlignment="1">
      <alignment horizontal="left"/>
    </xf>
    <xf numFmtId="14" fontId="27" fillId="0" borderId="0" xfId="0" applyNumberFormat="1" applyFont="1" applyAlignment="1">
      <alignment horizontal="right"/>
    </xf>
    <xf numFmtId="14" fontId="25" fillId="0" borderId="0" xfId="0" applyNumberFormat="1" applyFont="1" applyAlignment="1">
      <alignment horizontal="left"/>
    </xf>
    <xf numFmtId="0" fontId="26" fillId="6" borderId="5" xfId="0" applyFont="1" applyFill="1" applyBorder="1" applyAlignment="1">
      <alignment horizontal="center" vertical="center"/>
    </xf>
    <xf numFmtId="0" fontId="25" fillId="0" borderId="4" xfId="0" applyFont="1" applyBorder="1"/>
    <xf numFmtId="0" fontId="25" fillId="0" borderId="1" xfId="0" applyFont="1" applyBorder="1"/>
    <xf numFmtId="0" fontId="25" fillId="0" borderId="2" xfId="0" applyFont="1" applyBorder="1"/>
    <xf numFmtId="0" fontId="27" fillId="0" borderId="2" xfId="2" applyFont="1" applyBorder="1" applyAlignment="1">
      <alignment horizontal="left"/>
    </xf>
    <xf numFmtId="0" fontId="25" fillId="0" borderId="0" xfId="0" applyFont="1" applyAlignment="1">
      <alignment horizontal="center" vertical="center"/>
    </xf>
    <xf numFmtId="168" fontId="25" fillId="0" borderId="0" xfId="0" applyNumberFormat="1" applyFont="1" applyAlignment="1">
      <alignment horizontal="center" vertical="center"/>
    </xf>
    <xf numFmtId="14" fontId="27" fillId="0" borderId="0" xfId="0" applyNumberFormat="1" applyFont="1" applyAlignment="1">
      <alignment horizontal="right" vertical="center"/>
    </xf>
    <xf numFmtId="0" fontId="27" fillId="0" borderId="0" xfId="0" applyFont="1" applyAlignment="1">
      <alignment horizontal="right" vertical="center"/>
    </xf>
    <xf numFmtId="0" fontId="31" fillId="0" borderId="0" xfId="0" applyFont="1" applyAlignment="1">
      <alignment vertical="center"/>
    </xf>
    <xf numFmtId="167" fontId="31" fillId="0" borderId="0" xfId="0" applyNumberFormat="1" applyFont="1" applyAlignment="1">
      <alignment vertical="center"/>
    </xf>
    <xf numFmtId="0" fontId="27" fillId="0" borderId="0" xfId="0" applyFont="1" applyAlignment="1">
      <alignment horizontal="right"/>
    </xf>
    <xf numFmtId="0" fontId="26" fillId="0" borderId="3" xfId="0" applyFont="1" applyBorder="1" applyAlignment="1">
      <alignment horizontal="center" vertical="center"/>
    </xf>
    <xf numFmtId="0" fontId="26" fillId="0" borderId="5" xfId="0" applyFont="1" applyBorder="1" applyAlignment="1">
      <alignment horizontal="center" vertical="center"/>
    </xf>
    <xf numFmtId="0" fontId="25" fillId="6" borderId="0" xfId="0" applyFont="1" applyFill="1"/>
    <xf numFmtId="0" fontId="26" fillId="0" borderId="0" xfId="0" applyFont="1" applyAlignment="1">
      <alignment horizontal="center" vertical="center"/>
    </xf>
    <xf numFmtId="0" fontId="26" fillId="3" borderId="13" xfId="0" applyFont="1" applyFill="1" applyBorder="1" applyAlignment="1">
      <alignment horizontal="left" vertical="center" wrapText="1"/>
    </xf>
    <xf numFmtId="173" fontId="44" fillId="5" borderId="13" xfId="0" applyNumberFormat="1" applyFont="1" applyFill="1" applyBorder="1"/>
    <xf numFmtId="0" fontId="44" fillId="4" borderId="13" xfId="0" applyFont="1" applyFill="1" applyBorder="1"/>
    <xf numFmtId="0" fontId="25" fillId="0" borderId="7" xfId="0" applyFont="1" applyBorder="1"/>
    <xf numFmtId="0" fontId="25" fillId="0" borderId="7" xfId="0" applyFont="1" applyBorder="1" applyAlignment="1">
      <alignment horizontal="left"/>
    </xf>
    <xf numFmtId="9" fontId="25" fillId="0" borderId="7" xfId="6" applyFont="1" applyBorder="1" applyAlignment="1">
      <alignment horizontal="left"/>
    </xf>
    <xf numFmtId="167" fontId="29" fillId="0" borderId="7" xfId="0" applyNumberFormat="1" applyFont="1" applyBorder="1" applyAlignment="1">
      <alignment horizontal="center" vertical="center"/>
    </xf>
    <xf numFmtId="0" fontId="28" fillId="6" borderId="0" xfId="0" applyFont="1" applyFill="1" applyAlignment="1">
      <alignment vertical="center"/>
    </xf>
    <xf numFmtId="0" fontId="28" fillId="6" borderId="0" xfId="0" applyFont="1" applyFill="1" applyAlignment="1">
      <alignment horizontal="center" vertical="center"/>
    </xf>
    <xf numFmtId="14" fontId="27" fillId="0" borderId="0" xfId="0" applyNumberFormat="1" applyFont="1" applyAlignment="1">
      <alignment horizontal="left"/>
    </xf>
    <xf numFmtId="0" fontId="4" fillId="6" borderId="5" xfId="0" applyFont="1" applyFill="1" applyBorder="1" applyAlignment="1">
      <alignment horizontal="center" vertical="center"/>
    </xf>
    <xf numFmtId="0" fontId="5" fillId="6" borderId="5" xfId="0" applyFont="1" applyFill="1" applyBorder="1" applyAlignment="1">
      <alignment horizontal="center" vertical="center"/>
    </xf>
    <xf numFmtId="2" fontId="15" fillId="6" borderId="5" xfId="0" applyNumberFormat="1" applyFont="1" applyFill="1" applyBorder="1" applyAlignment="1">
      <alignment horizontal="center" vertical="center"/>
    </xf>
    <xf numFmtId="167" fontId="45" fillId="6" borderId="5" xfId="0" applyNumberFormat="1" applyFont="1" applyFill="1" applyBorder="1" applyAlignment="1">
      <alignment horizontal="center"/>
    </xf>
    <xf numFmtId="0" fontId="4" fillId="6" borderId="5" xfId="1" applyNumberFormat="1" applyFont="1" applyFill="1" applyBorder="1" applyAlignment="1">
      <alignment horizontal="center" vertical="center"/>
    </xf>
    <xf numFmtId="0" fontId="26" fillId="6" borderId="9" xfId="0" applyFont="1" applyFill="1" applyBorder="1" applyAlignment="1">
      <alignment horizontal="center" vertical="center"/>
    </xf>
    <xf numFmtId="14" fontId="27" fillId="0" borderId="9" xfId="0" applyNumberFormat="1" applyFont="1" applyBorder="1" applyAlignment="1">
      <alignment horizontal="left"/>
    </xf>
    <xf numFmtId="0" fontId="46" fillId="6" borderId="4" xfId="0" applyFont="1" applyFill="1" applyBorder="1"/>
    <xf numFmtId="0" fontId="47" fillId="6" borderId="4" xfId="0" applyFont="1" applyFill="1" applyBorder="1"/>
    <xf numFmtId="0" fontId="48" fillId="6" borderId="0" xfId="0" applyFont="1" applyFill="1"/>
    <xf numFmtId="167" fontId="29" fillId="6" borderId="0" xfId="0" applyNumberFormat="1" applyFont="1" applyFill="1" applyAlignment="1">
      <alignment vertical="center"/>
    </xf>
    <xf numFmtId="14" fontId="49" fillId="0" borderId="0" xfId="0" applyNumberFormat="1" applyFont="1" applyAlignment="1">
      <alignment horizontal="left"/>
    </xf>
    <xf numFmtId="0" fontId="49" fillId="6" borderId="0" xfId="0" applyFont="1" applyFill="1" applyAlignment="1">
      <alignment horizontal="right"/>
    </xf>
    <xf numFmtId="9" fontId="49" fillId="6" borderId="0" xfId="6" applyFont="1" applyFill="1" applyAlignment="1">
      <alignment horizontal="left"/>
    </xf>
    <xf numFmtId="0" fontId="25" fillId="6" borderId="36" xfId="6" applyNumberFormat="1" applyFont="1" applyFill="1" applyBorder="1" applyAlignment="1" applyProtection="1">
      <alignment horizontal="left"/>
      <protection locked="0"/>
    </xf>
    <xf numFmtId="0" fontId="49" fillId="6" borderId="0" xfId="0" applyFont="1" applyFill="1" applyAlignment="1">
      <alignment horizontal="left"/>
    </xf>
    <xf numFmtId="0" fontId="26" fillId="6" borderId="0" xfId="0" applyFont="1" applyFill="1" applyAlignment="1">
      <alignment horizontal="center" vertical="center"/>
    </xf>
    <xf numFmtId="49" fontId="25" fillId="6" borderId="0" xfId="0" applyNumberFormat="1" applyFont="1" applyFill="1" applyProtection="1">
      <protection locked="0"/>
    </xf>
    <xf numFmtId="167" fontId="25" fillId="6" borderId="0" xfId="0" applyNumberFormat="1" applyFont="1" applyFill="1" applyProtection="1">
      <protection locked="0"/>
    </xf>
    <xf numFmtId="0" fontId="25" fillId="6" borderId="0" xfId="0" applyFont="1" applyFill="1" applyAlignment="1">
      <alignment horizontal="center" vertical="center"/>
    </xf>
    <xf numFmtId="0" fontId="25" fillId="6" borderId="4" xfId="0" applyFont="1" applyFill="1" applyBorder="1" applyProtection="1">
      <protection locked="0"/>
    </xf>
    <xf numFmtId="14" fontId="27" fillId="6" borderId="0" xfId="0" applyNumberFormat="1" applyFont="1" applyFill="1" applyAlignment="1">
      <alignment horizontal="left"/>
    </xf>
    <xf numFmtId="0" fontId="27" fillId="6" borderId="0" xfId="0" applyFont="1" applyFill="1" applyAlignment="1">
      <alignment horizontal="left"/>
    </xf>
    <xf numFmtId="14" fontId="49" fillId="6" borderId="0" xfId="0" applyNumberFormat="1" applyFont="1" applyFill="1" applyAlignment="1">
      <alignment horizontal="left"/>
    </xf>
    <xf numFmtId="14" fontId="27" fillId="6" borderId="9" xfId="0" applyNumberFormat="1" applyFont="1" applyFill="1" applyBorder="1" applyAlignment="1">
      <alignment horizontal="left"/>
    </xf>
    <xf numFmtId="0" fontId="48" fillId="6" borderId="0" xfId="0" applyFont="1" applyFill="1" applyAlignment="1">
      <alignment horizontal="center" shrinkToFit="1"/>
    </xf>
    <xf numFmtId="0" fontId="25" fillId="5" borderId="8" xfId="0" applyFont="1" applyFill="1" applyBorder="1" applyAlignment="1">
      <alignment horizontal="left"/>
    </xf>
    <xf numFmtId="0" fontId="25" fillId="5" borderId="7" xfId="0" applyFont="1" applyFill="1" applyBorder="1" applyAlignment="1">
      <alignment horizontal="left"/>
    </xf>
    <xf numFmtId="0" fontId="25" fillId="5" borderId="6" xfId="0" applyFont="1" applyFill="1" applyBorder="1" applyAlignment="1">
      <alignment horizontal="left"/>
    </xf>
    <xf numFmtId="0" fontId="25" fillId="6" borderId="0" xfId="6" applyNumberFormat="1" applyFont="1" applyFill="1" applyBorder="1" applyAlignment="1" applyProtection="1">
      <alignment horizontal="left"/>
      <protection locked="0"/>
    </xf>
    <xf numFmtId="0" fontId="26" fillId="6" borderId="0" xfId="0" applyFont="1" applyFill="1" applyAlignment="1" applyProtection="1">
      <alignment horizontal="center" vertical="center"/>
      <protection locked="0"/>
    </xf>
    <xf numFmtId="167" fontId="26" fillId="6" borderId="0" xfId="0" applyNumberFormat="1" applyFont="1" applyFill="1" applyAlignment="1">
      <alignment horizontal="center" vertical="center"/>
    </xf>
    <xf numFmtId="0" fontId="51" fillId="10" borderId="0" xfId="0" applyFont="1" applyFill="1" applyProtection="1">
      <protection locked="0"/>
    </xf>
    <xf numFmtId="9" fontId="25" fillId="6" borderId="0" xfId="6" applyFont="1" applyFill="1" applyBorder="1" applyAlignment="1" applyProtection="1">
      <alignment horizontal="left"/>
      <protection locked="0"/>
    </xf>
    <xf numFmtId="0" fontId="52" fillId="0" borderId="0" xfId="0" applyFont="1" applyAlignment="1" applyProtection="1">
      <alignment horizontal="center"/>
      <protection locked="0"/>
    </xf>
    <xf numFmtId="166" fontId="25" fillId="6" borderId="0" xfId="1" applyFont="1" applyFill="1" applyBorder="1" applyProtection="1">
      <protection locked="0"/>
    </xf>
    <xf numFmtId="167" fontId="27" fillId="0" borderId="0" xfId="0" applyNumberFormat="1" applyFont="1" applyProtection="1">
      <protection locked="0"/>
    </xf>
    <xf numFmtId="0" fontId="25" fillId="6" borderId="0" xfId="0" applyFont="1" applyFill="1" applyAlignment="1" applyProtection="1">
      <alignment horizontal="center" vertical="center"/>
      <protection locked="0"/>
    </xf>
    <xf numFmtId="0" fontId="27" fillId="6" borderId="0" xfId="0" applyFont="1" applyFill="1" applyProtection="1">
      <protection locked="0"/>
    </xf>
    <xf numFmtId="0" fontId="30" fillId="6" borderId="0" xfId="0" applyFont="1" applyFill="1" applyAlignment="1" applyProtection="1">
      <alignment vertical="center"/>
      <protection locked="0"/>
    </xf>
    <xf numFmtId="167" fontId="28" fillId="6" borderId="0" xfId="0" applyNumberFormat="1" applyFont="1" applyFill="1" applyAlignment="1">
      <alignment vertical="center"/>
    </xf>
    <xf numFmtId="0" fontId="48" fillId="6" borderId="0" xfId="0" applyFont="1" applyFill="1" applyAlignment="1">
      <alignment horizontal="right"/>
    </xf>
    <xf numFmtId="0" fontId="12" fillId="7" borderId="14" xfId="0" applyFont="1" applyFill="1" applyBorder="1" applyAlignment="1">
      <alignment horizontal="center" vertical="center"/>
    </xf>
    <xf numFmtId="167" fontId="2" fillId="3" borderId="14" xfId="0" applyNumberFormat="1" applyFont="1" applyFill="1" applyBorder="1" applyAlignment="1">
      <alignment horizontal="center" vertical="center"/>
    </xf>
    <xf numFmtId="0" fontId="47" fillId="6" borderId="0" xfId="0" applyFont="1" applyFill="1" applyAlignment="1">
      <alignment horizontal="right"/>
    </xf>
    <xf numFmtId="0" fontId="55" fillId="6" borderId="0" xfId="0" applyFont="1" applyFill="1" applyAlignment="1">
      <alignment horizontal="right"/>
    </xf>
    <xf numFmtId="0" fontId="55" fillId="0" borderId="0" xfId="0" applyFont="1" applyAlignment="1">
      <alignment horizontal="right"/>
    </xf>
    <xf numFmtId="0" fontId="56" fillId="6" borderId="0" xfId="0" applyFont="1" applyFill="1"/>
    <xf numFmtId="0" fontId="57" fillId="6" borderId="0" xfId="0" applyFont="1" applyFill="1" applyAlignment="1">
      <alignment horizontal="right"/>
    </xf>
    <xf numFmtId="0" fontId="58" fillId="6" borderId="0" xfId="0" applyFont="1" applyFill="1" applyAlignment="1">
      <alignment horizontal="right"/>
    </xf>
    <xf numFmtId="0" fontId="25" fillId="6" borderId="35" xfId="0" applyFont="1" applyFill="1" applyBorder="1" applyAlignment="1" applyProtection="1">
      <alignment horizontal="left"/>
      <protection locked="0"/>
    </xf>
    <xf numFmtId="0" fontId="17" fillId="7" borderId="14" xfId="0" applyFont="1" applyFill="1" applyBorder="1" applyAlignment="1">
      <alignment horizontal="center" vertical="center"/>
    </xf>
    <xf numFmtId="0" fontId="17" fillId="7" borderId="15" xfId="0" applyFont="1" applyFill="1" applyBorder="1" applyAlignment="1">
      <alignment horizontal="center" vertical="center"/>
    </xf>
    <xf numFmtId="0" fontId="50" fillId="6" borderId="0" xfId="0" applyFont="1" applyFill="1" applyAlignment="1">
      <alignment horizontal="left"/>
    </xf>
    <xf numFmtId="0" fontId="61" fillId="5" borderId="16" xfId="0" applyFont="1" applyFill="1" applyBorder="1"/>
    <xf numFmtId="0" fontId="61" fillId="5" borderId="17" xfId="0" applyFont="1" applyFill="1" applyBorder="1"/>
    <xf numFmtId="0" fontId="61" fillId="6" borderId="0" xfId="0" applyFont="1" applyFill="1" applyAlignment="1">
      <alignment horizontal="center"/>
    </xf>
    <xf numFmtId="167" fontId="61" fillId="6" borderId="0" xfId="0" applyNumberFormat="1" applyFont="1" applyFill="1" applyAlignment="1">
      <alignment horizontal="center"/>
    </xf>
    <xf numFmtId="0" fontId="27" fillId="6" borderId="0" xfId="0" applyFont="1" applyFill="1"/>
    <xf numFmtId="0" fontId="27" fillId="6" borderId="0" xfId="0" applyFont="1" applyFill="1" applyAlignment="1">
      <alignment horizontal="center"/>
    </xf>
    <xf numFmtId="167" fontId="27" fillId="6" borderId="0" xfId="0" applyNumberFormat="1" applyFont="1" applyFill="1" applyAlignment="1">
      <alignment horizontal="center"/>
    </xf>
    <xf numFmtId="167" fontId="2" fillId="6" borderId="0" xfId="0" applyNumberFormat="1" applyFont="1" applyFill="1" applyAlignment="1">
      <alignment horizontal="center" vertical="center"/>
    </xf>
    <xf numFmtId="0" fontId="58" fillId="6" borderId="0" xfId="0" applyFont="1" applyFill="1" applyAlignment="1">
      <alignment shrinkToFit="1"/>
    </xf>
    <xf numFmtId="0" fontId="58" fillId="6" borderId="35" xfId="0" applyFont="1" applyFill="1" applyBorder="1" applyAlignment="1">
      <alignment shrinkToFit="1"/>
    </xf>
    <xf numFmtId="0" fontId="43" fillId="7" borderId="16" xfId="0" applyFont="1" applyFill="1" applyBorder="1" applyAlignment="1">
      <alignment horizontal="right"/>
    </xf>
    <xf numFmtId="0" fontId="43" fillId="7" borderId="17" xfId="0" applyFont="1" applyFill="1" applyBorder="1" applyAlignment="1">
      <alignment horizontal="right"/>
    </xf>
    <xf numFmtId="0" fontId="43" fillId="7" borderId="15" xfId="0" applyFont="1" applyFill="1" applyBorder="1" applyAlignment="1">
      <alignment horizontal="right"/>
    </xf>
    <xf numFmtId="167" fontId="62" fillId="10" borderId="14" xfId="0" applyNumberFormat="1" applyFont="1" applyFill="1" applyBorder="1" applyAlignment="1">
      <alignment horizontal="center"/>
    </xf>
    <xf numFmtId="167" fontId="62" fillId="10" borderId="18" xfId="0" applyNumberFormat="1" applyFont="1" applyFill="1" applyBorder="1" applyAlignment="1">
      <alignment horizontal="center"/>
    </xf>
    <xf numFmtId="167" fontId="15" fillId="12" borderId="14" xfId="0" applyNumberFormat="1" applyFont="1" applyFill="1" applyBorder="1" applyAlignment="1">
      <alignment horizontal="center"/>
    </xf>
    <xf numFmtId="0" fontId="17" fillId="7" borderId="16" xfId="0" applyFont="1" applyFill="1" applyBorder="1" applyAlignment="1">
      <alignment vertical="center"/>
    </xf>
    <xf numFmtId="0" fontId="17" fillId="7" borderId="17" xfId="0" applyFont="1" applyFill="1" applyBorder="1" applyAlignment="1">
      <alignment vertical="center"/>
    </xf>
    <xf numFmtId="0" fontId="17" fillId="7" borderId="14" xfId="0" applyFont="1" applyFill="1" applyBorder="1" applyAlignment="1">
      <alignment vertical="center"/>
    </xf>
    <xf numFmtId="0" fontId="61" fillId="13" borderId="14" xfId="0" applyFont="1" applyFill="1" applyBorder="1" applyAlignment="1">
      <alignment horizontal="center" vertical="center"/>
    </xf>
    <xf numFmtId="0" fontId="61" fillId="8" borderId="14" xfId="0" applyFont="1" applyFill="1" applyBorder="1" applyAlignment="1">
      <alignment horizontal="center" vertical="center"/>
    </xf>
    <xf numFmtId="167" fontId="61" fillId="13" borderId="14" xfId="0" applyNumberFormat="1" applyFont="1" applyFill="1" applyBorder="1" applyAlignment="1">
      <alignment horizontal="center" vertical="center"/>
    </xf>
    <xf numFmtId="167" fontId="15" fillId="12" borderId="14" xfId="0" applyNumberFormat="1" applyFont="1" applyFill="1" applyBorder="1" applyAlignment="1">
      <alignment horizontal="center" vertical="center"/>
    </xf>
    <xf numFmtId="2" fontId="25" fillId="0" borderId="0" xfId="0" applyNumberFormat="1" applyFont="1" applyProtection="1">
      <protection locked="0"/>
    </xf>
    <xf numFmtId="0" fontId="0" fillId="0" borderId="0" xfId="0" applyAlignment="1">
      <alignment horizontal="center"/>
    </xf>
    <xf numFmtId="2" fontId="27" fillId="15" borderId="13" xfId="0" applyNumberFormat="1" applyFont="1" applyFill="1" applyBorder="1" applyAlignment="1">
      <alignment horizontal="left"/>
    </xf>
    <xf numFmtId="2" fontId="0" fillId="0" borderId="0" xfId="0" applyNumberFormat="1"/>
    <xf numFmtId="0" fontId="64" fillId="0" borderId="0" xfId="0" applyFont="1" applyAlignment="1">
      <alignment horizontal="center"/>
    </xf>
    <xf numFmtId="0" fontId="65" fillId="0" borderId="2" xfId="0" applyFont="1" applyBorder="1"/>
    <xf numFmtId="0" fontId="66" fillId="0" borderId="2" xfId="0" applyFont="1" applyBorder="1"/>
    <xf numFmtId="0" fontId="67" fillId="0" borderId="2" xfId="0" applyFont="1" applyBorder="1"/>
    <xf numFmtId="0" fontId="68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0" fontId="19" fillId="6" borderId="0" xfId="0" applyFont="1" applyFill="1" applyAlignment="1">
      <alignment vertical="center"/>
    </xf>
    <xf numFmtId="0" fontId="18" fillId="6" borderId="0" xfId="0" applyFont="1" applyFill="1" applyAlignment="1">
      <alignment vertical="center"/>
    </xf>
    <xf numFmtId="14" fontId="49" fillId="6" borderId="19" xfId="0" applyNumberFormat="1" applyFont="1" applyFill="1" applyBorder="1" applyAlignment="1">
      <alignment horizontal="left"/>
    </xf>
    <xf numFmtId="0" fontId="68" fillId="0" borderId="4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64" fillId="0" borderId="0" xfId="0" applyFont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58" fillId="6" borderId="0" xfId="0" applyFont="1" applyFill="1" applyAlignment="1">
      <alignment horizontal="right" shrinkToFit="1"/>
    </xf>
    <xf numFmtId="0" fontId="58" fillId="6" borderId="35" xfId="0" applyFont="1" applyFill="1" applyBorder="1" applyAlignment="1">
      <alignment horizontal="right" shrinkToFit="1"/>
    </xf>
    <xf numFmtId="0" fontId="53" fillId="5" borderId="8" xfId="0" applyFont="1" applyFill="1" applyBorder="1" applyAlignment="1">
      <alignment horizontal="left"/>
    </xf>
    <xf numFmtId="2" fontId="0" fillId="0" borderId="0" xfId="0" applyNumberFormat="1" applyAlignment="1">
      <alignment horizontal="left"/>
    </xf>
    <xf numFmtId="0" fontId="63" fillId="0" borderId="0" xfId="0" applyFont="1" applyAlignment="1">
      <alignment wrapText="1"/>
    </xf>
    <xf numFmtId="2" fontId="0" fillId="0" borderId="0" xfId="0" applyNumberFormat="1" applyAlignment="1">
      <alignment horizontal="center"/>
    </xf>
    <xf numFmtId="2" fontId="49" fillId="6" borderId="0" xfId="0" applyNumberFormat="1" applyFont="1" applyFill="1" applyAlignment="1">
      <alignment horizontal="left"/>
    </xf>
    <xf numFmtId="2" fontId="50" fillId="6" borderId="0" xfId="0" applyNumberFormat="1" applyFont="1" applyFill="1" applyAlignment="1">
      <alignment horizontal="left"/>
    </xf>
    <xf numFmtId="0" fontId="0" fillId="0" borderId="2" xfId="0" applyBorder="1" applyAlignment="1">
      <alignment horizontal="center"/>
    </xf>
    <xf numFmtId="0" fontId="0" fillId="0" borderId="11" xfId="0" applyBorder="1" applyAlignment="1">
      <alignment horizontal="center"/>
    </xf>
    <xf numFmtId="0" fontId="81" fillId="0" borderId="0" xfId="0" applyFont="1" applyAlignment="1">
      <alignment horizontal="right"/>
    </xf>
    <xf numFmtId="0" fontId="81" fillId="0" borderId="0" xfId="0" applyFont="1" applyAlignment="1">
      <alignment horizontal="left"/>
    </xf>
    <xf numFmtId="0" fontId="0" fillId="0" borderId="5" xfId="0" applyBorder="1" applyAlignment="1">
      <alignment horizontal="center"/>
    </xf>
    <xf numFmtId="1" fontId="0" fillId="0" borderId="0" xfId="0" applyNumberFormat="1"/>
    <xf numFmtId="0" fontId="0" fillId="0" borderId="0" xfId="0" applyAlignment="1">
      <alignment wrapText="1"/>
    </xf>
    <xf numFmtId="0" fontId="65" fillId="0" borderId="3" xfId="0" applyFont="1" applyBorder="1"/>
    <xf numFmtId="0" fontId="64" fillId="0" borderId="5" xfId="0" applyFont="1" applyBorder="1"/>
    <xf numFmtId="0" fontId="81" fillId="0" borderId="11" xfId="0" applyFont="1" applyBorder="1" applyAlignment="1">
      <alignment horizontal="right"/>
    </xf>
    <xf numFmtId="0" fontId="81" fillId="0" borderId="11" xfId="0" applyFont="1" applyBorder="1" applyAlignment="1">
      <alignment horizontal="left"/>
    </xf>
    <xf numFmtId="0" fontId="0" fillId="0" borderId="11" xfId="0" applyBorder="1" applyAlignment="1">
      <alignment horizontal="center" vertical="center"/>
    </xf>
    <xf numFmtId="0" fontId="0" fillId="0" borderId="1" xfId="0" applyBorder="1" applyAlignment="1">
      <alignment wrapText="1"/>
    </xf>
    <xf numFmtId="0" fontId="0" fillId="0" borderId="4" xfId="0" applyBorder="1" applyAlignment="1">
      <alignment horizontal="center" wrapText="1"/>
    </xf>
    <xf numFmtId="0" fontId="0" fillId="0" borderId="4" xfId="0" applyBorder="1" applyAlignment="1">
      <alignment horizontal="center"/>
    </xf>
    <xf numFmtId="0" fontId="82" fillId="0" borderId="0" xfId="0" applyFont="1"/>
    <xf numFmtId="0" fontId="81" fillId="0" borderId="0" xfId="0" applyFont="1"/>
    <xf numFmtId="0" fontId="39" fillId="0" borderId="0" xfId="0" applyFont="1"/>
    <xf numFmtId="0" fontId="81" fillId="0" borderId="11" xfId="0" applyFont="1" applyBorder="1"/>
    <xf numFmtId="0" fontId="81" fillId="0" borderId="5" xfId="0" applyFont="1" applyBorder="1" applyAlignment="1">
      <alignment horizontal="left"/>
    </xf>
    <xf numFmtId="0" fontId="81" fillId="0" borderId="5" xfId="0" applyFont="1" applyBorder="1"/>
    <xf numFmtId="0" fontId="83" fillId="0" borderId="0" xfId="0" applyFont="1" applyAlignment="1">
      <alignment horizontal="center"/>
    </xf>
    <xf numFmtId="0" fontId="81" fillId="0" borderId="0" xfId="0" applyFont="1" applyAlignment="1">
      <alignment vertical="center"/>
    </xf>
    <xf numFmtId="0" fontId="81" fillId="0" borderId="3" xfId="0" applyFont="1" applyBorder="1"/>
    <xf numFmtId="0" fontId="81" fillId="0" borderId="0" xfId="0" applyFont="1" applyAlignment="1">
      <alignment horizontal="center" vertical="center"/>
    </xf>
    <xf numFmtId="0" fontId="81" fillId="0" borderId="0" xfId="0" applyFont="1" applyAlignment="1">
      <alignment horizontal="center"/>
    </xf>
    <xf numFmtId="0" fontId="17" fillId="6" borderId="0" xfId="0" applyFont="1" applyFill="1" applyAlignment="1">
      <alignment vertical="center"/>
    </xf>
    <xf numFmtId="0" fontId="28" fillId="6" borderId="19" xfId="0" applyFont="1" applyFill="1" applyBorder="1" applyAlignment="1">
      <alignment vertical="center"/>
    </xf>
    <xf numFmtId="0" fontId="39" fillId="0" borderId="0" xfId="0" applyFont="1" applyAlignment="1">
      <alignment horizontal="center"/>
    </xf>
    <xf numFmtId="0" fontId="25" fillId="5" borderId="23" xfId="0" applyFont="1" applyFill="1" applyBorder="1" applyAlignment="1">
      <alignment horizontal="left"/>
    </xf>
    <xf numFmtId="0" fontId="25" fillId="6" borderId="36" xfId="0" applyFont="1" applyFill="1" applyBorder="1" applyAlignment="1" applyProtection="1">
      <alignment horizontal="left"/>
      <protection locked="0"/>
    </xf>
    <xf numFmtId="0" fontId="25" fillId="6" borderId="32" xfId="6" applyNumberFormat="1" applyFont="1" applyFill="1" applyBorder="1" applyAlignment="1" applyProtection="1">
      <alignment horizontal="left"/>
      <protection locked="0"/>
    </xf>
    <xf numFmtId="0" fontId="25" fillId="6" borderId="0" xfId="6" applyNumberFormat="1" applyFont="1" applyFill="1" applyAlignment="1" applyProtection="1">
      <alignment horizontal="left"/>
      <protection locked="0"/>
    </xf>
    <xf numFmtId="0" fontId="25" fillId="6" borderId="5" xfId="0" applyFont="1" applyFill="1" applyBorder="1"/>
    <xf numFmtId="0" fontId="25" fillId="6" borderId="49" xfId="0" applyFont="1" applyFill="1" applyBorder="1" applyAlignment="1" applyProtection="1">
      <alignment horizontal="left"/>
      <protection locked="0"/>
    </xf>
    <xf numFmtId="0" fontId="25" fillId="6" borderId="5" xfId="0" applyFont="1" applyFill="1" applyBorder="1" applyAlignment="1" applyProtection="1">
      <alignment horizontal="left"/>
      <protection locked="0"/>
    </xf>
    <xf numFmtId="0" fontId="25" fillId="6" borderId="5" xfId="0" applyFont="1" applyFill="1" applyBorder="1" applyAlignment="1" applyProtection="1">
      <alignment horizontal="center"/>
      <protection locked="0"/>
    </xf>
    <xf numFmtId="0" fontId="26" fillId="6" borderId="12" xfId="0" applyFont="1" applyFill="1" applyBorder="1" applyAlignment="1" applyProtection="1">
      <alignment horizontal="center" vertical="center"/>
      <protection locked="0"/>
    </xf>
    <xf numFmtId="2" fontId="27" fillId="6" borderId="0" xfId="0" applyNumberFormat="1" applyFont="1" applyFill="1" applyAlignment="1">
      <alignment horizontal="left"/>
    </xf>
    <xf numFmtId="0" fontId="75" fillId="5" borderId="7" xfId="0" applyFont="1" applyFill="1" applyBorder="1" applyAlignment="1">
      <alignment horizontal="left"/>
    </xf>
    <xf numFmtId="0" fontId="44" fillId="5" borderId="8" xfId="0" applyFont="1" applyFill="1" applyBorder="1" applyAlignment="1">
      <alignment horizontal="left"/>
    </xf>
    <xf numFmtId="0" fontId="86" fillId="5" borderId="8" xfId="0" applyFont="1" applyFill="1" applyBorder="1" applyAlignment="1">
      <alignment horizontal="left"/>
    </xf>
    <xf numFmtId="0" fontId="86" fillId="5" borderId="7" xfId="0" applyFont="1" applyFill="1" applyBorder="1" applyAlignment="1">
      <alignment horizontal="left"/>
    </xf>
    <xf numFmtId="0" fontId="87" fillId="5" borderId="8" xfId="0" applyFont="1" applyFill="1" applyBorder="1" applyAlignment="1">
      <alignment horizontal="left"/>
    </xf>
    <xf numFmtId="0" fontId="33" fillId="5" borderId="7" xfId="0" applyFont="1" applyFill="1" applyBorder="1" applyAlignment="1">
      <alignment horizontal="left"/>
    </xf>
    <xf numFmtId="0" fontId="44" fillId="5" borderId="7" xfId="0" applyFont="1" applyFill="1" applyBorder="1" applyAlignment="1">
      <alignment horizontal="left"/>
    </xf>
    <xf numFmtId="0" fontId="29" fillId="5" borderId="8" xfId="0" applyFont="1" applyFill="1" applyBorder="1" applyAlignment="1">
      <alignment horizontal="left"/>
    </xf>
    <xf numFmtId="0" fontId="89" fillId="5" borderId="8" xfId="0" applyFont="1" applyFill="1" applyBorder="1" applyAlignment="1">
      <alignment horizontal="left"/>
    </xf>
    <xf numFmtId="0" fontId="90" fillId="5" borderId="7" xfId="0" applyFont="1" applyFill="1" applyBorder="1" applyAlignment="1">
      <alignment horizontal="left"/>
    </xf>
    <xf numFmtId="0" fontId="90" fillId="5" borderId="23" xfId="0" applyFont="1" applyFill="1" applyBorder="1" applyAlignment="1">
      <alignment horizontal="left"/>
    </xf>
    <xf numFmtId="0" fontId="25" fillId="5" borderId="7" xfId="0" applyFont="1" applyFill="1" applyBorder="1"/>
    <xf numFmtId="0" fontId="25" fillId="5" borderId="6" xfId="0" applyFont="1" applyFill="1" applyBorder="1"/>
    <xf numFmtId="0" fontId="25" fillId="5" borderId="8" xfId="0" applyFont="1" applyFill="1" applyBorder="1"/>
    <xf numFmtId="0" fontId="92" fillId="3" borderId="6" xfId="0" applyFont="1" applyFill="1" applyBorder="1" applyAlignment="1">
      <alignment vertical="center"/>
    </xf>
    <xf numFmtId="0" fontId="91" fillId="3" borderId="6" xfId="0" applyFont="1" applyFill="1" applyBorder="1" applyAlignment="1">
      <alignment horizontal="center" vertical="center"/>
    </xf>
    <xf numFmtId="0" fontId="53" fillId="5" borderId="7" xfId="0" applyFont="1" applyFill="1" applyBorder="1"/>
    <xf numFmtId="0" fontId="53" fillId="5" borderId="6" xfId="0" applyFont="1" applyFill="1" applyBorder="1"/>
    <xf numFmtId="0" fontId="49" fillId="6" borderId="0" xfId="0" applyFont="1" applyFill="1"/>
    <xf numFmtId="0" fontId="25" fillId="5" borderId="23" xfId="0" applyFont="1" applyFill="1" applyBorder="1"/>
    <xf numFmtId="0" fontId="29" fillId="5" borderId="7" xfId="0" applyFont="1" applyFill="1" applyBorder="1"/>
    <xf numFmtId="0" fontId="29" fillId="5" borderId="7" xfId="0" applyFont="1" applyFill="1" applyBorder="1" applyAlignment="1">
      <alignment horizontal="left"/>
    </xf>
    <xf numFmtId="167" fontId="44" fillId="4" borderId="6" xfId="0" applyNumberFormat="1" applyFont="1" applyFill="1" applyBorder="1" applyAlignment="1">
      <alignment horizontal="left"/>
    </xf>
    <xf numFmtId="0" fontId="0" fillId="0" borderId="9" xfId="0" applyBorder="1"/>
    <xf numFmtId="0" fontId="0" fillId="0" borderId="9" xfId="0" applyBorder="1" applyAlignment="1">
      <alignment horizontal="right"/>
    </xf>
    <xf numFmtId="0" fontId="0" fillId="0" borderId="19" xfId="0" applyBorder="1"/>
    <xf numFmtId="173" fontId="53" fillId="5" borderId="13" xfId="0" applyNumberFormat="1" applyFont="1" applyFill="1" applyBorder="1"/>
    <xf numFmtId="0" fontId="69" fillId="6" borderId="0" xfId="0" applyFont="1" applyFill="1" applyAlignment="1">
      <alignment horizontal="right"/>
    </xf>
    <xf numFmtId="0" fontId="81" fillId="0" borderId="4" xfId="0" applyFont="1" applyBorder="1"/>
    <xf numFmtId="173" fontId="0" fillId="0" borderId="0" xfId="0" applyNumberFormat="1"/>
    <xf numFmtId="0" fontId="2" fillId="5" borderId="8" xfId="0" applyFont="1" applyFill="1" applyBorder="1" applyAlignment="1">
      <alignment horizontal="left"/>
    </xf>
    <xf numFmtId="0" fontId="4" fillId="5" borderId="8" xfId="0" applyFont="1" applyFill="1" applyBorder="1" applyAlignment="1">
      <alignment horizontal="left"/>
    </xf>
    <xf numFmtId="0" fontId="81" fillId="0" borderId="10" xfId="0" applyFont="1" applyBorder="1"/>
    <xf numFmtId="173" fontId="81" fillId="0" borderId="12" xfId="0" applyNumberFormat="1" applyFont="1" applyBorder="1"/>
    <xf numFmtId="167" fontId="2" fillId="3" borderId="18" xfId="0" applyNumberFormat="1" applyFont="1" applyFill="1" applyBorder="1" applyAlignment="1">
      <alignment horizontal="center" vertical="center"/>
    </xf>
    <xf numFmtId="167" fontId="2" fillId="3" borderId="13" xfId="0" applyNumberFormat="1" applyFont="1" applyFill="1" applyBorder="1" applyAlignment="1">
      <alignment horizontal="center" vertical="center"/>
    </xf>
    <xf numFmtId="0" fontId="27" fillId="5" borderId="7" xfId="0" applyFont="1" applyFill="1" applyBorder="1"/>
    <xf numFmtId="0" fontId="27" fillId="5" borderId="23" xfId="0" applyFont="1" applyFill="1" applyBorder="1"/>
    <xf numFmtId="174" fontId="0" fillId="0" borderId="0" xfId="0" applyNumberFormat="1"/>
    <xf numFmtId="0" fontId="0" fillId="5" borderId="4" xfId="0" applyFill="1" applyBorder="1"/>
    <xf numFmtId="0" fontId="81" fillId="5" borderId="0" xfId="0" applyFont="1" applyFill="1"/>
    <xf numFmtId="0" fontId="0" fillId="5" borderId="4" xfId="0" applyFill="1" applyBorder="1" applyAlignment="1">
      <alignment horizontal="center"/>
    </xf>
    <xf numFmtId="0" fontId="81" fillId="5" borderId="0" xfId="0" applyFont="1" applyFill="1" applyAlignment="1">
      <alignment horizontal="center"/>
    </xf>
    <xf numFmtId="0" fontId="0" fillId="8" borderId="0" xfId="0" applyFill="1"/>
    <xf numFmtId="0" fontId="0" fillId="0" borderId="4" xfId="0" applyBorder="1" applyAlignment="1">
      <alignment horizontal="left"/>
    </xf>
    <xf numFmtId="0" fontId="50" fillId="6" borderId="0" xfId="0" applyFont="1" applyFill="1" applyAlignment="1">
      <alignment horizontal="right"/>
    </xf>
    <xf numFmtId="0" fontId="63" fillId="0" borderId="2" xfId="0" applyFont="1" applyBorder="1"/>
    <xf numFmtId="0" fontId="0" fillId="0" borderId="10" xfId="0" applyBorder="1" applyAlignment="1">
      <alignment horizontal="center"/>
    </xf>
    <xf numFmtId="0" fontId="94" fillId="6" borderId="0" xfId="0" applyFont="1" applyFill="1" applyAlignment="1">
      <alignment horizontal="right"/>
    </xf>
    <xf numFmtId="0" fontId="25" fillId="0" borderId="36" xfId="6" applyNumberFormat="1" applyFont="1" applyFill="1" applyBorder="1" applyAlignment="1" applyProtection="1">
      <alignment horizontal="left"/>
      <protection locked="0"/>
    </xf>
    <xf numFmtId="9" fontId="49" fillId="0" borderId="0" xfId="6" applyFont="1" applyFill="1" applyAlignment="1">
      <alignment horizontal="left"/>
    </xf>
    <xf numFmtId="0" fontId="68" fillId="8" borderId="4" xfId="0" applyFont="1" applyFill="1" applyBorder="1" applyAlignment="1">
      <alignment horizontal="left"/>
    </xf>
    <xf numFmtId="1" fontId="0" fillId="8" borderId="0" xfId="0" applyNumberFormat="1" applyFill="1" applyAlignment="1">
      <alignment horizontal="center"/>
    </xf>
    <xf numFmtId="0" fontId="82" fillId="0" borderId="0" xfId="0" applyFont="1" applyAlignment="1">
      <alignment horizontal="right"/>
    </xf>
    <xf numFmtId="0" fontId="68" fillId="0" borderId="0" xfId="0" applyFont="1"/>
    <xf numFmtId="0" fontId="63" fillId="0" borderId="0" xfId="0" applyFont="1" applyAlignment="1">
      <alignment horizontal="center"/>
    </xf>
    <xf numFmtId="0" fontId="49" fillId="0" borderId="0" xfId="0" applyFont="1" applyAlignment="1">
      <alignment horizontal="right"/>
    </xf>
    <xf numFmtId="0" fontId="25" fillId="0" borderId="36" xfId="0" applyFont="1" applyBorder="1" applyAlignment="1" applyProtection="1">
      <alignment horizontal="left"/>
      <protection locked="0"/>
    </xf>
    <xf numFmtId="0" fontId="49" fillId="0" borderId="0" xfId="0" applyFont="1" applyAlignment="1">
      <alignment horizontal="left"/>
    </xf>
    <xf numFmtId="0" fontId="0" fillId="4" borderId="4" xfId="0" applyFill="1" applyBorder="1"/>
    <xf numFmtId="173" fontId="4" fillId="5" borderId="13" xfId="0" applyNumberFormat="1" applyFont="1" applyFill="1" applyBorder="1"/>
    <xf numFmtId="2" fontId="25" fillId="8" borderId="36" xfId="0" applyNumberFormat="1" applyFont="1" applyFill="1" applyBorder="1" applyAlignment="1" applyProtection="1">
      <alignment horizontal="left"/>
      <protection locked="0"/>
    </xf>
    <xf numFmtId="2" fontId="0" fillId="0" borderId="5" xfId="0" applyNumberFormat="1" applyBorder="1" applyAlignment="1">
      <alignment horizontal="center"/>
    </xf>
    <xf numFmtId="0" fontId="81" fillId="0" borderId="5" xfId="0" applyFont="1" applyBorder="1" applyAlignment="1">
      <alignment horizontal="center"/>
    </xf>
    <xf numFmtId="0" fontId="39" fillId="0" borderId="4" xfId="0" applyFont="1" applyBorder="1"/>
    <xf numFmtId="0" fontId="83" fillId="0" borderId="4" xfId="0" applyFont="1" applyBorder="1"/>
    <xf numFmtId="167" fontId="53" fillId="4" borderId="6" xfId="0" applyNumberFormat="1" applyFont="1" applyFill="1" applyBorder="1" applyAlignment="1">
      <alignment horizontal="left"/>
    </xf>
    <xf numFmtId="0" fontId="95" fillId="6" borderId="0" xfId="0" applyFont="1" applyFill="1" applyAlignment="1">
      <alignment horizontal="right"/>
    </xf>
    <xf numFmtId="1" fontId="25" fillId="12" borderId="36" xfId="0" applyNumberFormat="1" applyFont="1" applyFill="1" applyBorder="1" applyAlignment="1" applyProtection="1">
      <alignment horizontal="left"/>
      <protection locked="0"/>
    </xf>
    <xf numFmtId="0" fontId="25" fillId="12" borderId="36" xfId="0" applyFont="1" applyFill="1" applyBorder="1" applyAlignment="1" applyProtection="1">
      <alignment horizontal="left"/>
      <protection locked="0"/>
    </xf>
    <xf numFmtId="0" fontId="25" fillId="12" borderId="36" xfId="6" applyNumberFormat="1" applyFont="1" applyFill="1" applyBorder="1" applyAlignment="1" applyProtection="1">
      <alignment horizontal="left"/>
      <protection locked="0"/>
    </xf>
    <xf numFmtId="0" fontId="2" fillId="5" borderId="7" xfId="0" applyFont="1" applyFill="1" applyBorder="1" applyAlignment="1">
      <alignment horizontal="left"/>
    </xf>
    <xf numFmtId="0" fontId="2" fillId="5" borderId="23" xfId="0" applyFont="1" applyFill="1" applyBorder="1" applyAlignment="1">
      <alignment horizontal="left"/>
    </xf>
    <xf numFmtId="167" fontId="5" fillId="4" borderId="6" xfId="0" applyNumberFormat="1" applyFont="1" applyFill="1" applyBorder="1" applyAlignment="1">
      <alignment horizontal="left"/>
    </xf>
    <xf numFmtId="0" fontId="29" fillId="5" borderId="23" xfId="0" applyFont="1" applyFill="1" applyBorder="1"/>
    <xf numFmtId="0" fontId="0" fillId="0" borderId="0" xfId="0" applyAlignment="1">
      <alignment horizontal="center" vertical="top"/>
    </xf>
    <xf numFmtId="0" fontId="2" fillId="5" borderId="8" xfId="0" applyFont="1" applyFill="1" applyBorder="1"/>
    <xf numFmtId="0" fontId="2" fillId="5" borderId="7" xfId="0" applyFont="1" applyFill="1" applyBorder="1"/>
    <xf numFmtId="0" fontId="2" fillId="5" borderId="23" xfId="0" applyFont="1" applyFill="1" applyBorder="1"/>
    <xf numFmtId="0" fontId="25" fillId="8" borderId="45" xfId="6" applyNumberFormat="1" applyFont="1" applyFill="1" applyBorder="1" applyAlignment="1" applyProtection="1">
      <alignment horizontal="left"/>
      <protection locked="0"/>
    </xf>
    <xf numFmtId="14" fontId="93" fillId="19" borderId="18" xfId="0" applyNumberFormat="1" applyFont="1" applyFill="1" applyBorder="1" applyAlignment="1">
      <alignment horizontal="left"/>
    </xf>
    <xf numFmtId="0" fontId="47" fillId="19" borderId="54" xfId="0" applyFont="1" applyFill="1" applyBorder="1" applyAlignment="1">
      <alignment horizontal="right"/>
    </xf>
    <xf numFmtId="0" fontId="47" fillId="19" borderId="55" xfId="0" applyFont="1" applyFill="1" applyBorder="1" applyAlignment="1">
      <alignment horizontal="right"/>
    </xf>
    <xf numFmtId="0" fontId="99" fillId="5" borderId="8" xfId="0" applyFont="1" applyFill="1" applyBorder="1" applyAlignment="1">
      <alignment horizontal="left"/>
    </xf>
    <xf numFmtId="0" fontId="23" fillId="0" borderId="4" xfId="0" applyFont="1" applyBorder="1"/>
    <xf numFmtId="173" fontId="75" fillId="5" borderId="13" xfId="0" applyNumberFormat="1" applyFont="1" applyFill="1" applyBorder="1"/>
    <xf numFmtId="0" fontId="85" fillId="5" borderId="8" xfId="0" applyFont="1" applyFill="1" applyBorder="1" applyAlignment="1">
      <alignment horizontal="left"/>
    </xf>
    <xf numFmtId="0" fontId="29" fillId="5" borderId="23" xfId="0" applyFont="1" applyFill="1" applyBorder="1" applyAlignment="1">
      <alignment horizontal="left"/>
    </xf>
    <xf numFmtId="167" fontId="29" fillId="4" borderId="6" xfId="0" applyNumberFormat="1" applyFont="1" applyFill="1" applyBorder="1" applyAlignment="1">
      <alignment horizontal="left"/>
    </xf>
    <xf numFmtId="173" fontId="85" fillId="5" borderId="13" xfId="0" applyNumberFormat="1" applyFont="1" applyFill="1" applyBorder="1"/>
    <xf numFmtId="0" fontId="61" fillId="5" borderId="8" xfId="0" applyFont="1" applyFill="1" applyBorder="1" applyAlignment="1">
      <alignment horizontal="left"/>
    </xf>
    <xf numFmtId="173" fontId="5" fillId="5" borderId="13" xfId="0" applyNumberFormat="1" applyFont="1" applyFill="1" applyBorder="1"/>
    <xf numFmtId="0" fontId="96" fillId="6" borderId="0" xfId="0" applyFont="1" applyFill="1"/>
    <xf numFmtId="0" fontId="96" fillId="6" borderId="35" xfId="0" applyFont="1" applyFill="1" applyBorder="1" applyAlignment="1">
      <alignment horizontal="right"/>
    </xf>
    <xf numFmtId="0" fontId="96" fillId="6" borderId="0" xfId="0" applyFont="1" applyFill="1" applyAlignment="1">
      <alignment horizontal="right"/>
    </xf>
    <xf numFmtId="167" fontId="2" fillId="4" borderId="6" xfId="0" applyNumberFormat="1" applyFont="1" applyFill="1" applyBorder="1" applyAlignment="1">
      <alignment horizontal="left"/>
    </xf>
    <xf numFmtId="0" fontId="56" fillId="6" borderId="0" xfId="0" applyFont="1" applyFill="1" applyAlignment="1">
      <alignment shrinkToFit="1"/>
    </xf>
    <xf numFmtId="0" fontId="100" fillId="6" borderId="0" xfId="0" applyFont="1" applyFill="1" applyAlignment="1">
      <alignment horizontal="right"/>
    </xf>
    <xf numFmtId="0" fontId="101" fillId="6" borderId="0" xfId="0" applyFont="1" applyFill="1" applyAlignment="1">
      <alignment horizontal="right"/>
    </xf>
    <xf numFmtId="0" fontId="56" fillId="6" borderId="1" xfId="0" applyFont="1" applyFill="1" applyBorder="1"/>
    <xf numFmtId="0" fontId="59" fillId="6" borderId="3" xfId="0" applyFont="1" applyFill="1" applyBorder="1" applyAlignment="1">
      <alignment horizontal="right"/>
    </xf>
    <xf numFmtId="0" fontId="68" fillId="0" borderId="4" xfId="0" applyFont="1" applyBorder="1"/>
    <xf numFmtId="0" fontId="68" fillId="0" borderId="0" xfId="0" applyFont="1" applyAlignment="1">
      <alignment horizontal="right"/>
    </xf>
    <xf numFmtId="0" fontId="0" fillId="0" borderId="12" xfId="0" applyBorder="1" applyAlignment="1">
      <alignment horizontal="center"/>
    </xf>
    <xf numFmtId="167" fontId="0" fillId="0" borderId="0" xfId="0" applyNumberFormat="1" applyAlignment="1">
      <alignment horizontal="center"/>
    </xf>
    <xf numFmtId="0" fontId="102" fillId="0" borderId="0" xfId="0" applyFont="1"/>
    <xf numFmtId="9" fontId="49" fillId="6" borderId="0" xfId="6" applyFont="1" applyFill="1" applyAlignment="1">
      <alignment horizontal="center"/>
    </xf>
    <xf numFmtId="167" fontId="0" fillId="0" borderId="0" xfId="1" applyNumberFormat="1" applyFont="1"/>
    <xf numFmtId="0" fontId="49" fillId="6" borderId="0" xfId="6" applyNumberFormat="1" applyFont="1" applyFill="1" applyBorder="1" applyAlignment="1" applyProtection="1">
      <alignment horizontal="center"/>
      <protection locked="0"/>
    </xf>
    <xf numFmtId="0" fontId="25" fillId="8" borderId="13" xfId="6" applyNumberFormat="1" applyFont="1" applyFill="1" applyBorder="1" applyAlignment="1" applyProtection="1">
      <alignment horizontal="center"/>
      <protection locked="0"/>
    </xf>
    <xf numFmtId="167" fontId="49" fillId="7" borderId="13" xfId="6" applyNumberFormat="1" applyFont="1" applyFill="1" applyBorder="1" applyAlignment="1">
      <alignment horizontal="center"/>
    </xf>
    <xf numFmtId="167" fontId="4" fillId="4" borderId="6" xfId="0" applyNumberFormat="1" applyFont="1" applyFill="1" applyBorder="1" applyAlignment="1">
      <alignment horizontal="left"/>
    </xf>
    <xf numFmtId="0" fontId="49" fillId="8" borderId="0" xfId="0" applyFont="1" applyFill="1"/>
    <xf numFmtId="0" fontId="25" fillId="8" borderId="0" xfId="6" applyNumberFormat="1" applyFont="1" applyFill="1" applyBorder="1" applyAlignment="1" applyProtection="1">
      <alignment horizontal="center"/>
      <protection locked="0"/>
    </xf>
    <xf numFmtId="167" fontId="49" fillId="8" borderId="0" xfId="6" applyNumberFormat="1" applyFont="1" applyFill="1" applyBorder="1" applyAlignment="1">
      <alignment horizontal="center"/>
    </xf>
    <xf numFmtId="167" fontId="49" fillId="7" borderId="56" xfId="6" applyNumberFormat="1" applyFont="1" applyFill="1" applyBorder="1" applyAlignment="1">
      <alignment horizontal="center"/>
    </xf>
    <xf numFmtId="167" fontId="49" fillId="10" borderId="14" xfId="6" applyNumberFormat="1" applyFont="1" applyFill="1" applyBorder="1" applyAlignment="1">
      <alignment horizontal="center"/>
    </xf>
    <xf numFmtId="9" fontId="25" fillId="0" borderId="0" xfId="0" applyNumberFormat="1" applyFont="1" applyProtection="1">
      <protection locked="0"/>
    </xf>
    <xf numFmtId="0" fontId="47" fillId="11" borderId="4" xfId="0" applyFont="1" applyFill="1" applyBorder="1" applyAlignment="1">
      <alignment vertical="top" wrapText="1"/>
    </xf>
    <xf numFmtId="0" fontId="47" fillId="11" borderId="0" xfId="0" applyFont="1" applyFill="1" applyAlignment="1">
      <alignment vertical="top" wrapText="1"/>
    </xf>
    <xf numFmtId="0" fontId="25" fillId="11" borderId="0" xfId="0" applyFont="1" applyFill="1" applyAlignment="1">
      <alignment horizontal="left"/>
    </xf>
    <xf numFmtId="9" fontId="25" fillId="11" borderId="0" xfId="6" applyFont="1" applyFill="1" applyAlignment="1">
      <alignment horizontal="left"/>
    </xf>
    <xf numFmtId="0" fontId="25" fillId="11" borderId="4" xfId="0" applyFont="1" applyFill="1" applyBorder="1"/>
    <xf numFmtId="0" fontId="25" fillId="11" borderId="0" xfId="0" applyFont="1" applyFill="1"/>
    <xf numFmtId="0" fontId="25" fillId="11" borderId="36" xfId="0" applyFont="1" applyFill="1" applyBorder="1" applyAlignment="1" applyProtection="1">
      <alignment horizontal="left"/>
      <protection locked="0"/>
    </xf>
    <xf numFmtId="14" fontId="50" fillId="11" borderId="0" xfId="0" applyNumberFormat="1" applyFont="1" applyFill="1" applyAlignment="1">
      <alignment horizontal="left"/>
    </xf>
    <xf numFmtId="167" fontId="25" fillId="11" borderId="36" xfId="0" applyNumberFormat="1" applyFont="1" applyFill="1" applyBorder="1" applyAlignment="1" applyProtection="1">
      <alignment horizontal="left"/>
      <protection locked="0"/>
    </xf>
    <xf numFmtId="0" fontId="25" fillId="11" borderId="0" xfId="0" applyFont="1" applyFill="1" applyAlignment="1">
      <alignment readingOrder="1"/>
    </xf>
    <xf numFmtId="0" fontId="25" fillId="11" borderId="0" xfId="0" applyFont="1" applyFill="1" applyAlignment="1">
      <alignment horizontal="center" readingOrder="1"/>
    </xf>
    <xf numFmtId="14" fontId="49" fillId="11" borderId="0" xfId="0" applyNumberFormat="1" applyFont="1" applyFill="1" applyAlignment="1">
      <alignment horizontal="left"/>
    </xf>
    <xf numFmtId="0" fontId="49" fillId="11" borderId="0" xfId="0" applyFont="1" applyFill="1" applyAlignment="1">
      <alignment horizontal="right"/>
    </xf>
    <xf numFmtId="0" fontId="49" fillId="11" borderId="35" xfId="0" applyFont="1" applyFill="1" applyBorder="1" applyAlignment="1">
      <alignment horizontal="right"/>
    </xf>
    <xf numFmtId="0" fontId="25" fillId="11" borderId="0" xfId="0" applyFont="1" applyFill="1" applyProtection="1">
      <protection locked="0"/>
    </xf>
    <xf numFmtId="0" fontId="47" fillId="11" borderId="0" xfId="0" applyFont="1" applyFill="1" applyAlignment="1">
      <alignment horizontal="right" vertical="center"/>
    </xf>
    <xf numFmtId="167" fontId="29" fillId="11" borderId="0" xfId="0" applyNumberFormat="1" applyFont="1" applyFill="1" applyAlignment="1">
      <alignment vertical="center"/>
    </xf>
    <xf numFmtId="0" fontId="48" fillId="11" borderId="0" xfId="0" applyFont="1" applyFill="1" applyAlignment="1">
      <alignment horizontal="right"/>
    </xf>
    <xf numFmtId="0" fontId="25" fillId="11" borderId="0" xfId="0" applyFont="1" applyFill="1" applyAlignment="1" applyProtection="1">
      <alignment horizontal="left"/>
      <protection locked="0"/>
    </xf>
    <xf numFmtId="167" fontId="25" fillId="11" borderId="0" xfId="0" applyNumberFormat="1" applyFont="1" applyFill="1" applyAlignment="1" applyProtection="1">
      <alignment horizontal="left"/>
      <protection locked="0"/>
    </xf>
    <xf numFmtId="0" fontId="49" fillId="11" borderId="0" xfId="0" applyFont="1" applyFill="1" applyAlignment="1">
      <alignment horizontal="left"/>
    </xf>
    <xf numFmtId="0" fontId="49" fillId="11" borderId="0" xfId="6" applyNumberFormat="1" applyFont="1" applyFill="1" applyBorder="1" applyAlignment="1" applyProtection="1">
      <alignment horizontal="left"/>
      <protection locked="0"/>
    </xf>
    <xf numFmtId="0" fontId="25" fillId="11" borderId="4" xfId="0" applyFont="1" applyFill="1" applyBorder="1" applyProtection="1">
      <protection locked="0"/>
    </xf>
    <xf numFmtId="0" fontId="25" fillId="11" borderId="10" xfId="0" applyFont="1" applyFill="1" applyBorder="1" applyProtection="1">
      <protection locked="0"/>
    </xf>
    <xf numFmtId="0" fontId="25" fillId="11" borderId="51" xfId="0" applyFont="1" applyFill="1" applyBorder="1" applyProtection="1">
      <protection locked="0"/>
    </xf>
    <xf numFmtId="0" fontId="25" fillId="11" borderId="50" xfId="0" applyFont="1" applyFill="1" applyBorder="1" applyAlignment="1" applyProtection="1">
      <alignment horizontal="center"/>
      <protection locked="0"/>
    </xf>
    <xf numFmtId="0" fontId="25" fillId="11" borderId="11" xfId="0" applyFont="1" applyFill="1" applyBorder="1" applyAlignment="1" applyProtection="1">
      <alignment horizontal="center"/>
      <protection locked="0"/>
    </xf>
    <xf numFmtId="0" fontId="25" fillId="11" borderId="51" xfId="0" applyFont="1" applyFill="1" applyBorder="1" applyAlignment="1" applyProtection="1">
      <alignment horizontal="center"/>
      <protection locked="0"/>
    </xf>
    <xf numFmtId="0" fontId="25" fillId="11" borderId="52" xfId="0" applyFont="1" applyFill="1" applyBorder="1" applyAlignment="1" applyProtection="1">
      <alignment horizontal="center"/>
      <protection locked="0"/>
    </xf>
    <xf numFmtId="0" fontId="25" fillId="11" borderId="50" xfId="0" applyFont="1" applyFill="1" applyBorder="1" applyAlignment="1">
      <alignment horizontal="left"/>
    </xf>
    <xf numFmtId="167" fontId="29" fillId="11" borderId="11" xfId="0" applyNumberFormat="1" applyFont="1" applyFill="1" applyBorder="1" applyAlignment="1">
      <alignment horizontal="center" vertical="center"/>
    </xf>
    <xf numFmtId="0" fontId="25" fillId="11" borderId="0" xfId="0" applyFont="1" applyFill="1" applyAlignment="1" applyProtection="1">
      <alignment horizontal="center"/>
      <protection locked="0"/>
    </xf>
    <xf numFmtId="9" fontId="25" fillId="11" borderId="0" xfId="6" applyFont="1" applyFill="1" applyBorder="1" applyAlignment="1" applyProtection="1">
      <alignment horizontal="right"/>
      <protection locked="0"/>
    </xf>
    <xf numFmtId="0" fontId="25" fillId="21" borderId="0" xfId="0" applyFont="1" applyFill="1" applyAlignment="1">
      <alignment horizontal="left"/>
    </xf>
    <xf numFmtId="171" fontId="25" fillId="21" borderId="0" xfId="0" applyNumberFormat="1" applyFont="1" applyFill="1" applyAlignment="1">
      <alignment horizontal="left"/>
    </xf>
    <xf numFmtId="0" fontId="27" fillId="22" borderId="0" xfId="0" applyFont="1" applyFill="1" applyAlignment="1" applyProtection="1">
      <alignment horizontal="center"/>
      <protection locked="0"/>
    </xf>
    <xf numFmtId="9" fontId="25" fillId="11" borderId="0" xfId="6" applyFont="1" applyFill="1" applyBorder="1" applyAlignment="1" applyProtection="1">
      <alignment horizontal="left"/>
      <protection locked="0"/>
    </xf>
    <xf numFmtId="167" fontId="29" fillId="11" borderId="0" xfId="0" applyNumberFormat="1" applyFont="1" applyFill="1" applyAlignment="1" applyProtection="1">
      <alignment horizontal="center" vertical="center"/>
      <protection locked="0"/>
    </xf>
    <xf numFmtId="0" fontId="28" fillId="11" borderId="0" xfId="0" applyFont="1" applyFill="1" applyAlignment="1" applyProtection="1">
      <alignment horizontal="center" vertical="center"/>
      <protection locked="0"/>
    </xf>
    <xf numFmtId="0" fontId="26" fillId="11" borderId="0" xfId="0" applyFont="1" applyFill="1" applyAlignment="1" applyProtection="1">
      <alignment horizontal="left" vertical="center" wrapText="1"/>
      <protection locked="0"/>
    </xf>
    <xf numFmtId="0" fontId="28" fillId="11" borderId="0" xfId="0" applyFont="1" applyFill="1" applyAlignment="1" applyProtection="1">
      <alignment vertical="center"/>
      <protection locked="0"/>
    </xf>
    <xf numFmtId="0" fontId="43" fillId="11" borderId="0" xfId="0" applyFont="1" applyFill="1" applyAlignment="1" applyProtection="1">
      <alignment horizontal="right"/>
      <protection locked="0"/>
    </xf>
    <xf numFmtId="0" fontId="25" fillId="21" borderId="0" xfId="1" applyNumberFormat="1" applyFont="1" applyFill="1" applyBorder="1" applyProtection="1">
      <protection locked="0"/>
    </xf>
    <xf numFmtId="0" fontId="70" fillId="11" borderId="0" xfId="1" applyNumberFormat="1" applyFont="1" applyFill="1" applyBorder="1" applyProtection="1">
      <protection locked="0"/>
    </xf>
    <xf numFmtId="9" fontId="27" fillId="11" borderId="0" xfId="6" applyFont="1" applyFill="1" applyBorder="1" applyProtection="1">
      <protection locked="0"/>
    </xf>
    <xf numFmtId="0" fontId="27" fillId="11" borderId="0" xfId="0" applyFont="1" applyFill="1" applyAlignment="1" applyProtection="1">
      <alignment horizontal="right"/>
      <protection locked="0"/>
    </xf>
    <xf numFmtId="0" fontId="27" fillId="11" borderId="0" xfId="0" applyFont="1" applyFill="1" applyAlignment="1" applyProtection="1">
      <alignment horizontal="left"/>
      <protection locked="0"/>
    </xf>
    <xf numFmtId="0" fontId="71" fillId="11" borderId="0" xfId="6" applyNumberFormat="1" applyFont="1" applyFill="1" applyBorder="1" applyAlignment="1" applyProtection="1">
      <alignment horizontal="center"/>
      <protection locked="0"/>
    </xf>
    <xf numFmtId="0" fontId="72" fillId="11" borderId="0" xfId="6" applyNumberFormat="1" applyFont="1" applyFill="1" applyBorder="1" applyProtection="1">
      <protection locked="0"/>
    </xf>
    <xf numFmtId="167" fontId="25" fillId="11" borderId="0" xfId="0" applyNumberFormat="1" applyFont="1" applyFill="1" applyAlignment="1" applyProtection="1">
      <alignment horizontal="center"/>
      <protection locked="0"/>
    </xf>
    <xf numFmtId="9" fontId="25" fillId="11" borderId="0" xfId="6" applyFont="1" applyFill="1" applyBorder="1" applyProtection="1">
      <protection locked="0"/>
    </xf>
    <xf numFmtId="0" fontId="25" fillId="11" borderId="0" xfId="1" applyNumberFormat="1" applyFont="1" applyFill="1" applyBorder="1" applyAlignment="1" applyProtection="1">
      <alignment horizontal="center"/>
      <protection locked="0"/>
    </xf>
    <xf numFmtId="172" fontId="53" fillId="20" borderId="0" xfId="1" applyNumberFormat="1" applyFont="1" applyFill="1" applyBorder="1" applyProtection="1">
      <protection locked="0"/>
    </xf>
    <xf numFmtId="0" fontId="25" fillId="11" borderId="0" xfId="1" applyNumberFormat="1" applyFont="1" applyFill="1" applyBorder="1" applyAlignment="1" applyProtection="1">
      <alignment horizontal="center" shrinkToFit="1"/>
      <protection locked="0"/>
    </xf>
    <xf numFmtId="172" fontId="44" fillId="20" borderId="0" xfId="1" applyNumberFormat="1" applyFont="1" applyFill="1" applyBorder="1" applyAlignment="1" applyProtection="1">
      <alignment horizontal="left"/>
      <protection locked="0"/>
    </xf>
    <xf numFmtId="9" fontId="25" fillId="11" borderId="0" xfId="6" applyFont="1" applyFill="1" applyBorder="1" applyAlignment="1" applyProtection="1">
      <alignment horizontal="center"/>
      <protection locked="0"/>
    </xf>
    <xf numFmtId="165" fontId="25" fillId="11" borderId="0" xfId="1" applyNumberFormat="1" applyFont="1" applyFill="1" applyBorder="1" applyAlignment="1" applyProtection="1">
      <alignment horizontal="left"/>
      <protection locked="0"/>
    </xf>
    <xf numFmtId="0" fontId="25" fillId="11" borderId="0" xfId="6" applyNumberFormat="1" applyFont="1" applyFill="1" applyBorder="1" applyAlignment="1">
      <alignment horizontal="center"/>
    </xf>
    <xf numFmtId="167" fontId="25" fillId="11" borderId="0" xfId="0" applyNumberFormat="1" applyFont="1" applyFill="1" applyAlignment="1" applyProtection="1">
      <alignment wrapText="1"/>
      <protection locked="0"/>
    </xf>
    <xf numFmtId="0" fontId="25" fillId="11" borderId="0" xfId="6" applyNumberFormat="1" applyFont="1" applyFill="1" applyBorder="1" applyAlignment="1" applyProtection="1">
      <alignment horizontal="center"/>
      <protection locked="0"/>
    </xf>
    <xf numFmtId="166" fontId="25" fillId="20" borderId="0" xfId="6" applyNumberFormat="1" applyFont="1" applyFill="1" applyBorder="1" applyAlignment="1" applyProtection="1">
      <alignment horizontal="center"/>
      <protection locked="0"/>
    </xf>
    <xf numFmtId="0" fontId="25" fillId="11" borderId="0" xfId="0" applyFont="1" applyFill="1" applyAlignment="1" applyProtection="1">
      <alignment wrapText="1"/>
      <protection locked="0"/>
    </xf>
    <xf numFmtId="2" fontId="43" fillId="14" borderId="13" xfId="0" applyNumberFormat="1" applyFont="1" applyFill="1" applyBorder="1" applyAlignment="1" applyProtection="1">
      <alignment horizontal="left"/>
      <protection locked="0"/>
    </xf>
    <xf numFmtId="1" fontId="27" fillId="14" borderId="13" xfId="0" applyNumberFormat="1" applyFont="1" applyFill="1" applyBorder="1" applyAlignment="1" applyProtection="1">
      <alignment horizontal="left"/>
      <protection locked="0"/>
    </xf>
    <xf numFmtId="2" fontId="27" fillId="14" borderId="8" xfId="0" applyNumberFormat="1" applyFont="1" applyFill="1" applyBorder="1" applyAlignment="1" applyProtection="1">
      <alignment horizontal="left"/>
      <protection locked="0"/>
    </xf>
    <xf numFmtId="2" fontId="27" fillId="14" borderId="13" xfId="0" applyNumberFormat="1" applyFont="1" applyFill="1" applyBorder="1" applyAlignment="1" applyProtection="1">
      <alignment horizontal="left"/>
      <protection locked="0"/>
    </xf>
    <xf numFmtId="167" fontId="49" fillId="8" borderId="13" xfId="6" applyNumberFormat="1" applyFont="1" applyFill="1" applyBorder="1" applyAlignment="1" applyProtection="1">
      <alignment horizontal="center"/>
      <protection locked="0"/>
    </xf>
    <xf numFmtId="2" fontId="47" fillId="14" borderId="13" xfId="0" applyNumberFormat="1" applyFont="1" applyFill="1" applyBorder="1" applyAlignment="1" applyProtection="1">
      <alignment horizontal="left"/>
      <protection locked="0"/>
    </xf>
    <xf numFmtId="2" fontId="48" fillId="14" borderId="13" xfId="0" applyNumberFormat="1" applyFont="1" applyFill="1" applyBorder="1" applyAlignment="1" applyProtection="1">
      <alignment horizontal="left"/>
      <protection locked="0"/>
    </xf>
    <xf numFmtId="2" fontId="50" fillId="14" borderId="13" xfId="0" applyNumberFormat="1" applyFont="1" applyFill="1" applyBorder="1" applyAlignment="1" applyProtection="1">
      <alignment horizontal="left"/>
      <protection locked="0"/>
    </xf>
    <xf numFmtId="2" fontId="69" fillId="14" borderId="13" xfId="0" applyNumberFormat="1" applyFont="1" applyFill="1" applyBorder="1" applyAlignment="1" applyProtection="1">
      <alignment horizontal="left"/>
      <protection locked="0"/>
    </xf>
    <xf numFmtId="173" fontId="27" fillId="15" borderId="13" xfId="0" applyNumberFormat="1" applyFont="1" applyFill="1" applyBorder="1" applyAlignment="1">
      <alignment horizontal="left"/>
    </xf>
    <xf numFmtId="173" fontId="53" fillId="5" borderId="57" xfId="0" applyNumberFormat="1" applyFont="1" applyFill="1" applyBorder="1" applyProtection="1">
      <protection locked="0"/>
    </xf>
    <xf numFmtId="0" fontId="25" fillId="5" borderId="27" xfId="0" applyFont="1" applyFill="1" applyBorder="1" applyProtection="1">
      <protection locked="0"/>
    </xf>
    <xf numFmtId="0" fontId="25" fillId="5" borderId="29" xfId="0" applyFont="1" applyFill="1" applyBorder="1" applyProtection="1">
      <protection locked="0"/>
    </xf>
    <xf numFmtId="173" fontId="53" fillId="5" borderId="13" xfId="0" applyNumberFormat="1" applyFont="1" applyFill="1" applyBorder="1" applyProtection="1">
      <protection locked="0"/>
    </xf>
    <xf numFmtId="173" fontId="53" fillId="5" borderId="56" xfId="0" applyNumberFormat="1" applyFont="1" applyFill="1" applyBorder="1" applyProtection="1">
      <protection locked="0"/>
    </xf>
    <xf numFmtId="0" fontId="25" fillId="5" borderId="24" xfId="0" applyFont="1" applyFill="1" applyBorder="1" applyAlignment="1" applyProtection="1">
      <alignment horizontal="left"/>
      <protection locked="0"/>
    </xf>
    <xf numFmtId="0" fontId="25" fillId="5" borderId="25" xfId="0" applyFont="1" applyFill="1" applyBorder="1" applyProtection="1">
      <protection locked="0"/>
    </xf>
    <xf numFmtId="0" fontId="31" fillId="5" borderId="26" xfId="0" applyFont="1" applyFill="1" applyBorder="1" applyAlignment="1" applyProtection="1">
      <alignment horizontal="right"/>
      <protection locked="0"/>
    </xf>
    <xf numFmtId="167" fontId="44" fillId="4" borderId="6" xfId="0" applyNumberFormat="1" applyFont="1" applyFill="1" applyBorder="1" applyAlignment="1" applyProtection="1">
      <alignment horizontal="left"/>
      <protection locked="0"/>
    </xf>
    <xf numFmtId="167" fontId="25" fillId="4" borderId="6" xfId="0" applyNumberFormat="1" applyFont="1" applyFill="1" applyBorder="1" applyAlignment="1" applyProtection="1">
      <alignment horizontal="left"/>
      <protection locked="0"/>
    </xf>
    <xf numFmtId="9" fontId="105" fillId="5" borderId="60" xfId="6" applyFont="1" applyFill="1" applyBorder="1" applyAlignment="1" applyProtection="1">
      <alignment horizontal="center"/>
      <protection locked="0"/>
    </xf>
    <xf numFmtId="0" fontId="25" fillId="0" borderId="7" xfId="0" applyFont="1" applyBorder="1" applyProtection="1">
      <protection locked="0"/>
    </xf>
    <xf numFmtId="0" fontId="53" fillId="5" borderId="8" xfId="0" applyFont="1" applyFill="1" applyBorder="1" applyAlignment="1" applyProtection="1">
      <alignment horizontal="left"/>
      <protection locked="0"/>
    </xf>
    <xf numFmtId="173" fontId="4" fillId="5" borderId="13" xfId="0" applyNumberFormat="1" applyFont="1" applyFill="1" applyBorder="1" applyProtection="1">
      <protection locked="0"/>
    </xf>
    <xf numFmtId="167" fontId="2" fillId="4" borderId="6" xfId="0" applyNumberFormat="1" applyFont="1" applyFill="1" applyBorder="1" applyAlignment="1" applyProtection="1">
      <alignment horizontal="left"/>
      <protection locked="0"/>
    </xf>
    <xf numFmtId="0" fontId="2" fillId="5" borderId="8" xfId="0" applyFont="1" applyFill="1" applyBorder="1" applyAlignment="1" applyProtection="1">
      <alignment horizontal="left"/>
      <protection locked="0"/>
    </xf>
    <xf numFmtId="0" fontId="25" fillId="5" borderId="23" xfId="0" applyFont="1" applyFill="1" applyBorder="1" applyProtection="1">
      <protection locked="0"/>
    </xf>
    <xf numFmtId="0" fontId="25" fillId="5" borderId="23" xfId="0" applyFont="1" applyFill="1" applyBorder="1" applyAlignment="1" applyProtection="1">
      <alignment horizontal="left"/>
      <protection locked="0"/>
    </xf>
    <xf numFmtId="173" fontId="5" fillId="5" borderId="13" xfId="0" applyNumberFormat="1" applyFont="1" applyFill="1" applyBorder="1" applyProtection="1">
      <protection locked="0"/>
    </xf>
    <xf numFmtId="167" fontId="5" fillId="4" borderId="6" xfId="0" applyNumberFormat="1" applyFont="1" applyFill="1" applyBorder="1" applyAlignment="1" applyProtection="1">
      <alignment horizontal="left"/>
      <protection locked="0"/>
    </xf>
    <xf numFmtId="0" fontId="50" fillId="12" borderId="35" xfId="0" applyFont="1" applyFill="1" applyBorder="1" applyProtection="1">
      <protection locked="0"/>
    </xf>
    <xf numFmtId="0" fontId="25" fillId="5" borderId="13" xfId="0" applyFont="1" applyFill="1" applyBorder="1"/>
    <xf numFmtId="0" fontId="25" fillId="7" borderId="13" xfId="0" applyFont="1" applyFill="1" applyBorder="1" applyAlignment="1">
      <alignment horizontal="center"/>
    </xf>
    <xf numFmtId="0" fontId="25" fillId="5" borderId="13" xfId="0" applyFont="1" applyFill="1" applyBorder="1" applyAlignment="1">
      <alignment horizontal="center"/>
    </xf>
    <xf numFmtId="167" fontId="29" fillId="3" borderId="14" xfId="0" applyNumberFormat="1" applyFont="1" applyFill="1" applyBorder="1" applyAlignment="1">
      <alignment horizontal="center" vertical="center"/>
    </xf>
    <xf numFmtId="0" fontId="5" fillId="5" borderId="8" xfId="0" applyFont="1" applyFill="1" applyBorder="1" applyAlignment="1">
      <alignment horizontal="left"/>
    </xf>
    <xf numFmtId="0" fontId="5" fillId="5" borderId="8" xfId="0" applyFont="1" applyFill="1" applyBorder="1"/>
    <xf numFmtId="0" fontId="25" fillId="5" borderId="63" xfId="0" applyFont="1" applyFill="1" applyBorder="1" applyAlignment="1">
      <alignment horizontal="center"/>
    </xf>
    <xf numFmtId="0" fontId="25" fillId="5" borderId="64" xfId="0" applyFont="1" applyFill="1" applyBorder="1" applyAlignment="1">
      <alignment horizontal="center"/>
    </xf>
    <xf numFmtId="0" fontId="2" fillId="5" borderId="64" xfId="0" applyFont="1" applyFill="1" applyBorder="1" applyAlignment="1">
      <alignment horizontal="center"/>
    </xf>
    <xf numFmtId="0" fontId="25" fillId="5" borderId="65" xfId="0" applyFont="1" applyFill="1" applyBorder="1" applyAlignment="1">
      <alignment horizontal="center"/>
    </xf>
    <xf numFmtId="0" fontId="15" fillId="5" borderId="8" xfId="0" applyFont="1" applyFill="1" applyBorder="1" applyAlignment="1">
      <alignment horizontal="left"/>
    </xf>
    <xf numFmtId="0" fontId="15" fillId="5" borderId="8" xfId="0" applyFont="1" applyFill="1" applyBorder="1"/>
    <xf numFmtId="0" fontId="27" fillId="5" borderId="8" xfId="0" applyFont="1" applyFill="1" applyBorder="1" applyAlignment="1">
      <alignment horizontal="center"/>
    </xf>
    <xf numFmtId="0" fontId="27" fillId="5" borderId="7" xfId="0" applyFont="1" applyFill="1" applyBorder="1" applyAlignment="1">
      <alignment horizontal="center"/>
    </xf>
    <xf numFmtId="0" fontId="27" fillId="5" borderId="23" xfId="0" applyFont="1" applyFill="1" applyBorder="1" applyAlignment="1">
      <alignment horizontal="center"/>
    </xf>
    <xf numFmtId="0" fontId="2" fillId="5" borderId="8" xfId="0" applyFont="1" applyFill="1" applyBorder="1" applyAlignment="1">
      <alignment horizontal="left"/>
    </xf>
    <xf numFmtId="0" fontId="2" fillId="5" borderId="7" xfId="0" applyFont="1" applyFill="1" applyBorder="1" applyAlignment="1">
      <alignment horizontal="left"/>
    </xf>
    <xf numFmtId="0" fontId="2" fillId="5" borderId="23" xfId="0" applyFont="1" applyFill="1" applyBorder="1" applyAlignment="1">
      <alignment horizontal="left"/>
    </xf>
    <xf numFmtId="0" fontId="98" fillId="5" borderId="8" xfId="0" applyFont="1" applyFill="1" applyBorder="1" applyAlignment="1">
      <alignment horizontal="left"/>
    </xf>
    <xf numFmtId="0" fontId="98" fillId="5" borderId="7" xfId="0" applyFont="1" applyFill="1" applyBorder="1" applyAlignment="1">
      <alignment horizontal="left"/>
    </xf>
    <xf numFmtId="0" fontId="98" fillId="5" borderId="23" xfId="0" applyFont="1" applyFill="1" applyBorder="1" applyAlignment="1">
      <alignment horizontal="left"/>
    </xf>
    <xf numFmtId="0" fontId="25" fillId="5" borderId="8" xfId="0" applyFont="1" applyFill="1" applyBorder="1" applyAlignment="1">
      <alignment horizontal="left"/>
    </xf>
    <xf numFmtId="0" fontId="25" fillId="5" borderId="7" xfId="0" applyFont="1" applyFill="1" applyBorder="1" applyAlignment="1">
      <alignment horizontal="left"/>
    </xf>
    <xf numFmtId="0" fontId="25" fillId="5" borderId="23" xfId="0" applyFont="1" applyFill="1" applyBorder="1" applyAlignment="1">
      <alignment horizontal="left"/>
    </xf>
    <xf numFmtId="0" fontId="29" fillId="5" borderId="8" xfId="0" applyFont="1" applyFill="1" applyBorder="1" applyAlignment="1">
      <alignment horizontal="center"/>
    </xf>
    <xf numFmtId="0" fontId="29" fillId="5" borderId="7" xfId="0" applyFont="1" applyFill="1" applyBorder="1" applyAlignment="1">
      <alignment horizontal="center"/>
    </xf>
    <xf numFmtId="0" fontId="29" fillId="5" borderId="23" xfId="0" applyFont="1" applyFill="1" applyBorder="1" applyAlignment="1">
      <alignment horizontal="center"/>
    </xf>
    <xf numFmtId="0" fontId="27" fillId="4" borderId="19" xfId="0" applyFont="1" applyFill="1" applyBorder="1" applyAlignment="1">
      <alignment horizontal="left"/>
    </xf>
    <xf numFmtId="0" fontId="27" fillId="4" borderId="0" xfId="0" applyFont="1" applyFill="1" applyAlignment="1">
      <alignment horizontal="left"/>
    </xf>
    <xf numFmtId="0" fontId="27" fillId="4" borderId="5" xfId="0" applyFont="1" applyFill="1" applyBorder="1" applyAlignment="1">
      <alignment horizontal="left"/>
    </xf>
    <xf numFmtId="0" fontId="25" fillId="5" borderId="6" xfId="0" applyFont="1" applyFill="1" applyBorder="1" applyAlignment="1">
      <alignment horizontal="left"/>
    </xf>
    <xf numFmtId="0" fontId="61" fillId="5" borderId="8" xfId="0" applyFont="1" applyFill="1" applyBorder="1" applyAlignment="1">
      <alignment horizontal="left"/>
    </xf>
    <xf numFmtId="0" fontId="53" fillId="5" borderId="7" xfId="0" applyFont="1" applyFill="1" applyBorder="1" applyAlignment="1">
      <alignment horizontal="left"/>
    </xf>
    <xf numFmtId="0" fontId="53" fillId="5" borderId="23" xfId="0" applyFont="1" applyFill="1" applyBorder="1" applyAlignment="1">
      <alignment horizontal="left"/>
    </xf>
    <xf numFmtId="0" fontId="27" fillId="17" borderId="20" xfId="0" applyFont="1" applyFill="1" applyBorder="1" applyAlignment="1">
      <alignment horizontal="center" vertical="center" wrapText="1"/>
    </xf>
    <xf numFmtId="0" fontId="27" fillId="17" borderId="21" xfId="0" applyFont="1" applyFill="1" applyBorder="1" applyAlignment="1">
      <alignment horizontal="center" vertical="center" wrapText="1"/>
    </xf>
    <xf numFmtId="0" fontId="27" fillId="17" borderId="22" xfId="0" applyFont="1" applyFill="1" applyBorder="1" applyAlignment="1">
      <alignment horizontal="center" vertical="center" wrapText="1"/>
    </xf>
    <xf numFmtId="0" fontId="12" fillId="7" borderId="16" xfId="0" applyFont="1" applyFill="1" applyBorder="1" applyAlignment="1">
      <alignment horizontal="center" vertical="center"/>
    </xf>
    <xf numFmtId="0" fontId="12" fillId="7" borderId="17" xfId="0" applyFont="1" applyFill="1" applyBorder="1" applyAlignment="1">
      <alignment horizontal="center" vertical="center"/>
    </xf>
    <xf numFmtId="0" fontId="12" fillId="7" borderId="15" xfId="0" applyFont="1" applyFill="1" applyBorder="1" applyAlignment="1">
      <alignment horizontal="center" vertical="center"/>
    </xf>
    <xf numFmtId="0" fontId="53" fillId="5" borderId="8" xfId="0" applyFont="1" applyFill="1" applyBorder="1" applyAlignment="1">
      <alignment horizontal="left"/>
    </xf>
    <xf numFmtId="0" fontId="25" fillId="5" borderId="24" xfId="0" applyFont="1" applyFill="1" applyBorder="1" applyAlignment="1">
      <alignment horizontal="left"/>
    </xf>
    <xf numFmtId="0" fontId="25" fillId="5" borderId="25" xfId="0" applyFont="1" applyFill="1" applyBorder="1" applyAlignment="1">
      <alignment horizontal="left"/>
    </xf>
    <xf numFmtId="0" fontId="25" fillId="5" borderId="26" xfId="0" applyFont="1" applyFill="1" applyBorder="1" applyAlignment="1">
      <alignment horizontal="left"/>
    </xf>
    <xf numFmtId="0" fontId="44" fillId="5" borderId="8" xfId="0" applyFont="1" applyFill="1" applyBorder="1" applyAlignment="1">
      <alignment horizontal="left"/>
    </xf>
    <xf numFmtId="0" fontId="2" fillId="5" borderId="8" xfId="0" applyFont="1" applyFill="1" applyBorder="1" applyAlignment="1" applyProtection="1">
      <alignment horizontal="left" vertical="top" wrapText="1"/>
      <protection locked="0"/>
    </xf>
    <xf numFmtId="0" fontId="2" fillId="5" borderId="7" xfId="0" applyFont="1" applyFill="1" applyBorder="1" applyAlignment="1" applyProtection="1">
      <alignment horizontal="left" vertical="top" wrapText="1"/>
      <protection locked="0"/>
    </xf>
    <xf numFmtId="0" fontId="2" fillId="5" borderId="23" xfId="0" applyFont="1" applyFill="1" applyBorder="1" applyAlignment="1" applyProtection="1">
      <alignment horizontal="left" vertical="top" wrapText="1"/>
      <protection locked="0"/>
    </xf>
    <xf numFmtId="0" fontId="74" fillId="11" borderId="0" xfId="0" applyFont="1" applyFill="1" applyAlignment="1" applyProtection="1">
      <alignment horizontal="center" vertical="top" wrapText="1"/>
      <protection locked="0"/>
    </xf>
    <xf numFmtId="0" fontId="27" fillId="11" borderId="0" xfId="0" applyFont="1" applyFill="1" applyAlignment="1" applyProtection="1">
      <alignment horizontal="right"/>
      <protection locked="0"/>
    </xf>
    <xf numFmtId="0" fontId="49" fillId="6" borderId="0" xfId="0" applyFont="1" applyFill="1" applyAlignment="1">
      <alignment horizontal="right"/>
    </xf>
    <xf numFmtId="0" fontId="49" fillId="6" borderId="35" xfId="0" applyFont="1" applyFill="1" applyBorder="1" applyAlignment="1">
      <alignment horizontal="right"/>
    </xf>
    <xf numFmtId="0" fontId="27" fillId="20" borderId="41" xfId="0" applyFont="1" applyFill="1" applyBorder="1" applyAlignment="1">
      <alignment horizontal="center"/>
    </xf>
    <xf numFmtId="0" fontId="27" fillId="20" borderId="42" xfId="0" applyFont="1" applyFill="1" applyBorder="1" applyAlignment="1">
      <alignment horizontal="center"/>
    </xf>
    <xf numFmtId="0" fontId="27" fillId="20" borderId="43" xfId="0" applyFont="1" applyFill="1" applyBorder="1" applyAlignment="1">
      <alignment horizontal="center"/>
    </xf>
    <xf numFmtId="0" fontId="49" fillId="11" borderId="0" xfId="0" applyFont="1" applyFill="1" applyAlignment="1">
      <alignment horizontal="right"/>
    </xf>
    <xf numFmtId="0" fontId="49" fillId="11" borderId="35" xfId="0" applyFont="1" applyFill="1" applyBorder="1" applyAlignment="1">
      <alignment horizontal="right"/>
    </xf>
    <xf numFmtId="0" fontId="69" fillId="6" borderId="0" xfId="0" applyFont="1" applyFill="1" applyAlignment="1">
      <alignment horizontal="right"/>
    </xf>
    <xf numFmtId="0" fontId="69" fillId="6" borderId="35" xfId="0" applyFont="1" applyFill="1" applyBorder="1" applyAlignment="1">
      <alignment horizontal="right"/>
    </xf>
    <xf numFmtId="0" fontId="50" fillId="11" borderId="0" xfId="0" applyFont="1" applyFill="1" applyAlignment="1">
      <alignment horizontal="right"/>
    </xf>
    <xf numFmtId="0" fontId="50" fillId="11" borderId="35" xfId="0" applyFont="1" applyFill="1" applyBorder="1" applyAlignment="1">
      <alignment horizontal="right"/>
    </xf>
    <xf numFmtId="0" fontId="49" fillId="11" borderId="8" xfId="0" applyFont="1" applyFill="1" applyBorder="1" applyAlignment="1">
      <alignment horizontal="left"/>
    </xf>
    <xf numFmtId="0" fontId="49" fillId="11" borderId="7" xfId="0" applyFont="1" applyFill="1" applyBorder="1" applyAlignment="1">
      <alignment horizontal="left"/>
    </xf>
    <xf numFmtId="0" fontId="49" fillId="11" borderId="6" xfId="0" applyFont="1" applyFill="1" applyBorder="1" applyAlignment="1">
      <alignment horizontal="left"/>
    </xf>
    <xf numFmtId="0" fontId="53" fillId="11" borderId="0" xfId="0" applyFont="1" applyFill="1" applyAlignment="1" applyProtection="1">
      <alignment horizontal="left"/>
      <protection locked="0"/>
    </xf>
    <xf numFmtId="0" fontId="25" fillId="11" borderId="0" xfId="0" applyFont="1" applyFill="1" applyAlignment="1" applyProtection="1">
      <alignment horizontal="left"/>
      <protection locked="0"/>
    </xf>
    <xf numFmtId="9" fontId="25" fillId="11" borderId="0" xfId="6" applyFont="1" applyFill="1" applyBorder="1" applyAlignment="1" applyProtection="1">
      <alignment horizontal="left"/>
      <protection locked="0"/>
    </xf>
    <xf numFmtId="167" fontId="75" fillId="11" borderId="0" xfId="0" applyNumberFormat="1" applyFont="1" applyFill="1" applyAlignment="1" applyProtection="1">
      <alignment horizontal="center" vertical="center"/>
      <protection locked="0"/>
    </xf>
    <xf numFmtId="167" fontId="29" fillId="11" borderId="0" xfId="0" applyNumberFormat="1" applyFont="1" applyFill="1" applyAlignment="1" applyProtection="1">
      <alignment horizontal="center" vertical="center"/>
      <protection locked="0"/>
    </xf>
    <xf numFmtId="14" fontId="25" fillId="13" borderId="13" xfId="0" applyNumberFormat="1" applyFont="1" applyFill="1" applyBorder="1" applyAlignment="1">
      <alignment horizontal="center"/>
    </xf>
    <xf numFmtId="0" fontId="48" fillId="11" borderId="0" xfId="0" applyFont="1" applyFill="1" applyAlignment="1">
      <alignment horizontal="right"/>
    </xf>
    <xf numFmtId="0" fontId="48" fillId="11" borderId="35" xfId="0" applyFont="1" applyFill="1" applyBorder="1" applyAlignment="1">
      <alignment horizontal="right"/>
    </xf>
    <xf numFmtId="167" fontId="29" fillId="11" borderId="0" xfId="0" applyNumberFormat="1" applyFont="1" applyFill="1" applyAlignment="1">
      <alignment horizontal="center" vertical="center"/>
    </xf>
    <xf numFmtId="167" fontId="49" fillId="11" borderId="13" xfId="6" applyNumberFormat="1" applyFont="1" applyFill="1" applyBorder="1" applyAlignment="1">
      <alignment horizontal="center"/>
    </xf>
    <xf numFmtId="0" fontId="54" fillId="6" borderId="0" xfId="0" applyFont="1" applyFill="1" applyAlignment="1">
      <alignment horizontal="center"/>
    </xf>
    <xf numFmtId="0" fontId="54" fillId="6" borderId="35" xfId="0" applyFont="1" applyFill="1" applyBorder="1" applyAlignment="1">
      <alignment horizontal="center"/>
    </xf>
    <xf numFmtId="14" fontId="53" fillId="13" borderId="8" xfId="0" applyNumberFormat="1" applyFont="1" applyFill="1" applyBorder="1" applyAlignment="1">
      <alignment horizontal="center"/>
    </xf>
    <xf numFmtId="14" fontId="53" fillId="13" borderId="6" xfId="0" applyNumberFormat="1" applyFont="1" applyFill="1" applyBorder="1" applyAlignment="1">
      <alignment horizontal="center"/>
    </xf>
    <xf numFmtId="0" fontId="27" fillId="2" borderId="44" xfId="3" applyFont="1" applyFill="1" applyBorder="1" applyAlignment="1">
      <alignment horizontal="left"/>
    </xf>
    <xf numFmtId="169" fontId="73" fillId="6" borderId="0" xfId="0" applyNumberFormat="1" applyFont="1" applyFill="1" applyAlignment="1" applyProtection="1">
      <alignment horizontal="left" vertical="top"/>
      <protection locked="0"/>
    </xf>
    <xf numFmtId="170" fontId="73" fillId="6" borderId="0" xfId="0" applyNumberFormat="1" applyFont="1" applyFill="1" applyAlignment="1" applyProtection="1">
      <alignment horizontal="left" vertical="top"/>
      <protection locked="0"/>
    </xf>
    <xf numFmtId="167" fontId="31" fillId="0" borderId="0" xfId="0" applyNumberFormat="1" applyFont="1" applyAlignment="1">
      <alignment horizontal="center" vertical="center"/>
    </xf>
    <xf numFmtId="0" fontId="25" fillId="11" borderId="0" xfId="0" applyFont="1" applyFill="1" applyAlignment="1" applyProtection="1">
      <alignment horizontal="center" readingOrder="1"/>
      <protection locked="0"/>
    </xf>
    <xf numFmtId="0" fontId="53" fillId="11" borderId="11" xfId="0" applyFont="1" applyFill="1" applyBorder="1" applyAlignment="1" applyProtection="1">
      <alignment horizontal="left"/>
      <protection locked="0"/>
    </xf>
    <xf numFmtId="0" fontId="31" fillId="0" borderId="0" xfId="0" applyFont="1" applyAlignment="1">
      <alignment horizontal="center" vertical="center"/>
    </xf>
    <xf numFmtId="9" fontId="25" fillId="11" borderId="0" xfId="6" applyFont="1" applyFill="1" applyBorder="1" applyAlignment="1" applyProtection="1">
      <alignment horizontal="right"/>
      <protection locked="0"/>
    </xf>
    <xf numFmtId="9" fontId="25" fillId="11" borderId="0" xfId="6" applyFont="1" applyFill="1" applyAlignment="1" applyProtection="1">
      <alignment horizontal="left"/>
      <protection locked="0"/>
    </xf>
    <xf numFmtId="14" fontId="53" fillId="13" borderId="13" xfId="0" applyNumberFormat="1" applyFont="1" applyFill="1" applyBorder="1" applyAlignment="1">
      <alignment horizontal="center"/>
    </xf>
    <xf numFmtId="0" fontId="28" fillId="11" borderId="0" xfId="0" applyFont="1" applyFill="1" applyAlignment="1" applyProtection="1">
      <alignment horizontal="center" vertical="center"/>
      <protection locked="0"/>
    </xf>
    <xf numFmtId="0" fontId="25" fillId="6" borderId="0" xfId="0" applyFont="1" applyFill="1" applyAlignment="1" applyProtection="1">
      <alignment horizontal="center"/>
      <protection locked="0"/>
    </xf>
    <xf numFmtId="0" fontId="52" fillId="0" borderId="0" xfId="0" applyFont="1" applyAlignment="1" applyProtection="1">
      <alignment horizontal="center"/>
      <protection locked="0"/>
    </xf>
    <xf numFmtId="171" fontId="29" fillId="9" borderId="0" xfId="0" applyNumberFormat="1" applyFont="1" applyFill="1" applyAlignment="1">
      <alignment horizontal="center" vertical="center"/>
    </xf>
    <xf numFmtId="0" fontId="27" fillId="2" borderId="37" xfId="3" applyFont="1" applyFill="1" applyBorder="1" applyAlignment="1">
      <alignment horizontal="left"/>
    </xf>
    <xf numFmtId="0" fontId="49" fillId="11" borderId="0" xfId="0" applyFont="1" applyFill="1" applyAlignment="1">
      <alignment horizontal="left"/>
    </xf>
    <xf numFmtId="0" fontId="49" fillId="0" borderId="0" xfId="0" applyFont="1" applyAlignment="1">
      <alignment horizontal="right"/>
    </xf>
    <xf numFmtId="0" fontId="49" fillId="0" borderId="35" xfId="0" applyFont="1" applyBorder="1" applyAlignment="1">
      <alignment horizontal="right"/>
    </xf>
    <xf numFmtId="0" fontId="49" fillId="6" borderId="0" xfId="0" applyFont="1" applyFill="1" applyAlignment="1">
      <alignment horizontal="left"/>
    </xf>
    <xf numFmtId="0" fontId="3" fillId="8" borderId="33" xfId="5" applyFont="1" applyFill="1" applyBorder="1" applyAlignment="1" applyProtection="1">
      <alignment horizontal="left" vertical="top"/>
      <protection locked="0"/>
    </xf>
    <xf numFmtId="0" fontId="3" fillId="8" borderId="34" xfId="0" applyFont="1" applyFill="1" applyBorder="1" applyAlignment="1" applyProtection="1">
      <alignment horizontal="left" vertical="top"/>
      <protection locked="0"/>
    </xf>
    <xf numFmtId="0" fontId="73" fillId="8" borderId="0" xfId="0" applyFont="1" applyFill="1" applyAlignment="1" applyProtection="1">
      <alignment horizontal="left" vertical="top"/>
      <protection locked="0"/>
    </xf>
    <xf numFmtId="0" fontId="27" fillId="17" borderId="38" xfId="0" applyFont="1" applyFill="1" applyBorder="1" applyAlignment="1">
      <alignment horizontal="center" wrapText="1"/>
    </xf>
    <xf numFmtId="0" fontId="27" fillId="17" borderId="39" xfId="0" applyFont="1" applyFill="1" applyBorder="1" applyAlignment="1">
      <alignment horizontal="center" wrapText="1"/>
    </xf>
    <xf numFmtId="0" fontId="27" fillId="17" borderId="40" xfId="0" applyFont="1" applyFill="1" applyBorder="1" applyAlignment="1">
      <alignment horizontal="center" wrapText="1"/>
    </xf>
    <xf numFmtId="0" fontId="25" fillId="6" borderId="0" xfId="0" applyFont="1" applyFill="1" applyAlignment="1">
      <alignment horizontal="center" vertical="center"/>
    </xf>
    <xf numFmtId="9" fontId="49" fillId="11" borderId="0" xfId="6" applyFont="1" applyFill="1" applyAlignment="1">
      <alignment horizontal="center"/>
    </xf>
    <xf numFmtId="0" fontId="60" fillId="6" borderId="0" xfId="0" applyFont="1" applyFill="1" applyAlignment="1">
      <alignment horizontal="right" shrinkToFit="1"/>
    </xf>
    <xf numFmtId="0" fontId="60" fillId="6" borderId="35" xfId="0" applyFont="1" applyFill="1" applyBorder="1" applyAlignment="1">
      <alignment horizontal="right" shrinkToFit="1"/>
    </xf>
    <xf numFmtId="0" fontId="58" fillId="6" borderId="0" xfId="0" applyFont="1" applyFill="1" applyAlignment="1">
      <alignment horizontal="right" shrinkToFit="1"/>
    </xf>
    <xf numFmtId="0" fontId="58" fillId="6" borderId="35" xfId="0" applyFont="1" applyFill="1" applyBorder="1" applyAlignment="1">
      <alignment horizontal="right" shrinkToFit="1"/>
    </xf>
    <xf numFmtId="0" fontId="49" fillId="8" borderId="8" xfId="0" applyFont="1" applyFill="1" applyBorder="1" applyAlignment="1" applyProtection="1">
      <alignment horizontal="left"/>
      <protection locked="0"/>
    </xf>
    <xf numFmtId="0" fontId="49" fillId="8" borderId="7" xfId="0" applyFont="1" applyFill="1" applyBorder="1" applyAlignment="1" applyProtection="1">
      <alignment horizontal="left"/>
      <protection locked="0"/>
    </xf>
    <xf numFmtId="0" fontId="49" fillId="8" borderId="6" xfId="0" applyFont="1" applyFill="1" applyBorder="1" applyAlignment="1" applyProtection="1">
      <alignment horizontal="left"/>
      <protection locked="0"/>
    </xf>
    <xf numFmtId="0" fontId="56" fillId="6" borderId="10" xfId="0" applyFont="1" applyFill="1" applyBorder="1" applyAlignment="1">
      <alignment horizontal="right"/>
    </xf>
    <xf numFmtId="0" fontId="56" fillId="6" borderId="12" xfId="0" applyFont="1" applyFill="1" applyBorder="1" applyAlignment="1">
      <alignment horizontal="right"/>
    </xf>
    <xf numFmtId="14" fontId="53" fillId="6" borderId="0" xfId="0" applyNumberFormat="1" applyFont="1" applyFill="1" applyAlignment="1">
      <alignment horizontal="center"/>
    </xf>
    <xf numFmtId="14" fontId="44" fillId="13" borderId="8" xfId="0" applyNumberFormat="1" applyFont="1" applyFill="1" applyBorder="1" applyAlignment="1">
      <alignment horizontal="center"/>
    </xf>
    <xf numFmtId="14" fontId="44" fillId="13" borderId="6" xfId="0" applyNumberFormat="1" applyFont="1" applyFill="1" applyBorder="1" applyAlignment="1">
      <alignment horizontal="center"/>
    </xf>
    <xf numFmtId="0" fontId="73" fillId="4" borderId="33" xfId="0" applyFont="1" applyFill="1" applyBorder="1" applyAlignment="1">
      <alignment horizontal="left" vertical="top"/>
    </xf>
    <xf numFmtId="0" fontId="73" fillId="4" borderId="34" xfId="0" applyFont="1" applyFill="1" applyBorder="1" applyAlignment="1">
      <alignment horizontal="left" vertical="top"/>
    </xf>
    <xf numFmtId="0" fontId="73" fillId="4" borderId="45" xfId="0" applyFont="1" applyFill="1" applyBorder="1" applyAlignment="1">
      <alignment horizontal="left" vertical="top"/>
    </xf>
    <xf numFmtId="169" fontId="73" fillId="6" borderId="32" xfId="0" applyNumberFormat="1" applyFont="1" applyFill="1" applyBorder="1" applyAlignment="1">
      <alignment horizontal="left" vertical="top"/>
    </xf>
    <xf numFmtId="0" fontId="73" fillId="4" borderId="0" xfId="0" applyFont="1" applyFill="1" applyAlignment="1">
      <alignment horizontal="left" vertical="top"/>
    </xf>
    <xf numFmtId="170" fontId="73" fillId="6" borderId="0" xfId="0" applyNumberFormat="1" applyFont="1" applyFill="1" applyAlignment="1">
      <alignment horizontal="left" vertical="top"/>
    </xf>
    <xf numFmtId="167" fontId="29" fillId="4" borderId="8" xfId="0" applyNumberFormat="1" applyFont="1" applyFill="1" applyBorder="1" applyAlignment="1">
      <alignment horizontal="center" vertical="center"/>
    </xf>
    <xf numFmtId="167" fontId="29" fillId="4" borderId="6" xfId="0" applyNumberFormat="1" applyFont="1" applyFill="1" applyBorder="1" applyAlignment="1">
      <alignment horizontal="center" vertical="center"/>
    </xf>
    <xf numFmtId="0" fontId="25" fillId="6" borderId="0" xfId="0" applyFont="1" applyFill="1" applyAlignment="1">
      <alignment horizontal="center"/>
    </xf>
    <xf numFmtId="0" fontId="25" fillId="17" borderId="8" xfId="0" applyFont="1" applyFill="1" applyBorder="1" applyAlignment="1">
      <alignment horizontal="center" vertical="center" wrapText="1"/>
    </xf>
    <xf numFmtId="0" fontId="25" fillId="17" borderId="7" xfId="0" applyFont="1" applyFill="1" applyBorder="1" applyAlignment="1">
      <alignment horizontal="center" vertical="center" wrapText="1"/>
    </xf>
    <xf numFmtId="0" fontId="25" fillId="17" borderId="6" xfId="0" applyFont="1" applyFill="1" applyBorder="1" applyAlignment="1">
      <alignment horizontal="center" vertical="center" wrapText="1"/>
    </xf>
    <xf numFmtId="0" fontId="28" fillId="3" borderId="8" xfId="0" applyFont="1" applyFill="1" applyBorder="1" applyAlignment="1">
      <alignment horizontal="center" vertical="center"/>
    </xf>
    <xf numFmtId="0" fontId="28" fillId="3" borderId="7" xfId="0" applyFont="1" applyFill="1" applyBorder="1" applyAlignment="1">
      <alignment horizontal="center" vertical="center"/>
    </xf>
    <xf numFmtId="0" fontId="28" fillId="3" borderId="6" xfId="0" applyFont="1" applyFill="1" applyBorder="1" applyAlignment="1">
      <alignment horizontal="center" vertical="center"/>
    </xf>
    <xf numFmtId="0" fontId="28" fillId="3" borderId="13" xfId="0" applyFont="1" applyFill="1" applyBorder="1" applyAlignment="1">
      <alignment horizontal="center" vertical="center"/>
    </xf>
    <xf numFmtId="0" fontId="25" fillId="7" borderId="8" xfId="0" applyFont="1" applyFill="1" applyBorder="1" applyAlignment="1">
      <alignment horizontal="center"/>
    </xf>
    <xf numFmtId="0" fontId="25" fillId="7" borderId="7" xfId="0" applyFont="1" applyFill="1" applyBorder="1" applyAlignment="1">
      <alignment horizontal="center"/>
    </xf>
    <xf numFmtId="0" fontId="25" fillId="7" borderId="6" xfId="0" applyFont="1" applyFill="1" applyBorder="1" applyAlignment="1">
      <alignment horizontal="center"/>
    </xf>
    <xf numFmtId="0" fontId="25" fillId="4" borderId="8" xfId="0" applyFont="1" applyFill="1" applyBorder="1" applyAlignment="1">
      <alignment horizontal="left"/>
    </xf>
    <xf numFmtId="0" fontId="25" fillId="4" borderId="7" xfId="0" applyFont="1" applyFill="1" applyBorder="1" applyAlignment="1">
      <alignment horizontal="left"/>
    </xf>
    <xf numFmtId="0" fontId="25" fillId="4" borderId="6" xfId="0" applyFont="1" applyFill="1" applyBorder="1" applyAlignment="1">
      <alignment horizontal="left"/>
    </xf>
    <xf numFmtId="167" fontId="29" fillId="7" borderId="13" xfId="0" applyNumberFormat="1" applyFont="1" applyFill="1" applyBorder="1" applyAlignment="1">
      <alignment horizontal="center" vertical="center"/>
    </xf>
    <xf numFmtId="0" fontId="2" fillId="5" borderId="6" xfId="0" applyFont="1" applyFill="1" applyBorder="1" applyAlignment="1" applyProtection="1">
      <alignment horizontal="left" vertical="top" wrapText="1"/>
      <protection locked="0"/>
    </xf>
    <xf numFmtId="167" fontId="29" fillId="4" borderId="13" xfId="0" applyNumberFormat="1" applyFont="1" applyFill="1" applyBorder="1" applyAlignment="1">
      <alignment horizontal="center" vertical="center"/>
    </xf>
    <xf numFmtId="167" fontId="31" fillId="4" borderId="8" xfId="0" applyNumberFormat="1" applyFont="1" applyFill="1" applyBorder="1" applyAlignment="1" applyProtection="1">
      <alignment horizontal="center" vertical="center"/>
      <protection locked="0"/>
    </xf>
    <xf numFmtId="167" fontId="31" fillId="4" borderId="7" xfId="0" applyNumberFormat="1" applyFont="1" applyFill="1" applyBorder="1" applyAlignment="1" applyProtection="1">
      <alignment horizontal="center" vertical="center"/>
      <protection locked="0"/>
    </xf>
    <xf numFmtId="167" fontId="31" fillId="4" borderId="6" xfId="0" applyNumberFormat="1" applyFont="1" applyFill="1" applyBorder="1" applyAlignment="1" applyProtection="1">
      <alignment horizontal="center" vertical="center"/>
      <protection locked="0"/>
    </xf>
    <xf numFmtId="167" fontId="2" fillId="4" borderId="28" xfId="0" applyNumberFormat="1" applyFont="1" applyFill="1" applyBorder="1" applyAlignment="1">
      <alignment horizontal="center" vertical="center"/>
    </xf>
    <xf numFmtId="167" fontId="2" fillId="4" borderId="27" xfId="0" applyNumberFormat="1" applyFont="1" applyFill="1" applyBorder="1" applyAlignment="1">
      <alignment horizontal="center" vertical="center"/>
    </xf>
    <xf numFmtId="167" fontId="2" fillId="4" borderId="29" xfId="0" applyNumberFormat="1" applyFont="1" applyFill="1" applyBorder="1" applyAlignment="1">
      <alignment horizontal="center" vertical="center"/>
    </xf>
    <xf numFmtId="167" fontId="2" fillId="4" borderId="8" xfId="0" applyNumberFormat="1" applyFont="1" applyFill="1" applyBorder="1" applyAlignment="1">
      <alignment horizontal="center" vertical="center"/>
    </xf>
    <xf numFmtId="167" fontId="2" fillId="4" borderId="7" xfId="0" applyNumberFormat="1" applyFont="1" applyFill="1" applyBorder="1" applyAlignment="1">
      <alignment horizontal="center" vertical="center"/>
    </xf>
    <xf numFmtId="167" fontId="2" fillId="4" borderId="6" xfId="0" applyNumberFormat="1" applyFont="1" applyFill="1" applyBorder="1" applyAlignment="1">
      <alignment horizontal="center" vertical="center"/>
    </xf>
    <xf numFmtId="0" fontId="25" fillId="5" borderId="28" xfId="0" applyFont="1" applyFill="1" applyBorder="1" applyAlignment="1" applyProtection="1">
      <alignment horizontal="left" shrinkToFit="1"/>
      <protection locked="0"/>
    </xf>
    <xf numFmtId="0" fontId="25" fillId="5" borderId="27" xfId="0" applyFont="1" applyFill="1" applyBorder="1" applyAlignment="1" applyProtection="1">
      <alignment horizontal="left" shrinkToFit="1"/>
      <protection locked="0"/>
    </xf>
    <xf numFmtId="0" fontId="25" fillId="5" borderId="8" xfId="0" applyFont="1" applyFill="1" applyBorder="1" applyAlignment="1" applyProtection="1">
      <alignment horizontal="left" shrinkToFit="1"/>
      <protection locked="0"/>
    </xf>
    <xf numFmtId="0" fontId="25" fillId="5" borderId="7" xfId="0" applyFont="1" applyFill="1" applyBorder="1" applyAlignment="1" applyProtection="1">
      <alignment horizontal="left" shrinkToFit="1"/>
      <protection locked="0"/>
    </xf>
    <xf numFmtId="173" fontId="27" fillId="7" borderId="16" xfId="0" applyNumberFormat="1" applyFont="1" applyFill="1" applyBorder="1" applyAlignment="1" applyProtection="1">
      <alignment horizontal="center"/>
      <protection locked="0"/>
    </xf>
    <xf numFmtId="173" fontId="27" fillId="7" borderId="17" xfId="0" applyNumberFormat="1" applyFont="1" applyFill="1" applyBorder="1" applyAlignment="1" applyProtection="1">
      <alignment horizontal="center"/>
      <protection locked="0"/>
    </xf>
    <xf numFmtId="173" fontId="27" fillId="7" borderId="15" xfId="0" applyNumberFormat="1" applyFont="1" applyFill="1" applyBorder="1" applyAlignment="1" applyProtection="1">
      <alignment horizontal="center"/>
      <protection locked="0"/>
    </xf>
    <xf numFmtId="0" fontId="25" fillId="5" borderId="61" xfId="0" applyFont="1" applyFill="1" applyBorder="1" applyAlignment="1" applyProtection="1">
      <alignment horizontal="left"/>
      <protection locked="0"/>
    </xf>
    <xf numFmtId="0" fontId="25" fillId="5" borderId="21" xfId="0" applyFont="1" applyFill="1" applyBorder="1" applyAlignment="1" applyProtection="1">
      <alignment horizontal="left"/>
      <protection locked="0"/>
    </xf>
    <xf numFmtId="0" fontId="25" fillId="5" borderId="62" xfId="0" applyFont="1" applyFill="1" applyBorder="1" applyAlignment="1" applyProtection="1">
      <alignment horizontal="left"/>
      <protection locked="0"/>
    </xf>
    <xf numFmtId="0" fontId="25" fillId="5" borderId="8" xfId="0" applyFont="1" applyFill="1" applyBorder="1" applyAlignment="1" applyProtection="1">
      <alignment horizontal="left"/>
      <protection locked="0"/>
    </xf>
    <xf numFmtId="0" fontId="25" fillId="5" borderId="7" xfId="0" applyFont="1" applyFill="1" applyBorder="1" applyAlignment="1" applyProtection="1">
      <alignment horizontal="left"/>
      <protection locked="0"/>
    </xf>
    <xf numFmtId="0" fontId="25" fillId="5" borderId="6" xfId="0" applyFont="1" applyFill="1" applyBorder="1" applyAlignment="1" applyProtection="1">
      <alignment horizontal="left"/>
      <protection locked="0"/>
    </xf>
    <xf numFmtId="167" fontId="2" fillId="4" borderId="28" xfId="0" applyNumberFormat="1" applyFont="1" applyFill="1" applyBorder="1" applyAlignment="1" applyProtection="1">
      <alignment horizontal="center" vertical="center"/>
      <protection locked="0"/>
    </xf>
    <xf numFmtId="167" fontId="2" fillId="4" borderId="27" xfId="0" applyNumberFormat="1" applyFont="1" applyFill="1" applyBorder="1" applyAlignment="1" applyProtection="1">
      <alignment horizontal="center" vertical="center"/>
      <protection locked="0"/>
    </xf>
    <xf numFmtId="167" fontId="2" fillId="4" borderId="29" xfId="0" applyNumberFormat="1" applyFont="1" applyFill="1" applyBorder="1" applyAlignment="1" applyProtection="1">
      <alignment horizontal="center" vertical="center"/>
      <protection locked="0"/>
    </xf>
    <xf numFmtId="167" fontId="2" fillId="4" borderId="8" xfId="0" applyNumberFormat="1" applyFont="1" applyFill="1" applyBorder="1" applyAlignment="1" applyProtection="1">
      <alignment horizontal="center" vertical="center"/>
      <protection locked="0"/>
    </xf>
    <xf numFmtId="167" fontId="2" fillId="4" borderId="7" xfId="0" applyNumberFormat="1" applyFont="1" applyFill="1" applyBorder="1" applyAlignment="1" applyProtection="1">
      <alignment horizontal="center" vertical="center"/>
      <protection locked="0"/>
    </xf>
    <xf numFmtId="167" fontId="2" fillId="4" borderId="6" xfId="0" applyNumberFormat="1" applyFont="1" applyFill="1" applyBorder="1" applyAlignment="1" applyProtection="1">
      <alignment horizontal="center" vertical="center"/>
      <protection locked="0"/>
    </xf>
    <xf numFmtId="0" fontId="103" fillId="7" borderId="16" xfId="0" applyFont="1" applyFill="1" applyBorder="1" applyAlignment="1">
      <alignment horizontal="center" vertical="center"/>
    </xf>
    <xf numFmtId="0" fontId="103" fillId="7" borderId="17" xfId="0" applyFont="1" applyFill="1" applyBorder="1" applyAlignment="1">
      <alignment horizontal="center" vertical="center"/>
    </xf>
    <xf numFmtId="0" fontId="103" fillId="7" borderId="15" xfId="0" applyFont="1" applyFill="1" applyBorder="1" applyAlignment="1">
      <alignment horizontal="center" vertical="center"/>
    </xf>
    <xf numFmtId="0" fontId="27" fillId="5" borderId="6" xfId="0" applyFont="1" applyFill="1" applyBorder="1" applyAlignment="1">
      <alignment horizontal="center"/>
    </xf>
    <xf numFmtId="167" fontId="43" fillId="4" borderId="28" xfId="0" applyNumberFormat="1" applyFont="1" applyFill="1" applyBorder="1" applyAlignment="1">
      <alignment horizontal="center"/>
    </xf>
    <xf numFmtId="167" fontId="43" fillId="4" borderId="27" xfId="0" applyNumberFormat="1" applyFont="1" applyFill="1" applyBorder="1" applyAlignment="1">
      <alignment horizontal="center"/>
    </xf>
    <xf numFmtId="167" fontId="43" fillId="4" borderId="29" xfId="0" applyNumberFormat="1" applyFont="1" applyFill="1" applyBorder="1" applyAlignment="1">
      <alignment horizontal="center"/>
    </xf>
    <xf numFmtId="173" fontId="43" fillId="5" borderId="19" xfId="0" applyNumberFormat="1" applyFont="1" applyFill="1" applyBorder="1" applyAlignment="1">
      <alignment horizontal="right"/>
    </xf>
    <xf numFmtId="173" fontId="43" fillId="5" borderId="0" xfId="0" applyNumberFormat="1" applyFont="1" applyFill="1" applyAlignment="1">
      <alignment horizontal="right"/>
    </xf>
    <xf numFmtId="173" fontId="43" fillId="5" borderId="9" xfId="0" applyNumberFormat="1" applyFont="1" applyFill="1" applyBorder="1" applyAlignment="1">
      <alignment horizontal="right"/>
    </xf>
    <xf numFmtId="0" fontId="31" fillId="5" borderId="8" xfId="0" applyFont="1" applyFill="1" applyBorder="1" applyAlignment="1" applyProtection="1">
      <alignment horizontal="right"/>
      <protection locked="0"/>
    </xf>
    <xf numFmtId="0" fontId="31" fillId="5" borderId="7" xfId="0" applyFont="1" applyFill="1" applyBorder="1" applyAlignment="1" applyProtection="1">
      <alignment horizontal="right"/>
      <protection locked="0"/>
    </xf>
    <xf numFmtId="0" fontId="31" fillId="5" borderId="6" xfId="0" applyFont="1" applyFill="1" applyBorder="1" applyAlignment="1" applyProtection="1">
      <alignment horizontal="right"/>
      <protection locked="0"/>
    </xf>
    <xf numFmtId="167" fontId="12" fillId="7" borderId="16" xfId="0" applyNumberFormat="1" applyFont="1" applyFill="1" applyBorder="1" applyAlignment="1" applyProtection="1">
      <alignment horizontal="center" vertical="center"/>
      <protection locked="0"/>
    </xf>
    <xf numFmtId="167" fontId="12" fillId="7" borderId="17" xfId="0" applyNumberFormat="1" applyFont="1" applyFill="1" applyBorder="1" applyAlignment="1" applyProtection="1">
      <alignment horizontal="center" vertical="center"/>
      <protection locked="0"/>
    </xf>
    <xf numFmtId="167" fontId="12" fillId="7" borderId="15" xfId="0" applyNumberFormat="1" applyFont="1" applyFill="1" applyBorder="1" applyAlignment="1" applyProtection="1">
      <alignment horizontal="center" vertical="center"/>
      <protection locked="0"/>
    </xf>
    <xf numFmtId="173" fontId="53" fillId="5" borderId="1" xfId="0" applyNumberFormat="1" applyFont="1" applyFill="1" applyBorder="1" applyAlignment="1" applyProtection="1">
      <alignment horizontal="left" vertical="top"/>
      <protection locked="0"/>
    </xf>
    <xf numFmtId="173" fontId="53" fillId="5" borderId="2" xfId="0" applyNumberFormat="1" applyFont="1" applyFill="1" applyBorder="1" applyAlignment="1" applyProtection="1">
      <alignment horizontal="left" vertical="top"/>
      <protection locked="0"/>
    </xf>
    <xf numFmtId="173" fontId="53" fillId="5" borderId="3" xfId="0" applyNumberFormat="1" applyFont="1" applyFill="1" applyBorder="1" applyAlignment="1" applyProtection="1">
      <alignment horizontal="left" vertical="top"/>
      <protection locked="0"/>
    </xf>
    <xf numFmtId="173" fontId="53" fillId="5" borderId="4" xfId="0" applyNumberFormat="1" applyFont="1" applyFill="1" applyBorder="1" applyAlignment="1" applyProtection="1">
      <alignment horizontal="left" vertical="top"/>
      <protection locked="0"/>
    </xf>
    <xf numFmtId="173" fontId="53" fillId="5" borderId="0" xfId="0" applyNumberFormat="1" applyFont="1" applyFill="1" applyAlignment="1" applyProtection="1">
      <alignment horizontal="left" vertical="top"/>
      <protection locked="0"/>
    </xf>
    <xf numFmtId="173" fontId="53" fillId="5" borderId="5" xfId="0" applyNumberFormat="1" applyFont="1" applyFill="1" applyBorder="1" applyAlignment="1" applyProtection="1">
      <alignment horizontal="left" vertical="top"/>
      <protection locked="0"/>
    </xf>
    <xf numFmtId="173" fontId="53" fillId="5" borderId="10" xfId="0" applyNumberFormat="1" applyFont="1" applyFill="1" applyBorder="1" applyAlignment="1" applyProtection="1">
      <alignment horizontal="left" vertical="top"/>
      <protection locked="0"/>
    </xf>
    <xf numFmtId="173" fontId="53" fillId="5" borderId="11" xfId="0" applyNumberFormat="1" applyFont="1" applyFill="1" applyBorder="1" applyAlignment="1" applyProtection="1">
      <alignment horizontal="left" vertical="top"/>
      <protection locked="0"/>
    </xf>
    <xf numFmtId="173" fontId="53" fillId="5" borderId="12" xfId="0" applyNumberFormat="1" applyFont="1" applyFill="1" applyBorder="1" applyAlignment="1" applyProtection="1">
      <alignment horizontal="left" vertical="top"/>
      <protection locked="0"/>
    </xf>
    <xf numFmtId="167" fontId="29" fillId="4" borderId="8" xfId="0" applyNumberFormat="1" applyFont="1" applyFill="1" applyBorder="1" applyAlignment="1" applyProtection="1">
      <alignment horizontal="center" vertical="center"/>
      <protection locked="0"/>
    </xf>
    <xf numFmtId="167" fontId="29" fillId="4" borderId="6" xfId="0" applyNumberFormat="1" applyFont="1" applyFill="1" applyBorder="1" applyAlignment="1" applyProtection="1">
      <alignment horizontal="center" vertical="center"/>
      <protection locked="0"/>
    </xf>
    <xf numFmtId="167" fontId="31" fillId="4" borderId="24" xfId="0" applyNumberFormat="1" applyFont="1" applyFill="1" applyBorder="1" applyAlignment="1" applyProtection="1">
      <alignment horizontal="center" vertical="center"/>
      <protection locked="0"/>
    </xf>
    <xf numFmtId="167" fontId="31" fillId="4" borderId="25" xfId="0" applyNumberFormat="1" applyFont="1" applyFill="1" applyBorder="1" applyAlignment="1" applyProtection="1">
      <alignment horizontal="center" vertical="center"/>
      <protection locked="0"/>
    </xf>
    <xf numFmtId="167" fontId="31" fillId="4" borderId="26" xfId="0" applyNumberFormat="1" applyFont="1" applyFill="1" applyBorder="1" applyAlignment="1" applyProtection="1">
      <alignment horizontal="center" vertical="center"/>
      <protection locked="0"/>
    </xf>
    <xf numFmtId="0" fontId="27" fillId="7" borderId="16" xfId="0" applyFont="1" applyFill="1" applyBorder="1" applyAlignment="1" applyProtection="1">
      <alignment horizontal="center"/>
      <protection locked="0"/>
    </xf>
    <xf numFmtId="0" fontId="27" fillId="7" borderId="17" xfId="0" applyFont="1" applyFill="1" applyBorder="1" applyAlignment="1" applyProtection="1">
      <alignment horizontal="center"/>
      <protection locked="0"/>
    </xf>
    <xf numFmtId="0" fontId="27" fillId="7" borderId="15" xfId="0" applyFont="1" applyFill="1" applyBorder="1" applyAlignment="1" applyProtection="1">
      <alignment horizontal="center"/>
      <protection locked="0"/>
    </xf>
    <xf numFmtId="0" fontId="29" fillId="5" borderId="58" xfId="0" applyFont="1" applyFill="1" applyBorder="1" applyAlignment="1" applyProtection="1">
      <alignment horizontal="right"/>
      <protection locked="0"/>
    </xf>
    <xf numFmtId="0" fontId="29" fillId="5" borderId="51" xfId="0" applyFont="1" applyFill="1" applyBorder="1" applyAlignment="1" applyProtection="1">
      <alignment horizontal="right"/>
      <protection locked="0"/>
    </xf>
    <xf numFmtId="0" fontId="29" fillId="5" borderId="59" xfId="0" applyFont="1" applyFill="1" applyBorder="1" applyAlignment="1" applyProtection="1">
      <alignment horizontal="right"/>
      <protection locked="0"/>
    </xf>
    <xf numFmtId="0" fontId="25" fillId="5" borderId="8" xfId="0" applyFont="1" applyFill="1" applyBorder="1" applyAlignment="1" applyProtection="1">
      <alignment horizontal="center"/>
      <protection locked="0"/>
    </xf>
    <xf numFmtId="0" fontId="25" fillId="5" borderId="7" xfId="0" applyFont="1" applyFill="1" applyBorder="1" applyAlignment="1" applyProtection="1">
      <alignment horizontal="center"/>
      <protection locked="0"/>
    </xf>
    <xf numFmtId="0" fontId="25" fillId="5" borderId="6" xfId="0" applyFont="1" applyFill="1" applyBorder="1" applyAlignment="1" applyProtection="1">
      <alignment horizontal="center"/>
      <protection locked="0"/>
    </xf>
    <xf numFmtId="173" fontId="104" fillId="5" borderId="8" xfId="0" applyNumberFormat="1" applyFont="1" applyFill="1" applyBorder="1" applyAlignment="1">
      <alignment horizontal="right"/>
    </xf>
    <xf numFmtId="173" fontId="104" fillId="5" borderId="7" xfId="0" applyNumberFormat="1" applyFont="1" applyFill="1" applyBorder="1" applyAlignment="1">
      <alignment horizontal="right"/>
    </xf>
    <xf numFmtId="173" fontId="104" fillId="5" borderId="27" xfId="0" applyNumberFormat="1" applyFont="1" applyFill="1" applyBorder="1" applyAlignment="1">
      <alignment horizontal="right"/>
    </xf>
    <xf numFmtId="173" fontId="104" fillId="5" borderId="6" xfId="0" applyNumberFormat="1" applyFont="1" applyFill="1" applyBorder="1" applyAlignment="1">
      <alignment horizontal="right"/>
    </xf>
    <xf numFmtId="167" fontId="43" fillId="4" borderId="8" xfId="0" applyNumberFormat="1" applyFont="1" applyFill="1" applyBorder="1" applyAlignment="1">
      <alignment horizontal="center"/>
    </xf>
    <xf numFmtId="167" fontId="43" fillId="4" borderId="7" xfId="0" applyNumberFormat="1" applyFont="1" applyFill="1" applyBorder="1" applyAlignment="1">
      <alignment horizontal="center"/>
    </xf>
    <xf numFmtId="167" fontId="43" fillId="4" borderId="6" xfId="0" applyNumberFormat="1" applyFont="1" applyFill="1" applyBorder="1" applyAlignment="1">
      <alignment horizontal="center"/>
    </xf>
    <xf numFmtId="167" fontId="76" fillId="4" borderId="8" xfId="0" applyNumberFormat="1" applyFont="1" applyFill="1" applyBorder="1" applyAlignment="1">
      <alignment horizontal="center"/>
    </xf>
    <xf numFmtId="167" fontId="76" fillId="4" borderId="7" xfId="0" applyNumberFormat="1" applyFont="1" applyFill="1" applyBorder="1" applyAlignment="1">
      <alignment horizontal="center"/>
    </xf>
    <xf numFmtId="167" fontId="76" fillId="4" borderId="6" xfId="0" applyNumberFormat="1" applyFont="1" applyFill="1" applyBorder="1" applyAlignment="1">
      <alignment horizontal="center"/>
    </xf>
    <xf numFmtId="167" fontId="105" fillId="4" borderId="7" xfId="0" applyNumberFormat="1" applyFont="1" applyFill="1" applyBorder="1" applyAlignment="1">
      <alignment horizontal="center"/>
    </xf>
    <xf numFmtId="167" fontId="105" fillId="4" borderId="6" xfId="0" applyNumberFormat="1" applyFont="1" applyFill="1" applyBorder="1" applyAlignment="1">
      <alignment horizontal="center"/>
    </xf>
    <xf numFmtId="173" fontId="43" fillId="5" borderId="8" xfId="0" applyNumberFormat="1" applyFont="1" applyFill="1" applyBorder="1" applyAlignment="1">
      <alignment horizontal="right"/>
    </xf>
    <xf numFmtId="173" fontId="43" fillId="5" borderId="7" xfId="0" applyNumberFormat="1" applyFont="1" applyFill="1" applyBorder="1" applyAlignment="1">
      <alignment horizontal="right"/>
    </xf>
    <xf numFmtId="173" fontId="43" fillId="5" borderId="6" xfId="0" applyNumberFormat="1" applyFont="1" applyFill="1" applyBorder="1" applyAlignment="1">
      <alignment horizontal="right"/>
    </xf>
    <xf numFmtId="173" fontId="76" fillId="5" borderId="8" xfId="0" applyNumberFormat="1" applyFont="1" applyFill="1" applyBorder="1" applyAlignment="1">
      <alignment horizontal="right"/>
    </xf>
    <xf numFmtId="173" fontId="76" fillId="5" borderId="7" xfId="0" applyNumberFormat="1" applyFont="1" applyFill="1" applyBorder="1" applyAlignment="1">
      <alignment horizontal="right"/>
    </xf>
    <xf numFmtId="173" fontId="76" fillId="5" borderId="26" xfId="0" applyNumberFormat="1" applyFont="1" applyFill="1" applyBorder="1" applyAlignment="1">
      <alignment horizontal="right"/>
    </xf>
    <xf numFmtId="173" fontId="105" fillId="5" borderId="8" xfId="0" applyNumberFormat="1" applyFont="1" applyFill="1" applyBorder="1" applyAlignment="1">
      <alignment horizontal="right"/>
    </xf>
    <xf numFmtId="173" fontId="105" fillId="5" borderId="7" xfId="0" applyNumberFormat="1" applyFont="1" applyFill="1" applyBorder="1" applyAlignment="1">
      <alignment horizontal="right"/>
    </xf>
    <xf numFmtId="167" fontId="106" fillId="4" borderId="8" xfId="0" applyNumberFormat="1" applyFont="1" applyFill="1" applyBorder="1" applyAlignment="1">
      <alignment horizontal="center"/>
    </xf>
    <xf numFmtId="167" fontId="106" fillId="4" borderId="7" xfId="0" applyNumberFormat="1" applyFont="1" applyFill="1" applyBorder="1" applyAlignment="1">
      <alignment horizontal="center"/>
    </xf>
    <xf numFmtId="167" fontId="106" fillId="4" borderId="6" xfId="0" applyNumberFormat="1" applyFont="1" applyFill="1" applyBorder="1" applyAlignment="1">
      <alignment horizontal="center"/>
    </xf>
    <xf numFmtId="0" fontId="53" fillId="5" borderId="8" xfId="0" applyFont="1" applyFill="1" applyBorder="1" applyAlignment="1" applyProtection="1">
      <alignment horizontal="left"/>
      <protection locked="0"/>
    </xf>
    <xf numFmtId="0" fontId="53" fillId="5" borderId="7" xfId="0" applyFont="1" applyFill="1" applyBorder="1" applyAlignment="1" applyProtection="1">
      <alignment horizontal="left"/>
      <protection locked="0"/>
    </xf>
    <xf numFmtId="0" fontId="53" fillId="5" borderId="6" xfId="0" applyFont="1" applyFill="1" applyBorder="1" applyAlignment="1" applyProtection="1">
      <alignment horizontal="left"/>
      <protection locked="0"/>
    </xf>
    <xf numFmtId="0" fontId="5" fillId="5" borderId="8" xfId="0" applyFont="1" applyFill="1" applyBorder="1" applyAlignment="1">
      <alignment horizontal="left"/>
    </xf>
    <xf numFmtId="0" fontId="5" fillId="5" borderId="7" xfId="0" applyFont="1" applyFill="1" applyBorder="1" applyAlignment="1">
      <alignment horizontal="left"/>
    </xf>
    <xf numFmtId="0" fontId="5" fillId="5" borderId="23" xfId="0" applyFont="1" applyFill="1" applyBorder="1" applyAlignment="1">
      <alignment horizontal="left"/>
    </xf>
    <xf numFmtId="0" fontId="25" fillId="5" borderId="8" xfId="0" applyFont="1" applyFill="1" applyBorder="1" applyAlignment="1">
      <alignment horizontal="center"/>
    </xf>
    <xf numFmtId="0" fontId="25" fillId="5" borderId="7" xfId="0" applyFont="1" applyFill="1" applyBorder="1" applyAlignment="1">
      <alignment horizontal="center"/>
    </xf>
    <xf numFmtId="0" fontId="25" fillId="5" borderId="6" xfId="0" applyFont="1" applyFill="1" applyBorder="1" applyAlignment="1">
      <alignment horizontal="center"/>
    </xf>
    <xf numFmtId="0" fontId="27" fillId="7" borderId="8" xfId="0" applyFont="1" applyFill="1" applyBorder="1" applyAlignment="1">
      <alignment horizontal="center"/>
    </xf>
    <xf numFmtId="0" fontId="27" fillId="7" borderId="7" xfId="0" applyFont="1" applyFill="1" applyBorder="1" applyAlignment="1">
      <alignment horizontal="center"/>
    </xf>
    <xf numFmtId="0" fontId="27" fillId="7" borderId="6" xfId="0" applyFont="1" applyFill="1" applyBorder="1" applyAlignment="1">
      <alignment horizontal="center"/>
    </xf>
    <xf numFmtId="0" fontId="29" fillId="5" borderId="6" xfId="0" applyFont="1" applyFill="1" applyBorder="1" applyAlignment="1">
      <alignment horizontal="center"/>
    </xf>
    <xf numFmtId="0" fontId="25" fillId="5" borderId="23" xfId="0" applyFont="1" applyFill="1" applyBorder="1" applyAlignment="1" applyProtection="1">
      <alignment horizontal="left"/>
      <protection locked="0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65" fillId="0" borderId="1" xfId="0" applyFont="1" applyBorder="1" applyAlignment="1">
      <alignment horizontal="center"/>
    </xf>
    <xf numFmtId="0" fontId="65" fillId="0" borderId="2" xfId="0" applyFont="1" applyBorder="1" applyAlignment="1">
      <alignment horizontal="center"/>
    </xf>
    <xf numFmtId="0" fontId="64" fillId="0" borderId="4" xfId="0" applyFont="1" applyBorder="1" applyAlignment="1">
      <alignment horizontal="right"/>
    </xf>
    <xf numFmtId="0" fontId="64" fillId="0" borderId="0" xfId="0" applyFont="1" applyAlignment="1">
      <alignment horizontal="right"/>
    </xf>
    <xf numFmtId="0" fontId="64" fillId="0" borderId="10" xfId="0" applyFont="1" applyBorder="1" applyAlignment="1">
      <alignment horizontal="right"/>
    </xf>
    <xf numFmtId="0" fontId="0" fillId="0" borderId="11" xfId="0" applyBorder="1" applyAlignment="1">
      <alignment horizontal="right"/>
    </xf>
    <xf numFmtId="0" fontId="63" fillId="0" borderId="0" xfId="0" applyFont="1" applyAlignment="1">
      <alignment horizontal="right"/>
    </xf>
    <xf numFmtId="0" fontId="0" fillId="0" borderId="53" xfId="0" applyBorder="1" applyAlignment="1">
      <alignment horizontal="center"/>
    </xf>
    <xf numFmtId="0" fontId="81" fillId="0" borderId="4" xfId="0" applyFont="1" applyBorder="1" applyAlignment="1">
      <alignment horizontal="center"/>
    </xf>
    <xf numFmtId="0" fontId="81" fillId="0" borderId="0" xfId="0" applyFont="1" applyAlignment="1">
      <alignment horizontal="center"/>
    </xf>
    <xf numFmtId="0" fontId="81" fillId="0" borderId="1" xfId="0" applyFont="1" applyBorder="1" applyAlignment="1">
      <alignment horizontal="center"/>
    </xf>
    <xf numFmtId="0" fontId="81" fillId="0" borderId="2" xfId="0" applyFont="1" applyBorder="1" applyAlignment="1">
      <alignment horizontal="center"/>
    </xf>
    <xf numFmtId="0" fontId="82" fillId="0" borderId="4" xfId="0" applyFont="1" applyBorder="1" applyAlignment="1">
      <alignment horizontal="center"/>
    </xf>
    <xf numFmtId="0" fontId="82" fillId="0" borderId="0" xfId="0" applyFont="1" applyAlignment="1">
      <alignment horizontal="center"/>
    </xf>
    <xf numFmtId="0" fontId="64" fillId="0" borderId="4" xfId="0" applyFont="1" applyBorder="1" applyAlignment="1">
      <alignment horizontal="center"/>
    </xf>
    <xf numFmtId="0" fontId="64" fillId="0" borderId="0" xfId="0" applyFont="1" applyAlignment="1">
      <alignment horizontal="center"/>
    </xf>
    <xf numFmtId="0" fontId="68" fillId="0" borderId="4" xfId="0" applyFont="1" applyBorder="1" applyAlignment="1">
      <alignment horizontal="left"/>
    </xf>
    <xf numFmtId="0" fontId="68" fillId="0" borderId="0" xfId="0" applyFont="1" applyAlignment="1">
      <alignment horizontal="left"/>
    </xf>
    <xf numFmtId="0" fontId="0" fillId="0" borderId="10" xfId="0" applyBorder="1" applyAlignment="1">
      <alignment horizontal="left"/>
    </xf>
    <xf numFmtId="0" fontId="0" fillId="0" borderId="11" xfId="0" applyBorder="1" applyAlignment="1">
      <alignment horizontal="left"/>
    </xf>
    <xf numFmtId="0" fontId="68" fillId="0" borderId="10" xfId="0" applyFont="1" applyBorder="1" applyAlignment="1">
      <alignment horizontal="center"/>
    </xf>
    <xf numFmtId="0" fontId="68" fillId="0" borderId="11" xfId="0" applyFont="1" applyBorder="1" applyAlignment="1">
      <alignment horizontal="center"/>
    </xf>
    <xf numFmtId="167" fontId="29" fillId="7" borderId="8" xfId="0" applyNumberFormat="1" applyFont="1" applyFill="1" applyBorder="1" applyAlignment="1">
      <alignment horizontal="center" vertical="center"/>
    </xf>
    <xf numFmtId="167" fontId="29" fillId="7" borderId="6" xfId="0" applyNumberFormat="1" applyFont="1" applyFill="1" applyBorder="1" applyAlignment="1">
      <alignment horizontal="center" vertical="center"/>
    </xf>
    <xf numFmtId="0" fontId="25" fillId="7" borderId="29" xfId="0" applyFont="1" applyFill="1" applyBorder="1" applyAlignment="1">
      <alignment horizontal="center"/>
    </xf>
    <xf numFmtId="0" fontId="25" fillId="7" borderId="26" xfId="0" applyFont="1" applyFill="1" applyBorder="1" applyAlignment="1">
      <alignment horizontal="center"/>
    </xf>
    <xf numFmtId="0" fontId="29" fillId="5" borderId="8" xfId="0" applyFont="1" applyFill="1" applyBorder="1" applyAlignment="1">
      <alignment horizontal="left"/>
    </xf>
    <xf numFmtId="0" fontId="29" fillId="5" borderId="7" xfId="0" applyFont="1" applyFill="1" applyBorder="1" applyAlignment="1">
      <alignment horizontal="left"/>
    </xf>
    <xf numFmtId="0" fontId="29" fillId="5" borderId="23" xfId="0" applyFont="1" applyFill="1" applyBorder="1" applyAlignment="1">
      <alignment horizontal="left"/>
    </xf>
    <xf numFmtId="0" fontId="43" fillId="7" borderId="16" xfId="0" applyFont="1" applyFill="1" applyBorder="1" applyAlignment="1">
      <alignment horizontal="right"/>
    </xf>
    <xf numFmtId="0" fontId="43" fillId="7" borderId="17" xfId="0" applyFont="1" applyFill="1" applyBorder="1" applyAlignment="1">
      <alignment horizontal="right"/>
    </xf>
    <xf numFmtId="0" fontId="43" fillId="7" borderId="15" xfId="0" applyFont="1" applyFill="1" applyBorder="1" applyAlignment="1">
      <alignment horizontal="right"/>
    </xf>
    <xf numFmtId="0" fontId="61" fillId="6" borderId="0" xfId="0" applyFont="1" applyFill="1" applyAlignment="1">
      <alignment horizontal="center"/>
    </xf>
    <xf numFmtId="0" fontId="27" fillId="6" borderId="0" xfId="0" applyFont="1" applyFill="1" applyAlignment="1">
      <alignment horizontal="left"/>
    </xf>
    <xf numFmtId="0" fontId="53" fillId="6" borderId="0" xfId="0" applyFont="1" applyFill="1" applyAlignment="1">
      <alignment horizontal="left"/>
    </xf>
    <xf numFmtId="0" fontId="50" fillId="17" borderId="20" xfId="0" applyFont="1" applyFill="1" applyBorder="1" applyAlignment="1">
      <alignment horizontal="center" vertical="center" wrapText="1"/>
    </xf>
    <xf numFmtId="0" fontId="50" fillId="17" borderId="21" xfId="0" applyFont="1" applyFill="1" applyBorder="1" applyAlignment="1">
      <alignment horizontal="center" vertical="center" wrapText="1"/>
    </xf>
    <xf numFmtId="0" fontId="50" fillId="17" borderId="22" xfId="0" applyFont="1" applyFill="1" applyBorder="1" applyAlignment="1">
      <alignment horizontal="center" vertical="center" wrapText="1"/>
    </xf>
    <xf numFmtId="0" fontId="25" fillId="6" borderId="0" xfId="0" applyFont="1" applyFill="1" applyAlignment="1">
      <alignment horizontal="left"/>
    </xf>
    <xf numFmtId="0" fontId="61" fillId="5" borderId="16" xfId="0" applyFont="1" applyFill="1" applyBorder="1" applyAlignment="1">
      <alignment horizontal="left"/>
    </xf>
    <xf numFmtId="0" fontId="61" fillId="5" borderId="17" xfId="0" applyFont="1" applyFill="1" applyBorder="1" applyAlignment="1">
      <alignment horizontal="left"/>
    </xf>
    <xf numFmtId="0" fontId="61" fillId="5" borderId="15" xfId="0" applyFont="1" applyFill="1" applyBorder="1" applyAlignment="1">
      <alignment horizontal="left"/>
    </xf>
    <xf numFmtId="0" fontId="25" fillId="16" borderId="0" xfId="0" applyFont="1" applyFill="1" applyAlignment="1">
      <alignment horizontal="center" vertical="center" wrapText="1"/>
    </xf>
    <xf numFmtId="0" fontId="25" fillId="6" borderId="0" xfId="0" applyFont="1" applyFill="1"/>
    <xf numFmtId="167" fontId="29" fillId="6" borderId="0" xfId="0" applyNumberFormat="1" applyFont="1" applyFill="1" applyAlignment="1">
      <alignment horizontal="center" vertical="center"/>
    </xf>
    <xf numFmtId="166" fontId="29" fillId="6" borderId="0" xfId="1" applyFont="1" applyFill="1" applyBorder="1" applyAlignment="1">
      <alignment horizontal="center" vertical="center"/>
    </xf>
    <xf numFmtId="0" fontId="25" fillId="0" borderId="0" xfId="0" applyFont="1" applyAlignment="1" applyProtection="1">
      <alignment horizontal="center"/>
      <protection locked="0"/>
    </xf>
    <xf numFmtId="0" fontId="4" fillId="5" borderId="8" xfId="0" applyFont="1" applyFill="1" applyBorder="1" applyAlignment="1">
      <alignment horizontal="left"/>
    </xf>
    <xf numFmtId="0" fontId="4" fillId="5" borderId="7" xfId="0" applyFont="1" applyFill="1" applyBorder="1" applyAlignment="1">
      <alignment horizontal="left"/>
    </xf>
    <xf numFmtId="0" fontId="4" fillId="5" borderId="23" xfId="0" applyFont="1" applyFill="1" applyBorder="1" applyAlignment="1">
      <alignment horizontal="left"/>
    </xf>
    <xf numFmtId="0" fontId="0" fillId="5" borderId="0" xfId="0" applyFill="1" applyAlignment="1">
      <alignment horizontal="right"/>
    </xf>
    <xf numFmtId="0" fontId="0" fillId="5" borderId="0" xfId="0" applyFill="1" applyAlignment="1">
      <alignment horizontal="left"/>
    </xf>
    <xf numFmtId="0" fontId="0" fillId="5" borderId="0" xfId="0" applyFill="1" applyAlignment="1">
      <alignment horizontal="center"/>
    </xf>
    <xf numFmtId="0" fontId="0" fillId="4" borderId="0" xfId="0" applyFill="1" applyAlignment="1">
      <alignment horizontal="center"/>
    </xf>
    <xf numFmtId="167" fontId="36" fillId="7" borderId="33" xfId="1" applyNumberFormat="1" applyFont="1" applyFill="1" applyBorder="1" applyAlignment="1" applyProtection="1">
      <alignment horizontal="center" vertical="center"/>
      <protection locked="0"/>
    </xf>
    <xf numFmtId="166" fontId="36" fillId="7" borderId="34" xfId="1" applyFont="1" applyFill="1" applyBorder="1" applyAlignment="1" applyProtection="1">
      <alignment horizontal="center" vertical="center"/>
      <protection locked="0"/>
    </xf>
    <xf numFmtId="166" fontId="36" fillId="7" borderId="45" xfId="1" applyFont="1" applyFill="1" applyBorder="1" applyAlignment="1" applyProtection="1">
      <alignment horizontal="center" vertical="center"/>
      <protection locked="0"/>
    </xf>
    <xf numFmtId="167" fontId="42" fillId="0" borderId="0" xfId="0" applyNumberFormat="1" applyFont="1" applyAlignment="1">
      <alignment horizontal="left"/>
    </xf>
    <xf numFmtId="0" fontId="33" fillId="6" borderId="33" xfId="0" applyFont="1" applyFill="1" applyBorder="1" applyAlignment="1" applyProtection="1">
      <alignment horizontal="left" vertical="center"/>
      <protection locked="0"/>
    </xf>
    <xf numFmtId="0" fontId="33" fillId="6" borderId="34" xfId="0" applyFont="1" applyFill="1" applyBorder="1" applyAlignment="1" applyProtection="1">
      <alignment horizontal="left" vertical="center"/>
      <protection locked="0"/>
    </xf>
    <xf numFmtId="0" fontId="33" fillId="6" borderId="45" xfId="0" applyFont="1" applyFill="1" applyBorder="1" applyAlignment="1" applyProtection="1">
      <alignment horizontal="left" vertical="center"/>
      <protection locked="0"/>
    </xf>
    <xf numFmtId="167" fontId="41" fillId="0" borderId="0" xfId="0" applyNumberFormat="1" applyFont="1" applyAlignment="1">
      <alignment horizontal="left"/>
    </xf>
    <xf numFmtId="0" fontId="38" fillId="4" borderId="0" xfId="0" applyFont="1" applyFill="1" applyAlignment="1" applyProtection="1">
      <alignment horizontal="center" vertical="center"/>
      <protection locked="0"/>
    </xf>
    <xf numFmtId="0" fontId="36" fillId="7" borderId="34" xfId="0" applyFont="1" applyFill="1" applyBorder="1" applyAlignment="1" applyProtection="1">
      <alignment horizontal="right" vertical="center"/>
      <protection locked="0"/>
    </xf>
    <xf numFmtId="0" fontId="36" fillId="7" borderId="45" xfId="0" applyFont="1" applyFill="1" applyBorder="1" applyAlignment="1" applyProtection="1">
      <alignment horizontal="right" vertical="center"/>
      <protection locked="0"/>
    </xf>
    <xf numFmtId="0" fontId="32" fillId="6" borderId="33" xfId="0" applyFont="1" applyFill="1" applyBorder="1" applyAlignment="1" applyProtection="1">
      <alignment horizontal="left" vertical="center"/>
      <protection locked="0"/>
    </xf>
    <xf numFmtId="0" fontId="32" fillId="6" borderId="34" xfId="0" applyFont="1" applyFill="1" applyBorder="1" applyAlignment="1" applyProtection="1">
      <alignment horizontal="left" vertical="center"/>
      <protection locked="0"/>
    </xf>
    <xf numFmtId="0" fontId="32" fillId="6" borderId="45" xfId="0" applyFont="1" applyFill="1" applyBorder="1" applyAlignment="1" applyProtection="1">
      <alignment horizontal="left" vertical="center"/>
      <protection locked="0"/>
    </xf>
    <xf numFmtId="167" fontId="42" fillId="0" borderId="0" xfId="0" applyNumberFormat="1" applyFont="1" applyAlignment="1">
      <alignment horizontal="center"/>
    </xf>
    <xf numFmtId="0" fontId="33" fillId="6" borderId="33" xfId="0" applyFont="1" applyFill="1" applyBorder="1" applyAlignment="1" applyProtection="1">
      <alignment horizontal="center"/>
      <protection locked="0"/>
    </xf>
    <xf numFmtId="0" fontId="33" fillId="6" borderId="45" xfId="0" applyFont="1" applyFill="1" applyBorder="1" applyAlignment="1" applyProtection="1">
      <alignment horizontal="center"/>
      <protection locked="0"/>
    </xf>
    <xf numFmtId="167" fontId="38" fillId="7" borderId="33" xfId="1" applyNumberFormat="1" applyFont="1" applyFill="1" applyBorder="1" applyAlignment="1" applyProtection="1">
      <alignment horizontal="center" vertical="center"/>
      <protection locked="0"/>
    </xf>
    <xf numFmtId="166" fontId="38" fillId="7" borderId="34" xfId="1" applyFont="1" applyFill="1" applyBorder="1" applyAlignment="1" applyProtection="1">
      <alignment horizontal="center" vertical="center"/>
      <protection locked="0"/>
    </xf>
    <xf numFmtId="166" fontId="38" fillId="7" borderId="45" xfId="1" applyFont="1" applyFill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left"/>
      <protection locked="0"/>
    </xf>
    <xf numFmtId="167" fontId="38" fillId="4" borderId="34" xfId="0" applyNumberFormat="1" applyFont="1" applyFill="1" applyBorder="1" applyAlignment="1" applyProtection="1">
      <alignment horizontal="center"/>
      <protection locked="0"/>
    </xf>
    <xf numFmtId="0" fontId="38" fillId="4" borderId="34" xfId="0" applyFont="1" applyFill="1" applyBorder="1" applyAlignment="1" applyProtection="1">
      <alignment horizontal="center"/>
      <protection locked="0"/>
    </xf>
    <xf numFmtId="169" fontId="79" fillId="4" borderId="32" xfId="0" applyNumberFormat="1" applyFont="1" applyFill="1" applyBorder="1" applyAlignment="1" applyProtection="1">
      <alignment horizontal="left" vertical="top"/>
      <protection locked="0"/>
    </xf>
    <xf numFmtId="0" fontId="79" fillId="4" borderId="34" xfId="0" applyFont="1" applyFill="1" applyBorder="1" applyAlignment="1" applyProtection="1">
      <alignment horizontal="left" vertical="top"/>
      <protection locked="0"/>
    </xf>
    <xf numFmtId="169" fontId="79" fillId="4" borderId="34" xfId="0" applyNumberFormat="1" applyFont="1" applyFill="1" applyBorder="1" applyAlignment="1" applyProtection="1">
      <alignment horizontal="left" vertical="top"/>
      <protection locked="0"/>
    </xf>
    <xf numFmtId="14" fontId="32" fillId="0" borderId="0" xfId="0" applyNumberFormat="1" applyFont="1" applyAlignment="1" applyProtection="1">
      <alignment horizontal="right" vertical="center"/>
      <protection locked="0"/>
    </xf>
    <xf numFmtId="0" fontId="32" fillId="0" borderId="0" xfId="0" applyFont="1" applyAlignment="1" applyProtection="1">
      <alignment horizontal="right" vertical="center"/>
      <protection locked="0"/>
    </xf>
    <xf numFmtId="0" fontId="32" fillId="2" borderId="44" xfId="3" applyFont="1" applyFill="1" applyBorder="1" applyAlignment="1" applyProtection="1">
      <alignment horizontal="left"/>
      <protection locked="0"/>
    </xf>
    <xf numFmtId="0" fontId="35" fillId="0" borderId="0" xfId="0" applyFont="1" applyAlignment="1" applyProtection="1">
      <alignment horizontal="right"/>
      <protection locked="0"/>
    </xf>
    <xf numFmtId="0" fontId="33" fillId="0" borderId="0" xfId="0" applyFont="1" applyAlignment="1" applyProtection="1">
      <alignment horizontal="center"/>
      <protection locked="0"/>
    </xf>
    <xf numFmtId="0" fontId="32" fillId="17" borderId="46" xfId="0" applyFont="1" applyFill="1" applyBorder="1" applyAlignment="1" applyProtection="1">
      <alignment horizontal="center" wrapText="1"/>
      <protection locked="0"/>
    </xf>
    <xf numFmtId="0" fontId="32" fillId="17" borderId="0" xfId="0" applyFont="1" applyFill="1" applyAlignment="1" applyProtection="1">
      <alignment horizontal="center" wrapText="1"/>
      <protection locked="0"/>
    </xf>
    <xf numFmtId="0" fontId="32" fillId="6" borderId="0" xfId="0" applyFont="1" applyFill="1" applyAlignment="1" applyProtection="1">
      <alignment horizontal="center" vertical="center"/>
      <protection locked="0"/>
    </xf>
    <xf numFmtId="0" fontId="10" fillId="4" borderId="47" xfId="5" applyFont="1" applyFill="1" applyBorder="1" applyAlignment="1" applyProtection="1">
      <alignment horizontal="left"/>
      <protection locked="0"/>
    </xf>
    <xf numFmtId="0" fontId="10" fillId="4" borderId="32" xfId="0" applyFont="1" applyFill="1" applyBorder="1" applyAlignment="1" applyProtection="1">
      <alignment horizontal="left"/>
      <protection locked="0"/>
    </xf>
    <xf numFmtId="0" fontId="10" fillId="4" borderId="48" xfId="0" applyFont="1" applyFill="1" applyBorder="1" applyAlignment="1" applyProtection="1">
      <alignment horizontal="left"/>
      <protection locked="0"/>
    </xf>
    <xf numFmtId="0" fontId="78" fillId="0" borderId="0" xfId="0" applyFont="1" applyAlignment="1" applyProtection="1">
      <alignment horizontal="center" vertical="center"/>
      <protection locked="0"/>
    </xf>
    <xf numFmtId="0" fontId="79" fillId="4" borderId="0" xfId="0" applyFont="1" applyFill="1" applyAlignment="1" applyProtection="1">
      <alignment horizontal="left" vertical="top"/>
      <protection locked="0"/>
    </xf>
    <xf numFmtId="170" fontId="79" fillId="4" borderId="0" xfId="0" applyNumberFormat="1" applyFont="1" applyFill="1" applyAlignment="1" applyProtection="1">
      <alignment horizontal="left" vertical="top"/>
      <protection locked="0"/>
    </xf>
    <xf numFmtId="0" fontId="32" fillId="2" borderId="37" xfId="3" applyFont="1" applyFill="1" applyBorder="1" applyAlignment="1" applyProtection="1">
      <alignment horizontal="left"/>
      <protection locked="0"/>
    </xf>
    <xf numFmtId="0" fontId="79" fillId="4" borderId="33" xfId="0" applyFont="1" applyFill="1" applyBorder="1" applyAlignment="1" applyProtection="1">
      <alignment horizontal="left" vertical="top"/>
      <protection locked="0"/>
    </xf>
    <xf numFmtId="0" fontId="79" fillId="4" borderId="45" xfId="0" applyFont="1" applyFill="1" applyBorder="1" applyAlignment="1" applyProtection="1">
      <alignment horizontal="left" vertical="top"/>
      <protection locked="0"/>
    </xf>
    <xf numFmtId="167" fontId="78" fillId="0" borderId="0" xfId="0" applyNumberFormat="1" applyFont="1" applyAlignment="1" applyProtection="1">
      <alignment horizontal="center" vertical="center"/>
      <protection locked="0"/>
    </xf>
    <xf numFmtId="0" fontId="32" fillId="0" borderId="0" xfId="0" applyFont="1" applyAlignment="1" applyProtection="1">
      <alignment horizontal="center"/>
      <protection locked="0"/>
    </xf>
    <xf numFmtId="0" fontId="32" fillId="0" borderId="0" xfId="0" applyFont="1" applyAlignment="1" applyProtection="1">
      <alignment horizontal="left"/>
      <protection locked="0"/>
    </xf>
    <xf numFmtId="0" fontId="8" fillId="4" borderId="0" xfId="0" applyFont="1" applyFill="1" applyAlignment="1" applyProtection="1">
      <alignment horizontal="center" vertical="center" shrinkToFit="1"/>
      <protection locked="0"/>
    </xf>
    <xf numFmtId="0" fontId="33" fillId="4" borderId="0" xfId="0" applyFont="1" applyFill="1" applyAlignment="1" applyProtection="1">
      <alignment horizontal="center"/>
      <protection locked="0"/>
    </xf>
    <xf numFmtId="0" fontId="53" fillId="4" borderId="0" xfId="0" applyFont="1" applyFill="1" applyAlignment="1" applyProtection="1">
      <alignment horizontal="center"/>
      <protection locked="0"/>
    </xf>
    <xf numFmtId="0" fontId="38" fillId="7" borderId="33" xfId="0" applyFont="1" applyFill="1" applyBorder="1" applyAlignment="1" applyProtection="1">
      <alignment horizontal="left" vertical="center"/>
      <protection locked="0"/>
    </xf>
    <xf numFmtId="0" fontId="38" fillId="7" borderId="34" xfId="0" applyFont="1" applyFill="1" applyBorder="1" applyAlignment="1" applyProtection="1">
      <alignment horizontal="left" vertical="center"/>
      <protection locked="0"/>
    </xf>
    <xf numFmtId="0" fontId="32" fillId="6" borderId="0" xfId="0" applyFont="1" applyFill="1" applyAlignment="1" applyProtection="1">
      <alignment horizontal="center" wrapText="1"/>
      <protection locked="0"/>
    </xf>
    <xf numFmtId="0" fontId="77" fillId="7" borderId="33" xfId="0" applyFont="1" applyFill="1" applyBorder="1" applyAlignment="1" applyProtection="1">
      <alignment horizontal="center" vertical="center"/>
      <protection locked="0"/>
    </xf>
    <xf numFmtId="0" fontId="77" fillId="7" borderId="34" xfId="0" applyFont="1" applyFill="1" applyBorder="1" applyAlignment="1" applyProtection="1">
      <alignment horizontal="center" vertical="center"/>
      <protection locked="0"/>
    </xf>
    <xf numFmtId="0" fontId="38" fillId="7" borderId="33" xfId="0" applyFont="1" applyFill="1" applyBorder="1" applyAlignment="1" applyProtection="1">
      <alignment horizontal="center" vertical="center"/>
      <protection locked="0"/>
    </xf>
    <xf numFmtId="0" fontId="38" fillId="7" borderId="34" xfId="0" applyFont="1" applyFill="1" applyBorder="1" applyAlignment="1" applyProtection="1">
      <alignment horizontal="center" vertical="center"/>
      <protection locked="0"/>
    </xf>
    <xf numFmtId="0" fontId="38" fillId="7" borderId="45" xfId="0" applyFont="1" applyFill="1" applyBorder="1" applyAlignment="1" applyProtection="1">
      <alignment horizontal="center" vertical="center"/>
      <protection locked="0"/>
    </xf>
    <xf numFmtId="0" fontId="36" fillId="4" borderId="34" xfId="0" applyFont="1" applyFill="1" applyBorder="1" applyAlignment="1" applyProtection="1">
      <alignment horizontal="left" vertical="center"/>
      <protection locked="0"/>
    </xf>
    <xf numFmtId="0" fontId="38" fillId="7" borderId="45" xfId="0" applyFont="1" applyFill="1" applyBorder="1" applyAlignment="1" applyProtection="1">
      <alignment horizontal="left" vertical="center"/>
      <protection locked="0"/>
    </xf>
    <xf numFmtId="0" fontId="27" fillId="2" borderId="44" xfId="3" applyFont="1" applyFill="1" applyBorder="1" applyAlignment="1" applyProtection="1">
      <alignment horizontal="left"/>
      <protection locked="0"/>
    </xf>
    <xf numFmtId="0" fontId="27" fillId="2" borderId="37" xfId="3" applyFont="1" applyFill="1" applyBorder="1" applyAlignment="1" applyProtection="1">
      <alignment horizontal="left"/>
      <protection locked="0"/>
    </xf>
    <xf numFmtId="0" fontId="73" fillId="4" borderId="33" xfId="0" applyFont="1" applyFill="1" applyBorder="1" applyAlignment="1" applyProtection="1">
      <alignment horizontal="left" vertical="top"/>
      <protection locked="0"/>
    </xf>
    <xf numFmtId="0" fontId="73" fillId="4" borderId="34" xfId="0" applyFont="1" applyFill="1" applyBorder="1" applyAlignment="1" applyProtection="1">
      <alignment horizontal="left" vertical="top"/>
      <protection locked="0"/>
    </xf>
    <xf numFmtId="0" fontId="73" fillId="4" borderId="45" xfId="0" applyFont="1" applyFill="1" applyBorder="1" applyAlignment="1" applyProtection="1">
      <alignment horizontal="left" vertical="top"/>
      <protection locked="0"/>
    </xf>
    <xf numFmtId="0" fontId="73" fillId="4" borderId="32" xfId="0" applyFont="1" applyFill="1" applyBorder="1" applyAlignment="1" applyProtection="1">
      <alignment horizontal="left" vertical="top"/>
      <protection locked="0"/>
    </xf>
    <xf numFmtId="14" fontId="27" fillId="0" borderId="0" xfId="0" applyNumberFormat="1" applyFont="1" applyAlignment="1" applyProtection="1">
      <alignment horizontal="right" vertical="center"/>
      <protection locked="0"/>
    </xf>
    <xf numFmtId="0" fontId="27" fillId="0" borderId="0" xfId="0" applyFont="1" applyAlignment="1" applyProtection="1">
      <alignment horizontal="right" vertical="center"/>
      <protection locked="0"/>
    </xf>
    <xf numFmtId="0" fontId="73" fillId="4" borderId="0" xfId="0" applyFont="1" applyFill="1" applyAlignment="1" applyProtection="1">
      <alignment horizontal="left" vertical="top"/>
      <protection locked="0"/>
    </xf>
    <xf numFmtId="0" fontId="25" fillId="4" borderId="33" xfId="0" applyFont="1" applyFill="1" applyBorder="1" applyAlignment="1" applyProtection="1">
      <alignment horizontal="center"/>
      <protection locked="0"/>
    </xf>
    <xf numFmtId="0" fontId="25" fillId="4" borderId="34" xfId="0" applyFont="1" applyFill="1" applyBorder="1" applyAlignment="1" applyProtection="1">
      <alignment horizontal="center"/>
      <protection locked="0"/>
    </xf>
    <xf numFmtId="0" fontId="25" fillId="4" borderId="45" xfId="0" applyFont="1" applyFill="1" applyBorder="1" applyAlignment="1" applyProtection="1">
      <alignment horizontal="center"/>
      <protection locked="0"/>
    </xf>
    <xf numFmtId="0" fontId="25" fillId="0" borderId="8" xfId="0" applyFont="1" applyBorder="1" applyAlignment="1" applyProtection="1">
      <alignment horizontal="center" wrapText="1"/>
      <protection locked="0"/>
    </xf>
    <xf numFmtId="0" fontId="25" fillId="0" borderId="7" xfId="0" applyFont="1" applyBorder="1" applyAlignment="1" applyProtection="1">
      <alignment horizontal="center" wrapText="1"/>
      <protection locked="0"/>
    </xf>
    <xf numFmtId="0" fontId="25" fillId="0" borderId="6" xfId="0" applyFont="1" applyBorder="1" applyAlignment="1" applyProtection="1">
      <alignment horizontal="center" wrapText="1"/>
      <protection locked="0"/>
    </xf>
    <xf numFmtId="0" fontId="28" fillId="3" borderId="13" xfId="0" applyFont="1" applyFill="1" applyBorder="1" applyAlignment="1" applyProtection="1">
      <alignment horizontal="center" vertical="center"/>
      <protection locked="0"/>
    </xf>
    <xf numFmtId="0" fontId="28" fillId="3" borderId="8" xfId="0" applyFont="1" applyFill="1" applyBorder="1" applyAlignment="1" applyProtection="1">
      <alignment horizontal="center" vertical="center"/>
      <protection locked="0"/>
    </xf>
    <xf numFmtId="0" fontId="28" fillId="3" borderId="7" xfId="0" applyFont="1" applyFill="1" applyBorder="1" applyAlignment="1" applyProtection="1">
      <alignment horizontal="center" vertical="center"/>
      <protection locked="0"/>
    </xf>
    <xf numFmtId="0" fontId="28" fillId="3" borderId="6" xfId="0" applyFont="1" applyFill="1" applyBorder="1" applyAlignment="1" applyProtection="1">
      <alignment horizontal="center" vertical="center"/>
      <protection locked="0"/>
    </xf>
    <xf numFmtId="9" fontId="25" fillId="5" borderId="8" xfId="6" applyFont="1" applyFill="1" applyBorder="1" applyAlignment="1" applyProtection="1">
      <alignment horizontal="left"/>
      <protection locked="0"/>
    </xf>
    <xf numFmtId="9" fontId="25" fillId="5" borderId="7" xfId="6" applyFont="1" applyFill="1" applyBorder="1" applyAlignment="1" applyProtection="1">
      <alignment horizontal="left"/>
      <protection locked="0"/>
    </xf>
    <xf numFmtId="9" fontId="25" fillId="5" borderId="6" xfId="6" applyFont="1" applyFill="1" applyBorder="1" applyAlignment="1" applyProtection="1">
      <alignment horizontal="left"/>
      <protection locked="0"/>
    </xf>
    <xf numFmtId="0" fontId="25" fillId="4" borderId="8" xfId="0" applyFont="1" applyFill="1" applyBorder="1" applyAlignment="1" applyProtection="1">
      <alignment horizontal="left"/>
      <protection locked="0"/>
    </xf>
    <xf numFmtId="0" fontId="25" fillId="4" borderId="7" xfId="0" applyFont="1" applyFill="1" applyBorder="1" applyAlignment="1" applyProtection="1">
      <alignment horizontal="left"/>
      <protection locked="0"/>
    </xf>
    <xf numFmtId="0" fontId="25" fillId="4" borderId="6" xfId="0" applyFont="1" applyFill="1" applyBorder="1" applyAlignment="1" applyProtection="1">
      <alignment horizontal="left"/>
      <protection locked="0"/>
    </xf>
    <xf numFmtId="9" fontId="25" fillId="4" borderId="8" xfId="6" applyFont="1" applyFill="1" applyBorder="1" applyAlignment="1" applyProtection="1">
      <alignment horizontal="left"/>
      <protection locked="0"/>
    </xf>
    <xf numFmtId="9" fontId="25" fillId="4" borderId="7" xfId="6" applyFont="1" applyFill="1" applyBorder="1" applyAlignment="1" applyProtection="1">
      <alignment horizontal="left"/>
      <protection locked="0"/>
    </xf>
    <xf numFmtId="9" fontId="25" fillId="4" borderId="6" xfId="6" applyFont="1" applyFill="1" applyBorder="1" applyAlignment="1" applyProtection="1">
      <alignment horizontal="left"/>
      <protection locked="0"/>
    </xf>
    <xf numFmtId="167" fontId="29" fillId="4" borderId="13" xfId="0" applyNumberFormat="1" applyFont="1" applyFill="1" applyBorder="1" applyAlignment="1" applyProtection="1">
      <alignment horizontal="center" vertical="center"/>
      <protection locked="0"/>
    </xf>
    <xf numFmtId="167" fontId="29" fillId="5" borderId="13" xfId="0" applyNumberFormat="1" applyFont="1" applyFill="1" applyBorder="1" applyAlignment="1" applyProtection="1">
      <alignment horizontal="center" vertical="center"/>
      <protection locked="0"/>
    </xf>
    <xf numFmtId="167" fontId="28" fillId="18" borderId="13" xfId="0" applyNumberFormat="1" applyFont="1" applyFill="1" applyBorder="1" applyAlignment="1">
      <alignment horizontal="center" vertical="center"/>
    </xf>
  </cellXfs>
  <cellStyles count="8">
    <cellStyle name="Hiperlink" xfId="5" builtinId="8"/>
    <cellStyle name="Moeda" xfId="1" builtinId="4"/>
    <cellStyle name="Normal" xfId="0" builtinId="0" customBuiltin="1"/>
    <cellStyle name="Normal 2" xfId="7" xr:uid="{BA987B6A-889C-41B8-959D-D939C3080C31}"/>
    <cellStyle name="Porcentagem" xfId="6" builtinId="5"/>
    <cellStyle name="Título 1" xfId="2" builtinId="16" customBuiltin="1"/>
    <cellStyle name="Título 2" xfId="3" builtinId="17" customBuiltin="1"/>
    <cellStyle name="Título 4" xfId="4" builtinId="19" customBuiltin="1"/>
  </cellStyles>
  <dxfs count="4">
    <dxf>
      <fill>
        <patternFill patternType="solid">
          <fgColor theme="5"/>
          <bgColor theme="5" tint="0.39994506668294322"/>
        </patternFill>
      </fill>
    </dxf>
    <dxf>
      <font>
        <b/>
        <color theme="0"/>
      </font>
      <fill>
        <patternFill patternType="solid">
          <fgColor theme="5" tint="-0.24994659260841701"/>
          <bgColor theme="5" tint="-0.24994659260841701"/>
        </patternFill>
      </fill>
      <border>
        <top style="medium">
          <color theme="0"/>
        </top>
      </border>
    </dxf>
    <dxf>
      <font>
        <b/>
        <i val="0"/>
        <color theme="0"/>
      </font>
      <fill>
        <patternFill patternType="solid">
          <fgColor theme="5" tint="-0.24994659260841701"/>
          <bgColor theme="5" tint="-0.24994659260841701"/>
        </patternFill>
      </fill>
      <border>
        <bottom style="medium">
          <color theme="0"/>
        </bottom>
      </border>
    </dxf>
    <dxf>
      <font>
        <color theme="3"/>
      </font>
      <fill>
        <patternFill patternType="solid">
          <fgColor theme="5" tint="0.59996337778862885"/>
          <bgColor theme="5" tint="0.79998168889431442"/>
        </patternFill>
      </fill>
    </dxf>
  </dxfs>
  <tableStyles count="1" defaultTableStyle="TableStyleMedium2" defaultPivotStyle="PivotStyleLight16">
    <tableStyle name="Consultant Timesheet" pivot="0" count="4" xr9:uid="{00000000-0011-0000-FFFF-FFFF00000000}">
      <tableStyleElement type="wholeTable" dxfId="3"/>
      <tableStyleElement type="headerRow" dxfId="2"/>
      <tableStyleElement type="totalRow" dxfId="1"/>
      <tableStyleElement type="firstRowStripe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6896CE"/>
      <rgbColor rgb="00FFFF00"/>
      <rgbColor rgb="00FF00FF"/>
      <rgbColor rgb="0000FFFF"/>
      <rgbColor rgb="00800000"/>
      <rgbColor rgb="00547D92"/>
      <rgbColor rgb="00C2D5E0"/>
      <rgbColor rgb="0037525F"/>
      <rgbColor rgb="00BCBCBC"/>
      <rgbColor rgb="00008080"/>
      <rgbColor rgb="00E0E0E0"/>
      <rgbColor rgb="00969696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FEFCF2"/>
      <rgbColor rgb="00CCFFCC"/>
      <rgbColor rgb="00FFE7BD"/>
      <rgbColor rgb="00FCFAF2"/>
      <rgbColor rgb="00FF99CC"/>
      <rgbColor rgb="00EAEAEA"/>
      <rgbColor rgb="00FDF7DF"/>
      <rgbColor rgb="003366FF"/>
      <rgbColor rgb="0033CCCC"/>
      <rgbColor rgb="0099CC00"/>
      <rgbColor rgb="00FFCC00"/>
      <rgbColor rgb="00FF9900"/>
      <rgbColor rgb="00FF6600"/>
      <rgbColor rgb="00FBF8EF"/>
      <rgbColor rgb="00CFCFCF"/>
      <rgbColor rgb="00315D71"/>
      <rgbColor rgb="00339966"/>
      <rgbColor rgb="00739ED3"/>
      <rgbColor rgb="00ECF5D7"/>
      <rgbColor rgb="00993300"/>
      <rgbColor rgb="00993366"/>
      <rgbColor rgb="00F1F6F9"/>
      <rgbColor rgb="00333333"/>
    </indexedColors>
    <mruColors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61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eetMetadata" Target="metadata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tyles" Target="style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jpeg"/><Relationship Id="rId1" Type="http://schemas.openxmlformats.org/officeDocument/2006/relationships/image" Target="../media/image1.jpeg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14</xdr:col>
      <xdr:colOff>281940</xdr:colOff>
      <xdr:row>4</xdr:row>
      <xdr:rowOff>190500</xdr:rowOff>
    </xdr:to>
    <xdr:pic>
      <xdr:nvPicPr>
        <xdr:cNvPr id="1948" name="Picture 1">
          <a:extLst>
            <a:ext uri="{FF2B5EF4-FFF2-40B4-BE49-F238E27FC236}">
              <a16:creationId xmlns:a16="http://schemas.microsoft.com/office/drawing/2014/main" id="{5D4CC286-8591-4BAD-98C8-0DF65BA1A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77300" y="160020"/>
          <a:ext cx="217932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670560</xdr:colOff>
      <xdr:row>8</xdr:row>
      <xdr:rowOff>137160</xdr:rowOff>
    </xdr:from>
    <xdr:to>
      <xdr:col>8</xdr:col>
      <xdr:colOff>609600</xdr:colOff>
      <xdr:row>17</xdr:row>
      <xdr:rowOff>160020</xdr:rowOff>
    </xdr:to>
    <xdr:pic>
      <xdr:nvPicPr>
        <xdr:cNvPr id="1949" name="Picture 1">
          <a:extLst>
            <a:ext uri="{FF2B5EF4-FFF2-40B4-BE49-F238E27FC236}">
              <a16:creationId xmlns:a16="http://schemas.microsoft.com/office/drawing/2014/main" id="{B6A4A870-7BA7-46FE-98D0-D7E368033F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5420" y="2049780"/>
          <a:ext cx="5943600" cy="26974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14</xdr:col>
      <xdr:colOff>137160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0E1466C-6770-4465-811E-07CF5CA470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14</xdr:col>
      <xdr:colOff>137160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954DBF3F-ED49-4313-83B5-8BB343389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0326859-002C-413B-8FE6-C0C2B27387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D9D48203-F9AF-47AE-A783-0DFAFD89E4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14</xdr:col>
      <xdr:colOff>22860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A5062B3-0A22-486B-86E9-8DA27DEDFB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820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14</xdr:col>
      <xdr:colOff>22860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424ABF6D-0BB9-46CB-A11E-5C1E413E64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820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13</xdr:col>
      <xdr:colOff>114300</xdr:colOff>
      <xdr:row>4</xdr:row>
      <xdr:rowOff>190500</xdr:rowOff>
    </xdr:to>
    <xdr:pic>
      <xdr:nvPicPr>
        <xdr:cNvPr id="39018" name="Picture 1">
          <a:extLst>
            <a:ext uri="{FF2B5EF4-FFF2-40B4-BE49-F238E27FC236}">
              <a16:creationId xmlns:a16="http://schemas.microsoft.com/office/drawing/2014/main" id="{D836FCF7-9CDB-4207-82F7-A1571847A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600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13</xdr:col>
      <xdr:colOff>114300</xdr:colOff>
      <xdr:row>4</xdr:row>
      <xdr:rowOff>190500</xdr:rowOff>
    </xdr:to>
    <xdr:pic>
      <xdr:nvPicPr>
        <xdr:cNvPr id="39019" name="Picture 1">
          <a:extLst>
            <a:ext uri="{FF2B5EF4-FFF2-40B4-BE49-F238E27FC236}">
              <a16:creationId xmlns:a16="http://schemas.microsoft.com/office/drawing/2014/main" id="{A5A09ABE-BD57-4528-93F6-7E3D76A4C8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600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14</xdr:col>
      <xdr:colOff>137160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CF4249F-90D3-4E35-B7C1-AE6BA92492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14</xdr:col>
      <xdr:colOff>137160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39224F06-6598-49E6-ABA2-DAE47D3901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14</xdr:col>
      <xdr:colOff>137160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92A8FFD-E2DE-46FD-9FF0-2069ACF0C9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14</xdr:col>
      <xdr:colOff>137160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F3363C4D-23D2-4410-A2B2-F009E2CD3B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14</xdr:col>
      <xdr:colOff>22860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A6B6DC5-E73E-4DCF-8D45-7401009886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14</xdr:col>
      <xdr:colOff>22860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29C7A4CE-AE39-4534-8704-98475B7413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</xdr:rowOff>
    </xdr:from>
    <xdr:to>
      <xdr:col>10</xdr:col>
      <xdr:colOff>18531</xdr:colOff>
      <xdr:row>16</xdr:row>
      <xdr:rowOff>160021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2E61255-E4E3-4BDB-BE14-559A0EA49D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1"/>
          <a:ext cx="6114530" cy="3329940"/>
        </a:xfrm>
        <a:prstGeom prst="rect">
          <a:avLst/>
        </a:prstGeom>
      </xdr:spPr>
    </xdr:pic>
    <xdr:clientData/>
  </xdr:twoCellAnchor>
  <xdr:twoCellAnchor editAs="oneCell">
    <xdr:from>
      <xdr:col>10</xdr:col>
      <xdr:colOff>1</xdr:colOff>
      <xdr:row>0</xdr:row>
      <xdr:rowOff>1</xdr:rowOff>
    </xdr:from>
    <xdr:to>
      <xdr:col>21</xdr:col>
      <xdr:colOff>552511</xdr:colOff>
      <xdr:row>17</xdr:row>
      <xdr:rowOff>38101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6DB899B-001A-4B47-BA32-B941972E94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1" y="1"/>
          <a:ext cx="7258110" cy="3406140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18</xdr:row>
      <xdr:rowOff>1</xdr:rowOff>
    </xdr:from>
    <xdr:to>
      <xdr:col>21</xdr:col>
      <xdr:colOff>609018</xdr:colOff>
      <xdr:row>42</xdr:row>
      <xdr:rowOff>76200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CDB72B5-7744-449B-8377-35DB4B049C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924800" y="3566161"/>
          <a:ext cx="5485818" cy="483107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</xdr:row>
      <xdr:rowOff>1</xdr:rowOff>
    </xdr:from>
    <xdr:to>
      <xdr:col>12</xdr:col>
      <xdr:colOff>137160</xdr:colOff>
      <xdr:row>45</xdr:row>
      <xdr:rowOff>116937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20F135D-6B7D-4316-A9A2-77212BF3F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3566161"/>
          <a:ext cx="7452360" cy="5466176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14</xdr:col>
      <xdr:colOff>137160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FC6F644-785C-4ACA-B3A3-CF57555E39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14</xdr:col>
      <xdr:colOff>137160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75B4A600-F2D1-4F1F-BF13-9103A51E28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14</xdr:col>
      <xdr:colOff>137160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7001AA0-CC53-493C-B8D0-40D2B72A31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14</xdr:col>
      <xdr:colOff>137160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5C003F09-4E86-4399-B351-83DDC17050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14</xdr:col>
      <xdr:colOff>22860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37110C3-6A2D-46C5-9910-4541937D67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14</xdr:col>
      <xdr:colOff>22860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C290F995-FE1E-44C6-86B4-D73F357501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14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4825A24-CB35-4104-9677-B048533A12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14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2DFFF3F2-7111-487E-996F-1969A72AA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14</xdr:col>
      <xdr:colOff>137160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D78AE9C-FFAE-46B5-8870-C48BDCFBA8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14</xdr:col>
      <xdr:colOff>137160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7FB4D083-C928-440F-8E39-DCA77767E3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F7CEE05-1003-493C-975E-5AA0C0D341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34E192C5-6121-473E-87BF-3B20A96F81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269B6CE-E62D-48B1-8980-2E75286DCA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EC9D2175-3690-4CC5-81F0-3040403BF4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7C6C2E1-C5E2-46EC-8F05-A0DAC24D29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5F2C3D4A-CEC8-4646-A334-BC03380B68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33DFFAF-2D89-43F1-990F-9F05AA39D6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15FCCACF-A6B1-499E-ABA2-7205DA0945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880A185-B81D-4622-A464-A76A6DDA56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5AEB35EB-8928-4746-AD82-7419DC975C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9DE7BDA-26B8-40F4-8CF5-E94F79B176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3DEB4717-5114-4B42-9C10-C9DB13C680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22C9940-F772-46A7-BF48-1647AAB2E3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29E50FF4-3F6F-46B8-8601-62F1DAF8E1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B475561-C13A-409A-BA8C-C686154219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B8478087-AB15-4BC1-BF1B-105344D6C1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4640747-E615-40DA-AC28-D6BD246532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15E32A18-0453-41E5-A40F-A61FF111F7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5FB08E2-1A45-44B5-8957-8F7EA33B2D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9E783129-D221-4045-9EFA-7D709187AD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2DE56CE-ED89-4030-9323-6BDE4D43B9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B7311E7D-E099-4E7D-A5AA-F60184F14B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5A17039-256B-4A67-8605-B952602F3C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F9695079-6CF5-42DE-AFE7-20E7FD3155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0ED5F91-D134-45A2-9965-D6D80C3528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D7AE1818-1C99-4B02-B37A-C5655F57DF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3658599-7B15-460E-BB4E-B0FEFB2E17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954B660A-93E3-4457-8964-1161A8284D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06EF5CB-60BC-4015-B6F0-8A9A433015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E0EDE7D6-3F29-4816-8C73-CAA00723BF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5B34CFD-0ED1-4130-90A5-2045AD5D1E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5A40E32D-6493-4503-9143-B40EA193BC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7F414AB-A5ED-482E-B20A-BECBE017C4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F035573F-CB4E-42E1-B9A1-C3ABF5E2F1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E60B096-1300-41C9-84AC-D30DF8CB5C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41EF24C1-D695-4455-AC41-E943780E21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C05A273-9150-4812-9D93-CE46E0B98B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F66CC397-3A75-449F-BC1A-A2785E53CD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9874D71-1B18-495F-94E0-E8D1C0DDEA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67196477-4FBD-4D73-B1C6-E199226498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86D5061-8483-475F-849C-8009F51C49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8FDBFFE1-54D9-4726-B0C9-20835DC169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D51105D-9022-4391-9F19-72A2DFCDAD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23F04BAE-8C7C-45E7-97F4-D0F31D9FB0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BA5A9B5-78FB-4537-B592-6E54050BA0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E243C55E-1E1F-436C-A25C-070E3F60EA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49840F1-EA0D-406C-922E-A5F72ABE1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4C4341B7-0C04-4344-92A6-6FF8E4F6D5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5676E4C-A5BD-49A7-8427-5E3ECF99CD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0792E59E-CF1B-4527-A1E1-ABC70EC842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05F2B58-D340-4540-90E9-B0E28F2DB9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4872682B-F4C5-4BB1-AA34-B5854BD892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26C26C0-5E86-4CA0-8436-64BE254928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55F731E4-CC2B-426D-B4D7-6BD432B16C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67A656D-F34B-4E09-9F0B-7BB8D97692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7181194E-9DC0-4C3C-9D04-A469DAF508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2450A6C-7F88-4670-A046-821E74894D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DD9A90A0-843C-43AB-8245-C430038658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03259CD-81C2-4264-BCC6-A5D1AF9228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A6AD50DC-D7B5-4E28-8836-C35DBA0E4D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BF1E7EB-4F79-478E-904A-AE143CEEEC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BDB8A124-2099-4F0F-8D5C-E1C55CE9AC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464820</xdr:colOff>
      <xdr:row>1</xdr:row>
      <xdr:rowOff>152400</xdr:rowOff>
    </xdr:from>
    <xdr:to>
      <xdr:col>22</xdr:col>
      <xdr:colOff>60960</xdr:colOff>
      <xdr:row>5</xdr:row>
      <xdr:rowOff>0</xdr:rowOff>
    </xdr:to>
    <xdr:pic>
      <xdr:nvPicPr>
        <xdr:cNvPr id="41060" name="Picture 1">
          <a:extLst>
            <a:ext uri="{FF2B5EF4-FFF2-40B4-BE49-F238E27FC236}">
              <a16:creationId xmlns:a16="http://schemas.microsoft.com/office/drawing/2014/main" id="{5EB34F98-80C1-42BC-B7E4-F30BDAE0CE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34700" y="342900"/>
          <a:ext cx="2667000" cy="11353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22860</xdr:colOff>
      <xdr:row>10</xdr:row>
      <xdr:rowOff>68580</xdr:rowOff>
    </xdr:from>
    <xdr:to>
      <xdr:col>3</xdr:col>
      <xdr:colOff>266700</xdr:colOff>
      <xdr:row>12</xdr:row>
      <xdr:rowOff>76200</xdr:rowOff>
    </xdr:to>
    <xdr:pic>
      <xdr:nvPicPr>
        <xdr:cNvPr id="41061" name="Picture 4" descr="Resultado de imagem para gaf LOGO ROOFING">
          <a:extLst>
            <a:ext uri="{FF2B5EF4-FFF2-40B4-BE49-F238E27FC236}">
              <a16:creationId xmlns:a16="http://schemas.microsoft.com/office/drawing/2014/main" id="{108B9786-D633-47BA-AD35-01A2FA1BDF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9560" y="3101340"/>
          <a:ext cx="762000" cy="6629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13</xdr:col>
      <xdr:colOff>114300</xdr:colOff>
      <xdr:row>4</xdr:row>
      <xdr:rowOff>190500</xdr:rowOff>
    </xdr:to>
    <xdr:pic>
      <xdr:nvPicPr>
        <xdr:cNvPr id="40095" name="Picture 1">
          <a:extLst>
            <a:ext uri="{FF2B5EF4-FFF2-40B4-BE49-F238E27FC236}">
              <a16:creationId xmlns:a16="http://schemas.microsoft.com/office/drawing/2014/main" id="{54624844-8B22-40FE-9EF2-11CFB27E90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600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13</xdr:col>
      <xdr:colOff>114300</xdr:colOff>
      <xdr:row>4</xdr:row>
      <xdr:rowOff>190500</xdr:rowOff>
    </xdr:to>
    <xdr:pic>
      <xdr:nvPicPr>
        <xdr:cNvPr id="40096" name="Picture 2">
          <a:extLst>
            <a:ext uri="{FF2B5EF4-FFF2-40B4-BE49-F238E27FC236}">
              <a16:creationId xmlns:a16="http://schemas.microsoft.com/office/drawing/2014/main" id="{153F8D52-FC3E-4BC0-AD2D-2C14B1439E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600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13</xdr:col>
      <xdr:colOff>114300</xdr:colOff>
      <xdr:row>4</xdr:row>
      <xdr:rowOff>190500</xdr:rowOff>
    </xdr:to>
    <xdr:pic>
      <xdr:nvPicPr>
        <xdr:cNvPr id="40097" name="Picture 1">
          <a:extLst>
            <a:ext uri="{FF2B5EF4-FFF2-40B4-BE49-F238E27FC236}">
              <a16:creationId xmlns:a16="http://schemas.microsoft.com/office/drawing/2014/main" id="{32F56E4B-1E2B-44FA-8F77-C075EEA5F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600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Horizon">
  <a:themeElements>
    <a:clrScheme name="Horizon">
      <a:dk1>
        <a:srgbClr val="000000"/>
      </a:dk1>
      <a:lt1>
        <a:srgbClr val="FFFFFF"/>
      </a:lt1>
      <a:dk2>
        <a:srgbClr val="1F2123"/>
      </a:dk2>
      <a:lt2>
        <a:srgbClr val="DC9E1F"/>
      </a:lt2>
      <a:accent1>
        <a:srgbClr val="7E97AD"/>
      </a:accent1>
      <a:accent2>
        <a:srgbClr val="CC8E60"/>
      </a:accent2>
      <a:accent3>
        <a:srgbClr val="7A6A60"/>
      </a:accent3>
      <a:accent4>
        <a:srgbClr val="B4936D"/>
      </a:accent4>
      <a:accent5>
        <a:srgbClr val="67787B"/>
      </a:accent5>
      <a:accent6>
        <a:srgbClr val="9D936F"/>
      </a:accent6>
      <a:hlink>
        <a:srgbClr val="646464"/>
      </a:hlink>
      <a:folHlink>
        <a:srgbClr val="969696"/>
      </a:folHlink>
    </a:clrScheme>
    <a:fontScheme name="Horizon">
      <a:majorFont>
        <a:latin typeface="Arial Narrow"/>
        <a:ea typeface=""/>
        <a:cs typeface=""/>
        <a:font script="Jpan" typeface="ＭＳ ゴシック"/>
        <a:font script="Hang" typeface="HY얕은샘물M"/>
        <a:font script="Hans" typeface="方正姚体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Arial Narrow"/>
        <a:ea typeface=""/>
        <a:cs typeface=""/>
        <a:font script="Jpan" typeface="ＭＳ ゴシック"/>
        <a:font script="Hang" typeface="HY얕은샘물M"/>
        <a:font script="Hans" typeface="方正姚体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Horizon">
      <a:fillStyleLst>
        <a:solidFill>
          <a:schemeClr val="phClr"/>
        </a:solidFill>
        <a:gradFill rotWithShape="1">
          <a:gsLst>
            <a:gs pos="0">
              <a:schemeClr val="phClr">
                <a:tint val="83000"/>
                <a:shade val="100000"/>
                <a:satMod val="100000"/>
              </a:schemeClr>
            </a:gs>
            <a:gs pos="100000">
              <a:schemeClr val="phClr">
                <a:tint val="61000"/>
                <a:alpha val="100000"/>
                <a:satMod val="200000"/>
              </a:schemeClr>
            </a:gs>
          </a:gsLst>
          <a:path path="circle">
            <a:fillToRect l="100000" t="100000" r="100000" b="100000"/>
          </a:path>
        </a:gradFill>
        <a:gradFill rotWithShape="1">
          <a:gsLst>
            <a:gs pos="0">
              <a:schemeClr val="phClr">
                <a:shade val="85000"/>
              </a:schemeClr>
            </a:gs>
            <a:gs pos="100000">
              <a:schemeClr val="phClr">
                <a:tint val="90000"/>
                <a:alpha val="100000"/>
                <a:satMod val="200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0795" cap="flat" cmpd="sng" algn="ctr">
          <a:solidFill>
            <a:schemeClr val="phClr"/>
          </a:solidFill>
          <a:prstDash val="solid"/>
        </a:ln>
        <a:ln w="15240" cap="flat" cmpd="sng" algn="ctr">
          <a:solidFill>
            <a:schemeClr val="phClr">
              <a:tint val="25000"/>
              <a:alpha val="25000"/>
            </a:schemeClr>
          </a:solidFill>
          <a:prstDash val="solid"/>
        </a:ln>
      </a:lnStyleLst>
      <a:effectStyleLst>
        <a:effectStyle>
          <a:effectLst>
            <a:outerShdw blurRad="381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42924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0000"/>
              </a:srgbClr>
            </a:outerShdw>
          </a:effectLst>
          <a:scene3d>
            <a:camera prst="orthographicFront">
              <a:rot lat="0" lon="0" rev="0"/>
            </a:camera>
            <a:lightRig rig="flat" dir="t">
              <a:rot lat="0" lon="0" rev="3600000"/>
            </a:lightRig>
          </a:scene3d>
          <a:sp3d prstMaterial="flat">
            <a:bevelT w="34925" h="47625" prst="coolSlant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6000"/>
                <a:shade val="100000"/>
                <a:alpha val="100000"/>
                <a:satMod val="140000"/>
              </a:schemeClr>
            </a:gs>
            <a:gs pos="31000">
              <a:schemeClr val="phClr">
                <a:tint val="100000"/>
                <a:shade val="90000"/>
                <a:alpha val="100000"/>
              </a:schemeClr>
            </a:gs>
            <a:gs pos="100000">
              <a:schemeClr val="phClr">
                <a:tint val="100000"/>
                <a:shade val="80000"/>
                <a:alpha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shade val="100000"/>
                <a:alpha val="100000"/>
                <a:satMod val="180000"/>
              </a:schemeClr>
            </a:gs>
            <a:gs pos="41000">
              <a:schemeClr val="phClr">
                <a:tint val="100000"/>
                <a:shade val="100000"/>
                <a:alpha val="100000"/>
                <a:satMod val="150000"/>
              </a:schemeClr>
            </a:gs>
            <a:gs pos="100000">
              <a:schemeClr val="phClr">
                <a:tint val="100000"/>
                <a:shade val="65000"/>
                <a:alpha val="100000"/>
              </a:schemeClr>
            </a:gs>
          </a:gsLst>
          <a:path path="circle">
            <a:fillToRect l="50000" t="80000" r="100000" b="10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8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9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1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2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3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4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5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6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7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50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5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rgb="FF00B0F0"/>
  </sheetPr>
  <dimension ref="A1:O363"/>
  <sheetViews>
    <sheetView showGridLines="0" showZeros="0" view="pageBreakPreview" topLeftCell="A3" zoomScaleNormal="100" zoomScaleSheetLayoutView="100" workbookViewId="0">
      <selection activeCell="W26" sqref="W26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11.59765625" style="1" customWidth="1"/>
    <col min="4" max="4" width="34.19921875" style="1" customWidth="1"/>
    <col min="5" max="5" width="11.59765625" style="1" customWidth="1"/>
    <col min="6" max="6" width="9.796875" style="1" customWidth="1"/>
    <col min="7" max="7" width="18.59765625" style="2" customWidth="1"/>
    <col min="8" max="8" width="14.59765625" style="2" bestFit="1" customWidth="1"/>
    <col min="9" max="9" width="9.19921875" style="2" customWidth="1"/>
    <col min="10" max="10" width="18.19921875" style="2" customWidth="1"/>
    <col min="11" max="11" width="2.19921875" style="3" customWidth="1"/>
    <col min="12" max="12" width="2.3984375" style="1" customWidth="1"/>
    <col min="13" max="13" width="8.796875" style="1"/>
    <col min="14" max="14" width="12.3984375" style="1" bestFit="1" customWidth="1"/>
    <col min="15" max="15" width="13.59765625" style="1" bestFit="1" customWidth="1"/>
    <col min="16" max="16384" width="8.796875" style="1"/>
  </cols>
  <sheetData>
    <row r="1" spans="1:11" ht="9.75" customHeight="1" thickBot="1" x14ac:dyDescent="0.35">
      <c r="A1" s="71"/>
      <c r="B1" s="71"/>
      <c r="C1" s="71"/>
      <c r="D1" s="71"/>
      <c r="E1" s="71"/>
      <c r="F1" s="71"/>
      <c r="G1" s="170"/>
      <c r="H1" s="170"/>
      <c r="I1" s="170"/>
      <c r="J1" s="170"/>
      <c r="K1" s="180"/>
    </row>
    <row r="2" spans="1:11" ht="25" thickBot="1" x14ac:dyDescent="0.35">
      <c r="A2" s="71"/>
      <c r="B2" s="167"/>
      <c r="C2" s="169"/>
      <c r="D2" s="169"/>
      <c r="E2" s="169"/>
      <c r="F2" s="169"/>
      <c r="G2" s="169"/>
      <c r="H2" s="169"/>
      <c r="I2" s="169"/>
      <c r="J2" s="169"/>
      <c r="K2" s="177"/>
    </row>
    <row r="3" spans="1:11" ht="17.25" customHeight="1" thickBot="1" x14ac:dyDescent="0.35">
      <c r="A3" s="71"/>
      <c r="B3" s="166"/>
      <c r="C3" s="579"/>
      <c r="D3" s="580"/>
      <c r="E3" s="580"/>
      <c r="F3" s="580"/>
      <c r="G3" s="580"/>
      <c r="H3" s="580"/>
      <c r="I3" s="580"/>
      <c r="J3" s="581"/>
      <c r="K3" s="178"/>
    </row>
    <row r="4" spans="1:11" ht="22.5" customHeight="1" thickBot="1" x14ac:dyDescent="0.35">
      <c r="A4" s="71"/>
      <c r="B4" s="166"/>
      <c r="C4" s="582" t="s">
        <v>241</v>
      </c>
      <c r="D4" s="583"/>
      <c r="E4" s="583"/>
      <c r="F4" s="583"/>
      <c r="G4" s="583"/>
      <c r="H4" s="583"/>
      <c r="I4" s="584"/>
      <c r="J4" s="233" t="s">
        <v>56</v>
      </c>
      <c r="K4" s="178"/>
    </row>
    <row r="5" spans="1:11" ht="25" thickBot="1" x14ac:dyDescent="0.35">
      <c r="A5" s="71"/>
      <c r="B5" s="166"/>
      <c r="C5" s="572" t="s">
        <v>240</v>
      </c>
      <c r="D5" s="573"/>
      <c r="E5" s="573"/>
      <c r="F5" s="573"/>
      <c r="G5" s="573"/>
      <c r="H5" s="573"/>
      <c r="I5" s="573"/>
      <c r="J5" s="574"/>
      <c r="K5" s="178"/>
    </row>
    <row r="6" spans="1:11" ht="25" thickBot="1" x14ac:dyDescent="0.35">
      <c r="A6" s="71"/>
      <c r="B6" s="166"/>
      <c r="C6" s="347" t="s">
        <v>501</v>
      </c>
      <c r="D6" s="345"/>
      <c r="E6" s="345"/>
      <c r="F6" s="345"/>
      <c r="G6" s="345"/>
      <c r="H6" s="345"/>
      <c r="I6" s="346"/>
      <c r="J6" s="234">
        <v>10</v>
      </c>
      <c r="K6" s="178"/>
    </row>
    <row r="7" spans="1:11" ht="25" thickBot="1" x14ac:dyDescent="0.35">
      <c r="A7" s="71"/>
      <c r="B7" s="166"/>
      <c r="C7" s="217" t="s">
        <v>502</v>
      </c>
      <c r="D7" s="218"/>
      <c r="E7" s="218"/>
      <c r="F7" s="218"/>
      <c r="G7" s="218"/>
      <c r="H7" s="218"/>
      <c r="I7" s="324"/>
      <c r="J7" s="234">
        <v>10</v>
      </c>
      <c r="K7" s="178"/>
    </row>
    <row r="8" spans="1:11" ht="25" thickBot="1" x14ac:dyDescent="0.35">
      <c r="A8" s="71"/>
      <c r="B8" s="166"/>
      <c r="C8" s="217" t="s">
        <v>632</v>
      </c>
      <c r="D8" s="218"/>
      <c r="E8" s="218"/>
      <c r="F8" s="218"/>
      <c r="G8" s="218"/>
      <c r="H8" s="218"/>
      <c r="I8" s="324"/>
      <c r="J8" s="234">
        <v>10</v>
      </c>
      <c r="K8" s="178"/>
    </row>
    <row r="9" spans="1:11" ht="25" thickBot="1" x14ac:dyDescent="0.35">
      <c r="A9" s="71"/>
      <c r="B9" s="166"/>
      <c r="C9" s="217" t="s">
        <v>145</v>
      </c>
      <c r="D9" s="218"/>
      <c r="E9" s="218"/>
      <c r="F9" s="218"/>
      <c r="G9" s="218"/>
      <c r="H9" s="218"/>
      <c r="I9" s="324"/>
      <c r="J9" s="234">
        <v>165</v>
      </c>
      <c r="K9" s="178"/>
    </row>
    <row r="10" spans="1:11" ht="25" thickBot="1" x14ac:dyDescent="0.35">
      <c r="A10" s="71"/>
      <c r="B10" s="166"/>
      <c r="C10" s="217" t="s">
        <v>186</v>
      </c>
      <c r="D10" s="218"/>
      <c r="E10" s="218"/>
      <c r="F10" s="218"/>
      <c r="G10" s="218"/>
      <c r="H10" s="218"/>
      <c r="I10" s="219"/>
      <c r="J10" s="234">
        <v>7</v>
      </c>
      <c r="K10" s="178"/>
    </row>
    <row r="11" spans="1:11" ht="25" thickBot="1" x14ac:dyDescent="0.35">
      <c r="A11" s="71"/>
      <c r="B11" s="166"/>
      <c r="C11" s="217" t="s">
        <v>503</v>
      </c>
      <c r="D11" s="218"/>
      <c r="E11" s="218"/>
      <c r="F11" s="218"/>
      <c r="G11" s="218"/>
      <c r="H11" s="218"/>
      <c r="I11" s="219"/>
      <c r="J11" s="234">
        <v>35</v>
      </c>
      <c r="K11" s="178"/>
    </row>
    <row r="12" spans="1:11" ht="25" thickBot="1" x14ac:dyDescent="0.35">
      <c r="A12" s="71"/>
      <c r="B12" s="166"/>
      <c r="C12" s="572" t="s">
        <v>242</v>
      </c>
      <c r="D12" s="573"/>
      <c r="E12" s="573"/>
      <c r="F12" s="573"/>
      <c r="G12" s="573"/>
      <c r="H12" s="573"/>
      <c r="I12" s="573"/>
      <c r="J12" s="574"/>
      <c r="K12" s="178"/>
    </row>
    <row r="13" spans="1:11" ht="25" thickBot="1" x14ac:dyDescent="0.35">
      <c r="A13" s="71"/>
      <c r="B13" s="166"/>
      <c r="C13" s="347" t="s">
        <v>686</v>
      </c>
      <c r="D13" s="345"/>
      <c r="E13" s="345"/>
      <c r="F13" s="345"/>
      <c r="G13" s="345">
        <v>175</v>
      </c>
      <c r="H13" s="354" t="s">
        <v>522</v>
      </c>
      <c r="I13" s="353"/>
      <c r="J13" s="234">
        <v>1.8</v>
      </c>
      <c r="K13" s="178"/>
    </row>
    <row r="14" spans="1:11" ht="25" thickBot="1" x14ac:dyDescent="0.35">
      <c r="A14" s="71"/>
      <c r="B14" s="166"/>
      <c r="C14" s="217" t="s">
        <v>687</v>
      </c>
      <c r="D14" s="218"/>
      <c r="E14" s="218"/>
      <c r="F14" s="218"/>
      <c r="G14" s="218">
        <v>230</v>
      </c>
      <c r="H14" s="355" t="s">
        <v>522</v>
      </c>
      <c r="I14" s="324"/>
      <c r="J14" s="234">
        <v>2.42</v>
      </c>
      <c r="K14" s="178"/>
    </row>
    <row r="15" spans="1:11" ht="25" thickBot="1" x14ac:dyDescent="0.35">
      <c r="A15" s="71"/>
      <c r="B15" s="166"/>
      <c r="C15" s="217" t="s">
        <v>688</v>
      </c>
      <c r="D15" s="218"/>
      <c r="E15" s="218"/>
      <c r="F15" s="218"/>
      <c r="G15" s="218">
        <v>400</v>
      </c>
      <c r="H15" s="355" t="s">
        <v>522</v>
      </c>
      <c r="I15" s="324"/>
      <c r="J15" s="234">
        <v>3.75</v>
      </c>
      <c r="K15" s="178"/>
    </row>
    <row r="16" spans="1:11" ht="25" thickBot="1" x14ac:dyDescent="0.35">
      <c r="A16" s="71"/>
      <c r="B16" s="166"/>
      <c r="C16" s="217" t="s">
        <v>689</v>
      </c>
      <c r="D16" s="218"/>
      <c r="E16" s="218"/>
      <c r="F16" s="218"/>
      <c r="G16" s="218">
        <v>1.7</v>
      </c>
      <c r="H16" s="355" t="s">
        <v>522</v>
      </c>
      <c r="I16" s="324"/>
      <c r="J16" s="234">
        <v>2.2000000000000002</v>
      </c>
      <c r="K16" s="178"/>
    </row>
    <row r="17" spans="1:11" ht="25" thickBot="1" x14ac:dyDescent="0.35">
      <c r="A17" s="71"/>
      <c r="B17" s="166"/>
      <c r="C17" s="217" t="s">
        <v>690</v>
      </c>
      <c r="D17" s="218"/>
      <c r="E17" s="218"/>
      <c r="F17" s="218"/>
      <c r="G17" s="218"/>
      <c r="H17" s="355" t="s">
        <v>522</v>
      </c>
      <c r="I17" s="324"/>
      <c r="J17" s="234">
        <v>4</v>
      </c>
      <c r="K17" s="178"/>
    </row>
    <row r="18" spans="1:11" ht="25" thickBot="1" x14ac:dyDescent="0.35">
      <c r="A18" s="71"/>
      <c r="B18" s="166"/>
      <c r="C18" s="217" t="s">
        <v>691</v>
      </c>
      <c r="D18" s="218"/>
      <c r="E18" s="218"/>
      <c r="F18" s="218"/>
      <c r="G18" s="218">
        <v>3.8</v>
      </c>
      <c r="H18" s="355" t="s">
        <v>522</v>
      </c>
      <c r="I18" s="324"/>
      <c r="J18" s="234">
        <v>5</v>
      </c>
      <c r="K18" s="178"/>
    </row>
    <row r="19" spans="1:11" ht="25" thickBot="1" x14ac:dyDescent="0.35">
      <c r="A19" s="71"/>
      <c r="B19" s="166"/>
      <c r="C19" s="217" t="s">
        <v>692</v>
      </c>
      <c r="D19" s="218"/>
      <c r="E19" s="218"/>
      <c r="F19" s="218"/>
      <c r="G19" s="218">
        <v>1</v>
      </c>
      <c r="H19" s="355" t="s">
        <v>522</v>
      </c>
      <c r="I19" s="324"/>
      <c r="J19" s="234">
        <v>1.3</v>
      </c>
      <c r="K19" s="178"/>
    </row>
    <row r="20" spans="1:11" ht="25" thickBot="1" x14ac:dyDescent="0.35">
      <c r="A20" s="71"/>
      <c r="B20" s="166"/>
      <c r="C20" s="217" t="s">
        <v>963</v>
      </c>
      <c r="D20" s="218"/>
      <c r="E20" s="218"/>
      <c r="F20" s="218"/>
      <c r="G20" s="218">
        <v>1.1499999999999999</v>
      </c>
      <c r="H20" s="355" t="s">
        <v>522</v>
      </c>
      <c r="I20" s="324"/>
      <c r="J20" s="234">
        <v>1.5</v>
      </c>
      <c r="K20" s="178"/>
    </row>
    <row r="21" spans="1:11" ht="25" thickBot="1" x14ac:dyDescent="0.35">
      <c r="A21" s="71"/>
      <c r="B21" s="166"/>
      <c r="C21" s="217" t="s">
        <v>1263</v>
      </c>
      <c r="D21" s="218"/>
      <c r="E21" s="218"/>
      <c r="F21" s="218"/>
      <c r="G21" s="218">
        <v>1.5</v>
      </c>
      <c r="H21" s="355" t="s">
        <v>522</v>
      </c>
      <c r="I21" s="324"/>
      <c r="J21" s="234">
        <v>1.6</v>
      </c>
      <c r="K21" s="178"/>
    </row>
    <row r="22" spans="1:11" ht="25" thickBot="1" x14ac:dyDescent="0.35">
      <c r="A22" s="71"/>
      <c r="B22" s="166"/>
      <c r="C22" s="217" t="s">
        <v>1264</v>
      </c>
      <c r="D22" s="218"/>
      <c r="E22" s="218"/>
      <c r="F22" s="218"/>
      <c r="G22" s="218">
        <v>1.5</v>
      </c>
      <c r="H22" s="355" t="s">
        <v>522</v>
      </c>
      <c r="I22" s="324"/>
      <c r="J22" s="234">
        <v>2</v>
      </c>
      <c r="K22" s="178"/>
    </row>
    <row r="23" spans="1:11" ht="25" thickBot="1" x14ac:dyDescent="0.35">
      <c r="A23" s="71"/>
      <c r="B23" s="166"/>
      <c r="C23" s="217" t="s">
        <v>248</v>
      </c>
      <c r="D23" s="218"/>
      <c r="E23" s="218"/>
      <c r="F23" s="218"/>
      <c r="G23" s="218"/>
      <c r="H23" s="218"/>
      <c r="I23" s="324"/>
      <c r="J23" s="234"/>
      <c r="K23" s="178"/>
    </row>
    <row r="24" spans="1:11" ht="25" thickBot="1" x14ac:dyDescent="0.35">
      <c r="A24" s="71"/>
      <c r="B24" s="166"/>
      <c r="C24" s="566" t="s">
        <v>249</v>
      </c>
      <c r="D24" s="567"/>
      <c r="E24" s="567"/>
      <c r="F24" s="567"/>
      <c r="G24" s="567"/>
      <c r="H24" s="567"/>
      <c r="I24" s="568"/>
      <c r="J24" s="234"/>
      <c r="K24" s="178"/>
    </row>
    <row r="25" spans="1:11" ht="25" thickBot="1" x14ac:dyDescent="0.35">
      <c r="A25" s="71"/>
      <c r="B25" s="166"/>
      <c r="C25" s="566" t="s">
        <v>250</v>
      </c>
      <c r="D25" s="567"/>
      <c r="E25" s="567"/>
      <c r="F25" s="567"/>
      <c r="G25" s="567"/>
      <c r="H25" s="567"/>
      <c r="I25" s="568"/>
      <c r="J25" s="234"/>
      <c r="K25" s="178"/>
    </row>
    <row r="26" spans="1:11" ht="25" thickBot="1" x14ac:dyDescent="0.35">
      <c r="A26" s="71"/>
      <c r="B26" s="166"/>
      <c r="C26" s="566" t="s">
        <v>251</v>
      </c>
      <c r="D26" s="567"/>
      <c r="E26" s="567"/>
      <c r="F26" s="567"/>
      <c r="G26" s="567"/>
      <c r="H26" s="567"/>
      <c r="I26" s="568"/>
      <c r="J26" s="234"/>
      <c r="K26" s="178"/>
    </row>
    <row r="27" spans="1:11" ht="25" thickBot="1" x14ac:dyDescent="0.35">
      <c r="A27" s="71"/>
      <c r="B27" s="166"/>
      <c r="C27" s="566" t="s">
        <v>252</v>
      </c>
      <c r="D27" s="567"/>
      <c r="E27" s="567"/>
      <c r="F27" s="567"/>
      <c r="G27" s="567"/>
      <c r="H27" s="567"/>
      <c r="I27" s="568"/>
      <c r="J27" s="234">
        <f>J21*16</f>
        <v>25.6</v>
      </c>
      <c r="K27" s="178"/>
    </row>
    <row r="28" spans="1:11" ht="25" thickBot="1" x14ac:dyDescent="0.35">
      <c r="A28" s="71"/>
      <c r="B28" s="166"/>
      <c r="C28" s="566" t="s">
        <v>253</v>
      </c>
      <c r="D28" s="567"/>
      <c r="E28" s="567"/>
      <c r="F28" s="567"/>
      <c r="G28" s="567"/>
      <c r="H28" s="567"/>
      <c r="I28" s="568"/>
      <c r="J28" s="234"/>
      <c r="K28" s="178"/>
    </row>
    <row r="29" spans="1:11" ht="25" thickBot="1" x14ac:dyDescent="0.35">
      <c r="A29" s="71"/>
      <c r="B29" s="166"/>
      <c r="C29" s="566" t="s">
        <v>254</v>
      </c>
      <c r="D29" s="567"/>
      <c r="E29" s="567"/>
      <c r="F29" s="567"/>
      <c r="G29" s="567"/>
      <c r="H29" s="567"/>
      <c r="I29" s="575"/>
      <c r="J29" s="234"/>
      <c r="K29" s="178"/>
    </row>
    <row r="30" spans="1:11" ht="25" thickBot="1" x14ac:dyDescent="0.35">
      <c r="A30" s="71"/>
      <c r="B30" s="166"/>
      <c r="C30" s="566" t="s">
        <v>255</v>
      </c>
      <c r="D30" s="567"/>
      <c r="E30" s="567"/>
      <c r="F30" s="567"/>
      <c r="G30" s="567"/>
      <c r="H30" s="567"/>
      <c r="I30" s="575"/>
      <c r="J30" s="234"/>
      <c r="K30" s="178"/>
    </row>
    <row r="31" spans="1:11" ht="25" thickBot="1" x14ac:dyDescent="0.35">
      <c r="A31" s="71"/>
      <c r="B31" s="166"/>
      <c r="C31" s="566" t="s">
        <v>256</v>
      </c>
      <c r="D31" s="567"/>
      <c r="E31" s="567"/>
      <c r="F31" s="567"/>
      <c r="G31" s="567"/>
      <c r="H31" s="567"/>
      <c r="I31" s="575"/>
      <c r="J31" s="234"/>
      <c r="K31" s="178"/>
    </row>
    <row r="32" spans="1:11" ht="25" thickBot="1" x14ac:dyDescent="0.35">
      <c r="A32" s="71"/>
      <c r="B32" s="166"/>
      <c r="C32" s="566" t="s">
        <v>257</v>
      </c>
      <c r="D32" s="567"/>
      <c r="E32" s="567"/>
      <c r="F32" s="567"/>
      <c r="G32" s="567"/>
      <c r="H32" s="567"/>
      <c r="I32" s="575"/>
      <c r="J32" s="234"/>
      <c r="K32" s="178"/>
    </row>
    <row r="33" spans="1:11" ht="25" thickBot="1" x14ac:dyDescent="0.35">
      <c r="A33" s="71"/>
      <c r="B33" s="166"/>
      <c r="C33" s="566" t="s">
        <v>243</v>
      </c>
      <c r="D33" s="567"/>
      <c r="E33" s="567"/>
      <c r="F33" s="567"/>
      <c r="G33" s="567"/>
      <c r="H33" s="567"/>
      <c r="I33" s="575"/>
      <c r="J33" s="234"/>
      <c r="K33" s="178"/>
    </row>
    <row r="34" spans="1:11" ht="25" thickBot="1" x14ac:dyDescent="0.35">
      <c r="A34" s="71"/>
      <c r="B34" s="166"/>
      <c r="C34" s="566" t="s">
        <v>244</v>
      </c>
      <c r="D34" s="567"/>
      <c r="E34" s="567"/>
      <c r="F34" s="567"/>
      <c r="G34" s="567"/>
      <c r="H34" s="567"/>
      <c r="I34" s="575"/>
      <c r="J34" s="234"/>
      <c r="K34" s="178"/>
    </row>
    <row r="35" spans="1:11" ht="25" thickBot="1" x14ac:dyDescent="0.35">
      <c r="A35" s="71"/>
      <c r="B35" s="166"/>
      <c r="C35" s="566" t="s">
        <v>245</v>
      </c>
      <c r="D35" s="567"/>
      <c r="E35" s="567"/>
      <c r="F35" s="567"/>
      <c r="G35" s="567"/>
      <c r="H35" s="567"/>
      <c r="I35" s="575"/>
      <c r="J35" s="234"/>
      <c r="K35" s="178"/>
    </row>
    <row r="36" spans="1:11" ht="25" thickBot="1" x14ac:dyDescent="0.35">
      <c r="A36" s="71"/>
      <c r="B36" s="166"/>
      <c r="C36" s="566" t="s">
        <v>246</v>
      </c>
      <c r="D36" s="567"/>
      <c r="E36" s="567"/>
      <c r="F36" s="567"/>
      <c r="G36" s="567"/>
      <c r="H36" s="567"/>
      <c r="I36" s="575"/>
      <c r="J36" s="234"/>
      <c r="K36" s="178"/>
    </row>
    <row r="37" spans="1:11" ht="25" thickBot="1" x14ac:dyDescent="0.35">
      <c r="A37" s="71"/>
      <c r="B37" s="166"/>
      <c r="C37" s="566" t="s">
        <v>247</v>
      </c>
      <c r="D37" s="567"/>
      <c r="E37" s="567"/>
      <c r="F37" s="567"/>
      <c r="G37" s="567"/>
      <c r="H37" s="567"/>
      <c r="I37" s="575"/>
      <c r="J37" s="234">
        <f>J22*16</f>
        <v>32</v>
      </c>
      <c r="K37" s="178"/>
    </row>
    <row r="38" spans="1:11" ht="25" thickBot="1" x14ac:dyDescent="0.35">
      <c r="A38" s="71"/>
      <c r="B38" s="166"/>
      <c r="C38" s="566" t="s">
        <v>187</v>
      </c>
      <c r="D38" s="567"/>
      <c r="E38" s="567"/>
      <c r="F38" s="567"/>
      <c r="G38" s="567"/>
      <c r="H38" s="567"/>
      <c r="I38" s="575"/>
      <c r="J38" s="234"/>
      <c r="K38" s="178"/>
    </row>
    <row r="39" spans="1:11" ht="25" thickBot="1" x14ac:dyDescent="0.35">
      <c r="A39" s="71"/>
      <c r="B39" s="166"/>
      <c r="C39" s="566" t="s">
        <v>188</v>
      </c>
      <c r="D39" s="567"/>
      <c r="E39" s="567"/>
      <c r="F39" s="567"/>
      <c r="G39" s="567"/>
      <c r="H39" s="567"/>
      <c r="I39" s="575"/>
      <c r="J39" s="234"/>
      <c r="K39" s="178"/>
    </row>
    <row r="40" spans="1:11" ht="25" thickBot="1" x14ac:dyDescent="0.35">
      <c r="A40" s="71"/>
      <c r="B40" s="166"/>
      <c r="C40" s="566" t="s">
        <v>189</v>
      </c>
      <c r="D40" s="567"/>
      <c r="E40" s="567"/>
      <c r="F40" s="567"/>
      <c r="G40" s="567"/>
      <c r="H40" s="567"/>
      <c r="I40" s="575"/>
      <c r="J40" s="234"/>
      <c r="K40" s="178"/>
    </row>
    <row r="41" spans="1:11" ht="25" thickBot="1" x14ac:dyDescent="0.35">
      <c r="A41" s="71"/>
      <c r="B41" s="166"/>
      <c r="C41" s="566" t="s">
        <v>190</v>
      </c>
      <c r="D41" s="567"/>
      <c r="E41" s="567"/>
      <c r="F41" s="567"/>
      <c r="G41" s="567"/>
      <c r="H41" s="567"/>
      <c r="I41" s="575"/>
      <c r="J41" s="234"/>
      <c r="K41" s="178"/>
    </row>
    <row r="42" spans="1:11" ht="25" thickBot="1" x14ac:dyDescent="0.35">
      <c r="A42" s="71"/>
      <c r="B42" s="166"/>
      <c r="C42" s="566" t="s">
        <v>191</v>
      </c>
      <c r="D42" s="567"/>
      <c r="E42" s="567"/>
      <c r="F42" s="567"/>
      <c r="G42" s="567"/>
      <c r="H42" s="567"/>
      <c r="I42" s="575"/>
      <c r="J42" s="234"/>
      <c r="K42" s="178"/>
    </row>
    <row r="43" spans="1:11" ht="25" thickBot="1" x14ac:dyDescent="0.35">
      <c r="A43" s="71"/>
      <c r="B43" s="166"/>
      <c r="C43" s="217" t="s">
        <v>192</v>
      </c>
      <c r="D43" s="218"/>
      <c r="E43" s="218"/>
      <c r="F43" s="218"/>
      <c r="G43" s="218"/>
      <c r="H43" s="218"/>
      <c r="I43" s="219"/>
      <c r="J43" s="234"/>
      <c r="K43" s="178"/>
    </row>
    <row r="44" spans="1:11" ht="25" thickBot="1" x14ac:dyDescent="0.35">
      <c r="A44" s="71"/>
      <c r="B44" s="166"/>
      <c r="C44" s="217" t="s">
        <v>193</v>
      </c>
      <c r="D44" s="218"/>
      <c r="E44" s="218"/>
      <c r="F44" s="218"/>
      <c r="G44" s="218"/>
      <c r="H44" s="218"/>
      <c r="I44" s="219"/>
      <c r="J44" s="234"/>
      <c r="K44" s="178"/>
    </row>
    <row r="45" spans="1:11" ht="25" thickBot="1" x14ac:dyDescent="0.35">
      <c r="A45" s="71"/>
      <c r="B45" s="166"/>
      <c r="C45" s="217" t="s">
        <v>194</v>
      </c>
      <c r="D45" s="218"/>
      <c r="E45" s="218"/>
      <c r="F45" s="218"/>
      <c r="G45" s="218"/>
      <c r="H45" s="218"/>
      <c r="I45" s="219"/>
      <c r="J45" s="234"/>
      <c r="K45" s="178"/>
    </row>
    <row r="46" spans="1:11" ht="25" thickBot="1" x14ac:dyDescent="0.35">
      <c r="A46" s="71"/>
      <c r="B46" s="166"/>
      <c r="C46" s="217" t="s">
        <v>195</v>
      </c>
      <c r="D46" s="218"/>
      <c r="E46" s="218"/>
      <c r="F46" s="218"/>
      <c r="G46" s="218"/>
      <c r="H46" s="218"/>
      <c r="I46" s="219"/>
      <c r="J46" s="234"/>
      <c r="K46" s="178"/>
    </row>
    <row r="47" spans="1:11" ht="25" thickBot="1" x14ac:dyDescent="0.35">
      <c r="A47" s="71"/>
      <c r="B47" s="166"/>
      <c r="C47" s="217" t="s">
        <v>196</v>
      </c>
      <c r="D47" s="218"/>
      <c r="E47" s="218"/>
      <c r="F47" s="218"/>
      <c r="G47" s="218"/>
      <c r="H47" s="218"/>
      <c r="I47" s="219"/>
      <c r="J47" s="234"/>
      <c r="K47" s="178"/>
    </row>
    <row r="48" spans="1:11" ht="25" thickBot="1" x14ac:dyDescent="0.35">
      <c r="A48" s="71"/>
      <c r="B48" s="166"/>
      <c r="C48" s="217" t="s">
        <v>197</v>
      </c>
      <c r="D48" s="218"/>
      <c r="E48" s="218"/>
      <c r="F48" s="218"/>
      <c r="G48" s="218"/>
      <c r="H48" s="218"/>
      <c r="I48" s="219"/>
      <c r="J48" s="234"/>
      <c r="K48" s="178"/>
    </row>
    <row r="49" spans="1:12" ht="25" thickBot="1" x14ac:dyDescent="0.35">
      <c r="A49" s="71"/>
      <c r="B49" s="166"/>
      <c r="C49" s="217" t="s">
        <v>198</v>
      </c>
      <c r="D49" s="218"/>
      <c r="E49" s="218"/>
      <c r="F49" s="218"/>
      <c r="G49" s="218"/>
      <c r="H49" s="218"/>
      <c r="I49" s="219"/>
      <c r="J49" s="234"/>
      <c r="K49" s="178"/>
    </row>
    <row r="50" spans="1:12" ht="25" thickBot="1" x14ac:dyDescent="0.35">
      <c r="A50" s="71"/>
      <c r="B50" s="166"/>
      <c r="C50" s="217" t="s">
        <v>199</v>
      </c>
      <c r="D50" s="218"/>
      <c r="E50" s="218"/>
      <c r="F50" s="218"/>
      <c r="G50" s="218"/>
      <c r="H50" s="218"/>
      <c r="I50" s="219"/>
      <c r="J50" s="234"/>
      <c r="K50" s="178"/>
    </row>
    <row r="51" spans="1:12" ht="25" thickBot="1" x14ac:dyDescent="0.35">
      <c r="A51" s="71"/>
      <c r="B51" s="166"/>
      <c r="C51" s="217" t="s">
        <v>200</v>
      </c>
      <c r="D51" s="218"/>
      <c r="E51" s="218"/>
      <c r="F51" s="218"/>
      <c r="G51" s="218"/>
      <c r="H51" s="218"/>
      <c r="I51" s="219"/>
      <c r="J51" s="234"/>
      <c r="K51" s="178"/>
    </row>
    <row r="52" spans="1:12" ht="25" thickBot="1" x14ac:dyDescent="0.35">
      <c r="A52" s="71"/>
      <c r="B52" s="166"/>
      <c r="C52" s="217" t="s">
        <v>201</v>
      </c>
      <c r="D52" s="218"/>
      <c r="E52" s="218"/>
      <c r="F52" s="218"/>
      <c r="G52" s="218"/>
      <c r="H52" s="218"/>
      <c r="I52" s="219"/>
      <c r="J52" s="234"/>
      <c r="K52" s="178"/>
    </row>
    <row r="53" spans="1:12" ht="25" thickBot="1" x14ac:dyDescent="0.35">
      <c r="A53" s="71"/>
      <c r="B53" s="166"/>
      <c r="C53" s="217" t="s">
        <v>202</v>
      </c>
      <c r="D53" s="218"/>
      <c r="E53" s="218"/>
      <c r="F53" s="218"/>
      <c r="G53" s="218"/>
      <c r="H53" s="218"/>
      <c r="I53" s="219"/>
      <c r="J53" s="234"/>
      <c r="K53" s="178"/>
    </row>
    <row r="54" spans="1:12" ht="25" thickBot="1" x14ac:dyDescent="0.35">
      <c r="A54" s="71"/>
      <c r="B54" s="166"/>
      <c r="C54" s="217" t="s">
        <v>203</v>
      </c>
      <c r="D54" s="218"/>
      <c r="E54" s="218"/>
      <c r="F54" s="218"/>
      <c r="G54" s="218"/>
      <c r="H54" s="218"/>
      <c r="I54" s="219"/>
      <c r="J54" s="234"/>
      <c r="K54" s="178"/>
    </row>
    <row r="55" spans="1:12" ht="25" thickBot="1" x14ac:dyDescent="0.35">
      <c r="A55" s="71"/>
      <c r="B55" s="166"/>
      <c r="C55" s="217" t="s">
        <v>204</v>
      </c>
      <c r="D55" s="218"/>
      <c r="E55" s="218"/>
      <c r="F55" s="218"/>
      <c r="G55" s="218"/>
      <c r="H55" s="218"/>
      <c r="I55" s="219"/>
      <c r="J55" s="234"/>
      <c r="K55" s="178"/>
    </row>
    <row r="56" spans="1:12" ht="25" thickBot="1" x14ac:dyDescent="0.35">
      <c r="A56" s="71"/>
      <c r="B56" s="166"/>
      <c r="C56" s="217" t="s">
        <v>205</v>
      </c>
      <c r="D56" s="218"/>
      <c r="E56" s="218"/>
      <c r="F56" s="218"/>
      <c r="G56" s="218"/>
      <c r="H56" s="218"/>
      <c r="I56" s="219"/>
      <c r="J56" s="234"/>
      <c r="K56" s="178"/>
    </row>
    <row r="57" spans="1:12" ht="25" thickBot="1" x14ac:dyDescent="0.35">
      <c r="A57" s="71"/>
      <c r="B57" s="166"/>
      <c r="C57" s="217" t="s">
        <v>206</v>
      </c>
      <c r="D57" s="218"/>
      <c r="E57" s="218"/>
      <c r="F57" s="218"/>
      <c r="G57" s="218"/>
      <c r="H57" s="218"/>
      <c r="I57" s="219"/>
      <c r="J57" s="234"/>
      <c r="K57" s="178"/>
    </row>
    <row r="58" spans="1:12" ht="25" thickBot="1" x14ac:dyDescent="0.35">
      <c r="A58" s="71"/>
      <c r="B58" s="166"/>
      <c r="C58" s="217" t="s">
        <v>207</v>
      </c>
      <c r="D58" s="218"/>
      <c r="E58" s="218"/>
      <c r="F58" s="218"/>
      <c r="G58" s="218"/>
      <c r="H58" s="218"/>
      <c r="I58" s="219"/>
      <c r="J58" s="234"/>
      <c r="K58" s="178"/>
    </row>
    <row r="59" spans="1:12" ht="25" thickBot="1" x14ac:dyDescent="0.35">
      <c r="A59" s="71"/>
      <c r="B59" s="166"/>
      <c r="C59" s="217" t="s">
        <v>208</v>
      </c>
      <c r="D59" s="218"/>
      <c r="E59" s="218"/>
      <c r="F59" s="218"/>
      <c r="G59" s="218"/>
      <c r="H59" s="218"/>
      <c r="I59" s="219"/>
      <c r="J59" s="234"/>
      <c r="K59" s="178"/>
    </row>
    <row r="60" spans="1:12" ht="25" thickBot="1" x14ac:dyDescent="0.35">
      <c r="A60" s="71"/>
      <c r="B60" s="166"/>
      <c r="C60" s="217" t="s">
        <v>209</v>
      </c>
      <c r="D60" s="218"/>
      <c r="E60" s="218"/>
      <c r="F60" s="218"/>
      <c r="G60" s="218"/>
      <c r="H60" s="218"/>
      <c r="I60" s="219"/>
      <c r="J60" s="234"/>
      <c r="K60" s="178"/>
    </row>
    <row r="61" spans="1:12" s="37" customFormat="1" ht="25" thickBot="1" x14ac:dyDescent="0.35">
      <c r="A61" s="71"/>
      <c r="B61" s="166"/>
      <c r="C61" s="217" t="s">
        <v>210</v>
      </c>
      <c r="D61" s="218"/>
      <c r="E61" s="218"/>
      <c r="F61" s="218"/>
      <c r="G61" s="218"/>
      <c r="H61" s="218"/>
      <c r="I61" s="219"/>
      <c r="J61" s="234"/>
      <c r="K61" s="178"/>
      <c r="L61" s="1"/>
    </row>
    <row r="62" spans="1:12" s="37" customFormat="1" ht="25" thickBot="1" x14ac:dyDescent="0.35">
      <c r="A62" s="71"/>
      <c r="B62" s="166"/>
      <c r="C62" s="217" t="s">
        <v>211</v>
      </c>
      <c r="D62" s="218"/>
      <c r="E62" s="218"/>
      <c r="F62" s="218"/>
      <c r="G62" s="218"/>
      <c r="H62" s="218"/>
      <c r="I62" s="219"/>
      <c r="J62" s="234"/>
      <c r="K62" s="178"/>
      <c r="L62" s="1"/>
    </row>
    <row r="63" spans="1:12" s="37" customFormat="1" ht="25" thickBot="1" x14ac:dyDescent="0.35">
      <c r="A63" s="71"/>
      <c r="B63" s="166"/>
      <c r="C63" s="217" t="s">
        <v>212</v>
      </c>
      <c r="D63" s="218"/>
      <c r="E63" s="218"/>
      <c r="F63" s="218"/>
      <c r="G63" s="218"/>
      <c r="H63" s="218"/>
      <c r="I63" s="219"/>
      <c r="J63" s="234"/>
      <c r="K63" s="178"/>
      <c r="L63" s="1"/>
    </row>
    <row r="64" spans="1:12" s="37" customFormat="1" ht="25" thickBot="1" x14ac:dyDescent="0.35">
      <c r="A64" s="71"/>
      <c r="B64" s="166"/>
      <c r="C64" s="217" t="s">
        <v>213</v>
      </c>
      <c r="D64" s="218"/>
      <c r="E64" s="218"/>
      <c r="F64" s="218"/>
      <c r="G64" s="218"/>
      <c r="H64" s="218"/>
      <c r="I64" s="219"/>
      <c r="J64" s="234"/>
      <c r="K64" s="178"/>
      <c r="L64" s="1"/>
    </row>
    <row r="65" spans="1:15" s="37" customFormat="1" ht="25" thickBot="1" x14ac:dyDescent="0.35">
      <c r="A65" s="71"/>
      <c r="B65" s="166"/>
      <c r="C65" s="217" t="s">
        <v>214</v>
      </c>
      <c r="D65" s="218"/>
      <c r="E65" s="218"/>
      <c r="F65" s="218"/>
      <c r="G65" s="218"/>
      <c r="H65" s="218"/>
      <c r="I65" s="219"/>
      <c r="J65" s="234"/>
      <c r="K65" s="178"/>
      <c r="L65" s="1"/>
    </row>
    <row r="66" spans="1:15" s="37" customFormat="1" ht="25" thickBot="1" x14ac:dyDescent="0.35">
      <c r="A66" s="71"/>
      <c r="B66" s="166"/>
      <c r="C66" s="217" t="s">
        <v>215</v>
      </c>
      <c r="D66" s="218"/>
      <c r="E66" s="218"/>
      <c r="F66" s="218"/>
      <c r="G66" s="218"/>
      <c r="H66" s="218"/>
      <c r="I66" s="219"/>
      <c r="J66" s="234"/>
      <c r="K66" s="178"/>
      <c r="L66" s="1"/>
    </row>
    <row r="67" spans="1:15" s="37" customFormat="1" ht="25" thickBot="1" x14ac:dyDescent="0.35">
      <c r="A67" s="71"/>
      <c r="B67" s="166"/>
      <c r="C67" s="217" t="s">
        <v>216</v>
      </c>
      <c r="D67" s="218"/>
      <c r="E67" s="218"/>
      <c r="F67" s="218"/>
      <c r="G67" s="218"/>
      <c r="H67" s="218"/>
      <c r="I67" s="219"/>
      <c r="J67" s="234"/>
      <c r="K67" s="178"/>
      <c r="L67" s="1"/>
    </row>
    <row r="68" spans="1:15" s="37" customFormat="1" ht="25" thickBot="1" x14ac:dyDescent="0.35">
      <c r="A68" s="71"/>
      <c r="B68" s="166"/>
      <c r="C68" s="217" t="s">
        <v>217</v>
      </c>
      <c r="D68" s="218"/>
      <c r="E68" s="218"/>
      <c r="F68" s="218"/>
      <c r="G68" s="218"/>
      <c r="H68" s="218"/>
      <c r="I68" s="219"/>
      <c r="J68" s="234"/>
      <c r="K68" s="178"/>
      <c r="L68" s="1"/>
    </row>
    <row r="69" spans="1:15" s="37" customFormat="1" ht="25" thickBot="1" x14ac:dyDescent="0.35">
      <c r="A69" s="71"/>
      <c r="B69" s="166"/>
      <c r="C69" s="217" t="s">
        <v>218</v>
      </c>
      <c r="D69" s="218"/>
      <c r="E69" s="218"/>
      <c r="F69" s="218"/>
      <c r="G69" s="218"/>
      <c r="H69" s="218"/>
      <c r="I69" s="219"/>
      <c r="J69" s="234"/>
      <c r="K69" s="178"/>
      <c r="L69" s="1"/>
    </row>
    <row r="70" spans="1:15" s="37" customFormat="1" ht="25" thickBot="1" x14ac:dyDescent="0.35">
      <c r="A70" s="71"/>
      <c r="B70" s="166"/>
      <c r="C70" s="217" t="s">
        <v>219</v>
      </c>
      <c r="D70" s="218"/>
      <c r="E70" s="218"/>
      <c r="F70" s="218"/>
      <c r="G70" s="218"/>
      <c r="H70" s="218"/>
      <c r="I70" s="219"/>
      <c r="J70" s="234"/>
      <c r="K70" s="178"/>
      <c r="L70" s="1"/>
      <c r="O70" s="208"/>
    </row>
    <row r="71" spans="1:15" s="37" customFormat="1" ht="25" thickBot="1" x14ac:dyDescent="0.35">
      <c r="A71" s="71"/>
      <c r="B71" s="166"/>
      <c r="C71" s="217" t="s">
        <v>220</v>
      </c>
      <c r="D71" s="218"/>
      <c r="E71" s="218"/>
      <c r="F71" s="218"/>
      <c r="G71" s="218"/>
      <c r="H71" s="218"/>
      <c r="I71" s="219"/>
      <c r="J71" s="234"/>
      <c r="K71" s="178"/>
      <c r="L71" s="1"/>
    </row>
    <row r="72" spans="1:15" s="37" customFormat="1" ht="25" thickBot="1" x14ac:dyDescent="0.35">
      <c r="A72" s="71"/>
      <c r="B72" s="166"/>
      <c r="C72" s="217" t="s">
        <v>222</v>
      </c>
      <c r="D72" s="218"/>
      <c r="E72" s="218"/>
      <c r="F72" s="218"/>
      <c r="G72" s="218"/>
      <c r="H72" s="218"/>
      <c r="I72" s="219"/>
      <c r="J72" s="234"/>
      <c r="K72" s="178"/>
      <c r="L72" s="1"/>
    </row>
    <row r="73" spans="1:15" s="37" customFormat="1" ht="25" thickBot="1" x14ac:dyDescent="0.35">
      <c r="A73" s="71"/>
      <c r="B73" s="166"/>
      <c r="C73" s="217" t="s">
        <v>221</v>
      </c>
      <c r="D73" s="218"/>
      <c r="E73" s="218"/>
      <c r="F73" s="218"/>
      <c r="G73" s="218"/>
      <c r="H73" s="218"/>
      <c r="I73" s="219"/>
      <c r="J73" s="234"/>
      <c r="K73" s="178"/>
      <c r="L73" s="1"/>
    </row>
    <row r="74" spans="1:15" s="37" customFormat="1" ht="25" thickBot="1" x14ac:dyDescent="0.35">
      <c r="A74" s="71"/>
      <c r="B74" s="166"/>
      <c r="C74" s="217" t="s">
        <v>223</v>
      </c>
      <c r="D74" s="218"/>
      <c r="E74" s="218"/>
      <c r="F74" s="218"/>
      <c r="G74" s="218"/>
      <c r="H74" s="218"/>
      <c r="I74" s="219"/>
      <c r="J74" s="234"/>
      <c r="K74" s="178"/>
      <c r="L74" s="1"/>
    </row>
    <row r="75" spans="1:15" s="37" customFormat="1" ht="25" thickBot="1" x14ac:dyDescent="0.35">
      <c r="A75" s="71"/>
      <c r="B75" s="166"/>
      <c r="C75" s="217" t="s">
        <v>224</v>
      </c>
      <c r="D75" s="218"/>
      <c r="E75" s="218"/>
      <c r="F75" s="218"/>
      <c r="G75" s="218"/>
      <c r="H75" s="218"/>
      <c r="I75" s="219"/>
      <c r="J75" s="234"/>
      <c r="K75" s="178"/>
      <c r="L75" s="1"/>
    </row>
    <row r="76" spans="1:15" s="37" customFormat="1" ht="25" thickBot="1" x14ac:dyDescent="0.35">
      <c r="A76" s="71"/>
      <c r="B76" s="166"/>
      <c r="C76" s="217" t="s">
        <v>225</v>
      </c>
      <c r="D76" s="218"/>
      <c r="E76" s="218"/>
      <c r="F76" s="218"/>
      <c r="G76" s="218"/>
      <c r="H76" s="218"/>
      <c r="I76" s="219"/>
      <c r="J76" s="234"/>
      <c r="K76" s="178"/>
      <c r="L76" s="1"/>
    </row>
    <row r="77" spans="1:15" s="37" customFormat="1" ht="25" thickBot="1" x14ac:dyDescent="0.35">
      <c r="A77" s="71"/>
      <c r="B77" s="166"/>
      <c r="C77" s="217" t="s">
        <v>226</v>
      </c>
      <c r="D77" s="218"/>
      <c r="E77" s="218"/>
      <c r="F77" s="218"/>
      <c r="G77" s="218"/>
      <c r="H77" s="218"/>
      <c r="I77" s="219"/>
      <c r="J77" s="234"/>
      <c r="K77" s="178"/>
      <c r="L77" s="1"/>
    </row>
    <row r="78" spans="1:15" s="37" customFormat="1" ht="25" thickBot="1" x14ac:dyDescent="0.35">
      <c r="A78" s="71"/>
      <c r="B78" s="166"/>
      <c r="C78" s="217" t="s">
        <v>227</v>
      </c>
      <c r="D78" s="218"/>
      <c r="E78" s="218"/>
      <c r="F78" s="218"/>
      <c r="G78" s="218"/>
      <c r="H78" s="218"/>
      <c r="I78" s="219"/>
      <c r="J78" s="234"/>
      <c r="K78" s="178"/>
      <c r="L78" s="1"/>
    </row>
    <row r="79" spans="1:15" s="37" customFormat="1" ht="25" thickBot="1" x14ac:dyDescent="0.35">
      <c r="A79" s="71"/>
      <c r="B79" s="166"/>
      <c r="C79" s="217" t="s">
        <v>228</v>
      </c>
      <c r="D79" s="218"/>
      <c r="E79" s="218"/>
      <c r="F79" s="218"/>
      <c r="G79" s="218"/>
      <c r="H79" s="218"/>
      <c r="I79" s="219"/>
      <c r="J79" s="234"/>
      <c r="K79" s="178"/>
      <c r="L79" s="1"/>
    </row>
    <row r="80" spans="1:15" s="37" customFormat="1" ht="25" thickBot="1" x14ac:dyDescent="0.35">
      <c r="A80" s="71"/>
      <c r="B80" s="166"/>
      <c r="C80" s="217" t="s">
        <v>229</v>
      </c>
      <c r="D80" s="218"/>
      <c r="E80" s="218"/>
      <c r="F80" s="218"/>
      <c r="G80" s="218"/>
      <c r="H80" s="218"/>
      <c r="I80" s="219"/>
      <c r="J80" s="234"/>
      <c r="K80" s="178"/>
      <c r="L80" s="1"/>
    </row>
    <row r="81" spans="1:12" s="37" customFormat="1" ht="25" thickBot="1" x14ac:dyDescent="0.35">
      <c r="A81" s="71"/>
      <c r="B81" s="166"/>
      <c r="C81" s="217" t="s">
        <v>230</v>
      </c>
      <c r="D81" s="218"/>
      <c r="E81" s="218"/>
      <c r="F81" s="218"/>
      <c r="G81" s="218"/>
      <c r="H81" s="218"/>
      <c r="I81" s="219"/>
      <c r="J81" s="234"/>
      <c r="K81" s="178"/>
      <c r="L81" s="1"/>
    </row>
    <row r="82" spans="1:12" s="37" customFormat="1" ht="25" thickBot="1" x14ac:dyDescent="0.35">
      <c r="A82" s="71"/>
      <c r="B82" s="166"/>
      <c r="C82" s="217" t="s">
        <v>231</v>
      </c>
      <c r="D82" s="218"/>
      <c r="E82" s="218"/>
      <c r="F82" s="218"/>
      <c r="G82" s="218"/>
      <c r="H82" s="218"/>
      <c r="I82" s="219"/>
      <c r="J82" s="234"/>
      <c r="K82" s="178"/>
      <c r="L82" s="1"/>
    </row>
    <row r="83" spans="1:12" s="37" customFormat="1" ht="25" thickBot="1" x14ac:dyDescent="0.35">
      <c r="A83" s="71"/>
      <c r="B83" s="166"/>
      <c r="C83" s="217" t="s">
        <v>232</v>
      </c>
      <c r="D83" s="218"/>
      <c r="E83" s="218"/>
      <c r="F83" s="218"/>
      <c r="G83" s="218"/>
      <c r="H83" s="218"/>
      <c r="I83" s="219"/>
      <c r="J83" s="234"/>
      <c r="K83" s="178"/>
      <c r="L83" s="1"/>
    </row>
    <row r="84" spans="1:12" s="37" customFormat="1" ht="25" thickBot="1" x14ac:dyDescent="0.35">
      <c r="A84" s="71"/>
      <c r="B84" s="166"/>
      <c r="C84" s="217" t="s">
        <v>500</v>
      </c>
      <c r="D84" s="218"/>
      <c r="E84" s="218"/>
      <c r="F84" s="218"/>
      <c r="G84" s="218"/>
      <c r="H84" s="218"/>
      <c r="I84" s="219"/>
      <c r="J84" s="234">
        <v>60</v>
      </c>
      <c r="K84" s="178"/>
      <c r="L84" s="1"/>
    </row>
    <row r="85" spans="1:12" s="37" customFormat="1" x14ac:dyDescent="0.3">
      <c r="A85" s="71"/>
      <c r="B85" s="166"/>
      <c r="C85" s="586" t="s">
        <v>499</v>
      </c>
      <c r="D85" s="587"/>
      <c r="E85" s="587"/>
      <c r="F85" s="587"/>
      <c r="G85" s="587"/>
      <c r="H85" s="587"/>
      <c r="I85" s="588"/>
      <c r="J85" s="368">
        <v>60</v>
      </c>
      <c r="K85" s="178"/>
      <c r="L85" s="1"/>
    </row>
    <row r="86" spans="1:12" s="37" customFormat="1" x14ac:dyDescent="0.3">
      <c r="A86" s="71"/>
      <c r="B86" s="166"/>
      <c r="C86" s="566" t="s">
        <v>733</v>
      </c>
      <c r="D86" s="567"/>
      <c r="E86" s="567"/>
      <c r="F86" s="567"/>
      <c r="G86" s="567"/>
      <c r="H86" s="567"/>
      <c r="I86" s="575"/>
      <c r="J86" s="369">
        <v>4</v>
      </c>
      <c r="K86" s="178"/>
      <c r="L86" s="1"/>
    </row>
    <row r="87" spans="1:12" s="37" customFormat="1" x14ac:dyDescent="0.3">
      <c r="A87" s="71"/>
      <c r="B87" s="166"/>
      <c r="C87" s="566" t="s">
        <v>732</v>
      </c>
      <c r="D87" s="567"/>
      <c r="E87" s="567"/>
      <c r="F87" s="567"/>
      <c r="G87" s="567"/>
      <c r="H87" s="567"/>
      <c r="I87" s="575"/>
      <c r="J87" s="369">
        <v>3</v>
      </c>
      <c r="K87" s="178"/>
      <c r="L87" s="1"/>
    </row>
    <row r="88" spans="1:12" s="37" customFormat="1" x14ac:dyDescent="0.3">
      <c r="A88" s="71"/>
      <c r="B88" s="166"/>
      <c r="C88" s="566" t="s">
        <v>1265</v>
      </c>
      <c r="D88" s="567"/>
      <c r="E88" s="567"/>
      <c r="F88" s="567"/>
      <c r="G88" s="567"/>
      <c r="H88" s="567"/>
      <c r="I88" s="575"/>
      <c r="J88" s="369">
        <v>50</v>
      </c>
      <c r="K88" s="178"/>
      <c r="L88" s="1"/>
    </row>
    <row r="89" spans="1:12" s="37" customFormat="1" ht="25" thickBot="1" x14ac:dyDescent="0.35">
      <c r="A89" s="71"/>
      <c r="B89" s="166"/>
      <c r="C89" s="572" t="s">
        <v>258</v>
      </c>
      <c r="D89" s="573"/>
      <c r="E89" s="573"/>
      <c r="F89" s="573"/>
      <c r="G89" s="573"/>
      <c r="H89" s="573"/>
      <c r="I89" s="573"/>
      <c r="J89" s="574"/>
      <c r="K89" s="178"/>
      <c r="L89" s="1"/>
    </row>
    <row r="90" spans="1:12" s="37" customFormat="1" ht="25" thickBot="1" x14ac:dyDescent="0.35">
      <c r="A90" s="71"/>
      <c r="B90" s="166"/>
      <c r="C90" s="566" t="s">
        <v>260</v>
      </c>
      <c r="D90" s="567"/>
      <c r="E90" s="567"/>
      <c r="F90" s="567"/>
      <c r="G90" s="567"/>
      <c r="H90" s="567"/>
      <c r="I90" s="575"/>
      <c r="J90" s="234">
        <v>2.11</v>
      </c>
      <c r="K90" s="178"/>
      <c r="L90" s="1"/>
    </row>
    <row r="91" spans="1:12" s="37" customFormat="1" ht="25" thickBot="1" x14ac:dyDescent="0.35">
      <c r="A91" s="71"/>
      <c r="B91" s="166"/>
      <c r="C91" s="566" t="s">
        <v>261</v>
      </c>
      <c r="D91" s="567"/>
      <c r="E91" s="567"/>
      <c r="F91" s="567"/>
      <c r="G91" s="567"/>
      <c r="H91" s="567"/>
      <c r="I91" s="575"/>
      <c r="J91" s="234">
        <v>2.5</v>
      </c>
      <c r="K91" s="178"/>
      <c r="L91" s="1"/>
    </row>
    <row r="92" spans="1:12" s="37" customFormat="1" ht="25" thickBot="1" x14ac:dyDescent="0.35">
      <c r="A92" s="71"/>
      <c r="B92" s="166"/>
      <c r="C92" s="217" t="s">
        <v>262</v>
      </c>
      <c r="D92" s="218"/>
      <c r="E92" s="218"/>
      <c r="F92" s="218"/>
      <c r="G92" s="218"/>
      <c r="H92" s="218"/>
      <c r="I92" s="219"/>
      <c r="J92" s="234">
        <v>4</v>
      </c>
      <c r="K92" s="178"/>
      <c r="L92" s="1"/>
    </row>
    <row r="93" spans="1:12" s="37" customFormat="1" ht="25" thickBot="1" x14ac:dyDescent="0.35">
      <c r="A93" s="71"/>
      <c r="B93" s="166"/>
      <c r="C93" s="217" t="s">
        <v>263</v>
      </c>
      <c r="D93" s="218"/>
      <c r="E93" s="218"/>
      <c r="F93" s="218"/>
      <c r="G93" s="218"/>
      <c r="H93" s="218"/>
      <c r="I93" s="219"/>
      <c r="J93" s="234">
        <v>0.73</v>
      </c>
      <c r="K93" s="178"/>
      <c r="L93" s="1"/>
    </row>
    <row r="94" spans="1:12" s="37" customFormat="1" ht="25" thickBot="1" x14ac:dyDescent="0.35">
      <c r="A94" s="71"/>
      <c r="B94" s="166"/>
      <c r="C94" s="566" t="s">
        <v>259</v>
      </c>
      <c r="D94" s="567"/>
      <c r="E94" s="567"/>
      <c r="F94" s="567"/>
      <c r="G94" s="567"/>
      <c r="H94" s="567"/>
      <c r="I94" s="575"/>
      <c r="J94" s="234">
        <v>70</v>
      </c>
      <c r="K94" s="178"/>
      <c r="L94" s="1"/>
    </row>
    <row r="95" spans="1:12" s="37" customFormat="1" ht="25" thickBot="1" x14ac:dyDescent="0.35">
      <c r="A95" s="71"/>
      <c r="B95" s="166"/>
      <c r="C95" s="217" t="s">
        <v>494</v>
      </c>
      <c r="D95" s="218"/>
      <c r="E95" s="218"/>
      <c r="F95" s="218"/>
      <c r="G95" s="218"/>
      <c r="H95" s="218"/>
      <c r="I95" s="219"/>
      <c r="J95" s="234">
        <v>36</v>
      </c>
      <c r="K95" s="178"/>
      <c r="L95" s="1"/>
    </row>
    <row r="96" spans="1:12" s="37" customFormat="1" ht="25" thickBot="1" x14ac:dyDescent="0.35">
      <c r="A96" s="71"/>
      <c r="B96" s="166"/>
      <c r="C96" s="217" t="s">
        <v>264</v>
      </c>
      <c r="D96" s="218"/>
      <c r="E96" s="218"/>
      <c r="F96" s="218"/>
      <c r="G96" s="218"/>
      <c r="H96" s="218"/>
      <c r="I96" s="219"/>
      <c r="J96" s="234">
        <v>26.67</v>
      </c>
      <c r="K96" s="178"/>
      <c r="L96" s="1"/>
    </row>
    <row r="97" spans="1:12" s="37" customFormat="1" ht="25" thickBot="1" x14ac:dyDescent="0.35">
      <c r="A97" s="71"/>
      <c r="B97" s="166"/>
      <c r="C97" s="217" t="s">
        <v>265</v>
      </c>
      <c r="D97" s="218"/>
      <c r="E97" s="218"/>
      <c r="F97" s="218"/>
      <c r="G97" s="218"/>
      <c r="H97" s="218"/>
      <c r="I97" s="219"/>
      <c r="J97" s="234">
        <v>25</v>
      </c>
      <c r="K97" s="178"/>
      <c r="L97" s="1"/>
    </row>
    <row r="98" spans="1:12" s="37" customFormat="1" ht="25" thickBot="1" x14ac:dyDescent="0.35">
      <c r="A98" s="71"/>
      <c r="B98" s="166"/>
      <c r="C98" s="217" t="s">
        <v>266</v>
      </c>
      <c r="D98" s="218"/>
      <c r="E98" s="218"/>
      <c r="F98" s="218"/>
      <c r="G98" s="218"/>
      <c r="H98" s="218"/>
      <c r="I98" s="219"/>
      <c r="J98" s="234">
        <v>20</v>
      </c>
      <c r="K98" s="178"/>
      <c r="L98" s="1"/>
    </row>
    <row r="99" spans="1:12" s="37" customFormat="1" ht="25" thickBot="1" x14ac:dyDescent="0.35">
      <c r="A99" s="71"/>
      <c r="B99" s="166"/>
      <c r="C99" s="217" t="s">
        <v>267</v>
      </c>
      <c r="D99" s="218"/>
      <c r="E99" s="218"/>
      <c r="F99" s="218"/>
      <c r="G99" s="218"/>
      <c r="H99" s="218"/>
      <c r="I99" s="219"/>
      <c r="J99" s="234">
        <v>12</v>
      </c>
      <c r="K99" s="178"/>
      <c r="L99" s="1"/>
    </row>
    <row r="100" spans="1:12" s="37" customFormat="1" ht="25" thickBot="1" x14ac:dyDescent="0.35">
      <c r="A100" s="71"/>
      <c r="B100" s="166"/>
      <c r="C100" s="217" t="s">
        <v>268</v>
      </c>
      <c r="D100" s="218"/>
      <c r="E100" s="218"/>
      <c r="F100" s="218"/>
      <c r="G100" s="218"/>
      <c r="H100" s="218"/>
      <c r="I100" s="219"/>
      <c r="J100" s="234">
        <v>21</v>
      </c>
      <c r="K100" s="178"/>
      <c r="L100" s="1"/>
    </row>
    <row r="101" spans="1:12" s="37" customFormat="1" ht="25" thickBot="1" x14ac:dyDescent="0.35">
      <c r="A101" s="71"/>
      <c r="B101" s="166"/>
      <c r="C101" s="289" t="s">
        <v>496</v>
      </c>
      <c r="D101" s="218"/>
      <c r="E101" s="218"/>
      <c r="F101" s="218"/>
      <c r="G101" s="218"/>
      <c r="H101" s="218"/>
      <c r="I101" s="219"/>
      <c r="J101" s="234">
        <v>5.2</v>
      </c>
      <c r="K101" s="178"/>
      <c r="L101" s="1"/>
    </row>
    <row r="102" spans="1:12" s="37" customFormat="1" ht="25" thickBot="1" x14ac:dyDescent="0.35">
      <c r="A102" s="71"/>
      <c r="B102" s="166"/>
      <c r="C102" s="289" t="s">
        <v>495</v>
      </c>
      <c r="D102" s="218"/>
      <c r="E102" s="218"/>
      <c r="F102" s="218"/>
      <c r="G102" s="218"/>
      <c r="H102" s="218"/>
      <c r="I102" s="219"/>
      <c r="J102" s="234">
        <v>5.8</v>
      </c>
      <c r="K102" s="178"/>
      <c r="L102" s="1"/>
    </row>
    <row r="103" spans="1:12" s="37" customFormat="1" ht="25" thickBot="1" x14ac:dyDescent="0.35">
      <c r="A103" s="71"/>
      <c r="B103" s="166"/>
      <c r="C103" s="217" t="s">
        <v>497</v>
      </c>
      <c r="D103" s="218"/>
      <c r="E103" s="218"/>
      <c r="F103" s="218"/>
      <c r="G103" s="218"/>
      <c r="H103" s="218"/>
      <c r="I103" s="219"/>
      <c r="J103" s="234">
        <v>8</v>
      </c>
      <c r="K103" s="178"/>
      <c r="L103" s="1"/>
    </row>
    <row r="104" spans="1:12" s="37" customFormat="1" ht="25" thickBot="1" x14ac:dyDescent="0.35">
      <c r="A104" s="71"/>
      <c r="B104" s="166"/>
      <c r="C104" s="289" t="s">
        <v>498</v>
      </c>
      <c r="D104" s="218"/>
      <c r="E104" s="218"/>
      <c r="F104" s="218"/>
      <c r="G104" s="218"/>
      <c r="H104" s="218"/>
      <c r="I104" s="219"/>
      <c r="J104" s="234">
        <v>9</v>
      </c>
      <c r="K104" s="178"/>
      <c r="L104" s="1"/>
    </row>
    <row r="105" spans="1:12" s="37" customFormat="1" ht="25" thickBot="1" x14ac:dyDescent="0.35">
      <c r="A105" s="71"/>
      <c r="B105" s="166"/>
      <c r="C105" s="289" t="s">
        <v>1339</v>
      </c>
      <c r="D105" s="218"/>
      <c r="E105" s="218"/>
      <c r="F105" s="218"/>
      <c r="G105" s="218"/>
      <c r="H105" s="218"/>
      <c r="I105" s="219"/>
      <c r="J105" s="234">
        <v>7.1</v>
      </c>
      <c r="K105" s="178"/>
      <c r="L105" s="1"/>
    </row>
    <row r="106" spans="1:12" s="37" customFormat="1" ht="25" thickBot="1" x14ac:dyDescent="0.35">
      <c r="A106" s="71"/>
      <c r="B106" s="166"/>
      <c r="C106" s="289"/>
      <c r="D106" s="218"/>
      <c r="E106" s="218"/>
      <c r="F106" s="218"/>
      <c r="G106" s="218"/>
      <c r="H106" s="218"/>
      <c r="I106" s="219"/>
      <c r="J106" s="234"/>
      <c r="K106" s="178"/>
      <c r="L106" s="1"/>
    </row>
    <row r="107" spans="1:12" s="37" customFormat="1" ht="25" thickBot="1" x14ac:dyDescent="0.35">
      <c r="A107" s="71"/>
      <c r="B107" s="166"/>
      <c r="C107" s="289"/>
      <c r="D107" s="218"/>
      <c r="E107" s="218"/>
      <c r="F107" s="218"/>
      <c r="G107" s="218"/>
      <c r="H107" s="218"/>
      <c r="I107" s="219"/>
      <c r="J107" s="234"/>
      <c r="K107" s="178"/>
      <c r="L107" s="1"/>
    </row>
    <row r="108" spans="1:12" s="37" customFormat="1" ht="25" thickBot="1" x14ac:dyDescent="0.35">
      <c r="A108" s="71"/>
      <c r="B108" s="166"/>
      <c r="C108" s="572" t="s">
        <v>510</v>
      </c>
      <c r="D108" s="573"/>
      <c r="E108" s="573"/>
      <c r="F108" s="573"/>
      <c r="G108" s="573"/>
      <c r="H108" s="573"/>
      <c r="I108" s="573"/>
      <c r="J108" s="574"/>
      <c r="K108" s="178"/>
      <c r="L108" s="1"/>
    </row>
    <row r="109" spans="1:12" s="37" customFormat="1" ht="25" thickBot="1" x14ac:dyDescent="0.35">
      <c r="A109" s="71"/>
      <c r="B109" s="166"/>
      <c r="C109" s="576" t="s">
        <v>1358</v>
      </c>
      <c r="D109" s="577"/>
      <c r="E109" s="577"/>
      <c r="F109" s="577"/>
      <c r="G109" s="577"/>
      <c r="H109" s="577"/>
      <c r="I109" s="578"/>
      <c r="J109" s="234">
        <v>7.82</v>
      </c>
      <c r="K109" s="178"/>
      <c r="L109" s="1"/>
    </row>
    <row r="110" spans="1:12" s="37" customFormat="1" ht="25" thickBot="1" x14ac:dyDescent="0.35">
      <c r="A110" s="71"/>
      <c r="B110" s="166"/>
      <c r="C110" s="566" t="s">
        <v>1350</v>
      </c>
      <c r="D110" s="567"/>
      <c r="E110" s="567"/>
      <c r="F110" s="567"/>
      <c r="G110" s="567"/>
      <c r="H110" s="567"/>
      <c r="I110" s="568"/>
      <c r="J110" s="234">
        <v>25.75</v>
      </c>
      <c r="K110" s="178"/>
      <c r="L110" s="1"/>
    </row>
    <row r="111" spans="1:12" s="37" customFormat="1" ht="25" thickBot="1" x14ac:dyDescent="0.35">
      <c r="A111" s="71"/>
      <c r="B111" s="166"/>
      <c r="C111" s="566" t="s">
        <v>505</v>
      </c>
      <c r="D111" s="567"/>
      <c r="E111" s="567"/>
      <c r="F111" s="567"/>
      <c r="G111" s="567"/>
      <c r="H111" s="567"/>
      <c r="I111" s="568"/>
      <c r="J111" s="234">
        <v>2.2000000000000002</v>
      </c>
      <c r="K111" s="178"/>
      <c r="L111" s="1"/>
    </row>
    <row r="112" spans="1:12" s="37" customFormat="1" ht="25" thickBot="1" x14ac:dyDescent="0.35">
      <c r="A112" s="71"/>
      <c r="B112" s="166"/>
      <c r="C112" s="589" t="s">
        <v>504</v>
      </c>
      <c r="D112" s="567"/>
      <c r="E112" s="567"/>
      <c r="F112" s="567"/>
      <c r="G112" s="567"/>
      <c r="H112" s="567"/>
      <c r="I112" s="568"/>
      <c r="J112" s="234">
        <v>19</v>
      </c>
      <c r="K112" s="178"/>
      <c r="L112" s="1"/>
    </row>
    <row r="113" spans="1:12" s="37" customFormat="1" ht="25" thickBot="1" x14ac:dyDescent="0.35">
      <c r="A113" s="71"/>
      <c r="B113" s="166"/>
      <c r="C113" s="217" t="s">
        <v>508</v>
      </c>
      <c r="D113" s="218"/>
      <c r="E113" s="218"/>
      <c r="F113" s="218"/>
      <c r="G113" s="334"/>
      <c r="H113" s="218"/>
      <c r="I113" s="324"/>
      <c r="J113" s="234">
        <v>100</v>
      </c>
      <c r="K113" s="178"/>
      <c r="L113" s="1"/>
    </row>
    <row r="114" spans="1:12" s="37" customFormat="1" ht="25" thickBot="1" x14ac:dyDescent="0.35">
      <c r="A114" s="71"/>
      <c r="B114" s="166"/>
      <c r="C114" s="289" t="s">
        <v>506</v>
      </c>
      <c r="D114" s="218"/>
      <c r="E114" s="218"/>
      <c r="F114" s="218"/>
      <c r="G114" s="218"/>
      <c r="H114" s="218"/>
      <c r="I114" s="324"/>
      <c r="J114" s="234">
        <v>34</v>
      </c>
      <c r="K114" s="178"/>
      <c r="L114" s="1"/>
    </row>
    <row r="115" spans="1:12" s="37" customFormat="1" ht="25" thickBot="1" x14ac:dyDescent="0.35">
      <c r="A115" s="71"/>
      <c r="B115" s="166"/>
      <c r="C115" s="335" t="s">
        <v>514</v>
      </c>
      <c r="D115" s="218"/>
      <c r="E115" s="218"/>
      <c r="F115" s="218"/>
      <c r="G115" s="218"/>
      <c r="H115" s="218"/>
      <c r="I115" s="324"/>
      <c r="J115" s="234">
        <v>108</v>
      </c>
      <c r="K115" s="178"/>
      <c r="L115" s="1"/>
    </row>
    <row r="116" spans="1:12" s="37" customFormat="1" ht="25" thickBot="1" x14ac:dyDescent="0.35">
      <c r="A116" s="71"/>
      <c r="B116" s="166"/>
      <c r="C116" s="289" t="s">
        <v>507</v>
      </c>
      <c r="D116" s="218"/>
      <c r="E116" s="218"/>
      <c r="F116" s="218"/>
      <c r="G116" s="218"/>
      <c r="H116" s="218"/>
      <c r="I116" s="324"/>
      <c r="J116" s="234">
        <v>93</v>
      </c>
      <c r="K116" s="178"/>
      <c r="L116" s="1"/>
    </row>
    <row r="117" spans="1:12" s="37" customFormat="1" ht="25" thickBot="1" x14ac:dyDescent="0.35">
      <c r="A117" s="71"/>
      <c r="B117" s="166"/>
      <c r="C117" s="335" t="s">
        <v>978</v>
      </c>
      <c r="D117" s="218"/>
      <c r="E117" s="218"/>
      <c r="F117" s="218"/>
      <c r="G117" s="218"/>
      <c r="H117" s="218"/>
      <c r="I117" s="324"/>
      <c r="J117" s="234">
        <v>135</v>
      </c>
      <c r="K117" s="178"/>
      <c r="L117" s="1"/>
    </row>
    <row r="118" spans="1:12" s="37" customFormat="1" ht="25" thickBot="1" x14ac:dyDescent="0.35">
      <c r="A118" s="71"/>
      <c r="B118" s="166"/>
      <c r="C118" s="335" t="s">
        <v>509</v>
      </c>
      <c r="D118" s="218"/>
      <c r="E118" s="218"/>
      <c r="F118" s="218"/>
      <c r="G118" s="218"/>
      <c r="H118" s="218"/>
      <c r="I118" s="324"/>
      <c r="J118" s="234">
        <v>12</v>
      </c>
      <c r="K118" s="178"/>
      <c r="L118" s="1"/>
    </row>
    <row r="119" spans="1:12" s="37" customFormat="1" ht="25" thickBot="1" x14ac:dyDescent="0.35">
      <c r="A119" s="71"/>
      <c r="B119" s="166"/>
      <c r="C119" s="217" t="s">
        <v>1359</v>
      </c>
      <c r="D119" s="218"/>
      <c r="E119" s="218"/>
      <c r="F119" s="218"/>
      <c r="G119" s="218"/>
      <c r="H119" s="218"/>
      <c r="I119" s="324"/>
      <c r="J119" s="234">
        <v>42</v>
      </c>
      <c r="K119" s="178"/>
      <c r="L119" s="1"/>
    </row>
    <row r="120" spans="1:12" s="37" customFormat="1" ht="25" thickBot="1" x14ac:dyDescent="0.35">
      <c r="A120" s="71"/>
      <c r="B120" s="166"/>
      <c r="C120" s="289" t="s">
        <v>512</v>
      </c>
      <c r="D120" s="218"/>
      <c r="E120" s="218"/>
      <c r="F120" s="218"/>
      <c r="G120" s="218"/>
      <c r="H120" s="218"/>
      <c r="I120" s="324"/>
      <c r="J120" s="234">
        <v>8</v>
      </c>
      <c r="K120" s="178"/>
      <c r="L120" s="1"/>
    </row>
    <row r="121" spans="1:12" s="37" customFormat="1" ht="25" thickBot="1" x14ac:dyDescent="0.35">
      <c r="A121" s="71"/>
      <c r="B121" s="166"/>
      <c r="C121" s="217" t="s">
        <v>511</v>
      </c>
      <c r="D121" s="218"/>
      <c r="E121" s="218"/>
      <c r="F121" s="218"/>
      <c r="G121" s="218"/>
      <c r="H121" s="218"/>
      <c r="I121" s="324"/>
      <c r="J121" s="234">
        <v>15</v>
      </c>
      <c r="K121" s="178"/>
      <c r="L121" s="1"/>
    </row>
    <row r="122" spans="1:12" s="37" customFormat="1" ht="25" thickBot="1" x14ac:dyDescent="0.35">
      <c r="A122" s="71"/>
      <c r="B122" s="166"/>
      <c r="C122" s="424" t="s">
        <v>1079</v>
      </c>
      <c r="D122" s="218"/>
      <c r="E122" s="218"/>
      <c r="F122" s="218"/>
      <c r="G122" s="218"/>
      <c r="H122" s="218"/>
      <c r="I122" s="324"/>
      <c r="J122" s="234">
        <v>60</v>
      </c>
      <c r="K122" s="178"/>
      <c r="L122" s="1"/>
    </row>
    <row r="123" spans="1:12" s="37" customFormat="1" ht="25" thickBot="1" x14ac:dyDescent="0.35">
      <c r="A123" s="71"/>
      <c r="B123" s="166"/>
      <c r="C123" s="424" t="s">
        <v>1080</v>
      </c>
      <c r="D123" s="218"/>
      <c r="E123" s="218"/>
      <c r="F123" s="218"/>
      <c r="G123" s="218"/>
      <c r="H123" s="218"/>
      <c r="I123" s="324"/>
      <c r="J123" s="234">
        <v>12</v>
      </c>
      <c r="K123" s="178"/>
      <c r="L123" s="1"/>
    </row>
    <row r="124" spans="1:12" s="37" customFormat="1" ht="25" thickBot="1" x14ac:dyDescent="0.35">
      <c r="A124" s="71"/>
      <c r="B124" s="166"/>
      <c r="C124" s="424" t="s">
        <v>1096</v>
      </c>
      <c r="D124" s="218"/>
      <c r="E124" s="218"/>
      <c r="F124" s="218"/>
      <c r="G124" s="218"/>
      <c r="H124" s="218"/>
      <c r="I124" s="324"/>
      <c r="J124" s="234">
        <v>93</v>
      </c>
      <c r="K124" s="178"/>
      <c r="L124" s="1"/>
    </row>
    <row r="125" spans="1:12" s="37" customFormat="1" ht="25" thickBot="1" x14ac:dyDescent="0.35">
      <c r="A125" s="71"/>
      <c r="B125" s="166"/>
      <c r="C125" s="424" t="s">
        <v>1119</v>
      </c>
      <c r="D125" s="218"/>
      <c r="E125" s="218"/>
      <c r="F125" s="218"/>
      <c r="G125" s="218"/>
      <c r="H125" s="218"/>
      <c r="I125" s="324"/>
      <c r="J125" s="234">
        <v>50</v>
      </c>
      <c r="K125" s="178"/>
      <c r="L125" s="1"/>
    </row>
    <row r="126" spans="1:12" s="37" customFormat="1" ht="25" thickBot="1" x14ac:dyDescent="0.35">
      <c r="A126" s="71"/>
      <c r="B126" s="166"/>
      <c r="C126" s="424" t="s">
        <v>1121</v>
      </c>
      <c r="D126" s="218"/>
      <c r="E126" s="218"/>
      <c r="F126" s="218"/>
      <c r="G126" s="218"/>
      <c r="H126" s="218"/>
      <c r="I126" s="324"/>
      <c r="J126" s="234">
        <v>90</v>
      </c>
      <c r="K126" s="178"/>
      <c r="L126" s="1"/>
    </row>
    <row r="127" spans="1:12" s="37" customFormat="1" ht="25" thickBot="1" x14ac:dyDescent="0.35">
      <c r="A127" s="71"/>
      <c r="B127" s="166"/>
      <c r="C127" s="424" t="s">
        <v>1128</v>
      </c>
      <c r="D127" s="218"/>
      <c r="E127" s="218"/>
      <c r="F127" s="218"/>
      <c r="G127" s="218"/>
      <c r="H127" s="218"/>
      <c r="I127" s="324"/>
      <c r="J127" s="234">
        <v>42</v>
      </c>
      <c r="K127" s="178"/>
      <c r="L127" s="1"/>
    </row>
    <row r="128" spans="1:12" s="37" customFormat="1" ht="25" thickBot="1" x14ac:dyDescent="0.35">
      <c r="A128" s="71"/>
      <c r="B128" s="166"/>
      <c r="C128" s="424" t="s">
        <v>1148</v>
      </c>
      <c r="D128" s="218"/>
      <c r="E128" s="218"/>
      <c r="F128" s="218"/>
      <c r="G128" s="218"/>
      <c r="H128" s="218"/>
      <c r="I128" s="324"/>
      <c r="J128" s="234">
        <v>90</v>
      </c>
      <c r="K128" s="178"/>
      <c r="L128" s="1"/>
    </row>
    <row r="129" spans="1:12" s="37" customFormat="1" ht="25" thickBot="1" x14ac:dyDescent="0.35">
      <c r="A129" s="71"/>
      <c r="B129" s="166"/>
      <c r="C129" s="424" t="s">
        <v>1191</v>
      </c>
      <c r="D129" s="218"/>
      <c r="E129" s="218"/>
      <c r="F129" s="218"/>
      <c r="G129" s="218"/>
      <c r="H129" s="218"/>
      <c r="I129" s="324"/>
      <c r="J129" s="234">
        <v>120</v>
      </c>
      <c r="K129" s="178"/>
      <c r="L129" s="1"/>
    </row>
    <row r="130" spans="1:12" s="37" customFormat="1" ht="25" thickBot="1" x14ac:dyDescent="0.35">
      <c r="A130" s="71"/>
      <c r="B130" s="166"/>
      <c r="C130" s="424" t="s">
        <v>1172</v>
      </c>
      <c r="D130" s="218"/>
      <c r="E130" s="218"/>
      <c r="F130" s="218"/>
      <c r="G130" s="218"/>
      <c r="H130" s="218"/>
      <c r="I130" s="324"/>
      <c r="J130" s="234">
        <v>30</v>
      </c>
      <c r="K130" s="178"/>
      <c r="L130" s="1"/>
    </row>
    <row r="131" spans="1:12" s="37" customFormat="1" ht="25" thickBot="1" x14ac:dyDescent="0.35">
      <c r="A131" s="71"/>
      <c r="B131" s="166"/>
      <c r="C131" s="424" t="s">
        <v>1216</v>
      </c>
      <c r="D131" s="218"/>
      <c r="E131" s="218"/>
      <c r="F131" s="218"/>
      <c r="G131" s="218"/>
      <c r="H131" s="218"/>
      <c r="I131" s="324"/>
      <c r="J131" s="234">
        <v>18</v>
      </c>
      <c r="K131" s="178"/>
      <c r="L131" s="1"/>
    </row>
    <row r="132" spans="1:12" s="37" customFormat="1" ht="25" thickBot="1" x14ac:dyDescent="0.35">
      <c r="A132" s="71"/>
      <c r="B132" s="166"/>
      <c r="C132" s="424" t="s">
        <v>1340</v>
      </c>
      <c r="D132" s="218"/>
      <c r="E132" s="218"/>
      <c r="F132" s="218"/>
      <c r="G132" s="218"/>
      <c r="H132" s="218"/>
      <c r="I132" s="324"/>
      <c r="J132" s="234">
        <v>62</v>
      </c>
      <c r="K132" s="178"/>
      <c r="L132" s="1"/>
    </row>
    <row r="133" spans="1:12" s="37" customFormat="1" ht="25" thickBot="1" x14ac:dyDescent="0.35">
      <c r="A133" s="71"/>
      <c r="B133" s="166"/>
      <c r="C133" s="424" t="s">
        <v>1348</v>
      </c>
      <c r="D133" s="218"/>
      <c r="E133" s="218"/>
      <c r="F133" s="218"/>
      <c r="G133" s="218"/>
      <c r="H133" s="218"/>
      <c r="I133" s="324"/>
      <c r="J133" s="234">
        <v>100</v>
      </c>
      <c r="K133" s="178"/>
      <c r="L133" s="1"/>
    </row>
    <row r="134" spans="1:12" s="37" customFormat="1" ht="25" thickBot="1" x14ac:dyDescent="0.35">
      <c r="A134" s="71"/>
      <c r="B134" s="166"/>
      <c r="C134" s="424" t="s">
        <v>1190</v>
      </c>
      <c r="D134" s="218"/>
      <c r="E134" s="218"/>
      <c r="F134" s="218"/>
      <c r="G134" s="218"/>
      <c r="H134" s="218"/>
      <c r="I134" s="324"/>
      <c r="J134" s="234">
        <v>35</v>
      </c>
      <c r="K134" s="178"/>
      <c r="L134" s="1"/>
    </row>
    <row r="135" spans="1:12" s="37" customFormat="1" ht="25" thickBot="1" x14ac:dyDescent="0.35">
      <c r="A135" s="71"/>
      <c r="B135" s="166"/>
      <c r="C135" s="572" t="s">
        <v>513</v>
      </c>
      <c r="D135" s="573"/>
      <c r="E135" s="573"/>
      <c r="F135" s="573"/>
      <c r="G135" s="573"/>
      <c r="H135" s="573"/>
      <c r="I135" s="573"/>
      <c r="J135" s="574"/>
      <c r="K135" s="178"/>
      <c r="L135" s="1"/>
    </row>
    <row r="136" spans="1:12" s="37" customFormat="1" ht="25" thickBot="1" x14ac:dyDescent="0.35">
      <c r="A136" s="71"/>
      <c r="B136" s="166"/>
      <c r="C136" s="557" t="s">
        <v>517</v>
      </c>
      <c r="D136" s="558"/>
      <c r="E136" s="558"/>
      <c r="F136" s="558"/>
      <c r="G136" s="558"/>
      <c r="H136" s="558"/>
      <c r="I136" s="559"/>
      <c r="J136" s="234" t="s">
        <v>522</v>
      </c>
      <c r="K136" s="178"/>
      <c r="L136" s="1"/>
    </row>
    <row r="137" spans="1:12" s="37" customFormat="1" ht="25" thickBot="1" x14ac:dyDescent="0.35">
      <c r="A137" s="71"/>
      <c r="B137" s="166"/>
      <c r="C137" s="217" t="s">
        <v>520</v>
      </c>
      <c r="D137" s="218"/>
      <c r="E137" s="218"/>
      <c r="F137" s="218"/>
      <c r="G137" s="218"/>
      <c r="H137" s="218"/>
      <c r="I137" s="324"/>
      <c r="J137" s="234">
        <v>4</v>
      </c>
      <c r="K137" s="178"/>
      <c r="L137" s="1"/>
    </row>
    <row r="138" spans="1:12" s="37" customFormat="1" ht="25" thickBot="1" x14ac:dyDescent="0.35">
      <c r="A138" s="71"/>
      <c r="B138" s="166"/>
      <c r="C138" s="336" t="s">
        <v>519</v>
      </c>
      <c r="D138" s="218"/>
      <c r="E138" s="218"/>
      <c r="F138" s="218"/>
      <c r="G138" s="218"/>
      <c r="H138" s="218"/>
      <c r="I138" s="324"/>
      <c r="J138" s="234"/>
      <c r="K138" s="178"/>
      <c r="L138" s="1"/>
    </row>
    <row r="139" spans="1:12" s="37" customFormat="1" ht="25" thickBot="1" x14ac:dyDescent="0.35">
      <c r="A139" s="71"/>
      <c r="B139" s="166"/>
      <c r="C139" s="217"/>
      <c r="D139" s="218"/>
      <c r="E139" s="218"/>
      <c r="F139" s="218"/>
      <c r="G139" s="218"/>
      <c r="H139" s="218"/>
      <c r="I139" s="324"/>
      <c r="J139" s="234"/>
      <c r="K139" s="178"/>
      <c r="L139" s="1"/>
    </row>
    <row r="140" spans="1:12" s="37" customFormat="1" ht="25" thickBot="1" x14ac:dyDescent="0.35">
      <c r="A140" s="71"/>
      <c r="B140" s="166"/>
      <c r="C140" s="217" t="s">
        <v>521</v>
      </c>
      <c r="D140" s="218"/>
      <c r="E140" s="218"/>
      <c r="F140" s="218"/>
      <c r="G140" s="218"/>
      <c r="H140" s="218"/>
      <c r="I140" s="324"/>
      <c r="J140" s="234">
        <v>5.5</v>
      </c>
      <c r="K140" s="178"/>
      <c r="L140" s="1"/>
    </row>
    <row r="141" spans="1:12" s="37" customFormat="1" ht="25" thickBot="1" x14ac:dyDescent="0.35">
      <c r="A141" s="71"/>
      <c r="B141" s="166"/>
      <c r="C141" s="336" t="s">
        <v>515</v>
      </c>
      <c r="D141" s="337"/>
      <c r="E141" s="218"/>
      <c r="F141" s="218"/>
      <c r="G141" s="218"/>
      <c r="H141" s="218"/>
      <c r="I141" s="324"/>
      <c r="J141" s="234"/>
      <c r="K141" s="178"/>
      <c r="L141" s="1"/>
    </row>
    <row r="142" spans="1:12" s="37" customFormat="1" ht="25" thickBot="1" x14ac:dyDescent="0.35">
      <c r="A142" s="71"/>
      <c r="B142" s="166"/>
      <c r="C142" s="336" t="s">
        <v>516</v>
      </c>
      <c r="D142" s="337"/>
      <c r="E142" s="218"/>
      <c r="F142" s="218"/>
      <c r="G142" s="218"/>
      <c r="H142" s="218"/>
      <c r="I142" s="324"/>
      <c r="J142" s="234"/>
      <c r="K142" s="178"/>
      <c r="L142" s="1"/>
    </row>
    <row r="143" spans="1:12" s="37" customFormat="1" ht="25" thickBot="1" x14ac:dyDescent="0.35">
      <c r="A143" s="71"/>
      <c r="B143" s="166"/>
      <c r="C143" s="217"/>
      <c r="D143" s="218"/>
      <c r="E143" s="218"/>
      <c r="F143" s="218"/>
      <c r="G143" s="218"/>
      <c r="H143" s="218"/>
      <c r="I143" s="324"/>
      <c r="J143" s="234"/>
      <c r="K143" s="178"/>
      <c r="L143" s="1"/>
    </row>
    <row r="144" spans="1:12" s="37" customFormat="1" ht="25" thickBot="1" x14ac:dyDescent="0.35">
      <c r="A144" s="71"/>
      <c r="B144" s="166"/>
      <c r="C144" s="289" t="s">
        <v>531</v>
      </c>
      <c r="D144" s="218"/>
      <c r="E144" s="218"/>
      <c r="F144" s="218"/>
      <c r="G144" s="218"/>
      <c r="H144" s="218"/>
      <c r="I144" s="324"/>
      <c r="J144" s="234">
        <v>3.13</v>
      </c>
      <c r="K144" s="178"/>
      <c r="L144" s="1"/>
    </row>
    <row r="145" spans="1:12" s="37" customFormat="1" ht="25" thickBot="1" x14ac:dyDescent="0.35">
      <c r="A145" s="71"/>
      <c r="B145" s="166"/>
      <c r="C145" s="336" t="s">
        <v>518</v>
      </c>
      <c r="D145" s="218"/>
      <c r="E145" s="218"/>
      <c r="F145" s="218"/>
      <c r="G145" s="218"/>
      <c r="H145" s="218"/>
      <c r="I145" s="324"/>
      <c r="J145" s="234"/>
      <c r="K145" s="178"/>
      <c r="L145" s="1"/>
    </row>
    <row r="146" spans="1:12" s="37" customFormat="1" ht="25" thickBot="1" x14ac:dyDescent="0.35">
      <c r="A146" s="71"/>
      <c r="B146" s="166"/>
      <c r="C146" s="217"/>
      <c r="D146" s="218"/>
      <c r="E146" s="218"/>
      <c r="F146" s="218"/>
      <c r="G146" s="218"/>
      <c r="H146" s="218"/>
      <c r="I146" s="324"/>
      <c r="J146" s="234"/>
      <c r="K146" s="178"/>
      <c r="L146" s="1"/>
    </row>
    <row r="147" spans="1:12" s="37" customFormat="1" ht="25" thickBot="1" x14ac:dyDescent="0.35">
      <c r="A147" s="71"/>
      <c r="B147" s="166"/>
      <c r="C147" s="557" t="s">
        <v>523</v>
      </c>
      <c r="D147" s="558"/>
      <c r="E147" s="558"/>
      <c r="F147" s="558"/>
      <c r="G147" s="558"/>
      <c r="H147" s="558"/>
      <c r="I147" s="559"/>
      <c r="J147" s="234"/>
      <c r="K147" s="178"/>
      <c r="L147" s="1"/>
    </row>
    <row r="148" spans="1:12" s="37" customFormat="1" ht="25" thickBot="1" x14ac:dyDescent="0.35">
      <c r="A148" s="71"/>
      <c r="B148" s="166"/>
      <c r="C148" s="217" t="s">
        <v>527</v>
      </c>
      <c r="D148" s="218"/>
      <c r="E148" s="218"/>
      <c r="F148" s="218"/>
      <c r="G148" s="218"/>
      <c r="H148" s="218"/>
      <c r="I148" s="324"/>
      <c r="J148" s="234">
        <v>5.68</v>
      </c>
      <c r="K148" s="178"/>
      <c r="L148" s="1"/>
    </row>
    <row r="149" spans="1:12" s="37" customFormat="1" ht="25" thickBot="1" x14ac:dyDescent="0.35">
      <c r="A149" s="71"/>
      <c r="B149" s="166"/>
      <c r="C149" s="336" t="s">
        <v>524</v>
      </c>
      <c r="D149" s="218"/>
      <c r="E149" s="218"/>
      <c r="F149" s="218"/>
      <c r="G149" s="218"/>
      <c r="H149" s="218"/>
      <c r="I149" s="324"/>
      <c r="J149" s="234"/>
      <c r="K149" s="178"/>
      <c r="L149" s="1"/>
    </row>
    <row r="150" spans="1:12" s="37" customFormat="1" ht="25" thickBot="1" x14ac:dyDescent="0.35">
      <c r="A150" s="71"/>
      <c r="B150" s="166"/>
      <c r="C150" s="217"/>
      <c r="D150" s="218"/>
      <c r="E150" s="218"/>
      <c r="F150" s="218"/>
      <c r="G150" s="218"/>
      <c r="H150" s="218"/>
      <c r="I150" s="324"/>
      <c r="J150" s="234"/>
      <c r="K150" s="178"/>
      <c r="L150" s="1"/>
    </row>
    <row r="151" spans="1:12" s="37" customFormat="1" ht="25" thickBot="1" x14ac:dyDescent="0.35">
      <c r="A151" s="71"/>
      <c r="B151" s="166"/>
      <c r="C151" s="217" t="s">
        <v>528</v>
      </c>
      <c r="D151" s="218"/>
      <c r="E151" s="218"/>
      <c r="F151" s="218"/>
      <c r="G151" s="218"/>
      <c r="H151" s="218"/>
      <c r="I151" s="324"/>
      <c r="J151" s="234">
        <v>4.87</v>
      </c>
      <c r="K151" s="178"/>
      <c r="L151" s="1"/>
    </row>
    <row r="152" spans="1:12" s="37" customFormat="1" ht="25" thickBot="1" x14ac:dyDescent="0.35">
      <c r="A152" s="71"/>
      <c r="B152" s="166"/>
      <c r="C152" s="338" t="s">
        <v>525</v>
      </c>
      <c r="D152" s="218"/>
      <c r="E152" s="218"/>
      <c r="F152" s="218"/>
      <c r="G152" s="218"/>
      <c r="H152" s="218"/>
      <c r="I152" s="324"/>
      <c r="J152" s="234"/>
      <c r="K152" s="178"/>
      <c r="L152" s="1"/>
    </row>
    <row r="153" spans="1:12" s="37" customFormat="1" ht="25" thickBot="1" x14ac:dyDescent="0.35">
      <c r="A153" s="71"/>
      <c r="B153" s="166"/>
      <c r="C153" s="217"/>
      <c r="D153" s="218"/>
      <c r="E153" s="218"/>
      <c r="F153" s="218"/>
      <c r="G153" s="218"/>
      <c r="H153" s="218"/>
      <c r="I153" s="324"/>
      <c r="J153" s="234"/>
      <c r="K153" s="178"/>
      <c r="L153" s="1"/>
    </row>
    <row r="154" spans="1:12" s="37" customFormat="1" ht="25" thickBot="1" x14ac:dyDescent="0.35">
      <c r="A154" s="71"/>
      <c r="B154" s="166"/>
      <c r="C154" s="289" t="s">
        <v>529</v>
      </c>
      <c r="D154" s="218"/>
      <c r="E154" s="218"/>
      <c r="F154" s="218"/>
      <c r="G154" s="218"/>
      <c r="H154" s="218"/>
      <c r="I154" s="324"/>
      <c r="J154" s="234">
        <v>3.84</v>
      </c>
      <c r="K154" s="178"/>
      <c r="L154" s="1"/>
    </row>
    <row r="155" spans="1:12" s="37" customFormat="1" ht="25" thickBot="1" x14ac:dyDescent="0.35">
      <c r="A155" s="71"/>
      <c r="B155" s="166"/>
      <c r="C155" s="336" t="s">
        <v>526</v>
      </c>
      <c r="D155" s="218"/>
      <c r="E155" s="218"/>
      <c r="F155" s="218"/>
      <c r="G155" s="218"/>
      <c r="H155" s="218"/>
      <c r="I155" s="324"/>
      <c r="J155" s="234"/>
      <c r="K155" s="178"/>
      <c r="L155" s="1"/>
    </row>
    <row r="156" spans="1:12" s="37" customFormat="1" ht="25" thickBot="1" x14ac:dyDescent="0.35">
      <c r="A156" s="71"/>
      <c r="B156" s="166"/>
      <c r="C156" s="217"/>
      <c r="D156" s="218"/>
      <c r="E156" s="218"/>
      <c r="F156" s="218"/>
      <c r="G156" s="218"/>
      <c r="H156" s="218"/>
      <c r="I156" s="324"/>
      <c r="J156" s="234"/>
      <c r="K156" s="178"/>
      <c r="L156" s="1"/>
    </row>
    <row r="157" spans="1:12" s="37" customFormat="1" ht="25" thickBot="1" x14ac:dyDescent="0.35">
      <c r="A157" s="71"/>
      <c r="B157" s="166"/>
      <c r="C157" s="557" t="s">
        <v>530</v>
      </c>
      <c r="D157" s="558"/>
      <c r="E157" s="558"/>
      <c r="F157" s="558"/>
      <c r="G157" s="558"/>
      <c r="H157" s="558"/>
      <c r="I157" s="559"/>
      <c r="J157" s="234"/>
      <c r="K157" s="178"/>
      <c r="L157" s="1"/>
    </row>
    <row r="158" spans="1:12" s="37" customFormat="1" ht="25" thickBot="1" x14ac:dyDescent="0.35">
      <c r="A158" s="71"/>
      <c r="B158" s="166"/>
      <c r="C158" s="566" t="s">
        <v>1037</v>
      </c>
      <c r="D158" s="567"/>
      <c r="E158" s="567"/>
      <c r="F158" s="567"/>
      <c r="G158" s="567"/>
      <c r="H158" s="567"/>
      <c r="I158" s="568"/>
      <c r="J158" s="234">
        <v>6</v>
      </c>
      <c r="K158" s="178"/>
      <c r="L158" s="1"/>
    </row>
    <row r="159" spans="1:12" s="37" customFormat="1" ht="25" thickBot="1" x14ac:dyDescent="0.35">
      <c r="A159" s="71"/>
      <c r="B159" s="166"/>
      <c r="C159" s="336" t="s">
        <v>532</v>
      </c>
      <c r="D159" s="218"/>
      <c r="E159" s="218"/>
      <c r="F159" s="218"/>
      <c r="G159" s="218"/>
      <c r="H159" s="218"/>
      <c r="I159" s="324"/>
      <c r="J159" s="234"/>
      <c r="K159" s="178"/>
      <c r="L159" s="1"/>
    </row>
    <row r="160" spans="1:12" s="37" customFormat="1" ht="25" thickBot="1" x14ac:dyDescent="0.35">
      <c r="A160" s="71"/>
      <c r="B160" s="166"/>
      <c r="C160" s="217"/>
      <c r="D160" s="218"/>
      <c r="E160" s="218"/>
      <c r="F160" s="218"/>
      <c r="G160" s="218"/>
      <c r="H160" s="218"/>
      <c r="I160" s="324"/>
      <c r="J160" s="234"/>
      <c r="K160" s="178"/>
      <c r="L160" s="1"/>
    </row>
    <row r="161" spans="1:12" s="37" customFormat="1" ht="25" thickBot="1" x14ac:dyDescent="0.35">
      <c r="A161" s="71"/>
      <c r="B161" s="166"/>
      <c r="C161" s="217" t="s">
        <v>1038</v>
      </c>
      <c r="D161" s="218"/>
      <c r="E161" s="218"/>
      <c r="F161" s="218"/>
      <c r="G161" s="218"/>
      <c r="H161" s="218"/>
      <c r="I161" s="324"/>
      <c r="J161" s="234">
        <v>5.19</v>
      </c>
      <c r="K161" s="178"/>
      <c r="L161" s="1"/>
    </row>
    <row r="162" spans="1:12" s="37" customFormat="1" ht="25" thickBot="1" x14ac:dyDescent="0.35">
      <c r="A162" s="71"/>
      <c r="B162" s="166"/>
      <c r="C162" s="336" t="s">
        <v>533</v>
      </c>
      <c r="D162" s="218"/>
      <c r="E162" s="218"/>
      <c r="F162" s="218"/>
      <c r="G162" s="218"/>
      <c r="H162" s="218"/>
      <c r="I162" s="324"/>
      <c r="J162" s="234"/>
      <c r="K162" s="178"/>
      <c r="L162" s="1"/>
    </row>
    <row r="163" spans="1:12" s="37" customFormat="1" ht="25" thickBot="1" x14ac:dyDescent="0.35">
      <c r="A163" s="71"/>
      <c r="B163" s="166"/>
      <c r="C163" s="217"/>
      <c r="D163" s="218"/>
      <c r="E163" s="218"/>
      <c r="F163" s="218"/>
      <c r="G163" s="218"/>
      <c r="H163" s="218"/>
      <c r="I163" s="324"/>
      <c r="J163" s="234"/>
      <c r="K163" s="178"/>
      <c r="L163" s="1"/>
    </row>
    <row r="164" spans="1:12" s="37" customFormat="1" ht="25" thickBot="1" x14ac:dyDescent="0.35">
      <c r="A164" s="71"/>
      <c r="B164" s="166"/>
      <c r="C164" s="217" t="s">
        <v>1039</v>
      </c>
      <c r="D164" s="218"/>
      <c r="E164" s="218"/>
      <c r="F164" s="218"/>
      <c r="G164" s="218"/>
      <c r="H164" s="218"/>
      <c r="I164" s="324"/>
      <c r="J164" s="234">
        <v>3.75</v>
      </c>
      <c r="K164" s="178"/>
      <c r="L164" s="1"/>
    </row>
    <row r="165" spans="1:12" s="37" customFormat="1" ht="25" thickBot="1" x14ac:dyDescent="0.35">
      <c r="A165" s="71"/>
      <c r="B165" s="166"/>
      <c r="C165" s="336" t="s">
        <v>534</v>
      </c>
      <c r="D165" s="218"/>
      <c r="E165" s="218"/>
      <c r="F165" s="218"/>
      <c r="G165" s="218"/>
      <c r="H165" s="218"/>
      <c r="I165" s="324"/>
      <c r="J165" s="234"/>
      <c r="K165" s="178"/>
      <c r="L165" s="1"/>
    </row>
    <row r="166" spans="1:12" s="37" customFormat="1" ht="25" thickBot="1" x14ac:dyDescent="0.35">
      <c r="A166" s="71"/>
      <c r="B166" s="166"/>
      <c r="C166" s="217"/>
      <c r="D166" s="218"/>
      <c r="E166" s="218"/>
      <c r="F166" s="218"/>
      <c r="G166" s="218"/>
      <c r="H166" s="218"/>
      <c r="I166" s="324"/>
      <c r="J166" s="234"/>
      <c r="K166" s="178"/>
      <c r="L166" s="1"/>
    </row>
    <row r="167" spans="1:12" s="37" customFormat="1" ht="25" thickBot="1" x14ac:dyDescent="0.35">
      <c r="A167" s="71"/>
      <c r="B167" s="166"/>
      <c r="C167" s="557" t="s">
        <v>535</v>
      </c>
      <c r="D167" s="558"/>
      <c r="E167" s="558"/>
      <c r="F167" s="558"/>
      <c r="G167" s="558"/>
      <c r="H167" s="558"/>
      <c r="I167" s="559"/>
      <c r="J167" s="234"/>
      <c r="K167" s="178"/>
      <c r="L167" s="1"/>
    </row>
    <row r="168" spans="1:12" s="37" customFormat="1" ht="25" thickBot="1" x14ac:dyDescent="0.35">
      <c r="A168" s="71"/>
      <c r="B168" s="166"/>
      <c r="C168" s="217" t="s">
        <v>1054</v>
      </c>
      <c r="D168" s="218"/>
      <c r="E168" s="218"/>
      <c r="F168" s="218"/>
      <c r="G168" s="218"/>
      <c r="H168" s="218"/>
      <c r="I168" s="324"/>
      <c r="J168" s="234">
        <v>4.0999999999999996</v>
      </c>
      <c r="K168" s="178"/>
      <c r="L168" s="1"/>
    </row>
    <row r="169" spans="1:12" s="37" customFormat="1" ht="25" thickBot="1" x14ac:dyDescent="0.35">
      <c r="A169" s="71"/>
      <c r="B169" s="166"/>
      <c r="C169" s="336" t="s">
        <v>536</v>
      </c>
      <c r="D169" s="218"/>
      <c r="E169" s="218"/>
      <c r="F169" s="218"/>
      <c r="G169" s="218"/>
      <c r="H169" s="218"/>
      <c r="I169" s="324"/>
      <c r="J169" s="234"/>
      <c r="K169" s="178"/>
      <c r="L169" s="1"/>
    </row>
    <row r="170" spans="1:12" s="37" customFormat="1" ht="25" thickBot="1" x14ac:dyDescent="0.35">
      <c r="A170" s="71"/>
      <c r="B170" s="166"/>
      <c r="C170" s="217"/>
      <c r="D170" s="218"/>
      <c r="E170" s="218"/>
      <c r="F170" s="218"/>
      <c r="G170" s="218"/>
      <c r="H170" s="218"/>
      <c r="I170" s="324"/>
      <c r="J170" s="234"/>
      <c r="K170" s="178"/>
      <c r="L170" s="1"/>
    </row>
    <row r="171" spans="1:12" s="37" customFormat="1" ht="25" thickBot="1" x14ac:dyDescent="0.35">
      <c r="A171" s="71"/>
      <c r="B171" s="166"/>
      <c r="C171" s="289" t="s">
        <v>1055</v>
      </c>
      <c r="D171" s="218"/>
      <c r="E171" s="218"/>
      <c r="F171" s="218"/>
      <c r="G171" s="218"/>
      <c r="H171" s="218"/>
      <c r="I171" s="324"/>
      <c r="J171" s="234">
        <v>3.35</v>
      </c>
      <c r="K171" s="178"/>
      <c r="L171" s="1"/>
    </row>
    <row r="172" spans="1:12" s="37" customFormat="1" ht="25" thickBot="1" x14ac:dyDescent="0.35">
      <c r="A172" s="71"/>
      <c r="B172" s="166"/>
      <c r="C172" s="336" t="s">
        <v>537</v>
      </c>
      <c r="D172" s="218"/>
      <c r="E172" s="218"/>
      <c r="F172" s="218"/>
      <c r="G172" s="218"/>
      <c r="H172" s="218"/>
      <c r="I172" s="324"/>
      <c r="J172" s="234"/>
      <c r="K172" s="178"/>
      <c r="L172" s="1"/>
    </row>
    <row r="173" spans="1:12" s="37" customFormat="1" ht="25" thickBot="1" x14ac:dyDescent="0.35">
      <c r="A173" s="71"/>
      <c r="B173" s="166"/>
      <c r="C173" s="217"/>
      <c r="D173" s="218"/>
      <c r="E173" s="218"/>
      <c r="F173" s="218"/>
      <c r="G173" s="218"/>
      <c r="H173" s="218"/>
      <c r="I173" s="324"/>
      <c r="J173" s="234"/>
      <c r="K173" s="178"/>
      <c r="L173" s="1"/>
    </row>
    <row r="174" spans="1:12" s="37" customFormat="1" ht="25" thickBot="1" x14ac:dyDescent="0.35">
      <c r="A174" s="71"/>
      <c r="B174" s="166"/>
      <c r="C174" s="289" t="s">
        <v>1056</v>
      </c>
      <c r="D174" s="218"/>
      <c r="E174" s="218"/>
      <c r="F174" s="218"/>
      <c r="G174" s="218"/>
      <c r="H174" s="218"/>
      <c r="I174" s="324"/>
      <c r="J174" s="234">
        <v>3.35</v>
      </c>
      <c r="K174" s="178"/>
      <c r="L174" s="1"/>
    </row>
    <row r="175" spans="1:12" s="37" customFormat="1" ht="25" thickBot="1" x14ac:dyDescent="0.35">
      <c r="A175" s="71"/>
      <c r="B175" s="166"/>
      <c r="C175" s="336" t="s">
        <v>538</v>
      </c>
      <c r="D175" s="218"/>
      <c r="E175" s="218"/>
      <c r="F175" s="218"/>
      <c r="G175" s="218"/>
      <c r="H175" s="218"/>
      <c r="I175" s="324"/>
      <c r="J175" s="234"/>
      <c r="K175" s="178"/>
      <c r="L175" s="1"/>
    </row>
    <row r="176" spans="1:12" s="37" customFormat="1" ht="25" thickBot="1" x14ac:dyDescent="0.35">
      <c r="A176" s="71"/>
      <c r="B176" s="166"/>
      <c r="C176" s="217"/>
      <c r="D176" s="218"/>
      <c r="E176" s="218"/>
      <c r="F176" s="218"/>
      <c r="G176" s="218"/>
      <c r="H176" s="218"/>
      <c r="I176" s="324"/>
      <c r="J176" s="234"/>
      <c r="K176" s="178"/>
      <c r="L176" s="1"/>
    </row>
    <row r="177" spans="1:12" s="37" customFormat="1" ht="25" thickBot="1" x14ac:dyDescent="0.35">
      <c r="A177" s="71"/>
      <c r="B177" s="166"/>
      <c r="C177" s="557" t="s">
        <v>539</v>
      </c>
      <c r="D177" s="558"/>
      <c r="E177" s="558"/>
      <c r="F177" s="558"/>
      <c r="G177" s="558"/>
      <c r="H177" s="558"/>
      <c r="I177" s="559"/>
      <c r="J177" s="234"/>
      <c r="K177" s="178"/>
      <c r="L177" s="1"/>
    </row>
    <row r="178" spans="1:12" s="37" customFormat="1" ht="25" thickBot="1" x14ac:dyDescent="0.35">
      <c r="A178" s="71"/>
      <c r="B178" s="166"/>
      <c r="C178" s="217" t="s">
        <v>540</v>
      </c>
      <c r="D178" s="218"/>
      <c r="E178" s="218"/>
      <c r="F178" s="218"/>
      <c r="G178" s="218"/>
      <c r="H178" s="218"/>
      <c r="I178" s="324"/>
      <c r="J178" s="234"/>
      <c r="K178" s="178"/>
      <c r="L178" s="1"/>
    </row>
    <row r="179" spans="1:12" s="37" customFormat="1" ht="25" thickBot="1" x14ac:dyDescent="0.35">
      <c r="A179" s="71"/>
      <c r="B179" s="166"/>
      <c r="C179" s="217" t="s">
        <v>541</v>
      </c>
      <c r="D179" s="218"/>
      <c r="E179" s="218"/>
      <c r="F179" s="218"/>
      <c r="G179" s="218"/>
      <c r="H179" s="218"/>
      <c r="I179" s="324"/>
      <c r="J179" s="234">
        <v>2.9</v>
      </c>
      <c r="K179" s="178"/>
      <c r="L179" s="1"/>
    </row>
    <row r="180" spans="1:12" s="37" customFormat="1" ht="25" thickBot="1" x14ac:dyDescent="0.35">
      <c r="A180" s="71"/>
      <c r="B180" s="166"/>
      <c r="C180" s="217" t="s">
        <v>542</v>
      </c>
      <c r="D180" s="218"/>
      <c r="E180" s="218"/>
      <c r="F180" s="218"/>
      <c r="G180" s="218"/>
      <c r="H180" s="218"/>
      <c r="I180" s="324"/>
      <c r="J180" s="234">
        <v>3.4</v>
      </c>
      <c r="K180" s="178"/>
      <c r="L180" s="1"/>
    </row>
    <row r="181" spans="1:12" s="37" customFormat="1" ht="25" thickBot="1" x14ac:dyDescent="0.35">
      <c r="A181" s="71"/>
      <c r="B181" s="166"/>
      <c r="C181" s="217"/>
      <c r="D181" s="218"/>
      <c r="E181" s="218"/>
      <c r="F181" s="218"/>
      <c r="G181" s="218"/>
      <c r="H181" s="218"/>
      <c r="I181" s="324"/>
      <c r="J181" s="234"/>
      <c r="K181" s="178"/>
      <c r="L181" s="1"/>
    </row>
    <row r="182" spans="1:12" s="37" customFormat="1" ht="25" thickBot="1" x14ac:dyDescent="0.35">
      <c r="A182" s="71"/>
      <c r="B182" s="166"/>
      <c r="C182" s="217" t="s">
        <v>543</v>
      </c>
      <c r="D182" s="218"/>
      <c r="E182" s="218"/>
      <c r="F182" s="218"/>
      <c r="G182" s="218"/>
      <c r="H182" s="218"/>
      <c r="I182" s="324"/>
      <c r="J182" s="234"/>
      <c r="K182" s="178"/>
      <c r="L182" s="1"/>
    </row>
    <row r="183" spans="1:12" s="37" customFormat="1" ht="25" thickBot="1" x14ac:dyDescent="0.35">
      <c r="A183" s="71"/>
      <c r="B183" s="166"/>
      <c r="C183" s="217" t="s">
        <v>544</v>
      </c>
      <c r="D183" s="218"/>
      <c r="E183" s="218"/>
      <c r="F183" s="218"/>
      <c r="G183" s="218"/>
      <c r="H183" s="218"/>
      <c r="I183" s="324"/>
      <c r="J183" s="234">
        <v>5.5</v>
      </c>
      <c r="K183" s="178"/>
      <c r="L183" s="1"/>
    </row>
    <row r="184" spans="1:12" s="37" customFormat="1" ht="25" thickBot="1" x14ac:dyDescent="0.35">
      <c r="A184" s="71"/>
      <c r="B184" s="166"/>
      <c r="C184" s="217" t="s">
        <v>545</v>
      </c>
      <c r="D184" s="218"/>
      <c r="E184" s="218"/>
      <c r="F184" s="218"/>
      <c r="G184" s="218"/>
      <c r="H184" s="218"/>
      <c r="I184" s="324"/>
      <c r="J184" s="234">
        <v>5.0999999999999996</v>
      </c>
      <c r="K184" s="178"/>
      <c r="L184" s="1"/>
    </row>
    <row r="185" spans="1:12" s="37" customFormat="1" ht="25" thickBot="1" x14ac:dyDescent="0.35">
      <c r="A185" s="71"/>
      <c r="B185" s="166"/>
      <c r="C185" s="217"/>
      <c r="D185" s="218"/>
      <c r="E185" s="218"/>
      <c r="F185" s="218"/>
      <c r="G185" s="218"/>
      <c r="H185" s="218"/>
      <c r="I185" s="324"/>
      <c r="J185" s="234"/>
      <c r="K185" s="178"/>
      <c r="L185" s="1"/>
    </row>
    <row r="186" spans="1:12" s="37" customFormat="1" ht="25" thickBot="1" x14ac:dyDescent="0.35">
      <c r="A186" s="71"/>
      <c r="B186" s="166"/>
      <c r="C186" s="217" t="s">
        <v>546</v>
      </c>
      <c r="D186" s="218"/>
      <c r="E186" s="218"/>
      <c r="F186" s="218"/>
      <c r="G186" s="218"/>
      <c r="H186" s="218"/>
      <c r="I186" s="324"/>
      <c r="J186" s="234"/>
      <c r="K186" s="178"/>
      <c r="L186" s="1"/>
    </row>
    <row r="187" spans="1:12" s="37" customFormat="1" ht="25" thickBot="1" x14ac:dyDescent="0.35">
      <c r="A187" s="71"/>
      <c r="B187" s="166"/>
      <c r="C187" s="217" t="s">
        <v>547</v>
      </c>
      <c r="D187" s="218"/>
      <c r="E187" s="218"/>
      <c r="F187" s="218"/>
      <c r="G187" s="218"/>
      <c r="H187" s="218"/>
      <c r="I187" s="324"/>
      <c r="J187" s="234">
        <v>4.4000000000000004</v>
      </c>
      <c r="K187" s="178"/>
      <c r="L187" s="1"/>
    </row>
    <row r="188" spans="1:12" s="37" customFormat="1" ht="25" thickBot="1" x14ac:dyDescent="0.35">
      <c r="A188" s="71"/>
      <c r="B188" s="166"/>
      <c r="C188" s="217" t="s">
        <v>548</v>
      </c>
      <c r="D188" s="218"/>
      <c r="E188" s="218"/>
      <c r="F188" s="218"/>
      <c r="G188" s="218"/>
      <c r="H188" s="218"/>
      <c r="I188" s="324"/>
      <c r="J188" s="234">
        <v>4.4000000000000004</v>
      </c>
      <c r="K188" s="178"/>
      <c r="L188" s="1"/>
    </row>
    <row r="189" spans="1:12" s="37" customFormat="1" ht="25" thickBot="1" x14ac:dyDescent="0.35">
      <c r="A189" s="71"/>
      <c r="B189" s="166"/>
      <c r="C189" s="217"/>
      <c r="D189" s="218"/>
      <c r="E189" s="218"/>
      <c r="F189" s="218"/>
      <c r="G189" s="218"/>
      <c r="H189" s="218"/>
      <c r="I189" s="324"/>
      <c r="J189" s="234"/>
      <c r="K189" s="178"/>
      <c r="L189" s="1"/>
    </row>
    <row r="190" spans="1:12" s="37" customFormat="1" ht="25" thickBot="1" x14ac:dyDescent="0.35">
      <c r="A190" s="71"/>
      <c r="B190" s="166"/>
      <c r="C190" s="557" t="s">
        <v>549</v>
      </c>
      <c r="D190" s="558"/>
      <c r="E190" s="558"/>
      <c r="F190" s="558"/>
      <c r="G190" s="558"/>
      <c r="H190" s="558"/>
      <c r="I190" s="559"/>
      <c r="J190" s="234"/>
      <c r="K190" s="178"/>
      <c r="L190" s="1"/>
    </row>
    <row r="191" spans="1:12" s="37" customFormat="1" ht="25" thickBot="1" x14ac:dyDescent="0.35">
      <c r="A191" s="71"/>
      <c r="B191" s="166"/>
      <c r="C191" s="217" t="s">
        <v>550</v>
      </c>
      <c r="D191" s="218"/>
      <c r="E191" s="218"/>
      <c r="F191" s="218"/>
      <c r="G191" s="218"/>
      <c r="H191" s="218"/>
      <c r="I191" s="324"/>
      <c r="J191" s="234"/>
      <c r="K191" s="178"/>
      <c r="L191" s="1"/>
    </row>
    <row r="192" spans="1:12" s="37" customFormat="1" ht="25" thickBot="1" x14ac:dyDescent="0.35">
      <c r="A192" s="71"/>
      <c r="B192" s="166"/>
      <c r="C192" s="217" t="s">
        <v>551</v>
      </c>
      <c r="D192" s="218"/>
      <c r="E192" s="218"/>
      <c r="F192" s="218"/>
      <c r="G192" s="218"/>
      <c r="H192" s="218"/>
      <c r="I192" s="324"/>
      <c r="J192" s="234">
        <v>3.3</v>
      </c>
      <c r="K192" s="178"/>
      <c r="L192" s="1"/>
    </row>
    <row r="193" spans="1:12" s="37" customFormat="1" ht="25" thickBot="1" x14ac:dyDescent="0.35">
      <c r="A193" s="71"/>
      <c r="B193" s="166"/>
      <c r="C193" s="217" t="s">
        <v>552</v>
      </c>
      <c r="D193" s="218"/>
      <c r="E193" s="218"/>
      <c r="F193" s="218"/>
      <c r="G193" s="218"/>
      <c r="H193" s="218"/>
      <c r="I193" s="324"/>
      <c r="J193" s="234">
        <v>3.3</v>
      </c>
      <c r="K193" s="178"/>
      <c r="L193" s="1"/>
    </row>
    <row r="194" spans="1:12" s="37" customFormat="1" ht="25" thickBot="1" x14ac:dyDescent="0.35">
      <c r="A194" s="71"/>
      <c r="B194" s="166"/>
      <c r="C194" s="217"/>
      <c r="D194" s="218"/>
      <c r="E194" s="218"/>
      <c r="F194" s="218"/>
      <c r="G194" s="218"/>
      <c r="H194" s="218"/>
      <c r="I194" s="324"/>
      <c r="J194" s="234"/>
      <c r="K194" s="178"/>
      <c r="L194" s="1"/>
    </row>
    <row r="195" spans="1:12" s="37" customFormat="1" ht="25" thickBot="1" x14ac:dyDescent="0.35">
      <c r="A195" s="71"/>
      <c r="B195" s="166"/>
      <c r="C195" s="557" t="s">
        <v>553</v>
      </c>
      <c r="D195" s="558"/>
      <c r="E195" s="558"/>
      <c r="F195" s="558"/>
      <c r="G195" s="558"/>
      <c r="H195" s="558"/>
      <c r="I195" s="559"/>
      <c r="J195" s="234"/>
      <c r="K195" s="178"/>
      <c r="L195" s="1"/>
    </row>
    <row r="196" spans="1:12" s="37" customFormat="1" ht="25" thickBot="1" x14ac:dyDescent="0.35">
      <c r="A196" s="71"/>
      <c r="B196" s="166"/>
      <c r="C196" s="217" t="s">
        <v>554</v>
      </c>
      <c r="D196" s="218"/>
      <c r="E196" s="218"/>
      <c r="F196" s="218"/>
      <c r="G196" s="218"/>
      <c r="H196" s="218"/>
      <c r="I196" s="324"/>
      <c r="J196" s="234"/>
      <c r="K196" s="178"/>
      <c r="L196" s="1"/>
    </row>
    <row r="197" spans="1:12" s="37" customFormat="1" ht="25" thickBot="1" x14ac:dyDescent="0.35">
      <c r="A197" s="71"/>
      <c r="B197" s="166"/>
      <c r="C197" s="217" t="s">
        <v>555</v>
      </c>
      <c r="D197" s="218"/>
      <c r="E197" s="218"/>
      <c r="F197" s="218"/>
      <c r="G197" s="218"/>
      <c r="H197" s="218"/>
      <c r="I197" s="324"/>
      <c r="J197" s="234">
        <v>3.5</v>
      </c>
      <c r="K197" s="178"/>
      <c r="L197" s="1"/>
    </row>
    <row r="198" spans="1:12" s="37" customFormat="1" ht="25" thickBot="1" x14ac:dyDescent="0.35">
      <c r="A198" s="71"/>
      <c r="B198" s="166"/>
      <c r="C198" s="217"/>
      <c r="D198" s="218"/>
      <c r="E198" s="218"/>
      <c r="F198" s="218"/>
      <c r="G198" s="218"/>
      <c r="H198" s="218"/>
      <c r="I198" s="324"/>
      <c r="J198" s="234"/>
      <c r="K198" s="178"/>
      <c r="L198" s="1"/>
    </row>
    <row r="199" spans="1:12" s="37" customFormat="1" ht="25" thickBot="1" x14ac:dyDescent="0.35">
      <c r="A199" s="71"/>
      <c r="B199" s="166"/>
      <c r="C199" s="557" t="s">
        <v>556</v>
      </c>
      <c r="D199" s="558"/>
      <c r="E199" s="558"/>
      <c r="F199" s="558"/>
      <c r="G199" s="558"/>
      <c r="H199" s="558"/>
      <c r="I199" s="559"/>
      <c r="J199" s="234"/>
      <c r="K199" s="178"/>
      <c r="L199" s="1"/>
    </row>
    <row r="200" spans="1:12" s="37" customFormat="1" ht="25" thickBot="1" x14ac:dyDescent="0.35">
      <c r="A200" s="71"/>
      <c r="B200" s="166"/>
      <c r="C200" s="217" t="s">
        <v>557</v>
      </c>
      <c r="D200" s="218"/>
      <c r="E200" s="218"/>
      <c r="F200" s="218"/>
      <c r="G200" s="218"/>
      <c r="H200" s="218"/>
      <c r="I200" s="324"/>
      <c r="J200" s="234"/>
      <c r="K200" s="178"/>
      <c r="L200" s="1"/>
    </row>
    <row r="201" spans="1:12" s="37" customFormat="1" ht="25" thickBot="1" x14ac:dyDescent="0.35">
      <c r="A201" s="71"/>
      <c r="B201" s="166"/>
      <c r="C201" s="217" t="s">
        <v>559</v>
      </c>
      <c r="D201" s="218"/>
      <c r="E201" s="218"/>
      <c r="F201" s="218"/>
      <c r="G201" s="218"/>
      <c r="H201" s="218"/>
      <c r="I201" s="324"/>
      <c r="J201" s="234">
        <v>4.8099999999999996</v>
      </c>
      <c r="K201" s="178"/>
      <c r="L201" s="1"/>
    </row>
    <row r="202" spans="1:12" s="37" customFormat="1" ht="25" thickBot="1" x14ac:dyDescent="0.35">
      <c r="A202" s="71"/>
      <c r="B202" s="166"/>
      <c r="C202" s="289" t="s">
        <v>558</v>
      </c>
      <c r="D202" s="218"/>
      <c r="E202" s="218"/>
      <c r="F202" s="218"/>
      <c r="G202" s="218"/>
      <c r="H202" s="218"/>
      <c r="I202" s="324"/>
      <c r="J202" s="234">
        <v>6</v>
      </c>
      <c r="K202" s="178"/>
      <c r="L202" s="1"/>
    </row>
    <row r="203" spans="1:12" s="37" customFormat="1" ht="25" thickBot="1" x14ac:dyDescent="0.35">
      <c r="A203" s="71"/>
      <c r="B203" s="166"/>
      <c r="C203" s="217"/>
      <c r="D203" s="218"/>
      <c r="E203" s="218"/>
      <c r="F203" s="218"/>
      <c r="G203" s="218"/>
      <c r="H203" s="218"/>
      <c r="I203" s="324"/>
      <c r="J203" s="234"/>
      <c r="K203" s="178"/>
      <c r="L203" s="1"/>
    </row>
    <row r="204" spans="1:12" s="37" customFormat="1" ht="25" thickBot="1" x14ac:dyDescent="0.35">
      <c r="A204" s="71"/>
      <c r="B204" s="166"/>
      <c r="C204" s="289" t="s">
        <v>560</v>
      </c>
      <c r="D204" s="218"/>
      <c r="E204" s="218"/>
      <c r="F204" s="218"/>
      <c r="G204" s="218"/>
      <c r="H204" s="218"/>
      <c r="I204" s="324"/>
      <c r="J204" s="234"/>
      <c r="K204" s="178"/>
      <c r="L204" s="1"/>
    </row>
    <row r="205" spans="1:12" s="37" customFormat="1" ht="25" thickBot="1" x14ac:dyDescent="0.35">
      <c r="A205" s="71"/>
      <c r="B205" s="166"/>
      <c r="C205" s="217" t="s">
        <v>559</v>
      </c>
      <c r="D205" s="218"/>
      <c r="E205" s="218"/>
      <c r="F205" s="218"/>
      <c r="G205" s="218"/>
      <c r="H205" s="218"/>
      <c r="I205" s="324"/>
      <c r="J205" s="234">
        <v>3</v>
      </c>
      <c r="K205" s="178"/>
      <c r="L205" s="1"/>
    </row>
    <row r="206" spans="1:12" s="37" customFormat="1" ht="25" thickBot="1" x14ac:dyDescent="0.35">
      <c r="A206" s="71"/>
      <c r="B206" s="166"/>
      <c r="C206" s="289" t="s">
        <v>558</v>
      </c>
      <c r="D206" s="218"/>
      <c r="E206" s="218"/>
      <c r="F206" s="218"/>
      <c r="G206" s="218"/>
      <c r="H206" s="218"/>
      <c r="I206" s="324"/>
      <c r="J206" s="234">
        <v>4.13</v>
      </c>
      <c r="K206" s="178"/>
      <c r="L206" s="1"/>
    </row>
    <row r="207" spans="1:12" s="37" customFormat="1" ht="25" thickBot="1" x14ac:dyDescent="0.35">
      <c r="A207" s="71"/>
      <c r="B207" s="166"/>
      <c r="C207" s="217"/>
      <c r="D207" s="218"/>
      <c r="E207" s="218"/>
      <c r="F207" s="218"/>
      <c r="G207" s="218"/>
      <c r="H207" s="218"/>
      <c r="I207" s="324"/>
      <c r="J207" s="234"/>
      <c r="K207" s="178"/>
      <c r="L207" s="1"/>
    </row>
    <row r="208" spans="1:12" s="37" customFormat="1" ht="25" thickBot="1" x14ac:dyDescent="0.35">
      <c r="A208" s="71"/>
      <c r="B208" s="166"/>
      <c r="C208" s="572" t="s">
        <v>561</v>
      </c>
      <c r="D208" s="573"/>
      <c r="E208" s="573"/>
      <c r="F208" s="573"/>
      <c r="G208" s="573"/>
      <c r="H208" s="573"/>
      <c r="I208" s="573"/>
      <c r="J208" s="574"/>
      <c r="K208" s="178"/>
      <c r="L208" s="1"/>
    </row>
    <row r="209" spans="1:12" s="37" customFormat="1" ht="25" thickBot="1" x14ac:dyDescent="0.35">
      <c r="A209" s="71"/>
      <c r="B209" s="166"/>
      <c r="C209" s="557" t="s">
        <v>562</v>
      </c>
      <c r="D209" s="558"/>
      <c r="E209" s="558"/>
      <c r="F209" s="558"/>
      <c r="G209" s="558"/>
      <c r="H209" s="558"/>
      <c r="I209" s="559"/>
      <c r="J209" s="234"/>
      <c r="K209" s="178"/>
      <c r="L209" s="1"/>
    </row>
    <row r="210" spans="1:12" s="37" customFormat="1" ht="27" thickBot="1" x14ac:dyDescent="0.35">
      <c r="A210" s="71"/>
      <c r="B210" s="166"/>
      <c r="C210" s="217" t="s">
        <v>569</v>
      </c>
      <c r="D210" s="339"/>
      <c r="E210" s="218"/>
      <c r="F210" s="218"/>
      <c r="G210" s="218"/>
      <c r="H210" s="218"/>
      <c r="I210" s="324"/>
      <c r="J210" s="234">
        <v>42</v>
      </c>
      <c r="K210" s="178"/>
      <c r="L210" s="1"/>
    </row>
    <row r="211" spans="1:12" s="37" customFormat="1" ht="25" thickBot="1" x14ac:dyDescent="0.35">
      <c r="A211" s="71"/>
      <c r="B211" s="166"/>
      <c r="C211" s="217" t="s">
        <v>563</v>
      </c>
      <c r="D211" s="218"/>
      <c r="E211" s="218"/>
      <c r="F211" s="218"/>
      <c r="G211" s="218"/>
      <c r="H211" s="218"/>
      <c r="I211" s="324"/>
      <c r="J211" s="234">
        <v>45</v>
      </c>
      <c r="K211" s="178"/>
      <c r="L211" s="1"/>
    </row>
    <row r="212" spans="1:12" s="37" customFormat="1" ht="25" thickBot="1" x14ac:dyDescent="0.35">
      <c r="A212" s="71"/>
      <c r="B212" s="166"/>
      <c r="C212" s="217" t="s">
        <v>564</v>
      </c>
      <c r="D212" s="218"/>
      <c r="E212" s="218"/>
      <c r="F212" s="218"/>
      <c r="G212" s="218"/>
      <c r="H212" s="218"/>
      <c r="I212" s="324"/>
      <c r="J212" s="234">
        <v>62</v>
      </c>
      <c r="K212" s="178"/>
      <c r="L212" s="1"/>
    </row>
    <row r="213" spans="1:12" s="37" customFormat="1" ht="25" thickBot="1" x14ac:dyDescent="0.35">
      <c r="A213" s="71"/>
      <c r="B213" s="166"/>
      <c r="C213" s="217" t="s">
        <v>565</v>
      </c>
      <c r="D213" s="218"/>
      <c r="E213" s="218"/>
      <c r="F213" s="218"/>
      <c r="G213" s="218"/>
      <c r="H213" s="218"/>
      <c r="I213" s="324"/>
      <c r="J213" s="234">
        <v>87</v>
      </c>
      <c r="K213" s="178"/>
      <c r="L213" s="1"/>
    </row>
    <row r="214" spans="1:12" s="37" customFormat="1" ht="25" thickBot="1" x14ac:dyDescent="0.35">
      <c r="A214" s="71"/>
      <c r="B214" s="166"/>
      <c r="C214" s="217" t="s">
        <v>566</v>
      </c>
      <c r="D214" s="218"/>
      <c r="E214" s="218"/>
      <c r="F214" s="218"/>
      <c r="G214" s="218"/>
      <c r="H214" s="218"/>
      <c r="I214" s="324"/>
      <c r="J214" s="234">
        <v>240</v>
      </c>
      <c r="K214" s="178"/>
      <c r="L214" s="1"/>
    </row>
    <row r="215" spans="1:12" s="37" customFormat="1" ht="25" thickBot="1" x14ac:dyDescent="0.35">
      <c r="A215" s="71"/>
      <c r="B215" s="166"/>
      <c r="C215" s="217" t="s">
        <v>568</v>
      </c>
      <c r="D215" s="218"/>
      <c r="E215" s="218"/>
      <c r="F215" s="218"/>
      <c r="G215" s="218"/>
      <c r="H215" s="218"/>
      <c r="I215" s="324"/>
      <c r="J215" s="234">
        <v>21</v>
      </c>
      <c r="K215" s="178"/>
      <c r="L215" s="1"/>
    </row>
    <row r="216" spans="1:12" s="37" customFormat="1" ht="25" thickBot="1" x14ac:dyDescent="0.35">
      <c r="A216" s="71"/>
      <c r="B216" s="166"/>
      <c r="C216" s="217" t="s">
        <v>567</v>
      </c>
      <c r="D216" s="218"/>
      <c r="E216" s="218"/>
      <c r="F216" s="218"/>
      <c r="G216" s="218"/>
      <c r="H216" s="218"/>
      <c r="I216" s="324"/>
      <c r="J216" s="234">
        <v>27</v>
      </c>
      <c r="K216" s="178"/>
      <c r="L216" s="1"/>
    </row>
    <row r="217" spans="1:12" s="37" customFormat="1" ht="25" thickBot="1" x14ac:dyDescent="0.35">
      <c r="A217" s="71"/>
      <c r="B217" s="166"/>
      <c r="C217" s="217" t="s">
        <v>570</v>
      </c>
      <c r="D217" s="218"/>
      <c r="E217" s="218"/>
      <c r="F217" s="218"/>
      <c r="G217" s="218"/>
      <c r="H217" s="218"/>
      <c r="I217" s="324"/>
      <c r="J217" s="234">
        <v>153</v>
      </c>
      <c r="K217" s="178"/>
      <c r="L217" s="1"/>
    </row>
    <row r="218" spans="1:12" s="37" customFormat="1" ht="25" thickBot="1" x14ac:dyDescent="0.35">
      <c r="A218" s="71"/>
      <c r="B218" s="166"/>
      <c r="C218" s="217" t="s">
        <v>571</v>
      </c>
      <c r="D218" s="218"/>
      <c r="E218" s="218"/>
      <c r="F218" s="218"/>
      <c r="G218" s="218"/>
      <c r="H218" s="218"/>
      <c r="I218" s="324"/>
      <c r="J218" s="234">
        <v>210</v>
      </c>
      <c r="K218" s="178"/>
      <c r="L218" s="1"/>
    </row>
    <row r="219" spans="1:12" s="37" customFormat="1" ht="25" thickBot="1" x14ac:dyDescent="0.35">
      <c r="A219" s="71"/>
      <c r="B219" s="166"/>
      <c r="C219" s="217" t="s">
        <v>572</v>
      </c>
      <c r="D219" s="218"/>
      <c r="E219" s="218"/>
      <c r="F219" s="218"/>
      <c r="G219" s="218"/>
      <c r="H219" s="218"/>
      <c r="I219" s="324"/>
      <c r="J219" s="234">
        <v>165</v>
      </c>
      <c r="K219" s="178"/>
      <c r="L219" s="1"/>
    </row>
    <row r="220" spans="1:12" s="37" customFormat="1" ht="25" thickBot="1" x14ac:dyDescent="0.35">
      <c r="A220" s="71"/>
      <c r="B220" s="166"/>
      <c r="C220" s="217" t="s">
        <v>573</v>
      </c>
      <c r="D220" s="218"/>
      <c r="E220" s="218"/>
      <c r="F220" s="218"/>
      <c r="G220" s="218"/>
      <c r="H220" s="218"/>
      <c r="I220" s="324"/>
      <c r="J220" s="234">
        <v>215</v>
      </c>
      <c r="K220" s="178"/>
      <c r="L220" s="1"/>
    </row>
    <row r="221" spans="1:12" s="37" customFormat="1" ht="25" thickBot="1" x14ac:dyDescent="0.35">
      <c r="A221" s="71"/>
      <c r="B221" s="166"/>
      <c r="C221" s="217" t="s">
        <v>574</v>
      </c>
      <c r="D221" s="218"/>
      <c r="E221" s="218"/>
      <c r="F221" s="218"/>
      <c r="G221" s="218"/>
      <c r="H221" s="218"/>
      <c r="I221" s="324"/>
      <c r="J221" s="234">
        <v>153</v>
      </c>
      <c r="K221" s="178"/>
      <c r="L221" s="1"/>
    </row>
    <row r="222" spans="1:12" s="37" customFormat="1" ht="25" thickBot="1" x14ac:dyDescent="0.35">
      <c r="A222" s="71"/>
      <c r="B222" s="166"/>
      <c r="C222" s="217" t="s">
        <v>575</v>
      </c>
      <c r="D222" s="218"/>
      <c r="E222" s="218"/>
      <c r="F222" s="218"/>
      <c r="G222" s="218"/>
      <c r="H222" s="218"/>
      <c r="I222" s="324"/>
      <c r="J222" s="234">
        <v>165</v>
      </c>
      <c r="K222" s="178"/>
      <c r="L222" s="1"/>
    </row>
    <row r="223" spans="1:12" s="37" customFormat="1" ht="25" thickBot="1" x14ac:dyDescent="0.35">
      <c r="A223" s="71"/>
      <c r="B223" s="166"/>
      <c r="C223" s="217" t="s">
        <v>576</v>
      </c>
      <c r="D223" s="218"/>
      <c r="E223" s="218"/>
      <c r="F223" s="218"/>
      <c r="G223" s="218"/>
      <c r="H223" s="218"/>
      <c r="I223" s="324"/>
      <c r="J223" s="234">
        <v>45</v>
      </c>
      <c r="K223" s="178"/>
      <c r="L223" s="1"/>
    </row>
    <row r="224" spans="1:12" s="37" customFormat="1" ht="25" thickBot="1" x14ac:dyDescent="0.35">
      <c r="A224" s="71"/>
      <c r="B224" s="166"/>
      <c r="C224" s="217" t="s">
        <v>577</v>
      </c>
      <c r="D224" s="218"/>
      <c r="E224" s="218"/>
      <c r="F224" s="218"/>
      <c r="G224" s="218"/>
      <c r="H224" s="218"/>
      <c r="I224" s="324"/>
      <c r="J224" s="234">
        <v>60</v>
      </c>
      <c r="K224" s="178"/>
      <c r="L224" s="1"/>
    </row>
    <row r="225" spans="1:12" s="37" customFormat="1" ht="25" thickBot="1" x14ac:dyDescent="0.35">
      <c r="A225" s="71"/>
      <c r="B225" s="166"/>
      <c r="C225" s="217" t="s">
        <v>578</v>
      </c>
      <c r="D225" s="218"/>
      <c r="E225" s="218"/>
      <c r="F225" s="218"/>
      <c r="G225" s="218"/>
      <c r="H225" s="218"/>
      <c r="I225" s="324"/>
      <c r="J225" s="234">
        <v>49</v>
      </c>
      <c r="K225" s="178"/>
      <c r="L225" s="1"/>
    </row>
    <row r="226" spans="1:12" s="37" customFormat="1" ht="25" thickBot="1" x14ac:dyDescent="0.35">
      <c r="A226" s="71"/>
      <c r="B226" s="166"/>
      <c r="C226" s="217" t="s">
        <v>579</v>
      </c>
      <c r="D226" s="218"/>
      <c r="E226" s="218"/>
      <c r="F226" s="218"/>
      <c r="G226" s="218"/>
      <c r="H226" s="218"/>
      <c r="I226" s="324"/>
      <c r="J226" s="234">
        <v>38</v>
      </c>
      <c r="K226" s="178"/>
      <c r="L226" s="1"/>
    </row>
    <row r="227" spans="1:12" s="37" customFormat="1" ht="25" thickBot="1" x14ac:dyDescent="0.35">
      <c r="A227" s="71"/>
      <c r="B227" s="166"/>
      <c r="C227" s="217" t="s">
        <v>594</v>
      </c>
      <c r="D227" s="218"/>
      <c r="E227" s="218"/>
      <c r="F227" s="218"/>
      <c r="G227" s="218"/>
      <c r="H227" s="218"/>
      <c r="I227" s="324"/>
      <c r="J227" s="234">
        <v>380</v>
      </c>
      <c r="K227" s="178"/>
      <c r="L227" s="1"/>
    </row>
    <row r="228" spans="1:12" s="37" customFormat="1" ht="25" thickBot="1" x14ac:dyDescent="0.35">
      <c r="A228" s="71"/>
      <c r="B228" s="166"/>
      <c r="C228" s="217" t="s">
        <v>595</v>
      </c>
      <c r="D228" s="218"/>
      <c r="E228" s="218"/>
      <c r="F228" s="218"/>
      <c r="G228" s="218"/>
      <c r="H228" s="218"/>
      <c r="I228" s="324"/>
      <c r="J228" s="234">
        <v>420</v>
      </c>
      <c r="K228" s="178"/>
      <c r="L228" s="1"/>
    </row>
    <row r="229" spans="1:12" s="37" customFormat="1" ht="25" thickBot="1" x14ac:dyDescent="0.35">
      <c r="A229" s="71"/>
      <c r="B229" s="166"/>
      <c r="C229" s="217" t="s">
        <v>1188</v>
      </c>
      <c r="D229" s="218"/>
      <c r="E229" s="218"/>
      <c r="F229" s="218"/>
      <c r="G229" s="218"/>
      <c r="H229" s="218"/>
      <c r="I229" s="324"/>
      <c r="J229" s="234">
        <v>60</v>
      </c>
      <c r="K229" s="178"/>
      <c r="L229" s="1"/>
    </row>
    <row r="230" spans="1:12" s="37" customFormat="1" ht="25" thickBot="1" x14ac:dyDescent="0.35">
      <c r="A230" s="71"/>
      <c r="B230" s="166"/>
      <c r="C230" s="217" t="s">
        <v>1189</v>
      </c>
      <c r="D230" s="218"/>
      <c r="E230" s="218"/>
      <c r="F230" s="218"/>
      <c r="G230" s="218"/>
      <c r="H230" s="218"/>
      <c r="I230" s="324"/>
      <c r="J230" s="234">
        <v>32</v>
      </c>
      <c r="K230" s="178"/>
      <c r="L230" s="1"/>
    </row>
    <row r="231" spans="1:12" s="37" customFormat="1" ht="25" thickBot="1" x14ac:dyDescent="0.35">
      <c r="A231" s="71"/>
      <c r="B231" s="166"/>
      <c r="C231" s="557" t="s">
        <v>742</v>
      </c>
      <c r="D231" s="558"/>
      <c r="E231" s="558"/>
      <c r="F231" s="558"/>
      <c r="G231" s="558"/>
      <c r="H231" s="558"/>
      <c r="I231" s="559"/>
      <c r="J231" s="234"/>
      <c r="K231" s="178"/>
      <c r="L231" s="1"/>
    </row>
    <row r="232" spans="1:12" s="37" customFormat="1" ht="25" thickBot="1" x14ac:dyDescent="0.35">
      <c r="A232" s="71"/>
      <c r="B232" s="166"/>
      <c r="C232" s="341" t="s">
        <v>743</v>
      </c>
      <c r="D232" s="218"/>
      <c r="E232" s="218"/>
      <c r="F232" s="218"/>
      <c r="G232" s="218"/>
      <c r="H232" s="218"/>
      <c r="I232" s="324"/>
      <c r="J232" s="234">
        <v>10</v>
      </c>
      <c r="K232" s="178"/>
      <c r="L232" s="1"/>
    </row>
    <row r="233" spans="1:12" s="37" customFormat="1" ht="25" thickBot="1" x14ac:dyDescent="0.35">
      <c r="A233" s="71"/>
      <c r="B233" s="166"/>
      <c r="C233" s="217" t="s">
        <v>580</v>
      </c>
      <c r="D233" s="218"/>
      <c r="E233" s="218"/>
      <c r="F233" s="218"/>
      <c r="G233" s="218"/>
      <c r="H233" s="218"/>
      <c r="I233" s="324"/>
      <c r="J233" s="234">
        <v>75</v>
      </c>
      <c r="K233" s="178"/>
      <c r="L233" s="1"/>
    </row>
    <row r="234" spans="1:12" s="37" customFormat="1" ht="25" thickBot="1" x14ac:dyDescent="0.35">
      <c r="A234" s="71"/>
      <c r="B234" s="166"/>
      <c r="C234" s="217" t="s">
        <v>581</v>
      </c>
      <c r="D234" s="370"/>
      <c r="E234" s="370"/>
      <c r="F234" s="370"/>
      <c r="G234" s="370"/>
      <c r="H234" s="370"/>
      <c r="I234" s="371"/>
      <c r="J234" s="234">
        <v>65</v>
      </c>
      <c r="K234" s="178"/>
      <c r="L234" s="1"/>
    </row>
    <row r="235" spans="1:12" s="37" customFormat="1" ht="25" thickBot="1" x14ac:dyDescent="0.35">
      <c r="A235" s="71"/>
      <c r="B235" s="166"/>
      <c r="C235" s="217" t="s">
        <v>582</v>
      </c>
      <c r="D235" s="218"/>
      <c r="E235" s="340"/>
      <c r="F235" s="218"/>
      <c r="G235" s="218"/>
      <c r="H235" s="218"/>
      <c r="I235" s="324"/>
      <c r="J235" s="234">
        <v>50</v>
      </c>
      <c r="K235" s="178"/>
      <c r="L235" s="1"/>
    </row>
    <row r="236" spans="1:12" s="37" customFormat="1" ht="25" thickBot="1" x14ac:dyDescent="0.35">
      <c r="A236" s="71"/>
      <c r="B236" s="166"/>
      <c r="C236" s="217" t="s">
        <v>600</v>
      </c>
      <c r="D236" s="218"/>
      <c r="E236" s="340">
        <v>73018384</v>
      </c>
      <c r="F236" s="218"/>
      <c r="G236" s="218"/>
      <c r="H236" s="218"/>
      <c r="I236" s="324"/>
      <c r="J236" s="234">
        <v>13</v>
      </c>
      <c r="K236" s="178"/>
      <c r="L236" s="1"/>
    </row>
    <row r="237" spans="1:12" s="37" customFormat="1" ht="25" thickBot="1" x14ac:dyDescent="0.35">
      <c r="A237" s="71"/>
      <c r="B237" s="166"/>
      <c r="C237" s="217" t="s">
        <v>583</v>
      </c>
      <c r="D237" s="218"/>
      <c r="E237" s="340">
        <v>73018398</v>
      </c>
      <c r="F237" s="218"/>
      <c r="G237" s="218"/>
      <c r="H237" s="218"/>
      <c r="I237" s="324"/>
      <c r="J237" s="234">
        <v>25</v>
      </c>
      <c r="K237" s="178"/>
      <c r="L237" s="1"/>
    </row>
    <row r="238" spans="1:12" s="37" customFormat="1" ht="25" thickBot="1" x14ac:dyDescent="0.35">
      <c r="A238" s="71"/>
      <c r="B238" s="166"/>
      <c r="C238" s="217" t="s">
        <v>584</v>
      </c>
      <c r="D238" s="218"/>
      <c r="E238" s="340">
        <v>73018402</v>
      </c>
      <c r="F238" s="218"/>
      <c r="G238" s="218"/>
      <c r="H238" s="218"/>
      <c r="I238" s="324"/>
      <c r="J238" s="234">
        <v>18</v>
      </c>
      <c r="K238" s="178"/>
      <c r="L238" s="1"/>
    </row>
    <row r="239" spans="1:12" s="37" customFormat="1" ht="25" thickBot="1" x14ac:dyDescent="0.35">
      <c r="A239" s="71"/>
      <c r="B239" s="166"/>
      <c r="C239" s="217" t="s">
        <v>585</v>
      </c>
      <c r="D239" s="218"/>
      <c r="E239" s="340">
        <v>73018396</v>
      </c>
      <c r="F239" s="218"/>
      <c r="G239" s="218"/>
      <c r="H239" s="218"/>
      <c r="I239" s="324"/>
      <c r="J239" s="234">
        <v>2</v>
      </c>
      <c r="K239" s="178"/>
      <c r="L239" s="1"/>
    </row>
    <row r="240" spans="1:12" s="37" customFormat="1" ht="25" thickBot="1" x14ac:dyDescent="0.35">
      <c r="A240" s="71"/>
      <c r="B240" s="166"/>
      <c r="C240" s="217" t="s">
        <v>586</v>
      </c>
      <c r="D240" s="218"/>
      <c r="E240" s="340">
        <v>73018399</v>
      </c>
      <c r="F240" s="218"/>
      <c r="G240" s="218"/>
      <c r="H240" s="218"/>
      <c r="I240" s="324"/>
      <c r="J240" s="234">
        <v>5</v>
      </c>
      <c r="K240" s="178"/>
      <c r="L240" s="1"/>
    </row>
    <row r="241" spans="1:12" s="37" customFormat="1" ht="25" thickBot="1" x14ac:dyDescent="0.35">
      <c r="A241" s="71"/>
      <c r="B241" s="166"/>
      <c r="C241" s="217" t="s">
        <v>740</v>
      </c>
      <c r="D241" s="218"/>
      <c r="E241" s="340"/>
      <c r="F241" s="218"/>
      <c r="G241" s="218"/>
      <c r="H241" s="218"/>
      <c r="I241" s="324"/>
      <c r="J241" s="234">
        <v>5</v>
      </c>
      <c r="K241" s="178"/>
      <c r="L241" s="1"/>
    </row>
    <row r="242" spans="1:12" s="37" customFormat="1" ht="25" thickBot="1" x14ac:dyDescent="0.35">
      <c r="A242" s="71"/>
      <c r="B242" s="166"/>
      <c r="C242" s="557" t="s">
        <v>605</v>
      </c>
      <c r="D242" s="558"/>
      <c r="E242" s="558"/>
      <c r="F242" s="558"/>
      <c r="G242" s="558"/>
      <c r="H242" s="558"/>
      <c r="I242" s="559"/>
      <c r="J242" s="234"/>
      <c r="K242" s="178"/>
      <c r="L242" s="1"/>
    </row>
    <row r="243" spans="1:12" s="37" customFormat="1" ht="25" thickBot="1" x14ac:dyDescent="0.35">
      <c r="A243" s="71"/>
      <c r="B243" s="166"/>
      <c r="C243" s="217" t="s">
        <v>596</v>
      </c>
      <c r="D243" s="218"/>
      <c r="E243" s="218"/>
      <c r="F243" s="218"/>
      <c r="G243" s="218">
        <v>73019347</v>
      </c>
      <c r="H243" s="218"/>
      <c r="I243" s="324"/>
      <c r="J243" s="234">
        <v>101</v>
      </c>
      <c r="K243" s="178"/>
      <c r="L243" s="1"/>
    </row>
    <row r="244" spans="1:12" s="37" customFormat="1" ht="25" thickBot="1" x14ac:dyDescent="0.35">
      <c r="A244" s="71"/>
      <c r="B244" s="166"/>
      <c r="C244" s="217" t="s">
        <v>597</v>
      </c>
      <c r="D244" s="218"/>
      <c r="E244" s="218"/>
      <c r="F244" s="218"/>
      <c r="G244" s="218">
        <v>73019348</v>
      </c>
      <c r="H244" s="218"/>
      <c r="I244" s="324"/>
      <c r="J244" s="234">
        <v>134</v>
      </c>
      <c r="K244" s="178"/>
      <c r="L244" s="1"/>
    </row>
    <row r="245" spans="1:12" s="37" customFormat="1" ht="25" thickBot="1" x14ac:dyDescent="0.35">
      <c r="A245" s="71"/>
      <c r="B245" s="166"/>
      <c r="C245" s="341" t="s">
        <v>606</v>
      </c>
      <c r="D245" s="218"/>
      <c r="E245" s="218"/>
      <c r="F245" s="218"/>
      <c r="G245" s="218"/>
      <c r="H245" s="218"/>
      <c r="I245" s="324"/>
      <c r="J245" s="234"/>
      <c r="K245" s="178"/>
      <c r="L245" s="1"/>
    </row>
    <row r="246" spans="1:12" s="37" customFormat="1" ht="25" thickBot="1" x14ac:dyDescent="0.35">
      <c r="A246" s="71"/>
      <c r="B246" s="166"/>
      <c r="C246" s="557" t="s">
        <v>604</v>
      </c>
      <c r="D246" s="558"/>
      <c r="E246" s="558"/>
      <c r="F246" s="558"/>
      <c r="G246" s="558"/>
      <c r="H246" s="558"/>
      <c r="I246" s="559"/>
      <c r="J246" s="234"/>
      <c r="K246" s="178"/>
      <c r="L246" s="1"/>
    </row>
    <row r="247" spans="1:12" s="37" customFormat="1" ht="25" thickBot="1" x14ac:dyDescent="0.35">
      <c r="A247" s="71"/>
      <c r="B247" s="166"/>
      <c r="C247" s="217" t="s">
        <v>602</v>
      </c>
      <c r="D247" s="218"/>
      <c r="E247" s="218"/>
      <c r="F247" s="218"/>
      <c r="G247" s="218"/>
      <c r="H247" s="218"/>
      <c r="I247" s="324"/>
      <c r="J247" s="234">
        <v>20</v>
      </c>
      <c r="K247" s="178"/>
      <c r="L247" s="1"/>
    </row>
    <row r="248" spans="1:12" s="37" customFormat="1" ht="25" thickBot="1" x14ac:dyDescent="0.35">
      <c r="A248" s="71"/>
      <c r="B248" s="166"/>
      <c r="C248" s="217" t="s">
        <v>603</v>
      </c>
      <c r="D248" s="218"/>
      <c r="E248" s="218"/>
      <c r="F248" s="218"/>
      <c r="G248" s="218"/>
      <c r="H248" s="218"/>
      <c r="I248" s="324"/>
      <c r="J248" s="234">
        <v>36</v>
      </c>
      <c r="K248" s="178"/>
      <c r="L248" s="1"/>
    </row>
    <row r="249" spans="1:12" s="37" customFormat="1" ht="25" thickBot="1" x14ac:dyDescent="0.35">
      <c r="A249" s="71"/>
      <c r="B249" s="166"/>
      <c r="C249" s="217" t="s">
        <v>587</v>
      </c>
      <c r="D249" s="218"/>
      <c r="E249" s="218"/>
      <c r="F249" s="218"/>
      <c r="G249" s="218"/>
      <c r="H249" s="218"/>
      <c r="I249" s="324"/>
      <c r="J249" s="234">
        <v>21.68</v>
      </c>
      <c r="K249" s="178"/>
      <c r="L249" s="1"/>
    </row>
    <row r="250" spans="1:12" s="37" customFormat="1" ht="25" thickBot="1" x14ac:dyDescent="0.35">
      <c r="A250" s="71"/>
      <c r="B250" s="166"/>
      <c r="C250" s="217" t="s">
        <v>588</v>
      </c>
      <c r="D250" s="218"/>
      <c r="E250" s="218"/>
      <c r="F250" s="218"/>
      <c r="G250" s="218"/>
      <c r="H250" s="218"/>
      <c r="I250" s="324"/>
      <c r="J250" s="234">
        <v>40.380000000000003</v>
      </c>
      <c r="K250" s="178"/>
      <c r="L250" s="1"/>
    </row>
    <row r="251" spans="1:12" s="37" customFormat="1" ht="25" thickBot="1" x14ac:dyDescent="0.35">
      <c r="A251" s="71"/>
      <c r="B251" s="166"/>
      <c r="C251" s="217" t="s">
        <v>599</v>
      </c>
      <c r="D251" s="218"/>
      <c r="E251" s="218"/>
      <c r="F251" s="218"/>
      <c r="G251" s="218"/>
      <c r="H251" s="218"/>
      <c r="I251" s="324"/>
      <c r="J251" s="234">
        <v>43.38</v>
      </c>
      <c r="K251" s="178"/>
      <c r="L251" s="1"/>
    </row>
    <row r="252" spans="1:12" s="37" customFormat="1" ht="25" thickBot="1" x14ac:dyDescent="0.35">
      <c r="A252" s="71"/>
      <c r="B252" s="166"/>
      <c r="C252" s="217" t="s">
        <v>598</v>
      </c>
      <c r="D252" s="218"/>
      <c r="E252" s="218"/>
      <c r="F252" s="218"/>
      <c r="G252" s="218"/>
      <c r="H252" s="218"/>
      <c r="I252" s="324"/>
      <c r="J252" s="234">
        <v>24.75</v>
      </c>
      <c r="K252" s="178"/>
      <c r="L252" s="1"/>
    </row>
    <row r="253" spans="1:12" s="37" customFormat="1" ht="25" thickBot="1" x14ac:dyDescent="0.35">
      <c r="A253" s="71"/>
      <c r="B253" s="166"/>
      <c r="C253" s="217" t="s">
        <v>589</v>
      </c>
      <c r="D253" s="218"/>
      <c r="E253" s="218"/>
      <c r="F253" s="218"/>
      <c r="G253" s="218"/>
      <c r="H253" s="218"/>
      <c r="I253" s="324"/>
      <c r="J253" s="234">
        <v>260</v>
      </c>
      <c r="K253" s="178"/>
      <c r="L253" s="1"/>
    </row>
    <row r="254" spans="1:12" s="37" customFormat="1" ht="25" thickBot="1" x14ac:dyDescent="0.35">
      <c r="A254" s="71"/>
      <c r="B254" s="166"/>
      <c r="C254" s="217" t="s">
        <v>853</v>
      </c>
      <c r="D254" s="218"/>
      <c r="E254" s="218"/>
      <c r="F254" s="218"/>
      <c r="G254" s="218"/>
      <c r="H254" s="218"/>
      <c r="I254" s="324"/>
      <c r="J254" s="234">
        <v>63</v>
      </c>
      <c r="K254" s="178"/>
      <c r="L254" s="1"/>
    </row>
    <row r="255" spans="1:12" s="37" customFormat="1" ht="25" thickBot="1" x14ac:dyDescent="0.35">
      <c r="A255" s="71"/>
      <c r="B255" s="166"/>
      <c r="C255" s="217" t="s">
        <v>590</v>
      </c>
      <c r="D255" s="218"/>
      <c r="E255" s="218"/>
      <c r="F255" s="218"/>
      <c r="G255" s="218"/>
      <c r="H255" s="218"/>
      <c r="I255" s="324"/>
      <c r="J255" s="234">
        <v>37</v>
      </c>
      <c r="K255" s="178"/>
      <c r="L255" s="1"/>
    </row>
    <row r="256" spans="1:12" s="37" customFormat="1" ht="25" thickBot="1" x14ac:dyDescent="0.35">
      <c r="A256" s="71"/>
      <c r="B256" s="166"/>
      <c r="C256" s="217" t="s">
        <v>591</v>
      </c>
      <c r="D256" s="218"/>
      <c r="E256" s="218"/>
      <c r="F256" s="218"/>
      <c r="G256" s="218"/>
      <c r="H256" s="218"/>
      <c r="I256" s="324"/>
      <c r="J256" s="234">
        <v>12.75</v>
      </c>
      <c r="K256" s="178"/>
      <c r="L256" s="1"/>
    </row>
    <row r="257" spans="1:12" s="37" customFormat="1" ht="25" thickBot="1" x14ac:dyDescent="0.35">
      <c r="A257" s="71"/>
      <c r="B257" s="166"/>
      <c r="C257" s="217" t="s">
        <v>592</v>
      </c>
      <c r="D257" s="218"/>
      <c r="E257" s="218"/>
      <c r="F257" s="218"/>
      <c r="G257" s="218"/>
      <c r="H257" s="218"/>
      <c r="I257" s="324"/>
      <c r="J257" s="234">
        <v>15</v>
      </c>
      <c r="K257" s="178"/>
      <c r="L257" s="1"/>
    </row>
    <row r="258" spans="1:12" s="37" customFormat="1" ht="25" thickBot="1" x14ac:dyDescent="0.35">
      <c r="A258" s="71"/>
      <c r="B258" s="166"/>
      <c r="C258" s="217" t="s">
        <v>593</v>
      </c>
      <c r="D258" s="218"/>
      <c r="E258" s="218"/>
      <c r="F258" s="218"/>
      <c r="G258" s="218"/>
      <c r="H258" s="218"/>
      <c r="I258" s="324"/>
      <c r="J258" s="234">
        <v>58</v>
      </c>
      <c r="K258" s="178"/>
      <c r="L258" s="1"/>
    </row>
    <row r="259" spans="1:12" s="37" customFormat="1" ht="25" thickBot="1" x14ac:dyDescent="0.35">
      <c r="A259" s="71"/>
      <c r="B259" s="166"/>
      <c r="C259" s="217"/>
      <c r="D259" s="218"/>
      <c r="E259" s="218"/>
      <c r="F259" s="218"/>
      <c r="G259" s="218"/>
      <c r="H259" s="218"/>
      <c r="I259" s="324"/>
      <c r="J259" s="234"/>
      <c r="K259" s="178"/>
      <c r="L259" s="1"/>
    </row>
    <row r="260" spans="1:12" s="37" customFormat="1" ht="25" thickBot="1" x14ac:dyDescent="0.35">
      <c r="A260" s="71"/>
      <c r="B260" s="166"/>
      <c r="C260" s="557" t="s">
        <v>607</v>
      </c>
      <c r="D260" s="558"/>
      <c r="E260" s="558"/>
      <c r="F260" s="558"/>
      <c r="G260" s="558"/>
      <c r="H260" s="558"/>
      <c r="I260" s="559"/>
      <c r="J260" s="234"/>
      <c r="K260" s="178"/>
      <c r="L260" s="1"/>
    </row>
    <row r="261" spans="1:12" s="37" customFormat="1" ht="25" thickBot="1" x14ac:dyDescent="0.35">
      <c r="A261" s="71"/>
      <c r="B261" s="166"/>
      <c r="C261" s="217" t="s">
        <v>755</v>
      </c>
      <c r="D261" s="218"/>
      <c r="E261" s="218"/>
      <c r="F261" s="218"/>
      <c r="G261" s="218"/>
      <c r="H261" s="218"/>
      <c r="I261" s="324"/>
      <c r="J261" s="234">
        <v>66</v>
      </c>
      <c r="K261" s="178"/>
      <c r="L261" s="1"/>
    </row>
    <row r="262" spans="1:12" s="37" customFormat="1" ht="25" thickBot="1" x14ac:dyDescent="0.35">
      <c r="A262" s="71"/>
      <c r="B262" s="166"/>
      <c r="C262" s="217" t="s">
        <v>756</v>
      </c>
      <c r="D262" s="218"/>
      <c r="E262" s="218"/>
      <c r="F262" s="218"/>
      <c r="G262" s="218"/>
      <c r="H262" s="218"/>
      <c r="I262" s="324"/>
      <c r="J262" s="234">
        <v>55</v>
      </c>
      <c r="K262" s="178"/>
      <c r="L262" s="1"/>
    </row>
    <row r="263" spans="1:12" s="37" customFormat="1" ht="25" thickBot="1" x14ac:dyDescent="0.35">
      <c r="A263" s="71"/>
      <c r="B263" s="166"/>
      <c r="C263" s="217" t="s">
        <v>757</v>
      </c>
      <c r="D263" s="218"/>
      <c r="E263" s="218"/>
      <c r="F263" s="218"/>
      <c r="G263" s="218"/>
      <c r="H263" s="218"/>
      <c r="I263" s="324"/>
      <c r="J263" s="234">
        <v>31.25</v>
      </c>
      <c r="K263" s="178"/>
      <c r="L263" s="1"/>
    </row>
    <row r="264" spans="1:12" s="37" customFormat="1" ht="25" thickBot="1" x14ac:dyDescent="0.35">
      <c r="A264" s="71"/>
      <c r="B264" s="166"/>
      <c r="C264" s="217" t="s">
        <v>758</v>
      </c>
      <c r="D264" s="218"/>
      <c r="E264" s="218"/>
      <c r="F264" s="218"/>
      <c r="G264" s="218"/>
      <c r="H264" s="218"/>
      <c r="I264" s="324"/>
      <c r="J264" s="234">
        <v>19.3</v>
      </c>
      <c r="K264" s="178"/>
      <c r="L264" s="1"/>
    </row>
    <row r="265" spans="1:12" s="37" customFormat="1" ht="25" thickBot="1" x14ac:dyDescent="0.35">
      <c r="A265" s="71"/>
      <c r="B265" s="166"/>
      <c r="C265" s="217" t="s">
        <v>1217</v>
      </c>
      <c r="D265" s="218"/>
      <c r="E265" s="218"/>
      <c r="F265" s="218"/>
      <c r="G265" s="218"/>
      <c r="H265" s="218"/>
      <c r="I265" s="324"/>
      <c r="J265" s="234">
        <v>123</v>
      </c>
      <c r="K265" s="178"/>
      <c r="L265" s="1"/>
    </row>
    <row r="266" spans="1:12" s="37" customFormat="1" ht="25" thickBot="1" x14ac:dyDescent="0.35">
      <c r="A266" s="71"/>
      <c r="B266" s="166"/>
      <c r="C266" s="217" t="s">
        <v>760</v>
      </c>
      <c r="D266" s="218"/>
      <c r="E266" s="218"/>
      <c r="F266" s="218"/>
      <c r="G266" s="218"/>
      <c r="H266" s="218"/>
      <c r="I266" s="324"/>
      <c r="J266" s="234">
        <v>55.12</v>
      </c>
      <c r="K266" s="178"/>
      <c r="L266" s="1"/>
    </row>
    <row r="267" spans="1:12" s="37" customFormat="1" ht="25" thickBot="1" x14ac:dyDescent="0.35">
      <c r="A267" s="71"/>
      <c r="B267" s="166"/>
      <c r="C267" s="217" t="s">
        <v>1224</v>
      </c>
      <c r="D267" s="218"/>
      <c r="E267" s="218"/>
      <c r="F267" s="218"/>
      <c r="G267" s="218"/>
      <c r="H267" s="218"/>
      <c r="I267" s="324"/>
      <c r="J267" s="234">
        <v>94.33</v>
      </c>
      <c r="K267" s="178"/>
      <c r="L267" s="1"/>
    </row>
    <row r="268" spans="1:12" s="37" customFormat="1" ht="25" thickBot="1" x14ac:dyDescent="0.35">
      <c r="A268" s="71"/>
      <c r="B268" s="166"/>
      <c r="C268" s="217" t="s">
        <v>762</v>
      </c>
      <c r="D268" s="218"/>
      <c r="E268" s="218"/>
      <c r="F268" s="218"/>
      <c r="G268" s="218"/>
      <c r="H268" s="218"/>
      <c r="I268" s="324"/>
      <c r="J268" s="234">
        <v>41.38</v>
      </c>
      <c r="K268" s="178"/>
      <c r="L268" s="1"/>
    </row>
    <row r="269" spans="1:12" s="37" customFormat="1" ht="25" thickBot="1" x14ac:dyDescent="0.35">
      <c r="A269" s="71"/>
      <c r="B269" s="166"/>
      <c r="C269" s="566" t="s">
        <v>608</v>
      </c>
      <c r="D269" s="567"/>
      <c r="E269" s="567"/>
      <c r="F269" s="567"/>
      <c r="G269" s="567"/>
      <c r="H269" s="567"/>
      <c r="I269" s="568"/>
      <c r="J269" s="234">
        <v>29</v>
      </c>
      <c r="K269" s="178"/>
      <c r="L269" s="1"/>
    </row>
    <row r="270" spans="1:12" s="37" customFormat="1" ht="25" thickBot="1" x14ac:dyDescent="0.35">
      <c r="A270" s="71"/>
      <c r="B270" s="166"/>
      <c r="C270" s="585" t="s">
        <v>610</v>
      </c>
      <c r="D270" s="577"/>
      <c r="E270" s="577"/>
      <c r="F270" s="577"/>
      <c r="G270" s="577"/>
      <c r="H270" s="577"/>
      <c r="I270" s="578"/>
      <c r="J270" s="234">
        <v>116</v>
      </c>
      <c r="K270" s="178"/>
      <c r="L270" s="1"/>
    </row>
    <row r="271" spans="1:12" s="37" customFormat="1" ht="25" thickBot="1" x14ac:dyDescent="0.35">
      <c r="A271" s="71"/>
      <c r="B271" s="166"/>
      <c r="C271" s="289" t="s">
        <v>611</v>
      </c>
      <c r="D271" s="218"/>
      <c r="E271" s="218"/>
      <c r="F271" s="218"/>
      <c r="G271" s="218"/>
      <c r="H271" s="218"/>
      <c r="I271" s="324"/>
      <c r="J271" s="234">
        <v>128</v>
      </c>
      <c r="K271" s="178"/>
      <c r="L271" s="1"/>
    </row>
    <row r="272" spans="1:12" s="37" customFormat="1" ht="25" thickBot="1" x14ac:dyDescent="0.35">
      <c r="A272" s="71"/>
      <c r="B272" s="166"/>
      <c r="C272" s="585" t="s">
        <v>609</v>
      </c>
      <c r="D272" s="577"/>
      <c r="E272" s="577"/>
      <c r="F272" s="577"/>
      <c r="G272" s="577"/>
      <c r="H272" s="577"/>
      <c r="I272" s="578"/>
      <c r="J272" s="234">
        <v>144</v>
      </c>
      <c r="K272" s="178"/>
      <c r="L272" s="1"/>
    </row>
    <row r="273" spans="1:12" s="37" customFormat="1" ht="25" thickBot="1" x14ac:dyDescent="0.35">
      <c r="A273" s="71"/>
      <c r="B273" s="166"/>
      <c r="C273" s="289" t="s">
        <v>613</v>
      </c>
      <c r="D273" s="218"/>
      <c r="E273" s="218"/>
      <c r="F273" s="218"/>
      <c r="G273" s="218"/>
      <c r="H273" s="218"/>
      <c r="I273" s="324"/>
      <c r="J273" s="234">
        <v>159</v>
      </c>
      <c r="K273" s="178"/>
      <c r="L273" s="1"/>
    </row>
    <row r="274" spans="1:12" s="37" customFormat="1" ht="25" thickBot="1" x14ac:dyDescent="0.35">
      <c r="A274" s="71"/>
      <c r="B274" s="166"/>
      <c r="C274" s="585" t="s">
        <v>614</v>
      </c>
      <c r="D274" s="577"/>
      <c r="E274" s="577"/>
      <c r="F274" s="577"/>
      <c r="G274" s="577"/>
      <c r="H274" s="577"/>
      <c r="I274" s="578"/>
      <c r="J274" s="234">
        <v>124</v>
      </c>
      <c r="K274" s="178"/>
      <c r="L274" s="1"/>
    </row>
    <row r="275" spans="1:12" s="37" customFormat="1" ht="25" thickBot="1" x14ac:dyDescent="0.35">
      <c r="A275" s="71"/>
      <c r="B275" s="166"/>
      <c r="C275" s="289" t="s">
        <v>615</v>
      </c>
      <c r="D275" s="218"/>
      <c r="E275" s="218"/>
      <c r="F275" s="218"/>
      <c r="G275" s="218"/>
      <c r="H275" s="218"/>
      <c r="I275" s="324"/>
      <c r="J275" s="234">
        <v>137</v>
      </c>
      <c r="K275" s="178"/>
      <c r="L275" s="1"/>
    </row>
    <row r="276" spans="1:12" s="37" customFormat="1" ht="25" thickBot="1" x14ac:dyDescent="0.35">
      <c r="A276" s="71"/>
      <c r="B276" s="166"/>
      <c r="C276" s="585" t="s">
        <v>616</v>
      </c>
      <c r="D276" s="577"/>
      <c r="E276" s="577"/>
      <c r="F276" s="577"/>
      <c r="G276" s="577"/>
      <c r="H276" s="577"/>
      <c r="I276" s="578"/>
      <c r="J276" s="234">
        <v>152</v>
      </c>
      <c r="K276" s="178"/>
      <c r="L276" s="1"/>
    </row>
    <row r="277" spans="1:12" s="37" customFormat="1" ht="25" thickBot="1" x14ac:dyDescent="0.35">
      <c r="A277" s="71"/>
      <c r="B277" s="166"/>
      <c r="C277" s="289" t="s">
        <v>617</v>
      </c>
      <c r="D277" s="218"/>
      <c r="E277" s="218"/>
      <c r="F277" s="218"/>
      <c r="G277" s="218"/>
      <c r="H277" s="218"/>
      <c r="I277" s="324"/>
      <c r="J277" s="234">
        <v>170</v>
      </c>
      <c r="K277" s="178"/>
      <c r="L277" s="1"/>
    </row>
    <row r="278" spans="1:12" s="37" customFormat="1" ht="25" thickBot="1" x14ac:dyDescent="0.35">
      <c r="A278" s="71"/>
      <c r="B278" s="166"/>
      <c r="C278" s="417" t="s">
        <v>943</v>
      </c>
      <c r="D278" s="343"/>
      <c r="E278" s="343"/>
      <c r="F278" s="343"/>
      <c r="G278" s="343"/>
      <c r="H278" s="343"/>
      <c r="I278" s="344"/>
      <c r="J278" s="234">
        <v>143</v>
      </c>
      <c r="K278" s="178"/>
      <c r="L278" s="1"/>
    </row>
    <row r="279" spans="1:12" s="37" customFormat="1" ht="25" thickBot="1" x14ac:dyDescent="0.35">
      <c r="A279" s="71"/>
      <c r="B279" s="166"/>
      <c r="C279" s="417" t="s">
        <v>941</v>
      </c>
      <c r="D279" s="343"/>
      <c r="E279" s="343"/>
      <c r="F279" s="343"/>
      <c r="G279" s="343"/>
      <c r="H279" s="343"/>
      <c r="I279" s="344"/>
      <c r="J279" s="234">
        <v>166</v>
      </c>
      <c r="K279" s="178"/>
      <c r="L279" s="1"/>
    </row>
    <row r="280" spans="1:12" s="37" customFormat="1" ht="25" thickBot="1" x14ac:dyDescent="0.35">
      <c r="A280" s="71"/>
      <c r="B280" s="166"/>
      <c r="C280" s="342" t="s">
        <v>619</v>
      </c>
      <c r="D280" s="343"/>
      <c r="E280" s="343"/>
      <c r="F280" s="343"/>
      <c r="G280" s="343"/>
      <c r="H280" s="343"/>
      <c r="I280" s="344"/>
      <c r="J280" s="234">
        <v>143</v>
      </c>
      <c r="K280" s="178"/>
      <c r="L280" s="1"/>
    </row>
    <row r="281" spans="1:12" s="37" customFormat="1" ht="25" thickBot="1" x14ac:dyDescent="0.35">
      <c r="A281" s="71"/>
      <c r="B281" s="166"/>
      <c r="C281" s="342" t="s">
        <v>620</v>
      </c>
      <c r="D281" s="343"/>
      <c r="E281" s="343"/>
      <c r="F281" s="343"/>
      <c r="G281" s="343"/>
      <c r="H281" s="343"/>
      <c r="I281" s="344"/>
      <c r="J281" s="234">
        <v>166</v>
      </c>
      <c r="K281" s="178"/>
      <c r="L281" s="1"/>
    </row>
    <row r="282" spans="1:12" s="37" customFormat="1" ht="25" thickBot="1" x14ac:dyDescent="0.35">
      <c r="A282" s="71"/>
      <c r="B282" s="166"/>
      <c r="C282" s="342" t="s">
        <v>940</v>
      </c>
      <c r="D282" s="343"/>
      <c r="E282" s="343"/>
      <c r="F282" s="343"/>
      <c r="G282" s="343"/>
      <c r="H282" s="343"/>
      <c r="I282" s="344"/>
      <c r="J282" s="234">
        <v>25</v>
      </c>
      <c r="K282" s="178"/>
      <c r="L282" s="1"/>
    </row>
    <row r="283" spans="1:12" s="37" customFormat="1" ht="25" thickBot="1" x14ac:dyDescent="0.35">
      <c r="A283" s="71"/>
      <c r="B283" s="166"/>
      <c r="C283" s="560" t="s">
        <v>771</v>
      </c>
      <c r="D283" s="561"/>
      <c r="E283" s="561"/>
      <c r="F283" s="561"/>
      <c r="G283" s="561"/>
      <c r="H283" s="561"/>
      <c r="I283" s="562"/>
      <c r="J283" s="234">
        <v>178</v>
      </c>
      <c r="K283" s="178"/>
      <c r="L283" s="1"/>
    </row>
    <row r="284" spans="1:12" s="37" customFormat="1" ht="25" thickBot="1" x14ac:dyDescent="0.35">
      <c r="A284" s="71"/>
      <c r="B284" s="166"/>
      <c r="C284" s="560" t="s">
        <v>772</v>
      </c>
      <c r="D284" s="561"/>
      <c r="E284" s="561"/>
      <c r="F284" s="561"/>
      <c r="G284" s="561"/>
      <c r="H284" s="561"/>
      <c r="I284" s="562"/>
      <c r="J284" s="234">
        <v>129</v>
      </c>
      <c r="K284" s="178"/>
      <c r="L284" s="1"/>
    </row>
    <row r="285" spans="1:12" s="37" customFormat="1" ht="25" thickBot="1" x14ac:dyDescent="0.35">
      <c r="A285" s="71"/>
      <c r="B285" s="166"/>
      <c r="C285" s="217" t="s">
        <v>844</v>
      </c>
      <c r="D285" s="218"/>
      <c r="E285" s="218"/>
      <c r="F285" s="218"/>
      <c r="G285" s="218"/>
      <c r="H285" s="218"/>
      <c r="I285" s="324"/>
      <c r="J285" s="234">
        <v>94</v>
      </c>
      <c r="K285" s="178"/>
      <c r="L285" s="1"/>
    </row>
    <row r="286" spans="1:12" s="37" customFormat="1" ht="25" thickBot="1" x14ac:dyDescent="0.35">
      <c r="A286" s="71"/>
      <c r="B286" s="166"/>
      <c r="C286" s="217" t="s">
        <v>845</v>
      </c>
      <c r="D286" s="218"/>
      <c r="E286" s="218"/>
      <c r="F286" s="218"/>
      <c r="G286" s="218"/>
      <c r="H286" s="218"/>
      <c r="I286" s="324"/>
      <c r="J286" s="234">
        <v>72</v>
      </c>
      <c r="K286" s="178"/>
      <c r="L286" s="1"/>
    </row>
    <row r="287" spans="1:12" s="37" customFormat="1" ht="25" thickBot="1" x14ac:dyDescent="0.35">
      <c r="A287" s="71"/>
      <c r="B287" s="166"/>
      <c r="C287" s="417" t="s">
        <v>947</v>
      </c>
      <c r="D287" s="218"/>
      <c r="E287" s="218"/>
      <c r="F287" s="218"/>
      <c r="G287" s="218"/>
      <c r="H287" s="218"/>
      <c r="I287" s="324"/>
      <c r="J287" s="234">
        <v>167</v>
      </c>
      <c r="K287" s="178"/>
      <c r="L287" s="1"/>
    </row>
    <row r="288" spans="1:12" s="37" customFormat="1" ht="25" thickBot="1" x14ac:dyDescent="0.35">
      <c r="A288" s="71"/>
      <c r="B288" s="166"/>
      <c r="C288" s="417" t="s">
        <v>948</v>
      </c>
      <c r="D288" s="218"/>
      <c r="E288" s="218"/>
      <c r="F288" s="218"/>
      <c r="G288" s="218"/>
      <c r="H288" s="218"/>
      <c r="I288" s="324"/>
      <c r="J288" s="234">
        <v>210</v>
      </c>
      <c r="K288" s="178"/>
      <c r="L288" s="1"/>
    </row>
    <row r="289" spans="1:12" s="37" customFormat="1" ht="25" thickBot="1" x14ac:dyDescent="0.35">
      <c r="A289" s="71"/>
      <c r="B289" s="166"/>
      <c r="C289" s="417" t="s">
        <v>945</v>
      </c>
      <c r="D289" s="218"/>
      <c r="E289" s="218"/>
      <c r="F289" s="218"/>
      <c r="G289" s="218"/>
      <c r="H289" s="218"/>
      <c r="I289" s="324"/>
      <c r="J289" s="234">
        <v>150</v>
      </c>
      <c r="K289" s="178"/>
      <c r="L289" s="1"/>
    </row>
    <row r="290" spans="1:12" s="37" customFormat="1" ht="25" thickBot="1" x14ac:dyDescent="0.35">
      <c r="A290" s="71"/>
      <c r="B290" s="166"/>
      <c r="C290" s="417" t="s">
        <v>946</v>
      </c>
      <c r="D290" s="218"/>
      <c r="E290" s="218"/>
      <c r="F290" s="218"/>
      <c r="G290" s="218"/>
      <c r="H290" s="218"/>
      <c r="I290" s="324"/>
      <c r="J290" s="234">
        <v>180</v>
      </c>
      <c r="K290" s="178"/>
      <c r="L290" s="1"/>
    </row>
    <row r="291" spans="1:12" s="37" customFormat="1" ht="25" thickBot="1" x14ac:dyDescent="0.35">
      <c r="A291" s="71"/>
      <c r="B291" s="166"/>
      <c r="C291" s="342" t="s">
        <v>882</v>
      </c>
      <c r="D291" s="343"/>
      <c r="E291" s="343"/>
      <c r="F291" s="343"/>
      <c r="G291" s="343"/>
      <c r="H291" s="343"/>
      <c r="I291" s="344"/>
      <c r="J291" s="234">
        <v>158</v>
      </c>
      <c r="K291" s="178"/>
      <c r="L291" s="1"/>
    </row>
    <row r="292" spans="1:12" s="37" customFormat="1" ht="25" thickBot="1" x14ac:dyDescent="0.35">
      <c r="A292" s="71"/>
      <c r="B292" s="166"/>
      <c r="C292" s="342" t="s">
        <v>883</v>
      </c>
      <c r="D292" s="343"/>
      <c r="E292" s="343"/>
      <c r="F292" s="343"/>
      <c r="G292" s="343"/>
      <c r="H292" s="343"/>
      <c r="I292" s="344"/>
      <c r="J292" s="234">
        <v>174</v>
      </c>
      <c r="K292" s="178"/>
      <c r="L292" s="1"/>
    </row>
    <row r="293" spans="1:12" s="37" customFormat="1" ht="25" thickBot="1" x14ac:dyDescent="0.35">
      <c r="A293" s="71"/>
      <c r="B293" s="166"/>
      <c r="C293" s="342" t="s">
        <v>1225</v>
      </c>
      <c r="D293" s="343"/>
      <c r="E293" s="343"/>
      <c r="F293" s="343"/>
      <c r="G293" s="343"/>
      <c r="H293" s="343"/>
      <c r="I293" s="344"/>
      <c r="J293" s="234">
        <v>90</v>
      </c>
      <c r="K293" s="178"/>
      <c r="L293" s="1"/>
    </row>
    <row r="294" spans="1:12" s="37" customFormat="1" ht="25" thickBot="1" x14ac:dyDescent="0.35">
      <c r="A294" s="71"/>
      <c r="B294" s="166"/>
      <c r="C294" s="342" t="s">
        <v>1226</v>
      </c>
      <c r="D294" s="343"/>
      <c r="E294" s="343"/>
      <c r="F294" s="343"/>
      <c r="G294" s="343"/>
      <c r="H294" s="343"/>
      <c r="I294" s="344"/>
      <c r="J294" s="234">
        <v>100</v>
      </c>
      <c r="K294" s="178"/>
      <c r="L294" s="1"/>
    </row>
    <row r="295" spans="1:12" s="37" customFormat="1" ht="25" thickBot="1" x14ac:dyDescent="0.35">
      <c r="A295" s="71"/>
      <c r="B295" s="166"/>
      <c r="C295" s="217" t="s">
        <v>896</v>
      </c>
      <c r="D295" s="218"/>
      <c r="E295" s="218"/>
      <c r="F295" s="218"/>
      <c r="G295" s="218"/>
      <c r="H295" s="218"/>
      <c r="I295" s="324"/>
      <c r="J295" s="234">
        <v>65</v>
      </c>
      <c r="K295" s="178"/>
      <c r="L295" s="1"/>
    </row>
    <row r="296" spans="1:12" s="37" customFormat="1" ht="25" thickBot="1" x14ac:dyDescent="0.35">
      <c r="A296" s="71"/>
      <c r="B296" s="166"/>
      <c r="C296" s="217" t="s">
        <v>897</v>
      </c>
      <c r="D296" s="354"/>
      <c r="E296" s="354"/>
      <c r="F296" s="354"/>
      <c r="G296" s="354"/>
      <c r="H296" s="354"/>
      <c r="I296" s="408"/>
      <c r="J296" s="234">
        <v>70</v>
      </c>
      <c r="K296" s="178"/>
      <c r="L296" s="1"/>
    </row>
    <row r="297" spans="1:12" s="37" customFormat="1" ht="25" thickBot="1" x14ac:dyDescent="0.35">
      <c r="A297" s="71"/>
      <c r="B297" s="166"/>
      <c r="C297" s="569" t="s">
        <v>618</v>
      </c>
      <c r="D297" s="570"/>
      <c r="E297" s="570"/>
      <c r="F297" s="570"/>
      <c r="G297" s="570"/>
      <c r="H297" s="570"/>
      <c r="I297" s="571"/>
      <c r="J297" s="234"/>
      <c r="K297" s="178"/>
      <c r="L297" s="1"/>
    </row>
    <row r="298" spans="1:12" s="37" customFormat="1" ht="25" thickBot="1" x14ac:dyDescent="0.35">
      <c r="A298" s="71"/>
      <c r="B298" s="166"/>
      <c r="C298" s="569" t="s">
        <v>618</v>
      </c>
      <c r="D298" s="570"/>
      <c r="E298" s="570"/>
      <c r="F298" s="570"/>
      <c r="G298" s="570"/>
      <c r="H298" s="570"/>
      <c r="I298" s="571"/>
      <c r="J298" s="234"/>
      <c r="K298" s="178"/>
      <c r="L298" s="1"/>
    </row>
    <row r="299" spans="1:12" s="37" customFormat="1" ht="25" thickBot="1" x14ac:dyDescent="0.35">
      <c r="A299" s="71"/>
      <c r="B299" s="166"/>
      <c r="C299" s="557" t="s">
        <v>893</v>
      </c>
      <c r="D299" s="558"/>
      <c r="E299" s="558"/>
      <c r="F299" s="558"/>
      <c r="G299" s="558"/>
      <c r="H299" s="558"/>
      <c r="I299" s="559"/>
      <c r="J299" s="234"/>
      <c r="K299" s="178"/>
      <c r="L299" s="1"/>
    </row>
    <row r="300" spans="1:12" s="37" customFormat="1" ht="25" thickBot="1" x14ac:dyDescent="0.35">
      <c r="A300" s="71"/>
      <c r="B300" s="166"/>
      <c r="C300" s="560" t="s">
        <v>898</v>
      </c>
      <c r="D300" s="561"/>
      <c r="E300" s="561"/>
      <c r="F300" s="561"/>
      <c r="G300" s="561"/>
      <c r="H300" s="561"/>
      <c r="I300" s="562"/>
      <c r="J300" s="234">
        <v>41</v>
      </c>
      <c r="K300" s="178"/>
      <c r="L300" s="1"/>
    </row>
    <row r="301" spans="1:12" s="37" customFormat="1" ht="25" thickBot="1" x14ac:dyDescent="0.35">
      <c r="A301" s="71"/>
      <c r="B301" s="166"/>
      <c r="C301" s="560" t="s">
        <v>899</v>
      </c>
      <c r="D301" s="561"/>
      <c r="E301" s="561"/>
      <c r="F301" s="561"/>
      <c r="G301" s="561"/>
      <c r="H301" s="561"/>
      <c r="I301" s="562"/>
      <c r="J301" s="234">
        <v>70</v>
      </c>
      <c r="K301" s="178"/>
      <c r="L301" s="1"/>
    </row>
    <row r="302" spans="1:12" s="37" customFormat="1" ht="25" thickBot="1" x14ac:dyDescent="0.35">
      <c r="A302" s="71"/>
      <c r="B302" s="166"/>
      <c r="C302" s="217" t="s">
        <v>900</v>
      </c>
      <c r="D302" s="218"/>
      <c r="E302" s="218"/>
      <c r="F302" s="218"/>
      <c r="G302" s="218"/>
      <c r="H302" s="218"/>
      <c r="I302" s="324"/>
      <c r="J302" s="234">
        <v>10</v>
      </c>
      <c r="K302" s="178"/>
      <c r="L302" s="1"/>
    </row>
    <row r="303" spans="1:12" s="37" customFormat="1" ht="25" thickBot="1" x14ac:dyDescent="0.35">
      <c r="A303" s="71"/>
      <c r="B303" s="166"/>
      <c r="C303" s="217" t="s">
        <v>901</v>
      </c>
      <c r="D303" s="218"/>
      <c r="E303" s="218"/>
      <c r="F303" s="218"/>
      <c r="G303" s="218"/>
      <c r="H303" s="218"/>
      <c r="I303" s="324"/>
      <c r="J303" s="234">
        <v>14</v>
      </c>
      <c r="K303" s="178"/>
      <c r="L303" s="1"/>
    </row>
    <row r="304" spans="1:12" s="37" customFormat="1" ht="25" thickBot="1" x14ac:dyDescent="0.35">
      <c r="A304" s="71"/>
      <c r="B304" s="166"/>
      <c r="C304" s="217" t="s">
        <v>894</v>
      </c>
      <c r="D304" s="218"/>
      <c r="E304" s="218"/>
      <c r="F304" s="218"/>
      <c r="G304" s="218"/>
      <c r="H304" s="218"/>
      <c r="I304" s="324"/>
      <c r="J304" s="234">
        <v>110</v>
      </c>
      <c r="K304" s="178"/>
      <c r="L304" s="1"/>
    </row>
    <row r="305" spans="1:12" s="37" customFormat="1" ht="25" thickBot="1" x14ac:dyDescent="0.35">
      <c r="A305" s="71"/>
      <c r="B305" s="166"/>
      <c r="C305" s="560" t="s">
        <v>895</v>
      </c>
      <c r="D305" s="561"/>
      <c r="E305" s="561"/>
      <c r="F305" s="561"/>
      <c r="G305" s="561"/>
      <c r="H305" s="561"/>
      <c r="I305" s="562"/>
      <c r="J305" s="234">
        <v>120</v>
      </c>
      <c r="K305" s="178"/>
      <c r="L305" s="1"/>
    </row>
    <row r="306" spans="1:12" s="37" customFormat="1" ht="25" thickBot="1" x14ac:dyDescent="0.35">
      <c r="A306" s="71"/>
      <c r="B306" s="166"/>
      <c r="C306" s="563" t="s">
        <v>902</v>
      </c>
      <c r="D306" s="564"/>
      <c r="E306" s="564"/>
      <c r="F306" s="564"/>
      <c r="G306" s="564"/>
      <c r="H306" s="564"/>
      <c r="I306" s="565"/>
      <c r="J306" s="234">
        <v>110.87</v>
      </c>
      <c r="K306" s="178"/>
      <c r="L306" s="1"/>
    </row>
    <row r="307" spans="1:12" s="37" customFormat="1" ht="25" thickBot="1" x14ac:dyDescent="0.35">
      <c r="A307" s="71"/>
      <c r="B307" s="166"/>
      <c r="C307" s="217" t="s">
        <v>904</v>
      </c>
      <c r="D307" s="218"/>
      <c r="E307" s="218"/>
      <c r="F307" s="218"/>
      <c r="G307" s="218"/>
      <c r="H307" s="218"/>
      <c r="I307" s="324"/>
      <c r="J307" s="234">
        <v>158</v>
      </c>
      <c r="K307" s="178"/>
      <c r="L307" s="1"/>
    </row>
    <row r="308" spans="1:12" s="37" customFormat="1" ht="25" thickBot="1" x14ac:dyDescent="0.35">
      <c r="A308" s="71"/>
      <c r="B308" s="166"/>
      <c r="C308" s="566" t="s">
        <v>905</v>
      </c>
      <c r="D308" s="567"/>
      <c r="E308" s="567"/>
      <c r="F308" s="567"/>
      <c r="G308" s="567"/>
      <c r="H308" s="567"/>
      <c r="I308" s="568"/>
      <c r="J308" s="234">
        <v>130</v>
      </c>
      <c r="K308" s="178"/>
      <c r="L308" s="1"/>
    </row>
    <row r="309" spans="1:12" s="37" customFormat="1" ht="25" thickBot="1" x14ac:dyDescent="0.35">
      <c r="A309" s="71"/>
      <c r="B309" s="166"/>
      <c r="C309" s="217" t="s">
        <v>906</v>
      </c>
      <c r="D309" s="218"/>
      <c r="E309" s="218"/>
      <c r="F309" s="218"/>
      <c r="G309" s="218"/>
      <c r="H309" s="218"/>
      <c r="I309" s="324"/>
      <c r="J309" s="234">
        <v>176</v>
      </c>
      <c r="K309" s="178"/>
      <c r="L309" s="1"/>
    </row>
    <row r="310" spans="1:12" s="37" customFormat="1" ht="25" thickBot="1" x14ac:dyDescent="0.35">
      <c r="A310" s="71"/>
      <c r="B310" s="166"/>
      <c r="C310" s="217" t="s">
        <v>903</v>
      </c>
      <c r="D310" s="218"/>
      <c r="E310" s="218"/>
      <c r="F310" s="218"/>
      <c r="G310" s="218"/>
      <c r="H310" s="218"/>
      <c r="I310" s="324"/>
      <c r="J310" s="234">
        <v>110.87</v>
      </c>
      <c r="K310" s="178"/>
      <c r="L310" s="1"/>
    </row>
    <row r="311" spans="1:12" s="37" customFormat="1" ht="25" thickBot="1" x14ac:dyDescent="0.35">
      <c r="A311" s="71"/>
      <c r="B311" s="166"/>
      <c r="C311" s="217" t="s">
        <v>907</v>
      </c>
      <c r="D311" s="218"/>
      <c r="E311" s="218"/>
      <c r="F311" s="218"/>
      <c r="G311" s="218"/>
      <c r="H311" s="218"/>
      <c r="I311" s="324"/>
      <c r="J311" s="234">
        <v>158</v>
      </c>
      <c r="K311" s="178"/>
      <c r="L311" s="1"/>
    </row>
    <row r="312" spans="1:12" s="37" customFormat="1" ht="25" thickBot="1" x14ac:dyDescent="0.35">
      <c r="A312" s="71"/>
      <c r="B312" s="166"/>
      <c r="C312" s="217" t="s">
        <v>908</v>
      </c>
      <c r="D312" s="218"/>
      <c r="E312" s="218"/>
      <c r="F312" s="218"/>
      <c r="G312" s="218"/>
      <c r="H312" s="218"/>
      <c r="I312" s="324"/>
      <c r="J312" s="234">
        <v>130</v>
      </c>
      <c r="K312" s="178"/>
      <c r="L312" s="1"/>
    </row>
    <row r="313" spans="1:12" s="37" customFormat="1" ht="25" thickBot="1" x14ac:dyDescent="0.35">
      <c r="A313" s="71"/>
      <c r="B313" s="166"/>
      <c r="C313" s="217" t="s">
        <v>909</v>
      </c>
      <c r="D313" s="218"/>
      <c r="E313" s="218"/>
      <c r="F313" s="218"/>
      <c r="G313" s="218"/>
      <c r="H313" s="218"/>
      <c r="I313" s="324"/>
      <c r="J313" s="234">
        <v>176</v>
      </c>
      <c r="K313" s="178"/>
      <c r="L313" s="1"/>
    </row>
    <row r="314" spans="1:12" s="37" customFormat="1" ht="25" thickBot="1" x14ac:dyDescent="0.35">
      <c r="A314" s="71"/>
      <c r="B314" s="166"/>
      <c r="C314" s="217" t="s">
        <v>913</v>
      </c>
      <c r="D314" s="218"/>
      <c r="E314" s="218"/>
      <c r="F314" s="218"/>
      <c r="G314" s="218"/>
      <c r="H314" s="218"/>
      <c r="I314" s="324"/>
      <c r="J314" s="234">
        <v>19</v>
      </c>
      <c r="K314" s="178"/>
      <c r="L314" s="1"/>
    </row>
    <row r="315" spans="1:12" s="37" customFormat="1" ht="25" thickBot="1" x14ac:dyDescent="0.35">
      <c r="A315" s="71"/>
      <c r="B315" s="166"/>
      <c r="C315" s="217" t="s">
        <v>914</v>
      </c>
      <c r="D315" s="218"/>
      <c r="E315" s="218"/>
      <c r="F315" s="218"/>
      <c r="G315" s="218"/>
      <c r="H315" s="218"/>
      <c r="I315" s="324"/>
      <c r="J315" s="234">
        <v>19</v>
      </c>
      <c r="K315" s="178"/>
      <c r="L315" s="1"/>
    </row>
    <row r="316" spans="1:12" s="37" customFormat="1" ht="25" thickBot="1" x14ac:dyDescent="0.35">
      <c r="A316" s="71"/>
      <c r="B316" s="166"/>
      <c r="C316" s="217"/>
      <c r="D316" s="218"/>
      <c r="E316" s="218"/>
      <c r="F316" s="218"/>
      <c r="G316" s="218"/>
      <c r="H316" s="218"/>
      <c r="I316" s="324"/>
      <c r="J316" s="234"/>
      <c r="K316" s="178"/>
      <c r="L316" s="1"/>
    </row>
    <row r="317" spans="1:12" s="37" customFormat="1" ht="25" thickBot="1" x14ac:dyDescent="0.35">
      <c r="A317" s="71"/>
      <c r="B317" s="166"/>
      <c r="C317" s="217"/>
      <c r="D317" s="218"/>
      <c r="E317" s="218"/>
      <c r="F317" s="218"/>
      <c r="G317" s="218"/>
      <c r="H317" s="218"/>
      <c r="I317" s="324"/>
      <c r="J317" s="234"/>
      <c r="K317" s="178"/>
      <c r="L317" s="1"/>
    </row>
    <row r="318" spans="1:12" s="37" customFormat="1" ht="25" thickBot="1" x14ac:dyDescent="0.35">
      <c r="A318" s="71"/>
      <c r="B318" s="166"/>
      <c r="C318" s="557" t="s">
        <v>918</v>
      </c>
      <c r="D318" s="558"/>
      <c r="E318" s="558"/>
      <c r="F318" s="558"/>
      <c r="G318" s="558"/>
      <c r="H318" s="558"/>
      <c r="I318" s="559"/>
      <c r="J318" s="234"/>
      <c r="K318" s="178"/>
      <c r="L318" s="1"/>
    </row>
    <row r="319" spans="1:12" s="37" customFormat="1" ht="25" thickBot="1" x14ac:dyDescent="0.35">
      <c r="A319" s="71"/>
      <c r="B319" s="166"/>
      <c r="C319" s="289" t="s">
        <v>920</v>
      </c>
      <c r="D319" s="218"/>
      <c r="E319" s="218"/>
      <c r="F319" s="218"/>
      <c r="G319" s="218"/>
      <c r="H319" s="218"/>
      <c r="I319" s="324"/>
      <c r="J319" s="548">
        <v>52</v>
      </c>
      <c r="K319" s="178"/>
      <c r="L319" s="1"/>
    </row>
    <row r="320" spans="1:12" s="37" customFormat="1" ht="25" thickBot="1" x14ac:dyDescent="0.35">
      <c r="A320" s="71"/>
      <c r="B320" s="166"/>
      <c r="C320" s="289" t="s">
        <v>919</v>
      </c>
      <c r="D320" s="218"/>
      <c r="E320" s="218"/>
      <c r="F320" s="218"/>
      <c r="G320" s="218"/>
      <c r="H320" s="218"/>
      <c r="I320" s="324"/>
      <c r="J320" s="548">
        <v>14</v>
      </c>
      <c r="K320" s="178"/>
      <c r="L320" s="1"/>
    </row>
    <row r="321" spans="1:12" s="37" customFormat="1" ht="25" thickBot="1" x14ac:dyDescent="0.35">
      <c r="A321" s="71"/>
      <c r="B321" s="166"/>
      <c r="C321" s="217" t="s">
        <v>921</v>
      </c>
      <c r="D321" s="218"/>
      <c r="E321" s="218"/>
      <c r="F321" s="218"/>
      <c r="G321" s="218"/>
      <c r="H321" s="218"/>
      <c r="I321" s="324"/>
      <c r="J321" s="548">
        <v>62</v>
      </c>
      <c r="K321" s="178"/>
      <c r="L321" s="1"/>
    </row>
    <row r="322" spans="1:12" s="37" customFormat="1" ht="25" thickBot="1" x14ac:dyDescent="0.35">
      <c r="A322" s="71"/>
      <c r="B322" s="166"/>
      <c r="C322" s="217" t="s">
        <v>922</v>
      </c>
      <c r="D322" s="218"/>
      <c r="E322" s="218"/>
      <c r="F322" s="218"/>
      <c r="G322" s="218"/>
      <c r="H322" s="218"/>
      <c r="I322" s="324"/>
      <c r="J322" s="548">
        <v>81</v>
      </c>
      <c r="K322" s="178"/>
      <c r="L322" s="1"/>
    </row>
    <row r="323" spans="1:12" s="37" customFormat="1" ht="25" thickBot="1" x14ac:dyDescent="0.35">
      <c r="A323" s="71"/>
      <c r="B323" s="166"/>
      <c r="C323" s="289" t="s">
        <v>923</v>
      </c>
      <c r="D323" s="218"/>
      <c r="E323" s="218"/>
      <c r="F323" s="218"/>
      <c r="G323" s="218"/>
      <c r="H323" s="218"/>
      <c r="I323" s="324"/>
      <c r="J323" s="548">
        <v>92</v>
      </c>
      <c r="K323" s="178"/>
      <c r="L323" s="1"/>
    </row>
    <row r="324" spans="1:12" s="37" customFormat="1" ht="25" thickBot="1" x14ac:dyDescent="0.35">
      <c r="A324" s="71"/>
      <c r="B324" s="166"/>
      <c r="C324" s="217" t="s">
        <v>924</v>
      </c>
      <c r="D324" s="218"/>
      <c r="E324" s="218"/>
      <c r="F324" s="218"/>
      <c r="G324" s="218"/>
      <c r="H324" s="218"/>
      <c r="I324" s="324"/>
      <c r="J324" s="548">
        <v>25</v>
      </c>
      <c r="K324" s="178"/>
      <c r="L324" s="1"/>
    </row>
    <row r="325" spans="1:12" s="37" customFormat="1" ht="25" thickBot="1" x14ac:dyDescent="0.35">
      <c r="A325" s="71"/>
      <c r="B325" s="166"/>
      <c r="C325" s="217" t="s">
        <v>925</v>
      </c>
      <c r="D325" s="218"/>
      <c r="E325" s="218"/>
      <c r="F325" s="218"/>
      <c r="G325" s="218"/>
      <c r="H325" s="218"/>
      <c r="I325" s="324"/>
      <c r="J325" s="548">
        <v>15</v>
      </c>
      <c r="K325" s="178"/>
      <c r="L325" s="1"/>
    </row>
    <row r="326" spans="1:12" s="37" customFormat="1" ht="25" thickBot="1" x14ac:dyDescent="0.35">
      <c r="A326" s="71"/>
      <c r="B326" s="166"/>
      <c r="C326" s="289" t="s">
        <v>936</v>
      </c>
      <c r="D326" s="218"/>
      <c r="E326" s="218"/>
      <c r="F326" s="218"/>
      <c r="G326" s="218"/>
      <c r="H326" s="218"/>
      <c r="I326" s="324"/>
      <c r="J326" s="548">
        <v>120</v>
      </c>
      <c r="K326" s="178"/>
      <c r="L326" s="1"/>
    </row>
    <row r="327" spans="1:12" s="37" customFormat="1" ht="25" thickBot="1" x14ac:dyDescent="0.35">
      <c r="A327" s="71"/>
      <c r="B327" s="166"/>
      <c r="C327" s="217"/>
      <c r="D327" s="218"/>
      <c r="E327" s="218"/>
      <c r="F327" s="218"/>
      <c r="G327" s="218"/>
      <c r="H327" s="218"/>
      <c r="I327" s="324"/>
      <c r="J327" s="234"/>
      <c r="K327" s="178"/>
      <c r="L327" s="1"/>
    </row>
    <row r="328" spans="1:12" s="37" customFormat="1" ht="25" thickBot="1" x14ac:dyDescent="0.35">
      <c r="A328" s="71"/>
      <c r="B328" s="166"/>
      <c r="C328" s="572" t="s">
        <v>1192</v>
      </c>
      <c r="D328" s="573"/>
      <c r="E328" s="573"/>
      <c r="F328" s="573"/>
      <c r="G328" s="573"/>
      <c r="H328" s="573"/>
      <c r="I328" s="573"/>
      <c r="J328" s="574"/>
      <c r="K328" s="178"/>
      <c r="L328" s="1"/>
    </row>
    <row r="329" spans="1:12" s="37" customFormat="1" ht="25" thickBot="1" x14ac:dyDescent="0.35">
      <c r="A329" s="71"/>
      <c r="B329" s="166"/>
      <c r="C329" s="217" t="s">
        <v>1366</v>
      </c>
      <c r="D329" s="218"/>
      <c r="E329" s="218"/>
      <c r="F329" s="218"/>
      <c r="G329" s="218"/>
      <c r="H329" s="218"/>
      <c r="I329" s="324"/>
      <c r="J329" s="234">
        <v>29.3</v>
      </c>
      <c r="K329" s="178"/>
      <c r="L329" s="1"/>
    </row>
    <row r="330" spans="1:12" s="37" customFormat="1" ht="25" thickBot="1" x14ac:dyDescent="0.35">
      <c r="A330" s="71"/>
      <c r="B330" s="166"/>
      <c r="C330" s="217" t="s">
        <v>1365</v>
      </c>
      <c r="D330" s="218"/>
      <c r="E330" s="218"/>
      <c r="F330" s="218"/>
      <c r="G330" s="218"/>
      <c r="H330" s="218"/>
      <c r="I330" s="324"/>
      <c r="J330" s="234">
        <v>36.630000000000003</v>
      </c>
      <c r="K330" s="178"/>
      <c r="L330" s="1"/>
    </row>
    <row r="331" spans="1:12" s="37" customFormat="1" ht="25" thickBot="1" x14ac:dyDescent="0.35">
      <c r="A331" s="71"/>
      <c r="B331" s="166"/>
      <c r="C331" s="217" t="s">
        <v>1360</v>
      </c>
      <c r="D331" s="218"/>
      <c r="E331" s="218"/>
      <c r="F331" s="218"/>
      <c r="G331" s="218"/>
      <c r="H331" s="218"/>
      <c r="I331" s="324"/>
      <c r="J331" s="234">
        <v>45.22</v>
      </c>
      <c r="K331" s="178"/>
      <c r="L331" s="1"/>
    </row>
    <row r="332" spans="1:12" s="37" customFormat="1" ht="25" thickBot="1" x14ac:dyDescent="0.35">
      <c r="A332" s="71"/>
      <c r="B332" s="166"/>
      <c r="C332" s="217" t="s">
        <v>1367</v>
      </c>
      <c r="D332" s="218"/>
      <c r="E332" s="218"/>
      <c r="F332" s="218"/>
      <c r="G332" s="218"/>
      <c r="H332" s="218"/>
      <c r="I332" s="324"/>
      <c r="J332" s="234">
        <v>73</v>
      </c>
      <c r="K332" s="178"/>
      <c r="L332" s="1"/>
    </row>
    <row r="333" spans="1:12" s="37" customFormat="1" ht="25" thickBot="1" x14ac:dyDescent="0.35">
      <c r="A333" s="71"/>
      <c r="B333" s="166"/>
      <c r="C333" s="217" t="s">
        <v>1363</v>
      </c>
      <c r="D333" s="218"/>
      <c r="E333" s="218"/>
      <c r="F333" s="218"/>
      <c r="G333" s="218"/>
      <c r="H333" s="218"/>
      <c r="I333" s="324"/>
      <c r="J333" s="234">
        <v>90</v>
      </c>
      <c r="K333" s="178"/>
      <c r="L333" s="1"/>
    </row>
    <row r="334" spans="1:12" s="37" customFormat="1" ht="25" thickBot="1" x14ac:dyDescent="0.35">
      <c r="A334" s="71"/>
      <c r="B334" s="166"/>
      <c r="C334" s="217" t="s">
        <v>1364</v>
      </c>
      <c r="D334" s="218"/>
      <c r="E334" s="218"/>
      <c r="F334" s="218"/>
      <c r="G334" s="218"/>
      <c r="H334" s="218"/>
      <c r="I334" s="324"/>
      <c r="J334" s="234">
        <v>123</v>
      </c>
      <c r="K334" s="178"/>
      <c r="L334" s="1"/>
    </row>
    <row r="335" spans="1:12" ht="25" thickBot="1" x14ac:dyDescent="0.35">
      <c r="B335" s="166"/>
      <c r="C335" s="217" t="s">
        <v>1368</v>
      </c>
      <c r="D335" s="218"/>
      <c r="E335" s="218"/>
      <c r="F335" s="218"/>
      <c r="G335" s="218"/>
      <c r="H335" s="218"/>
      <c r="I335" s="324"/>
      <c r="J335" s="234">
        <v>57</v>
      </c>
      <c r="K335" s="178"/>
    </row>
    <row r="336" spans="1:12" ht="25" thickBot="1" x14ac:dyDescent="0.35">
      <c r="B336" s="166"/>
      <c r="C336" s="217" t="s">
        <v>1193</v>
      </c>
      <c r="D336" s="218"/>
      <c r="E336" s="218"/>
      <c r="F336" s="218"/>
      <c r="G336" s="218"/>
      <c r="H336" s="218"/>
      <c r="I336" s="324"/>
      <c r="J336" s="234">
        <v>30</v>
      </c>
      <c r="K336" s="178"/>
    </row>
    <row r="337" spans="2:11" ht="25" thickBot="1" x14ac:dyDescent="0.35">
      <c r="B337" s="166"/>
      <c r="C337" s="217" t="s">
        <v>1194</v>
      </c>
      <c r="D337" s="218"/>
      <c r="E337" s="218"/>
      <c r="F337" s="218"/>
      <c r="G337" s="218"/>
      <c r="H337" s="218"/>
      <c r="I337" s="324"/>
      <c r="J337" s="234">
        <v>40</v>
      </c>
      <c r="K337" s="178"/>
    </row>
    <row r="338" spans="2:11" ht="25" thickBot="1" x14ac:dyDescent="0.35">
      <c r="B338" s="166"/>
      <c r="C338" s="217" t="s">
        <v>1203</v>
      </c>
      <c r="D338" s="218"/>
      <c r="E338" s="218"/>
      <c r="F338" s="218"/>
      <c r="G338" s="218"/>
      <c r="H338" s="218"/>
      <c r="I338" s="324"/>
      <c r="J338" s="234">
        <v>10</v>
      </c>
      <c r="K338" s="178"/>
    </row>
    <row r="339" spans="2:11" ht="25" thickBot="1" x14ac:dyDescent="0.35">
      <c r="B339" s="166"/>
      <c r="C339" s="217" t="s">
        <v>1371</v>
      </c>
      <c r="D339" s="218"/>
      <c r="E339" s="218"/>
      <c r="F339" s="218"/>
      <c r="G339" s="218"/>
      <c r="H339" s="218"/>
      <c r="I339" s="324"/>
      <c r="J339" s="234">
        <v>2.35</v>
      </c>
      <c r="K339" s="178"/>
    </row>
    <row r="340" spans="2:11" ht="25" thickBot="1" x14ac:dyDescent="0.35">
      <c r="B340" s="166"/>
      <c r="C340" s="217" t="s">
        <v>1208</v>
      </c>
      <c r="D340" s="218"/>
      <c r="E340" s="218"/>
      <c r="F340" s="218"/>
      <c r="G340" s="218"/>
      <c r="H340" s="218"/>
      <c r="I340" s="324"/>
      <c r="J340" s="234">
        <v>21</v>
      </c>
      <c r="K340" s="178"/>
    </row>
    <row r="341" spans="2:11" ht="25" thickBot="1" x14ac:dyDescent="0.35">
      <c r="B341" s="166"/>
      <c r="C341" s="217" t="s">
        <v>1373</v>
      </c>
      <c r="D341" s="218"/>
      <c r="E341" s="218"/>
      <c r="F341" s="218"/>
      <c r="G341" s="218"/>
      <c r="H341" s="218"/>
      <c r="I341" s="324"/>
      <c r="J341" s="234">
        <v>25</v>
      </c>
      <c r="K341" s="178"/>
    </row>
    <row r="342" spans="2:11" ht="25" thickBot="1" x14ac:dyDescent="0.35">
      <c r="B342" s="166"/>
      <c r="C342" s="217" t="s">
        <v>1205</v>
      </c>
      <c r="D342" s="218"/>
      <c r="E342" s="218"/>
      <c r="F342" s="218"/>
      <c r="G342" s="218"/>
      <c r="H342" s="218"/>
      <c r="I342" s="324"/>
      <c r="J342" s="234">
        <v>225</v>
      </c>
      <c r="K342" s="178"/>
    </row>
    <row r="343" spans="2:11" ht="25" thickBot="1" x14ac:dyDescent="0.35">
      <c r="B343" s="166"/>
      <c r="C343" s="217" t="s">
        <v>1206</v>
      </c>
      <c r="D343" s="218"/>
      <c r="E343" s="218"/>
      <c r="F343" s="218"/>
      <c r="G343" s="218"/>
      <c r="H343" s="218"/>
      <c r="I343" s="324"/>
      <c r="J343" s="234">
        <v>225</v>
      </c>
      <c r="K343" s="178"/>
    </row>
    <row r="344" spans="2:11" ht="25" thickBot="1" x14ac:dyDescent="0.35">
      <c r="B344" s="166"/>
      <c r="C344" s="217"/>
      <c r="D344" s="218"/>
      <c r="E344" s="218"/>
      <c r="F344" s="218"/>
      <c r="G344" s="218"/>
      <c r="H344" s="218"/>
      <c r="I344" s="324"/>
      <c r="J344" s="234"/>
      <c r="K344" s="178"/>
    </row>
    <row r="345" spans="2:11" ht="25" thickBot="1" x14ac:dyDescent="0.35">
      <c r="B345" s="166"/>
      <c r="C345" s="217"/>
      <c r="D345" s="218"/>
      <c r="E345" s="218"/>
      <c r="F345" s="218"/>
      <c r="G345" s="218"/>
      <c r="H345" s="218"/>
      <c r="I345" s="324"/>
      <c r="J345" s="234"/>
      <c r="K345" s="178"/>
    </row>
    <row r="346" spans="2:11" ht="25" thickBot="1" x14ac:dyDescent="0.35">
      <c r="B346" s="166"/>
      <c r="C346" s="217"/>
      <c r="D346" s="218"/>
      <c r="E346" s="218"/>
      <c r="F346" s="218"/>
      <c r="G346" s="218"/>
      <c r="H346" s="218"/>
      <c r="I346" s="324"/>
      <c r="J346" s="234"/>
      <c r="K346" s="178"/>
    </row>
    <row r="347" spans="2:11" ht="25" thickBot="1" x14ac:dyDescent="0.35">
      <c r="B347" s="166"/>
      <c r="C347" s="572" t="s">
        <v>1325</v>
      </c>
      <c r="D347" s="573"/>
      <c r="E347" s="573"/>
      <c r="F347" s="573"/>
      <c r="G347" s="573"/>
      <c r="H347" s="573"/>
      <c r="I347" s="573"/>
      <c r="J347" s="574"/>
      <c r="K347" s="178"/>
    </row>
    <row r="348" spans="2:11" ht="24" customHeight="1" thickBot="1" x14ac:dyDescent="0.35">
      <c r="B348" s="166"/>
      <c r="C348" s="590" t="s">
        <v>1324</v>
      </c>
      <c r="D348" s="591"/>
      <c r="E348" s="591"/>
      <c r="F348" s="591"/>
      <c r="G348" s="591"/>
      <c r="H348" s="591"/>
      <c r="I348" s="592"/>
      <c r="J348" s="234">
        <v>38.42</v>
      </c>
      <c r="K348" s="178"/>
    </row>
    <row r="349" spans="2:11" ht="25" thickBot="1" x14ac:dyDescent="0.35">
      <c r="B349" s="166"/>
      <c r="C349" s="590" t="s">
        <v>1323</v>
      </c>
      <c r="D349" s="591"/>
      <c r="E349" s="591"/>
      <c r="F349" s="591"/>
      <c r="G349" s="591"/>
      <c r="H349" s="591"/>
      <c r="I349" s="592"/>
      <c r="J349" s="234">
        <v>40</v>
      </c>
      <c r="K349" s="178"/>
    </row>
    <row r="350" spans="2:11" ht="25" thickBot="1" x14ac:dyDescent="0.35">
      <c r="B350" s="166"/>
      <c r="C350" s="590" t="s">
        <v>1322</v>
      </c>
      <c r="D350" s="591"/>
      <c r="E350" s="591"/>
      <c r="F350" s="591"/>
      <c r="G350" s="591"/>
      <c r="H350" s="591"/>
      <c r="I350" s="592"/>
      <c r="J350" s="234">
        <v>30</v>
      </c>
      <c r="K350" s="178"/>
    </row>
    <row r="351" spans="2:11" ht="25" thickBot="1" x14ac:dyDescent="0.35">
      <c r="B351" s="166"/>
      <c r="C351" s="590" t="s">
        <v>1321</v>
      </c>
      <c r="D351" s="591"/>
      <c r="E351" s="591"/>
      <c r="F351" s="591"/>
      <c r="G351" s="591"/>
      <c r="H351" s="591"/>
      <c r="I351" s="592"/>
      <c r="J351" s="234">
        <v>11.56</v>
      </c>
      <c r="K351" s="178"/>
    </row>
    <row r="352" spans="2:11" ht="25" thickBot="1" x14ac:dyDescent="0.35">
      <c r="B352" s="166"/>
      <c r="C352" s="590" t="s">
        <v>1320</v>
      </c>
      <c r="D352" s="591"/>
      <c r="E352" s="591"/>
      <c r="F352" s="591"/>
      <c r="G352" s="591"/>
      <c r="H352" s="591"/>
      <c r="I352" s="592"/>
      <c r="J352" s="234">
        <v>10.28</v>
      </c>
      <c r="K352" s="178"/>
    </row>
    <row r="353" spans="2:11" ht="25" thickBot="1" x14ac:dyDescent="0.35">
      <c r="B353" s="166"/>
      <c r="C353" s="590" t="s">
        <v>1319</v>
      </c>
      <c r="D353" s="591"/>
      <c r="E353" s="591"/>
      <c r="F353" s="591"/>
      <c r="G353" s="591"/>
      <c r="H353" s="591"/>
      <c r="I353" s="592"/>
      <c r="J353" s="234">
        <v>60</v>
      </c>
      <c r="K353" s="178"/>
    </row>
    <row r="354" spans="2:11" ht="25" thickBot="1" x14ac:dyDescent="0.35">
      <c r="B354" s="166"/>
      <c r="C354" s="590" t="s">
        <v>1318</v>
      </c>
      <c r="D354" s="591"/>
      <c r="E354" s="591"/>
      <c r="F354" s="591"/>
      <c r="G354" s="591"/>
      <c r="H354" s="591"/>
      <c r="I354" s="592"/>
      <c r="J354" s="234">
        <v>52.4</v>
      </c>
      <c r="K354" s="178"/>
    </row>
    <row r="355" spans="2:11" ht="25" thickBot="1" x14ac:dyDescent="0.35">
      <c r="B355" s="166"/>
      <c r="C355" s="590" t="s">
        <v>1317</v>
      </c>
      <c r="D355" s="591"/>
      <c r="E355" s="591"/>
      <c r="F355" s="591"/>
      <c r="G355" s="591"/>
      <c r="H355" s="591"/>
      <c r="I355" s="592"/>
      <c r="J355" s="234">
        <v>4</v>
      </c>
      <c r="K355" s="178"/>
    </row>
    <row r="356" spans="2:11" ht="25" thickBot="1" x14ac:dyDescent="0.35">
      <c r="B356" s="166"/>
      <c r="C356" s="590" t="s">
        <v>1316</v>
      </c>
      <c r="D356" s="591"/>
      <c r="E356" s="591"/>
      <c r="F356" s="591"/>
      <c r="G356" s="591"/>
      <c r="H356" s="591"/>
      <c r="I356" s="592"/>
      <c r="J356" s="234">
        <v>18</v>
      </c>
      <c r="K356" s="178"/>
    </row>
    <row r="357" spans="2:11" ht="25" thickBot="1" x14ac:dyDescent="0.35">
      <c r="B357" s="166"/>
      <c r="C357" s="590" t="s">
        <v>1315</v>
      </c>
      <c r="D357" s="591"/>
      <c r="E357" s="591"/>
      <c r="F357" s="591"/>
      <c r="G357" s="591"/>
      <c r="H357" s="591"/>
      <c r="I357" s="592"/>
      <c r="J357" s="234">
        <v>2.5</v>
      </c>
      <c r="K357" s="178"/>
    </row>
    <row r="358" spans="2:11" ht="25" thickBot="1" x14ac:dyDescent="0.35">
      <c r="C358" s="590" t="s">
        <v>1314</v>
      </c>
      <c r="D358" s="591"/>
      <c r="E358" s="591"/>
      <c r="F358" s="591"/>
      <c r="G358" s="591"/>
      <c r="H358" s="591"/>
      <c r="I358" s="592"/>
      <c r="J358" s="234">
        <v>1.5</v>
      </c>
    </row>
    <row r="359" spans="2:11" ht="25" thickBot="1" x14ac:dyDescent="0.35">
      <c r="C359" s="590" t="s">
        <v>1313</v>
      </c>
      <c r="D359" s="591"/>
      <c r="E359" s="591"/>
      <c r="F359" s="591"/>
      <c r="G359" s="591"/>
      <c r="H359" s="591"/>
      <c r="I359" s="592"/>
      <c r="J359" s="234">
        <v>1.5</v>
      </c>
    </row>
    <row r="360" spans="2:11" ht="25" thickBot="1" x14ac:dyDescent="0.35">
      <c r="C360" s="590" t="s">
        <v>1312</v>
      </c>
      <c r="D360" s="591"/>
      <c r="E360" s="591"/>
      <c r="F360" s="591"/>
      <c r="G360" s="591"/>
      <c r="H360" s="591"/>
      <c r="I360" s="592"/>
      <c r="J360" s="234">
        <v>1.2</v>
      </c>
    </row>
    <row r="361" spans="2:11" ht="25" thickBot="1" x14ac:dyDescent="0.35">
      <c r="C361" s="590"/>
      <c r="D361" s="591"/>
      <c r="E361" s="591"/>
      <c r="F361" s="591"/>
      <c r="G361" s="591"/>
      <c r="H361" s="591"/>
      <c r="I361" s="592"/>
      <c r="J361" s="234"/>
    </row>
    <row r="362" spans="2:11" ht="25" thickBot="1" x14ac:dyDescent="0.35">
      <c r="C362" s="590"/>
      <c r="D362" s="591"/>
      <c r="E362" s="591"/>
      <c r="F362" s="591"/>
      <c r="G362" s="591"/>
      <c r="H362" s="591"/>
      <c r="I362" s="592"/>
      <c r="J362" s="234"/>
    </row>
    <row r="363" spans="2:11" ht="25" thickBot="1" x14ac:dyDescent="0.35">
      <c r="C363" s="590"/>
      <c r="D363" s="591"/>
      <c r="E363" s="591"/>
      <c r="F363" s="591"/>
      <c r="G363" s="591"/>
      <c r="H363" s="591"/>
      <c r="I363" s="592"/>
      <c r="J363" s="234"/>
    </row>
  </sheetData>
  <sheetProtection formatCells="0" formatColumns="0" formatRows="0" insertColumns="0" insertRows="0" insertHyperlinks="0" deleteColumns="0" deleteRows="0" sort="0" autoFilter="0" pivotTables="0"/>
  <mergeCells count="86">
    <mergeCell ref="C361:I361"/>
    <mergeCell ref="C362:I362"/>
    <mergeCell ref="C363:I363"/>
    <mergeCell ref="C356:I356"/>
    <mergeCell ref="C357:I357"/>
    <mergeCell ref="C358:I358"/>
    <mergeCell ref="C359:I359"/>
    <mergeCell ref="C360:I360"/>
    <mergeCell ref="C351:I351"/>
    <mergeCell ref="C352:I352"/>
    <mergeCell ref="C353:I353"/>
    <mergeCell ref="C354:I354"/>
    <mergeCell ref="C355:I355"/>
    <mergeCell ref="C347:J347"/>
    <mergeCell ref="C348:I348"/>
    <mergeCell ref="C349:I349"/>
    <mergeCell ref="C350:I350"/>
    <mergeCell ref="C328:J328"/>
    <mergeCell ref="C33:I33"/>
    <mergeCell ref="C272:I272"/>
    <mergeCell ref="C276:I276"/>
    <mergeCell ref="C274:I274"/>
    <mergeCell ref="C269:I269"/>
    <mergeCell ref="C270:I270"/>
    <mergeCell ref="C34:I34"/>
    <mergeCell ref="C111:I111"/>
    <mergeCell ref="C85:I85"/>
    <mergeCell ref="C112:I112"/>
    <mergeCell ref="C90:I90"/>
    <mergeCell ref="C94:I94"/>
    <mergeCell ref="C89:J89"/>
    <mergeCell ref="C91:I91"/>
    <mergeCell ref="C108:J108"/>
    <mergeCell ref="C110:I110"/>
    <mergeCell ref="C25:I25"/>
    <mergeCell ref="C31:I31"/>
    <mergeCell ref="C42:I42"/>
    <mergeCell ref="C37:I37"/>
    <mergeCell ref="C38:I38"/>
    <mergeCell ref="C39:I39"/>
    <mergeCell ref="C40:I40"/>
    <mergeCell ref="C41:I41"/>
    <mergeCell ref="C35:I35"/>
    <mergeCell ref="C36:I36"/>
    <mergeCell ref="C26:I26"/>
    <mergeCell ref="C27:I27"/>
    <mergeCell ref="C28:I28"/>
    <mergeCell ref="C29:I29"/>
    <mergeCell ref="C30:I30"/>
    <mergeCell ref="C32:I32"/>
    <mergeCell ref="C3:J3"/>
    <mergeCell ref="C4:I4"/>
    <mergeCell ref="C12:J12"/>
    <mergeCell ref="C5:J5"/>
    <mergeCell ref="C24:I24"/>
    <mergeCell ref="C86:I86"/>
    <mergeCell ref="C87:I87"/>
    <mergeCell ref="C88:I88"/>
    <mergeCell ref="C109:I109"/>
    <mergeCell ref="C199:I199"/>
    <mergeCell ref="C158:I158"/>
    <mergeCell ref="C157:I157"/>
    <mergeCell ref="C167:I167"/>
    <mergeCell ref="C177:I177"/>
    <mergeCell ref="C135:J135"/>
    <mergeCell ref="C136:I136"/>
    <mergeCell ref="C147:I147"/>
    <mergeCell ref="C190:I190"/>
    <mergeCell ref="C195:I195"/>
    <mergeCell ref="C208:J208"/>
    <mergeCell ref="C209:I209"/>
    <mergeCell ref="C231:I231"/>
    <mergeCell ref="C246:I246"/>
    <mergeCell ref="C260:I260"/>
    <mergeCell ref="C318:I318"/>
    <mergeCell ref="C305:I305"/>
    <mergeCell ref="C306:I306"/>
    <mergeCell ref="C308:I308"/>
    <mergeCell ref="C242:I242"/>
    <mergeCell ref="C300:I300"/>
    <mergeCell ref="C301:I301"/>
    <mergeCell ref="C283:I283"/>
    <mergeCell ref="C284:I284"/>
    <mergeCell ref="C297:I297"/>
    <mergeCell ref="C299:I299"/>
    <mergeCell ref="C298:I298"/>
  </mergeCells>
  <printOptions horizontalCentered="1" verticalCentered="1"/>
  <pageMargins left="0" right="0" top="0" bottom="0" header="0" footer="0"/>
  <pageSetup scale="10" orientation="portrait" r:id="rId1"/>
  <headerFooter alignWithMargins="0"/>
  <rowBreaks count="1" manualBreakCount="1">
    <brk id="364" max="11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  <pageSetUpPr fitToPage="1"/>
  </sheetPr>
  <dimension ref="A1:AA158"/>
  <sheetViews>
    <sheetView showGridLines="0" showZeros="0" tabSelected="1" showWhiteSpace="0" view="pageLayout" topLeftCell="A36" zoomScale="130" zoomScaleNormal="100" zoomScaleSheetLayoutView="100" zoomScalePageLayoutView="130" workbookViewId="0">
      <selection activeCell="E55" sqref="E55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8.3984375" style="1" customWidth="1"/>
    <col min="5" max="5" width="13.3984375" style="1" customWidth="1"/>
    <col min="6" max="6" width="11.59765625" style="1" customWidth="1"/>
    <col min="7" max="7" width="34.19921875" style="1" customWidth="1"/>
    <col min="8" max="8" width="10" style="1" customWidth="1"/>
    <col min="9" max="9" width="16" style="1" customWidth="1"/>
    <col min="10" max="10" width="15.19921875" style="2" customWidth="1"/>
    <col min="11" max="11" width="12.3984375" style="2" customWidth="1"/>
    <col min="12" max="12" width="7.796875" style="2" customWidth="1"/>
    <col min="13" max="13" width="2.59765625" style="2" customWidth="1"/>
    <col min="14" max="14" width="6" style="3" customWidth="1"/>
    <col min="15" max="15" width="5" style="1" customWidth="1"/>
    <col min="16" max="16" width="8.796875" style="1"/>
    <col min="17" max="17" width="12.3984375" style="1" bestFit="1" customWidth="1"/>
    <col min="18" max="18" width="8.796875" style="1"/>
    <col min="19" max="19" width="12.59765625" style="1" bestFit="1" customWidth="1"/>
    <col min="20" max="22" width="8.796875" style="1"/>
    <col min="23" max="23" width="13.19921875" style="1" customWidth="1"/>
    <col min="24" max="24" width="8.796875" style="1"/>
    <col min="25" max="25" width="12.796875" style="1" customWidth="1"/>
    <col min="26" max="28" width="8.796875" style="1"/>
    <col min="29" max="29" width="10.59765625" style="1" bestFit="1" customWidth="1"/>
    <col min="30" max="16384" width="8.796875" style="1"/>
  </cols>
  <sheetData>
    <row r="1" spans="1:27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27" ht="25" thickBot="1" x14ac:dyDescent="0.35">
      <c r="A2" s="71"/>
      <c r="B2" s="167"/>
      <c r="C2" s="168"/>
      <c r="D2" s="169" t="s">
        <v>134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27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  <c r="R3" s="37"/>
      <c r="S3" s="634"/>
      <c r="T3" s="634"/>
      <c r="U3" s="634"/>
      <c r="V3" s="634"/>
      <c r="W3" s="634"/>
      <c r="X3" s="37"/>
      <c r="Y3" s="37"/>
      <c r="Z3" s="37"/>
      <c r="AA3" s="37"/>
    </row>
    <row r="4" spans="1:27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  <c r="R4" s="37"/>
      <c r="S4" s="37"/>
      <c r="T4" s="37"/>
      <c r="U4" s="37"/>
      <c r="V4" s="37"/>
      <c r="W4" s="37"/>
      <c r="X4" s="37"/>
      <c r="Y4" s="37"/>
      <c r="Z4" s="37"/>
      <c r="AA4" s="37"/>
    </row>
    <row r="5" spans="1:27" ht="25" thickBot="1" x14ac:dyDescent="0.35">
      <c r="A5" s="71"/>
      <c r="B5" s="166"/>
      <c r="C5" s="162" t="s">
        <v>53</v>
      </c>
      <c r="D5" s="71"/>
      <c r="E5" s="642"/>
      <c r="F5" s="643"/>
      <c r="G5" s="643"/>
      <c r="H5" s="179"/>
      <c r="I5" s="624"/>
      <c r="J5" s="624"/>
      <c r="K5" s="170"/>
      <c r="L5" s="170"/>
      <c r="M5" s="170"/>
      <c r="N5" s="178"/>
      <c r="O5" s="71"/>
      <c r="R5" s="37"/>
      <c r="S5" s="37"/>
      <c r="T5" s="37"/>
      <c r="U5" s="37"/>
      <c r="V5" s="37"/>
      <c r="W5" s="37"/>
      <c r="X5" s="37"/>
      <c r="Y5" s="37"/>
      <c r="Z5" s="37"/>
      <c r="AA5" s="37"/>
    </row>
    <row r="6" spans="1:27" x14ac:dyDescent="0.3">
      <c r="A6" s="71"/>
      <c r="B6" s="166"/>
      <c r="C6" s="162" t="s">
        <v>54</v>
      </c>
      <c r="D6" s="163"/>
      <c r="E6" s="644"/>
      <c r="F6" s="644"/>
      <c r="G6" s="644"/>
      <c r="H6" s="60"/>
      <c r="I6" s="625"/>
      <c r="J6" s="625"/>
      <c r="K6" s="172"/>
      <c r="L6" s="173"/>
      <c r="M6" s="171"/>
      <c r="N6" s="178"/>
      <c r="O6" s="71"/>
      <c r="R6" s="37"/>
      <c r="S6" s="37"/>
      <c r="T6" s="37"/>
      <c r="U6" s="37"/>
      <c r="V6" s="37"/>
      <c r="W6" s="37"/>
      <c r="X6" s="37"/>
      <c r="Y6" s="37"/>
      <c r="Z6" s="37"/>
      <c r="AA6" s="37"/>
    </row>
    <row r="7" spans="1:27" ht="8.25" customHeight="1" x14ac:dyDescent="0.3">
      <c r="A7" s="71"/>
      <c r="B7" s="166"/>
      <c r="C7" s="162"/>
      <c r="D7" s="71"/>
      <c r="E7" s="71"/>
      <c r="F7" s="71"/>
      <c r="G7" s="71"/>
      <c r="H7" s="629"/>
      <c r="I7" s="629"/>
      <c r="J7" s="629"/>
      <c r="K7" s="626"/>
      <c r="L7" s="626"/>
      <c r="M7" s="170"/>
      <c r="N7" s="178"/>
      <c r="O7" s="71"/>
      <c r="R7" s="37"/>
      <c r="S7" s="37"/>
      <c r="T7" s="37"/>
      <c r="U7" s="37"/>
      <c r="V7" s="37"/>
      <c r="W7" s="37"/>
      <c r="X7" s="37"/>
      <c r="Y7" s="37"/>
      <c r="Z7" s="37"/>
      <c r="AA7" s="37"/>
    </row>
    <row r="8" spans="1:27" x14ac:dyDescent="0.3">
      <c r="A8" s="71"/>
      <c r="B8" s="166"/>
      <c r="C8" s="645" t="s">
        <v>151</v>
      </c>
      <c r="D8" s="646"/>
      <c r="E8" s="646"/>
      <c r="F8" s="646"/>
      <c r="G8" s="646"/>
      <c r="H8" s="646"/>
      <c r="I8" s="646"/>
      <c r="J8" s="646"/>
      <c r="K8" s="646"/>
      <c r="L8" s="646"/>
      <c r="M8" s="647"/>
      <c r="N8" s="196"/>
      <c r="O8" s="71"/>
      <c r="R8" s="37"/>
      <c r="S8" s="37"/>
      <c r="T8" s="37"/>
      <c r="U8" s="37"/>
      <c r="V8" s="37"/>
      <c r="W8" s="37"/>
      <c r="X8" s="37"/>
      <c r="Y8" s="37"/>
      <c r="Z8" s="37"/>
      <c r="AA8" s="37"/>
    </row>
    <row r="9" spans="1:27" x14ac:dyDescent="0.3">
      <c r="A9" s="71"/>
      <c r="B9" s="166"/>
      <c r="C9" s="164"/>
      <c r="D9" s="188"/>
      <c r="E9" s="188"/>
      <c r="F9" s="188"/>
      <c r="G9" s="188"/>
      <c r="H9" s="189"/>
      <c r="I9" s="189"/>
      <c r="J9" s="189"/>
      <c r="K9" s="188"/>
      <c r="L9" s="189"/>
      <c r="M9" s="189"/>
      <c r="N9" s="196"/>
      <c r="O9" s="71"/>
      <c r="R9" s="37"/>
      <c r="S9" s="37"/>
      <c r="T9" s="37"/>
      <c r="U9" s="37"/>
      <c r="V9" s="37"/>
      <c r="W9" s="37"/>
      <c r="X9" s="37"/>
      <c r="Y9" s="37"/>
      <c r="Z9" s="37"/>
      <c r="AA9" s="37"/>
    </row>
    <row r="10" spans="1:27" x14ac:dyDescent="0.3">
      <c r="A10" s="71"/>
      <c r="B10" s="166"/>
      <c r="C10" s="164"/>
      <c r="D10" s="188"/>
      <c r="E10" s="188"/>
      <c r="F10" s="188"/>
      <c r="G10" s="188"/>
      <c r="H10" s="189"/>
      <c r="I10" s="189"/>
      <c r="J10" s="189"/>
      <c r="K10" s="188"/>
      <c r="L10" s="189"/>
      <c r="M10" s="189"/>
      <c r="N10" s="196"/>
      <c r="O10" s="71"/>
      <c r="R10" s="37"/>
      <c r="S10" s="37"/>
      <c r="T10" s="37"/>
      <c r="U10" s="37"/>
      <c r="V10" s="37"/>
      <c r="W10" s="37"/>
      <c r="X10" s="37"/>
      <c r="Y10" s="37"/>
      <c r="Z10" s="37"/>
      <c r="AA10" s="37"/>
    </row>
    <row r="11" spans="1:27" x14ac:dyDescent="0.3">
      <c r="A11" s="71"/>
      <c r="B11" s="166"/>
      <c r="C11" s="164"/>
      <c r="D11" s="188"/>
      <c r="E11" s="188"/>
      <c r="F11" s="188"/>
      <c r="G11" s="188"/>
      <c r="H11" s="189"/>
      <c r="I11" s="189"/>
      <c r="J11" s="189"/>
      <c r="K11" s="188"/>
      <c r="L11" s="189"/>
      <c r="M11" s="189"/>
      <c r="N11" s="196"/>
      <c r="O11" s="71"/>
      <c r="R11" s="37"/>
      <c r="S11" s="37"/>
      <c r="T11" s="37"/>
      <c r="U11" s="37"/>
      <c r="V11" s="37"/>
      <c r="W11" s="37"/>
      <c r="X11" s="37"/>
      <c r="Y11" s="37"/>
      <c r="Z11" s="37"/>
      <c r="AA11" s="37"/>
    </row>
    <row r="12" spans="1:27" x14ac:dyDescent="0.3">
      <c r="A12" s="71"/>
      <c r="B12" s="166"/>
      <c r="C12" s="164"/>
      <c r="D12" s="188"/>
      <c r="E12" s="188"/>
      <c r="F12" s="188"/>
      <c r="G12" s="188"/>
      <c r="H12" s="189"/>
      <c r="I12" s="189"/>
      <c r="J12" s="189"/>
      <c r="K12" s="188"/>
      <c r="L12" s="189"/>
      <c r="M12" s="189"/>
      <c r="N12" s="196"/>
      <c r="O12" s="71"/>
      <c r="R12" s="37"/>
      <c r="S12" s="37"/>
      <c r="T12" s="37"/>
      <c r="U12" s="37"/>
      <c r="V12" s="37"/>
      <c r="W12" s="37"/>
      <c r="X12" s="37"/>
      <c r="Y12" s="37"/>
      <c r="Z12" s="37"/>
      <c r="AA12" s="37"/>
    </row>
    <row r="13" spans="1:27" x14ac:dyDescent="0.3">
      <c r="A13" s="71"/>
      <c r="B13" s="166"/>
      <c r="C13" s="164"/>
      <c r="D13" s="188"/>
      <c r="E13" s="188"/>
      <c r="F13" s="188"/>
      <c r="G13" s="188"/>
      <c r="H13" s="189"/>
      <c r="I13" s="189"/>
      <c r="J13" s="189"/>
      <c r="K13" s="188"/>
      <c r="L13" s="189"/>
      <c r="M13" s="189"/>
      <c r="N13" s="196"/>
      <c r="O13" s="71"/>
      <c r="R13" s="37"/>
      <c r="S13" s="37"/>
      <c r="T13" s="37"/>
      <c r="U13" s="37"/>
      <c r="V13" s="37"/>
      <c r="W13" s="37"/>
      <c r="X13" s="37"/>
      <c r="Y13" s="37"/>
      <c r="Z13" s="37"/>
      <c r="AA13" s="37"/>
    </row>
    <row r="14" spans="1:27" x14ac:dyDescent="0.3">
      <c r="A14" s="71"/>
      <c r="B14" s="166"/>
      <c r="C14" s="164"/>
      <c r="D14" s="188"/>
      <c r="E14" s="188"/>
      <c r="F14" s="188"/>
      <c r="G14" s="188"/>
      <c r="H14" s="189"/>
      <c r="I14" s="189"/>
      <c r="J14" s="189"/>
      <c r="K14" s="188"/>
      <c r="L14" s="189"/>
      <c r="M14" s="189"/>
      <c r="N14" s="196"/>
      <c r="O14" s="71"/>
      <c r="R14" s="37"/>
      <c r="S14" s="37"/>
      <c r="T14" s="37"/>
      <c r="U14" s="37"/>
      <c r="V14" s="37"/>
      <c r="W14" s="37"/>
      <c r="X14" s="37"/>
      <c r="Y14" s="37"/>
      <c r="Z14" s="37"/>
      <c r="AA14" s="37"/>
    </row>
    <row r="15" spans="1:27" x14ac:dyDescent="0.3">
      <c r="A15" s="71"/>
      <c r="B15" s="166"/>
      <c r="C15" s="164"/>
      <c r="D15" s="188"/>
      <c r="E15" s="188"/>
      <c r="F15" s="188"/>
      <c r="G15" s="188"/>
      <c r="H15" s="189"/>
      <c r="I15" s="189"/>
      <c r="J15" s="189"/>
      <c r="K15" s="188"/>
      <c r="L15" s="189"/>
      <c r="M15" s="189"/>
      <c r="N15" s="196"/>
      <c r="O15" s="71"/>
      <c r="R15" s="37"/>
      <c r="S15" s="37"/>
      <c r="T15" s="37"/>
      <c r="U15" s="37"/>
      <c r="V15" s="37"/>
      <c r="W15" s="37"/>
      <c r="X15" s="37"/>
      <c r="Y15" s="37"/>
      <c r="Z15" s="37"/>
      <c r="AA15" s="37"/>
    </row>
    <row r="16" spans="1:27" x14ac:dyDescent="0.3">
      <c r="A16" s="71"/>
      <c r="B16" s="166"/>
      <c r="C16" s="164"/>
      <c r="D16" s="188"/>
      <c r="E16" s="188"/>
      <c r="F16" s="188"/>
      <c r="G16" s="188"/>
      <c r="H16" s="189"/>
      <c r="I16" s="189"/>
      <c r="J16" s="189"/>
      <c r="K16" s="188"/>
      <c r="L16" s="189"/>
      <c r="M16" s="189"/>
      <c r="N16" s="196"/>
      <c r="O16" s="71"/>
      <c r="R16" s="37"/>
      <c r="S16" s="37"/>
      <c r="T16" s="37"/>
      <c r="U16" s="37"/>
      <c r="V16" s="37"/>
      <c r="W16" s="37"/>
      <c r="X16" s="37"/>
      <c r="Y16" s="37"/>
      <c r="Z16" s="37"/>
      <c r="AA16" s="37"/>
    </row>
    <row r="17" spans="1:27" x14ac:dyDescent="0.3">
      <c r="A17" s="71"/>
      <c r="B17" s="166"/>
      <c r="C17" s="164"/>
      <c r="D17" s="188"/>
      <c r="E17" s="188"/>
      <c r="F17" s="188"/>
      <c r="G17" s="188"/>
      <c r="H17" s="189"/>
      <c r="I17" s="189"/>
      <c r="J17" s="189"/>
      <c r="K17" s="188"/>
      <c r="L17" s="189"/>
      <c r="M17" s="189"/>
      <c r="N17" s="196"/>
      <c r="O17" s="71"/>
      <c r="R17" s="37"/>
      <c r="S17" s="37"/>
      <c r="T17" s="37"/>
      <c r="U17" s="37"/>
      <c r="V17" s="37"/>
      <c r="W17" s="37"/>
      <c r="X17" s="37"/>
      <c r="Y17" s="37"/>
      <c r="Z17" s="37"/>
      <c r="AA17" s="37"/>
    </row>
    <row r="18" spans="1:27" x14ac:dyDescent="0.3">
      <c r="A18" s="71"/>
      <c r="B18" s="166"/>
      <c r="C18" s="164"/>
      <c r="D18" s="188"/>
      <c r="E18" s="188"/>
      <c r="F18" s="188"/>
      <c r="G18" s="188"/>
      <c r="H18" s="189"/>
      <c r="I18" s="189"/>
      <c r="J18" s="189"/>
      <c r="K18" s="188"/>
      <c r="L18" s="189"/>
      <c r="M18" s="189"/>
      <c r="N18" s="196"/>
      <c r="O18" s="71"/>
      <c r="R18" s="37"/>
      <c r="S18" s="37"/>
      <c r="T18" s="37"/>
      <c r="U18" s="37"/>
      <c r="V18" s="37"/>
      <c r="W18" s="37"/>
      <c r="X18" s="37"/>
      <c r="Y18" s="37"/>
      <c r="Z18" s="37"/>
      <c r="AA18" s="37"/>
    </row>
    <row r="19" spans="1:27" x14ac:dyDescent="0.3">
      <c r="A19" s="71"/>
      <c r="B19" s="166"/>
      <c r="C19" s="190" t="s">
        <v>135</v>
      </c>
      <c r="D19" s="188"/>
      <c r="E19" s="188"/>
      <c r="F19" s="188"/>
      <c r="G19" s="188"/>
      <c r="H19" s="190" t="s">
        <v>162</v>
      </c>
      <c r="I19" s="188"/>
      <c r="J19" s="188"/>
      <c r="K19" s="188"/>
      <c r="L19" s="189"/>
      <c r="M19" s="189"/>
      <c r="N19" s="196"/>
      <c r="O19" s="71"/>
      <c r="R19" s="37"/>
      <c r="S19" s="37"/>
      <c r="T19" s="37"/>
      <c r="U19" s="37"/>
      <c r="V19" s="37"/>
      <c r="W19" s="37"/>
      <c r="X19" s="37"/>
      <c r="Y19" s="37"/>
      <c r="Z19" s="37"/>
      <c r="AA19" s="37"/>
    </row>
    <row r="20" spans="1:27" x14ac:dyDescent="0.3">
      <c r="A20" s="71"/>
      <c r="B20" s="166"/>
      <c r="C20" s="614" t="s">
        <v>234</v>
      </c>
      <c r="D20" s="614"/>
      <c r="E20" s="519" t="s">
        <v>402</v>
      </c>
      <c r="F20" s="188"/>
      <c r="G20" s="188"/>
      <c r="H20" s="614" t="s">
        <v>234</v>
      </c>
      <c r="I20" s="614"/>
      <c r="J20" s="519" t="s">
        <v>403</v>
      </c>
      <c r="K20" s="322"/>
      <c r="L20" s="189"/>
      <c r="M20" s="189"/>
      <c r="N20" s="196"/>
      <c r="O20" s="71"/>
      <c r="R20" s="37"/>
      <c r="S20" s="37"/>
      <c r="T20" s="37"/>
      <c r="U20" s="37"/>
      <c r="V20" s="37"/>
      <c r="W20" s="37"/>
      <c r="X20" s="37"/>
      <c r="Y20" s="37"/>
      <c r="Z20" s="37"/>
      <c r="AA20" s="37"/>
    </row>
    <row r="21" spans="1:27" x14ac:dyDescent="0.3">
      <c r="A21" s="71"/>
      <c r="B21" s="166"/>
      <c r="C21" s="621" t="s">
        <v>404</v>
      </c>
      <c r="D21" s="622"/>
      <c r="E21" s="514">
        <v>20</v>
      </c>
      <c r="F21" s="294" t="s">
        <v>376</v>
      </c>
      <c r="G21" s="279"/>
      <c r="H21" s="621" t="s">
        <v>404</v>
      </c>
      <c r="I21" s="622"/>
      <c r="J21" s="514"/>
      <c r="K21" s="294" t="s">
        <v>376</v>
      </c>
      <c r="L21" s="189"/>
      <c r="M21" s="189"/>
      <c r="N21" s="196"/>
      <c r="O21" s="71"/>
      <c r="P21" s="37"/>
      <c r="Q21" s="37"/>
      <c r="R21" s="37"/>
      <c r="S21" s="37"/>
      <c r="T21" s="37"/>
      <c r="U21" s="37"/>
      <c r="V21" s="37"/>
      <c r="W21" s="37"/>
      <c r="X21" s="37"/>
      <c r="Y21" s="37"/>
      <c r="Z21" s="37"/>
      <c r="AA21" s="37"/>
    </row>
    <row r="22" spans="1:27" x14ac:dyDescent="0.3">
      <c r="A22" s="71"/>
      <c r="B22" s="166"/>
      <c r="C22" s="632" t="s">
        <v>375</v>
      </c>
      <c r="D22" s="632"/>
      <c r="E22" s="520" t="s">
        <v>374</v>
      </c>
      <c r="F22" s="278"/>
      <c r="G22" s="188"/>
      <c r="H22" s="632" t="s">
        <v>375</v>
      </c>
      <c r="I22" s="632"/>
      <c r="J22" s="520" t="s">
        <v>385</v>
      </c>
      <c r="K22" s="278"/>
      <c r="L22" s="189"/>
      <c r="M22" s="189"/>
      <c r="N22" s="196"/>
      <c r="O22" s="71"/>
      <c r="P22" s="659"/>
      <c r="Q22" s="659"/>
      <c r="R22" s="333"/>
      <c r="S22" s="37"/>
      <c r="T22" s="37"/>
      <c r="U22" s="37"/>
      <c r="V22" s="37"/>
      <c r="W22" s="37"/>
      <c r="X22" s="37"/>
      <c r="Y22" s="37"/>
      <c r="Z22" s="37"/>
      <c r="AA22" s="37"/>
    </row>
    <row r="23" spans="1:27" x14ac:dyDescent="0.3">
      <c r="A23" s="71"/>
      <c r="B23" s="166"/>
      <c r="C23" s="632" t="s">
        <v>235</v>
      </c>
      <c r="D23" s="632"/>
      <c r="E23" s="521" t="s">
        <v>379</v>
      </c>
      <c r="F23" s="515"/>
      <c r="G23" s="321" t="s">
        <v>443</v>
      </c>
      <c r="H23" s="632" t="s">
        <v>235</v>
      </c>
      <c r="I23" s="632"/>
      <c r="J23" s="521" t="s">
        <v>381</v>
      </c>
      <c r="K23" s="515"/>
      <c r="L23" s="321" t="s">
        <v>443</v>
      </c>
      <c r="M23" s="190"/>
      <c r="N23" s="197"/>
      <c r="O23" s="71"/>
      <c r="P23" s="212"/>
      <c r="Q23" s="212"/>
      <c r="R23" s="333"/>
      <c r="S23" s="37"/>
      <c r="T23" s="37"/>
      <c r="U23" s="37"/>
      <c r="V23" s="37"/>
      <c r="W23" s="37"/>
      <c r="X23" s="37"/>
      <c r="Y23" s="37"/>
      <c r="Z23" s="37"/>
      <c r="AA23" s="37"/>
    </row>
    <row r="24" spans="1:27" x14ac:dyDescent="0.3">
      <c r="B24" s="8"/>
      <c r="C24" s="614" t="s">
        <v>382</v>
      </c>
      <c r="D24" s="614"/>
      <c r="E24" s="516">
        <f>E21</f>
        <v>20</v>
      </c>
      <c r="F24" s="280"/>
      <c r="G24" s="190"/>
      <c r="H24" s="614" t="s">
        <v>382</v>
      </c>
      <c r="I24" s="614"/>
      <c r="J24" s="516">
        <f>J21</f>
        <v>0</v>
      </c>
      <c r="K24" s="280"/>
      <c r="L24" s="190"/>
      <c r="M24" s="190"/>
      <c r="N24" s="19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</row>
    <row r="25" spans="1:27" x14ac:dyDescent="0.3">
      <c r="B25" s="8"/>
      <c r="C25" s="614" t="s">
        <v>383</v>
      </c>
      <c r="D25" s="614"/>
      <c r="E25" s="517">
        <v>10</v>
      </c>
      <c r="F25" s="202" t="s">
        <v>155</v>
      </c>
      <c r="G25" s="190"/>
      <c r="H25" s="614" t="s">
        <v>383</v>
      </c>
      <c r="I25" s="614"/>
      <c r="J25" s="517"/>
      <c r="K25" s="202" t="s">
        <v>155</v>
      </c>
      <c r="L25" s="190"/>
      <c r="M25" s="190"/>
      <c r="N25" s="197"/>
      <c r="R25" s="37"/>
      <c r="S25" s="37"/>
      <c r="T25" s="37"/>
      <c r="U25" s="37"/>
      <c r="V25" s="37"/>
      <c r="W25" s="37"/>
      <c r="X25" s="37"/>
      <c r="Y25" s="37"/>
      <c r="Z25" s="37"/>
      <c r="AA25" s="37"/>
    </row>
    <row r="26" spans="1:27" x14ac:dyDescent="0.3">
      <c r="B26" s="8"/>
      <c r="C26" s="614" t="s">
        <v>384</v>
      </c>
      <c r="D26" s="614"/>
      <c r="E26" s="517">
        <v>5</v>
      </c>
      <c r="F26" s="202" t="s">
        <v>155</v>
      </c>
      <c r="G26" s="190"/>
      <c r="H26" s="614" t="s">
        <v>384</v>
      </c>
      <c r="I26" s="614"/>
      <c r="J26" s="517"/>
      <c r="K26" s="202" t="s">
        <v>155</v>
      </c>
      <c r="L26" s="190"/>
      <c r="M26" s="190"/>
      <c r="N26" s="197"/>
      <c r="R26" s="37"/>
      <c r="S26" s="37"/>
      <c r="T26" s="37"/>
      <c r="U26" s="37"/>
      <c r="V26" s="37"/>
      <c r="W26" s="37"/>
      <c r="X26" s="37"/>
      <c r="Y26" s="37"/>
      <c r="Z26" s="37"/>
      <c r="AA26" s="37"/>
    </row>
    <row r="27" spans="1:27" x14ac:dyDescent="0.3">
      <c r="B27" s="8"/>
      <c r="C27" s="614" t="s">
        <v>172</v>
      </c>
      <c r="D27" s="614"/>
      <c r="E27" s="517">
        <v>10</v>
      </c>
      <c r="F27" s="202" t="s">
        <v>158</v>
      </c>
      <c r="G27" s="190"/>
      <c r="H27" s="614" t="s">
        <v>172</v>
      </c>
      <c r="I27" s="614"/>
      <c r="J27" s="517"/>
      <c r="K27" s="202" t="s">
        <v>158</v>
      </c>
      <c r="L27" s="190"/>
      <c r="M27" s="190"/>
      <c r="N27" s="197"/>
      <c r="R27" s="37"/>
      <c r="S27" s="37"/>
      <c r="T27" s="37"/>
      <c r="U27" s="37"/>
      <c r="V27" s="37"/>
      <c r="W27" s="37"/>
      <c r="X27" s="37"/>
      <c r="Y27" s="37"/>
      <c r="Z27" s="37"/>
      <c r="AA27" s="37"/>
    </row>
    <row r="28" spans="1:27" x14ac:dyDescent="0.3">
      <c r="B28" s="8"/>
      <c r="C28" s="621" t="s">
        <v>386</v>
      </c>
      <c r="D28" s="622"/>
      <c r="E28" s="520" t="s">
        <v>360</v>
      </c>
      <c r="F28" s="517">
        <v>5</v>
      </c>
      <c r="G28" s="279" t="s">
        <v>376</v>
      </c>
      <c r="H28" s="621" t="s">
        <v>386</v>
      </c>
      <c r="I28" s="622"/>
      <c r="J28" s="520" t="s">
        <v>359</v>
      </c>
      <c r="K28" s="517"/>
      <c r="L28" s="190"/>
      <c r="M28" s="190"/>
      <c r="N28" s="197"/>
      <c r="R28" s="37"/>
      <c r="S28" s="37"/>
      <c r="T28" s="37"/>
      <c r="U28" s="37"/>
      <c r="V28" s="37"/>
      <c r="W28" s="37"/>
      <c r="X28" s="37"/>
      <c r="Y28" s="37"/>
      <c r="Z28" s="37"/>
      <c r="AA28" s="37"/>
    </row>
    <row r="29" spans="1:27" x14ac:dyDescent="0.3">
      <c r="B29" s="8"/>
      <c r="C29" s="621" t="s">
        <v>387</v>
      </c>
      <c r="D29" s="622"/>
      <c r="E29" s="270">
        <f>E25*E24</f>
        <v>200</v>
      </c>
      <c r="F29" s="202" t="s">
        <v>156</v>
      </c>
      <c r="G29" s="190"/>
      <c r="H29" s="621" t="s">
        <v>387</v>
      </c>
      <c r="I29" s="622"/>
      <c r="J29" s="270">
        <f>J24*J25</f>
        <v>0</v>
      </c>
      <c r="K29" s="202" t="s">
        <v>156</v>
      </c>
      <c r="L29" s="190"/>
      <c r="M29" s="190"/>
      <c r="N29" s="197"/>
      <c r="R29" s="37"/>
      <c r="S29" s="37"/>
      <c r="T29" s="37"/>
      <c r="U29" s="37"/>
      <c r="V29" s="37"/>
      <c r="W29" s="37"/>
      <c r="X29" s="37"/>
      <c r="Y29" s="37"/>
      <c r="Z29" s="37"/>
      <c r="AA29" s="37"/>
    </row>
    <row r="30" spans="1:27" x14ac:dyDescent="0.3">
      <c r="B30" s="8"/>
      <c r="C30" s="190" t="s">
        <v>139</v>
      </c>
      <c r="D30" s="190"/>
      <c r="E30" s="190"/>
      <c r="F30" s="202"/>
      <c r="G30" s="190"/>
      <c r="H30" s="190" t="s">
        <v>140</v>
      </c>
      <c r="I30" s="190"/>
      <c r="J30" s="190"/>
      <c r="K30" s="202"/>
      <c r="L30" s="190"/>
      <c r="M30" s="190"/>
      <c r="N30" s="197"/>
      <c r="R30" s="37"/>
      <c r="S30" s="37"/>
      <c r="T30" s="37"/>
      <c r="U30" s="37"/>
      <c r="V30" s="37"/>
      <c r="W30" s="37"/>
      <c r="X30" s="37"/>
      <c r="Y30" s="37"/>
      <c r="Z30" s="37"/>
      <c r="AA30" s="37"/>
    </row>
    <row r="31" spans="1:27" x14ac:dyDescent="0.3">
      <c r="B31" s="8"/>
      <c r="C31" s="614" t="s">
        <v>136</v>
      </c>
      <c r="D31" s="614"/>
      <c r="E31" s="517"/>
      <c r="F31" s="202" t="s">
        <v>155</v>
      </c>
      <c r="G31" s="190"/>
      <c r="H31" s="614" t="s">
        <v>136</v>
      </c>
      <c r="I31" s="614"/>
      <c r="J31" s="517"/>
      <c r="K31" s="202" t="s">
        <v>155</v>
      </c>
      <c r="L31" s="190"/>
      <c r="M31" s="190"/>
      <c r="N31" s="197"/>
      <c r="R31" s="37"/>
      <c r="S31" s="37"/>
      <c r="T31" s="37"/>
      <c r="U31" s="37"/>
      <c r="V31" s="37"/>
      <c r="W31" s="37"/>
      <c r="X31" s="37"/>
      <c r="Y31" s="37"/>
      <c r="Z31" s="37"/>
      <c r="AA31" s="37"/>
    </row>
    <row r="32" spans="1:27" x14ac:dyDescent="0.3">
      <c r="B32" s="8"/>
      <c r="C32" s="614" t="s">
        <v>141</v>
      </c>
      <c r="D32" s="614"/>
      <c r="E32" s="517"/>
      <c r="F32" s="202" t="s">
        <v>155</v>
      </c>
      <c r="G32" s="190"/>
      <c r="H32" s="614" t="s">
        <v>142</v>
      </c>
      <c r="I32" s="614"/>
      <c r="J32" s="517"/>
      <c r="K32" s="202" t="s">
        <v>155</v>
      </c>
      <c r="L32" s="190"/>
      <c r="M32" s="190"/>
      <c r="N32" s="197"/>
      <c r="R32" s="37"/>
      <c r="S32" s="37"/>
      <c r="T32" s="37"/>
      <c r="U32" s="37"/>
      <c r="V32" s="37"/>
      <c r="W32" s="37"/>
      <c r="X32" s="37"/>
      <c r="Y32" s="37"/>
      <c r="Z32" s="37"/>
      <c r="AA32" s="37"/>
    </row>
    <row r="33" spans="2:27" x14ac:dyDescent="0.3">
      <c r="B33" s="8"/>
      <c r="C33" s="632" t="s">
        <v>235</v>
      </c>
      <c r="D33" s="632"/>
      <c r="E33" s="521" t="s">
        <v>381</v>
      </c>
      <c r="F33" s="515"/>
      <c r="G33" s="321" t="s">
        <v>443</v>
      </c>
      <c r="H33" s="632" t="s">
        <v>235</v>
      </c>
      <c r="I33" s="632"/>
      <c r="J33" s="521" t="s">
        <v>381</v>
      </c>
      <c r="K33" s="515"/>
      <c r="L33" s="321" t="s">
        <v>443</v>
      </c>
      <c r="M33" s="190"/>
      <c r="N33" s="197"/>
      <c r="R33" s="37"/>
      <c r="S33" s="37"/>
      <c r="T33" s="37"/>
      <c r="U33" s="37"/>
      <c r="V33" s="37"/>
      <c r="W33" s="37"/>
      <c r="X33" s="37"/>
      <c r="Y33" s="37"/>
      <c r="Z33" s="37"/>
      <c r="AA33" s="37"/>
    </row>
    <row r="34" spans="2:27" x14ac:dyDescent="0.3">
      <c r="B34" s="8"/>
      <c r="C34" s="621" t="s">
        <v>386</v>
      </c>
      <c r="D34" s="622"/>
      <c r="E34" s="520" t="s">
        <v>359</v>
      </c>
      <c r="F34" s="517"/>
      <c r="G34" s="279" t="s">
        <v>376</v>
      </c>
      <c r="H34" s="621" t="s">
        <v>386</v>
      </c>
      <c r="I34" s="622"/>
      <c r="J34" s="520" t="s">
        <v>359</v>
      </c>
      <c r="K34" s="517"/>
      <c r="L34" s="279" t="s">
        <v>376</v>
      </c>
      <c r="M34" s="190"/>
      <c r="N34" s="197"/>
      <c r="R34" s="37"/>
      <c r="S34" s="37"/>
      <c r="T34" s="37"/>
      <c r="U34" s="37"/>
      <c r="V34" s="37"/>
      <c r="W34" s="37"/>
      <c r="X34" s="37"/>
      <c r="Y34" s="37"/>
      <c r="Z34" s="37"/>
      <c r="AA34" s="37"/>
    </row>
    <row r="35" spans="2:27" x14ac:dyDescent="0.3">
      <c r="B35" s="8"/>
      <c r="C35" s="660" t="s">
        <v>780</v>
      </c>
      <c r="D35" s="661"/>
      <c r="E35" s="522" t="s">
        <v>782</v>
      </c>
      <c r="F35" s="333"/>
      <c r="G35" s="279"/>
      <c r="H35" s="660" t="s">
        <v>780</v>
      </c>
      <c r="I35" s="622"/>
      <c r="J35" s="522" t="s">
        <v>782</v>
      </c>
      <c r="K35" s="333"/>
      <c r="L35" s="279"/>
      <c r="M35" s="190"/>
      <c r="N35" s="197"/>
      <c r="R35" s="37"/>
      <c r="S35" s="37"/>
      <c r="T35" s="37"/>
      <c r="U35" s="37"/>
      <c r="V35" s="37"/>
      <c r="W35" s="37"/>
      <c r="X35" s="37"/>
      <c r="Y35" s="37"/>
      <c r="Z35" s="37"/>
      <c r="AA35" s="37"/>
    </row>
    <row r="36" spans="2:27" x14ac:dyDescent="0.3">
      <c r="B36" s="8"/>
      <c r="C36" s="614" t="s">
        <v>837</v>
      </c>
      <c r="D36" s="614"/>
      <c r="E36" s="523">
        <f>IF(E38&gt;6,E38*13.5/12,0)</f>
        <v>0</v>
      </c>
      <c r="F36" s="202" t="s">
        <v>158</v>
      </c>
      <c r="G36" s="279"/>
      <c r="H36" s="614" t="s">
        <v>837</v>
      </c>
      <c r="I36" s="614"/>
      <c r="J36" s="523">
        <f>IF(J38&gt;6,J38*13.5/12,0)</f>
        <v>0</v>
      </c>
      <c r="K36" s="202" t="s">
        <v>158</v>
      </c>
      <c r="L36" s="279"/>
      <c r="M36" s="190"/>
      <c r="N36" s="197"/>
      <c r="R36" s="37"/>
      <c r="S36" s="37"/>
      <c r="T36" s="37"/>
      <c r="U36" s="37"/>
      <c r="V36" s="37"/>
      <c r="W36" s="37"/>
      <c r="X36" s="37"/>
      <c r="Y36" s="37"/>
      <c r="Z36" s="37"/>
      <c r="AA36" s="37"/>
    </row>
    <row r="37" spans="2:27" x14ac:dyDescent="0.3">
      <c r="B37" s="8"/>
      <c r="C37" s="190"/>
      <c r="D37" s="190"/>
      <c r="E37" s="270">
        <f>Formulas!D33</f>
        <v>0</v>
      </c>
      <c r="F37" s="202" t="s">
        <v>152</v>
      </c>
      <c r="G37" s="190"/>
      <c r="H37" s="190"/>
      <c r="I37" s="190"/>
      <c r="J37" s="270">
        <f>Formulas!D34</f>
        <v>0</v>
      </c>
      <c r="K37" s="202" t="s">
        <v>152</v>
      </c>
      <c r="L37" s="190"/>
      <c r="M37" s="190"/>
      <c r="N37" s="197"/>
      <c r="R37" s="37"/>
      <c r="S37" s="37"/>
      <c r="T37" s="37"/>
      <c r="U37" s="37"/>
      <c r="V37" s="37"/>
      <c r="W37" s="37"/>
      <c r="X37" s="37"/>
      <c r="Y37" s="37"/>
      <c r="Z37" s="37"/>
      <c r="AA37" s="37"/>
    </row>
    <row r="38" spans="2:27" x14ac:dyDescent="0.3">
      <c r="B38" s="8"/>
      <c r="C38" s="190"/>
      <c r="D38" s="190"/>
      <c r="E38" s="270">
        <f>Formulas!E33</f>
        <v>0</v>
      </c>
      <c r="F38" s="202" t="s">
        <v>348</v>
      </c>
      <c r="G38" s="190"/>
      <c r="H38" s="190"/>
      <c r="I38" s="190"/>
      <c r="J38" s="270">
        <f>Formulas!E34</f>
        <v>0</v>
      </c>
      <c r="K38" s="202" t="s">
        <v>348</v>
      </c>
      <c r="L38" s="190"/>
      <c r="M38" s="190"/>
      <c r="N38" s="197"/>
      <c r="R38" s="37"/>
      <c r="S38" s="37"/>
      <c r="T38" s="37"/>
      <c r="U38" s="37"/>
      <c r="V38" s="37"/>
      <c r="W38" s="37"/>
      <c r="X38" s="37"/>
      <c r="Y38" s="37"/>
      <c r="Z38" s="37"/>
      <c r="AA38" s="37"/>
    </row>
    <row r="39" spans="2:27" s="37" customFormat="1" x14ac:dyDescent="0.3">
      <c r="B39" s="211"/>
      <c r="C39" s="212"/>
      <c r="D39" s="212"/>
      <c r="E39" s="213"/>
      <c r="F39" s="214"/>
      <c r="G39" s="212"/>
      <c r="H39" s="212"/>
      <c r="I39" s="212"/>
      <c r="J39" s="213"/>
      <c r="K39" s="214"/>
      <c r="L39" s="212"/>
      <c r="M39" s="212"/>
      <c r="N39" s="215"/>
    </row>
    <row r="40" spans="2:27" x14ac:dyDescent="0.3">
      <c r="B40" s="8"/>
      <c r="C40" s="190" t="s">
        <v>143</v>
      </c>
      <c r="D40" s="190"/>
      <c r="E40" s="519" t="s">
        <v>403</v>
      </c>
      <c r="F40" s="202" t="s">
        <v>233</v>
      </c>
      <c r="G40" s="190"/>
      <c r="H40" s="190" t="s">
        <v>144</v>
      </c>
      <c r="I40" s="190"/>
      <c r="J40" s="519" t="s">
        <v>403</v>
      </c>
      <c r="K40" s="202" t="s">
        <v>233</v>
      </c>
      <c r="L40" s="190"/>
      <c r="M40" s="190"/>
      <c r="N40" s="197"/>
      <c r="R40" s="37"/>
      <c r="S40" s="37"/>
      <c r="T40" s="37"/>
      <c r="U40" s="37"/>
      <c r="V40" s="37"/>
      <c r="W40" s="37"/>
      <c r="X40" s="37"/>
      <c r="Y40" s="37"/>
      <c r="Z40" s="37"/>
      <c r="AA40" s="37"/>
    </row>
    <row r="41" spans="2:27" x14ac:dyDescent="0.3">
      <c r="B41" s="8"/>
      <c r="C41" s="614" t="s">
        <v>136</v>
      </c>
      <c r="D41" s="614"/>
      <c r="E41" s="517"/>
      <c r="F41" s="202" t="s">
        <v>155</v>
      </c>
      <c r="G41" s="190"/>
      <c r="H41" s="614" t="s">
        <v>136</v>
      </c>
      <c r="I41" s="614"/>
      <c r="J41" s="517"/>
      <c r="K41" s="202" t="s">
        <v>155</v>
      </c>
      <c r="L41" s="190"/>
      <c r="M41" s="190"/>
      <c r="N41" s="197"/>
      <c r="R41" s="37"/>
      <c r="S41" s="37"/>
      <c r="T41" s="37"/>
      <c r="U41" s="37"/>
      <c r="V41" s="37"/>
      <c r="W41" s="37"/>
      <c r="X41" s="37"/>
      <c r="Y41" s="37"/>
      <c r="Z41" s="37"/>
      <c r="AA41" s="37"/>
    </row>
    <row r="42" spans="2:27" ht="24" customHeight="1" x14ac:dyDescent="0.3">
      <c r="B42" s="8"/>
      <c r="C42" s="614" t="s">
        <v>137</v>
      </c>
      <c r="D42" s="614"/>
      <c r="E42" s="517"/>
      <c r="F42" s="202" t="s">
        <v>155</v>
      </c>
      <c r="G42" s="190"/>
      <c r="H42" s="614" t="s">
        <v>137</v>
      </c>
      <c r="I42" s="614"/>
      <c r="J42" s="517"/>
      <c r="K42" s="202" t="s">
        <v>155</v>
      </c>
      <c r="L42" s="190"/>
      <c r="M42" s="190"/>
      <c r="N42" s="197"/>
      <c r="R42" s="37"/>
      <c r="S42" s="37"/>
      <c r="T42" s="37"/>
      <c r="U42" s="37"/>
      <c r="V42" s="37"/>
      <c r="W42" s="37"/>
      <c r="X42" s="37"/>
      <c r="Y42" s="37"/>
      <c r="Z42" s="37"/>
      <c r="AA42" s="37"/>
    </row>
    <row r="43" spans="2:27" ht="24" customHeight="1" x14ac:dyDescent="0.3">
      <c r="B43" s="8"/>
      <c r="C43" s="614" t="s">
        <v>138</v>
      </c>
      <c r="D43" s="614"/>
      <c r="E43" s="517"/>
      <c r="F43" s="202" t="s">
        <v>155</v>
      </c>
      <c r="G43" s="190"/>
      <c r="H43" s="614" t="s">
        <v>138</v>
      </c>
      <c r="I43" s="614"/>
      <c r="J43" s="517"/>
      <c r="K43" s="202" t="s">
        <v>155</v>
      </c>
      <c r="L43" s="190"/>
      <c r="M43" s="190"/>
      <c r="N43" s="197"/>
      <c r="R43" s="37"/>
      <c r="S43" s="37"/>
      <c r="T43" s="37"/>
      <c r="U43" s="37"/>
      <c r="V43" s="37"/>
      <c r="W43" s="37"/>
      <c r="X43" s="37"/>
      <c r="Y43" s="37"/>
      <c r="Z43" s="37"/>
      <c r="AA43" s="37"/>
    </row>
    <row r="44" spans="2:27" ht="24" customHeight="1" x14ac:dyDescent="0.3">
      <c r="B44" s="8"/>
      <c r="C44" s="632" t="s">
        <v>405</v>
      </c>
      <c r="D44" s="632"/>
      <c r="E44" s="517"/>
      <c r="F44" s="293" t="s">
        <v>376</v>
      </c>
      <c r="G44" s="279"/>
      <c r="H44" s="632" t="s">
        <v>405</v>
      </c>
      <c r="I44" s="632"/>
      <c r="J44" s="517">
        <f>J41</f>
        <v>0</v>
      </c>
      <c r="K44" s="293" t="s">
        <v>158</v>
      </c>
      <c r="L44" s="293"/>
      <c r="M44" s="190"/>
      <c r="N44" s="197"/>
      <c r="R44" s="37"/>
      <c r="S44" s="37"/>
      <c r="T44" s="37"/>
      <c r="U44" s="37"/>
      <c r="V44" s="37"/>
      <c r="W44" s="37"/>
      <c r="X44" s="37"/>
      <c r="Y44" s="37"/>
      <c r="Z44" s="37"/>
      <c r="AA44" s="37"/>
    </row>
    <row r="45" spans="2:27" ht="24" customHeight="1" x14ac:dyDescent="0.3">
      <c r="B45" s="8"/>
      <c r="C45" s="632" t="s">
        <v>375</v>
      </c>
      <c r="D45" s="632"/>
      <c r="E45" s="520" t="s">
        <v>385</v>
      </c>
      <c r="F45" s="278"/>
      <c r="G45" s="188"/>
      <c r="H45" s="632" t="s">
        <v>375</v>
      </c>
      <c r="I45" s="632"/>
      <c r="J45" s="519" t="s">
        <v>385</v>
      </c>
      <c r="K45" s="202"/>
      <c r="L45" s="190"/>
      <c r="M45" s="190"/>
      <c r="N45" s="197"/>
      <c r="R45" s="37"/>
      <c r="S45" s="37"/>
      <c r="T45" s="37"/>
      <c r="U45" s="37"/>
      <c r="V45" s="37"/>
      <c r="W45" s="37"/>
      <c r="X45" s="37"/>
      <c r="Y45" s="37"/>
      <c r="Z45" s="37"/>
      <c r="AA45" s="37"/>
    </row>
    <row r="46" spans="2:27" ht="24" customHeight="1" x14ac:dyDescent="0.3">
      <c r="B46" s="8"/>
      <c r="C46" s="632" t="s">
        <v>235</v>
      </c>
      <c r="D46" s="632"/>
      <c r="E46" s="521" t="s">
        <v>381</v>
      </c>
      <c r="F46" s="515"/>
      <c r="G46" s="321" t="s">
        <v>443</v>
      </c>
      <c r="H46" s="632" t="s">
        <v>235</v>
      </c>
      <c r="I46" s="632"/>
      <c r="J46" s="521" t="s">
        <v>381</v>
      </c>
      <c r="K46" s="515"/>
      <c r="L46" s="321" t="s">
        <v>443</v>
      </c>
      <c r="M46" s="190"/>
      <c r="N46" s="197"/>
      <c r="R46" s="37"/>
      <c r="S46" s="37"/>
      <c r="T46" s="37"/>
      <c r="U46" s="37"/>
      <c r="V46" s="37"/>
      <c r="W46" s="37"/>
      <c r="X46" s="37"/>
      <c r="Y46" s="37"/>
      <c r="Z46" s="37"/>
      <c r="AA46" s="37"/>
    </row>
    <row r="47" spans="2:27" ht="24" customHeight="1" x14ac:dyDescent="0.3">
      <c r="B47" s="8"/>
      <c r="C47" s="614" t="s">
        <v>172</v>
      </c>
      <c r="D47" s="614"/>
      <c r="E47" s="517"/>
      <c r="F47" s="202" t="s">
        <v>158</v>
      </c>
      <c r="G47" s="190"/>
      <c r="H47" s="614" t="s">
        <v>172</v>
      </c>
      <c r="I47" s="614"/>
      <c r="J47" s="517"/>
      <c r="K47" s="202" t="s">
        <v>158</v>
      </c>
      <c r="L47" s="190"/>
      <c r="M47" s="190"/>
      <c r="N47" s="197"/>
      <c r="R47" s="37"/>
      <c r="S47" s="37"/>
      <c r="T47" s="37"/>
      <c r="U47" s="37"/>
      <c r="V47" s="37"/>
      <c r="W47" s="37"/>
      <c r="X47" s="37"/>
      <c r="Y47" s="37"/>
      <c r="Z47" s="37"/>
      <c r="AA47" s="37"/>
    </row>
    <row r="48" spans="2:27" ht="24" customHeight="1" x14ac:dyDescent="0.3">
      <c r="B48" s="8"/>
      <c r="C48" s="190"/>
      <c r="D48" s="190"/>
      <c r="E48" s="270">
        <f>E41*E42</f>
        <v>0</v>
      </c>
      <c r="F48" s="202" t="s">
        <v>156</v>
      </c>
      <c r="G48" s="190"/>
      <c r="H48" s="190"/>
      <c r="I48" s="190"/>
      <c r="J48" s="270">
        <f>J42*J41</f>
        <v>0</v>
      </c>
      <c r="K48" s="202" t="s">
        <v>156</v>
      </c>
      <c r="L48" s="200"/>
      <c r="M48" s="190"/>
      <c r="N48" s="197"/>
      <c r="R48" s="37"/>
      <c r="S48" s="37"/>
      <c r="T48" s="37"/>
      <c r="U48" s="37"/>
      <c r="V48" s="37"/>
      <c r="W48" s="37"/>
      <c r="X48" s="37"/>
      <c r="Y48" s="37"/>
      <c r="Z48" s="37"/>
      <c r="AA48" s="37"/>
    </row>
    <row r="49" spans="2:27" ht="24" customHeight="1" thickBot="1" x14ac:dyDescent="0.35">
      <c r="B49" s="8"/>
      <c r="C49" s="190"/>
      <c r="D49" s="190"/>
      <c r="E49" s="212"/>
      <c r="F49" s="214"/>
      <c r="G49" s="212"/>
      <c r="H49" s="212"/>
      <c r="I49" s="212"/>
      <c r="J49" s="212"/>
      <c r="K49" s="214"/>
      <c r="L49" s="200"/>
      <c r="M49" s="190"/>
      <c r="N49" s="190"/>
      <c r="R49" s="37"/>
      <c r="S49" s="37"/>
      <c r="T49" s="37"/>
      <c r="U49" s="37"/>
      <c r="V49" s="37"/>
      <c r="W49" s="37"/>
      <c r="X49" s="37"/>
      <c r="Y49" s="37"/>
      <c r="Z49" s="37"/>
      <c r="AA49" s="37"/>
    </row>
    <row r="50" spans="2:27" ht="24" customHeight="1" thickBot="1" x14ac:dyDescent="0.35">
      <c r="B50" s="8"/>
      <c r="C50" s="190"/>
      <c r="D50" s="190"/>
      <c r="E50" s="212"/>
      <c r="F50" s="214"/>
      <c r="G50" s="414" t="s">
        <v>937</v>
      </c>
      <c r="H50" s="212"/>
      <c r="I50" s="212"/>
      <c r="J50" s="212"/>
      <c r="K50" s="235"/>
      <c r="L50" s="205"/>
      <c r="M50" s="204"/>
      <c r="N50" s="212"/>
      <c r="R50" s="37"/>
      <c r="S50" s="37"/>
      <c r="T50" s="37"/>
      <c r="U50" s="37"/>
      <c r="V50" s="37"/>
      <c r="W50" s="37"/>
      <c r="X50" s="37"/>
      <c r="Y50" s="37"/>
      <c r="Z50" s="37"/>
      <c r="AA50" s="37"/>
    </row>
    <row r="51" spans="2:27" ht="24" customHeight="1" thickBot="1" x14ac:dyDescent="0.35">
      <c r="B51" s="8"/>
      <c r="C51" s="190"/>
      <c r="D51" s="190"/>
      <c r="E51" s="60"/>
      <c r="F51" s="202"/>
      <c r="G51" s="415" t="s">
        <v>169</v>
      </c>
      <c r="H51" s="413"/>
      <c r="I51" s="204" t="s">
        <v>157</v>
      </c>
      <c r="J51" s="200"/>
      <c r="K51" s="235"/>
      <c r="L51" s="205"/>
      <c r="M51" s="204"/>
      <c r="N51" s="212"/>
      <c r="R51" s="37"/>
      <c r="S51" s="37"/>
      <c r="T51" s="37"/>
      <c r="U51" s="37"/>
      <c r="V51" s="37"/>
      <c r="W51" s="37"/>
      <c r="X51" s="37"/>
      <c r="Y51" s="37"/>
      <c r="Z51" s="37"/>
      <c r="AA51" s="37"/>
    </row>
    <row r="52" spans="2:27" ht="24" customHeight="1" thickBot="1" x14ac:dyDescent="0.35">
      <c r="B52" s="8"/>
      <c r="C52" s="352"/>
      <c r="D52" s="544" t="s">
        <v>636</v>
      </c>
      <c r="E52" s="402">
        <f>F23+K23+F33+K33+F46+K46</f>
        <v>0</v>
      </c>
      <c r="F52" s="204" t="s">
        <v>157</v>
      </c>
      <c r="G52" s="416" t="s">
        <v>170</v>
      </c>
      <c r="H52" s="413"/>
      <c r="I52" s="204" t="s">
        <v>157</v>
      </c>
      <c r="J52" s="200"/>
      <c r="K52" s="232" t="s">
        <v>185</v>
      </c>
      <c r="L52" s="123"/>
      <c r="M52" s="204" t="s">
        <v>157</v>
      </c>
      <c r="N52" s="190"/>
      <c r="R52" s="37"/>
      <c r="S52" s="37"/>
      <c r="T52" s="37"/>
      <c r="U52" s="37"/>
      <c r="V52" s="37"/>
      <c r="W52" s="37"/>
      <c r="X52" s="37"/>
      <c r="Y52" s="37"/>
      <c r="Z52" s="37"/>
      <c r="AA52" s="37"/>
    </row>
    <row r="53" spans="2:27" ht="24" customHeight="1" thickBot="1" x14ac:dyDescent="0.35">
      <c r="B53" s="8"/>
      <c r="C53" s="595" t="s">
        <v>236</v>
      </c>
      <c r="D53" s="596"/>
      <c r="E53" s="122">
        <v>10</v>
      </c>
      <c r="F53" s="204" t="s">
        <v>157</v>
      </c>
      <c r="G53" s="379" t="s">
        <v>822</v>
      </c>
      <c r="H53" s="123"/>
      <c r="I53" s="204" t="s">
        <v>157</v>
      </c>
      <c r="J53" s="203"/>
      <c r="K53" s="203" t="s">
        <v>469</v>
      </c>
      <c r="L53" s="123"/>
      <c r="M53" s="204" t="s">
        <v>157</v>
      </c>
      <c r="N53" s="194"/>
      <c r="R53" s="37"/>
      <c r="S53" s="37"/>
      <c r="T53" s="37"/>
      <c r="U53" s="37"/>
      <c r="V53" s="37"/>
      <c r="W53" s="37"/>
      <c r="X53" s="37"/>
      <c r="Y53" s="37"/>
      <c r="Z53" s="37"/>
      <c r="AA53" s="37"/>
    </row>
    <row r="54" spans="2:27" ht="25" thickBot="1" x14ac:dyDescent="0.35">
      <c r="B54" s="166"/>
      <c r="C54" s="595" t="s">
        <v>145</v>
      </c>
      <c r="D54" s="596"/>
      <c r="E54" s="122">
        <v>10</v>
      </c>
      <c r="F54" s="204" t="s">
        <v>157</v>
      </c>
      <c r="G54" s="379" t="s">
        <v>823</v>
      </c>
      <c r="H54" s="123"/>
      <c r="I54" s="204" t="s">
        <v>157</v>
      </c>
      <c r="J54" s="203"/>
      <c r="K54" s="203" t="s">
        <v>470</v>
      </c>
      <c r="L54" s="123"/>
      <c r="M54" s="204" t="s">
        <v>158</v>
      </c>
      <c r="N54" s="195"/>
      <c r="R54" s="37"/>
      <c r="S54" s="37"/>
      <c r="T54" s="37"/>
      <c r="U54" s="37"/>
      <c r="V54" s="37"/>
      <c r="W54" s="37"/>
      <c r="X54" s="37"/>
      <c r="Y54" s="37"/>
      <c r="Z54" s="37"/>
      <c r="AA54" s="37"/>
    </row>
    <row r="55" spans="2:27" ht="25" thickBot="1" x14ac:dyDescent="0.35">
      <c r="B55" s="166"/>
      <c r="C55" s="595" t="s">
        <v>173</v>
      </c>
      <c r="D55" s="596"/>
      <c r="E55" s="403">
        <f>Formulas!L75</f>
        <v>0</v>
      </c>
      <c r="F55" s="204" t="s">
        <v>157</v>
      </c>
      <c r="G55" s="379" t="s">
        <v>824</v>
      </c>
      <c r="H55" s="123"/>
      <c r="I55" s="204" t="s">
        <v>157</v>
      </c>
      <c r="J55" s="203"/>
      <c r="K55" s="203" t="s">
        <v>273</v>
      </c>
      <c r="L55" s="123"/>
      <c r="M55" s="204" t="s">
        <v>158</v>
      </c>
      <c r="N55" s="195"/>
      <c r="R55" s="37"/>
      <c r="S55" s="37"/>
      <c r="T55" s="37"/>
      <c r="U55" s="37"/>
      <c r="V55" s="37"/>
      <c r="W55" s="37"/>
      <c r="X55" s="37"/>
      <c r="Y55" s="37"/>
      <c r="Z55" s="37"/>
      <c r="AA55" s="37"/>
    </row>
    <row r="56" spans="2:27" ht="25" thickBot="1" x14ac:dyDescent="0.35">
      <c r="B56" s="166"/>
      <c r="C56" s="639" t="s">
        <v>973</v>
      </c>
      <c r="D56" s="640"/>
      <c r="E56" s="395" t="s">
        <v>976</v>
      </c>
      <c r="F56" s="204"/>
      <c r="G56" s="382"/>
      <c r="H56" s="383"/>
      <c r="I56" s="384"/>
      <c r="J56" s="200"/>
      <c r="K56" s="203" t="s">
        <v>181</v>
      </c>
      <c r="L56" s="123"/>
      <c r="M56" s="204" t="s">
        <v>158</v>
      </c>
      <c r="N56" s="195"/>
      <c r="R56" s="37"/>
      <c r="S56" s="37"/>
      <c r="T56" s="37"/>
      <c r="U56" s="37"/>
      <c r="V56" s="37"/>
      <c r="W56" s="37"/>
      <c r="X56" s="37"/>
      <c r="Y56" s="37"/>
      <c r="Z56" s="37"/>
      <c r="AA56" s="37"/>
    </row>
    <row r="57" spans="2:27" ht="25" thickBot="1" x14ac:dyDescent="0.35">
      <c r="B57" s="166"/>
      <c r="C57" s="639" t="s">
        <v>1338</v>
      </c>
      <c r="D57" s="640"/>
      <c r="E57" s="122"/>
      <c r="F57" s="204" t="s">
        <v>157</v>
      </c>
      <c r="G57" s="619" t="s">
        <v>754</v>
      </c>
      <c r="H57" s="620"/>
      <c r="I57" s="384"/>
      <c r="J57" s="200"/>
      <c r="K57" s="361"/>
      <c r="L57" s="205"/>
      <c r="M57" s="204"/>
      <c r="N57" s="195"/>
      <c r="R57" s="37"/>
      <c r="S57" s="37"/>
      <c r="T57" s="37"/>
      <c r="U57" s="37"/>
      <c r="V57" s="37"/>
      <c r="W57" s="37"/>
      <c r="X57" s="37"/>
      <c r="Y57" s="37"/>
      <c r="Z57" s="37"/>
      <c r="AA57" s="37"/>
    </row>
    <row r="58" spans="2:27" ht="25" thickBot="1" x14ac:dyDescent="0.35">
      <c r="B58" s="166"/>
      <c r="C58" s="390"/>
      <c r="D58" s="428" t="s">
        <v>1187</v>
      </c>
      <c r="E58" s="122"/>
      <c r="F58" s="206"/>
      <c r="G58" s="236" t="s">
        <v>153</v>
      </c>
      <c r="H58" s="404">
        <v>10</v>
      </c>
      <c r="I58" s="384" t="s">
        <v>158</v>
      </c>
      <c r="J58" s="426"/>
      <c r="K58" s="239" t="s">
        <v>165</v>
      </c>
      <c r="L58" s="205"/>
      <c r="M58" s="204"/>
      <c r="N58" s="195"/>
      <c r="R58" s="37"/>
      <c r="S58" s="37"/>
      <c r="T58" s="37"/>
      <c r="U58" s="37"/>
      <c r="V58" s="37"/>
      <c r="W58" s="37"/>
      <c r="X58" s="37"/>
      <c r="Y58" s="37"/>
      <c r="Z58" s="37"/>
      <c r="AA58" s="37"/>
    </row>
    <row r="59" spans="2:27" ht="25" thickBot="1" x14ac:dyDescent="0.35">
      <c r="B59" s="166"/>
      <c r="C59" s="390"/>
      <c r="D59" s="427" t="s">
        <v>863</v>
      </c>
      <c r="E59" s="122"/>
      <c r="F59" s="206"/>
      <c r="G59" s="236" t="s">
        <v>154</v>
      </c>
      <c r="H59" s="404">
        <f>((Formulas!P113+Formulas!P117+Formulas!P121)*6.5)+(Formulas!P114*8.5)</f>
        <v>0</v>
      </c>
      <c r="I59" s="204" t="s">
        <v>158</v>
      </c>
      <c r="J59" s="200"/>
      <c r="K59" s="240" t="s">
        <v>164</v>
      </c>
      <c r="L59" s="123"/>
      <c r="M59" s="204" t="s">
        <v>158</v>
      </c>
      <c r="N59" s="195"/>
      <c r="R59" s="37"/>
      <c r="S59" s="37"/>
      <c r="T59" s="37"/>
      <c r="U59" s="37"/>
      <c r="V59" s="37"/>
      <c r="W59" s="37"/>
      <c r="X59" s="37"/>
      <c r="Y59" s="37"/>
      <c r="Z59" s="37"/>
      <c r="AA59" s="37"/>
    </row>
    <row r="60" spans="2:27" ht="25" thickBot="1" x14ac:dyDescent="0.35">
      <c r="B60" s="166"/>
      <c r="C60" s="595" t="s">
        <v>146</v>
      </c>
      <c r="D60" s="596"/>
      <c r="E60" s="122">
        <v>10</v>
      </c>
      <c r="F60" s="204" t="s">
        <v>157</v>
      </c>
      <c r="G60" s="401" t="s">
        <v>861</v>
      </c>
      <c r="H60" s="123"/>
      <c r="I60" s="204" t="s">
        <v>157</v>
      </c>
      <c r="J60" s="200"/>
      <c r="K60" s="431" t="s">
        <v>1205</v>
      </c>
      <c r="L60" s="123"/>
      <c r="M60" s="204" t="s">
        <v>157</v>
      </c>
      <c r="N60" s="192"/>
      <c r="R60" s="37"/>
      <c r="S60" s="37"/>
      <c r="T60" s="37"/>
      <c r="U60" s="37"/>
      <c r="V60" s="37"/>
      <c r="W60" s="37"/>
      <c r="X60" s="37"/>
      <c r="Y60" s="37"/>
      <c r="Z60" s="37"/>
      <c r="AA60" s="37"/>
    </row>
    <row r="61" spans="2:27" ht="25" thickBot="1" x14ac:dyDescent="0.35">
      <c r="B61" s="166"/>
      <c r="C61" s="595" t="s">
        <v>147</v>
      </c>
      <c r="D61" s="596"/>
      <c r="E61" s="122"/>
      <c r="F61" s="204" t="s">
        <v>157</v>
      </c>
      <c r="G61" s="401" t="s">
        <v>862</v>
      </c>
      <c r="H61" s="123">
        <v>10</v>
      </c>
      <c r="I61" s="204" t="s">
        <v>157</v>
      </c>
      <c r="J61" s="238"/>
      <c r="K61" s="432" t="s">
        <v>1206</v>
      </c>
      <c r="L61" s="123"/>
      <c r="M61" s="204" t="s">
        <v>157</v>
      </c>
      <c r="N61" s="192"/>
      <c r="R61" s="37"/>
      <c r="S61" s="37"/>
      <c r="T61" s="37"/>
      <c r="U61" s="37"/>
      <c r="V61" s="37"/>
      <c r="W61" s="37"/>
      <c r="X61" s="37"/>
      <c r="Y61" s="37"/>
      <c r="Z61" s="37"/>
      <c r="AA61" s="37"/>
    </row>
    <row r="62" spans="2:27" ht="25" thickBot="1" x14ac:dyDescent="0.35">
      <c r="B62" s="166"/>
      <c r="C62" s="595" t="s">
        <v>148</v>
      </c>
      <c r="D62" s="596"/>
      <c r="E62" s="122"/>
      <c r="F62" s="204" t="s">
        <v>157</v>
      </c>
      <c r="G62" s="401" t="s">
        <v>859</v>
      </c>
      <c r="H62" s="123"/>
      <c r="I62" s="204" t="s">
        <v>157</v>
      </c>
      <c r="J62" s="433"/>
      <c r="K62" s="434" t="s">
        <v>1207</v>
      </c>
      <c r="L62" s="413"/>
      <c r="M62" s="204" t="s">
        <v>156</v>
      </c>
      <c r="N62" s="191"/>
      <c r="R62" s="37"/>
      <c r="S62" s="37"/>
      <c r="T62" s="37"/>
      <c r="U62" s="37"/>
      <c r="V62" s="37"/>
      <c r="W62" s="37"/>
      <c r="X62" s="37"/>
      <c r="Y62" s="37"/>
      <c r="Z62" s="37"/>
      <c r="AA62" s="37"/>
    </row>
    <row r="63" spans="2:27" ht="25" thickBot="1" x14ac:dyDescent="0.35">
      <c r="B63" s="198"/>
      <c r="C63" s="595" t="s">
        <v>149</v>
      </c>
      <c r="D63" s="596"/>
      <c r="E63" s="122"/>
      <c r="F63" s="204" t="s">
        <v>157</v>
      </c>
      <c r="G63" s="401" t="s">
        <v>860</v>
      </c>
      <c r="H63" s="123"/>
      <c r="I63" s="204" t="s">
        <v>157</v>
      </c>
      <c r="J63" s="657" t="s">
        <v>1370</v>
      </c>
      <c r="K63" s="658"/>
      <c r="L63" s="413"/>
      <c r="M63" s="204" t="s">
        <v>156</v>
      </c>
      <c r="N63" s="193"/>
    </row>
    <row r="64" spans="2:27" ht="25" thickBot="1" x14ac:dyDescent="0.35">
      <c r="B64" s="199"/>
      <c r="C64" s="595" t="s">
        <v>168</v>
      </c>
      <c r="D64" s="596"/>
      <c r="E64" s="122">
        <v>10</v>
      </c>
      <c r="F64" s="206" t="s">
        <v>157</v>
      </c>
      <c r="G64" s="237" t="s">
        <v>174</v>
      </c>
      <c r="H64" s="404">
        <v>10</v>
      </c>
      <c r="I64" s="204" t="s">
        <v>157</v>
      </c>
      <c r="J64" s="238"/>
      <c r="K64" s="432" t="s">
        <v>180</v>
      </c>
      <c r="L64" s="123"/>
      <c r="M64" s="204" t="s">
        <v>158</v>
      </c>
      <c r="N64" s="193"/>
    </row>
    <row r="65" spans="2:14" ht="25" thickBot="1" x14ac:dyDescent="0.35">
      <c r="B65" s="199"/>
      <c r="C65" s="203"/>
      <c r="D65" s="203"/>
      <c r="E65" s="391"/>
      <c r="F65" s="392"/>
      <c r="G65" s="237" t="s">
        <v>175</v>
      </c>
      <c r="H65" s="404">
        <f>(Formulas!Q115+Formulas!Q117+Formulas!Q119+Formulas!Q121)+((Formulas!Q116+Formulas!Q118+Formulas!Q120+Formulas!Q122)*2)</f>
        <v>0</v>
      </c>
      <c r="I65" s="204" t="s">
        <v>157</v>
      </c>
      <c r="J65" s="238"/>
      <c r="K65" s="240" t="s">
        <v>1204</v>
      </c>
      <c r="L65" s="123"/>
      <c r="M65" s="204" t="s">
        <v>158</v>
      </c>
      <c r="N65" s="193"/>
    </row>
    <row r="66" spans="2:14" ht="25" thickBot="1" x14ac:dyDescent="0.35">
      <c r="B66" s="199"/>
      <c r="C66" s="203"/>
      <c r="D66" s="390"/>
      <c r="E66" s="391"/>
      <c r="F66" s="392"/>
      <c r="G66" s="237" t="s">
        <v>952</v>
      </c>
      <c r="H66" s="123"/>
      <c r="I66" s="204" t="s">
        <v>157</v>
      </c>
      <c r="J66" s="238"/>
      <c r="K66" s="240" t="s">
        <v>272</v>
      </c>
      <c r="L66" s="123"/>
      <c r="M66" s="204" t="s">
        <v>158</v>
      </c>
      <c r="N66" s="193"/>
    </row>
    <row r="67" spans="2:14" ht="25" thickBot="1" x14ac:dyDescent="0.35">
      <c r="B67" s="199"/>
      <c r="C67" s="203"/>
      <c r="D67" s="390"/>
      <c r="E67" s="391"/>
      <c r="F67" s="392"/>
      <c r="G67" s="203"/>
      <c r="H67" s="205"/>
      <c r="I67" s="204"/>
      <c r="J67" s="253"/>
      <c r="K67" s="240"/>
      <c r="L67" s="205"/>
      <c r="M67" s="204"/>
      <c r="N67" s="193"/>
    </row>
    <row r="68" spans="2:14" ht="25" thickBot="1" x14ac:dyDescent="0.35">
      <c r="B68" s="199"/>
      <c r="C68" s="203"/>
      <c r="D68" s="203"/>
      <c r="E68" s="241"/>
      <c r="F68" s="206"/>
      <c r="G68" s="203"/>
      <c r="H68" s="220"/>
      <c r="I68" s="204"/>
      <c r="J68" s="253"/>
      <c r="K68" s="240"/>
      <c r="L68" s="205"/>
      <c r="M68" s="204"/>
      <c r="N68" s="193"/>
    </row>
    <row r="69" spans="2:14" ht="25" thickBot="1" x14ac:dyDescent="0.35">
      <c r="B69" s="199"/>
      <c r="C69" s="602" t="s">
        <v>270</v>
      </c>
      <c r="D69" s="602"/>
      <c r="E69" s="603"/>
      <c r="F69" s="122"/>
      <c r="G69" s="244" t="s">
        <v>303</v>
      </c>
      <c r="H69" s="220"/>
      <c r="I69" s="204"/>
      <c r="J69" s="430"/>
      <c r="K69" s="240"/>
      <c r="L69" s="205"/>
      <c r="M69" s="204"/>
      <c r="N69" s="193"/>
    </row>
    <row r="70" spans="2:14" ht="25" thickBot="1" x14ac:dyDescent="0.35">
      <c r="B70" s="199"/>
      <c r="C70" s="602" t="s">
        <v>271</v>
      </c>
      <c r="D70" s="602"/>
      <c r="E70" s="603"/>
      <c r="F70" s="122"/>
      <c r="G70" s="244" t="s">
        <v>864</v>
      </c>
      <c r="H70" s="220"/>
      <c r="I70" s="204"/>
      <c r="J70" s="253"/>
      <c r="K70" s="254"/>
      <c r="L70" s="205"/>
      <c r="M70" s="204"/>
      <c r="N70" s="193"/>
    </row>
    <row r="71" spans="2:14" ht="25" thickBot="1" x14ac:dyDescent="0.35">
      <c r="B71" s="199"/>
      <c r="C71" s="602"/>
      <c r="D71" s="602"/>
      <c r="E71" s="603"/>
      <c r="F71" s="325"/>
      <c r="G71" s="244"/>
      <c r="H71" s="220"/>
      <c r="I71" s="204"/>
      <c r="J71" s="652"/>
      <c r="K71" s="653"/>
      <c r="L71" s="205"/>
      <c r="M71" s="204"/>
      <c r="N71" s="193"/>
    </row>
    <row r="72" spans="2:14" ht="25" thickBot="1" x14ac:dyDescent="0.35">
      <c r="B72" s="199"/>
      <c r="C72" s="602"/>
      <c r="D72" s="602"/>
      <c r="E72" s="603"/>
      <c r="F72" s="325"/>
      <c r="G72" s="244"/>
      <c r="H72" s="220"/>
      <c r="I72" s="204"/>
      <c r="J72" s="287"/>
      <c r="K72" s="288"/>
      <c r="L72" s="205"/>
      <c r="M72" s="204"/>
      <c r="N72" s="193"/>
    </row>
    <row r="73" spans="2:14" ht="25" thickBot="1" x14ac:dyDescent="0.35">
      <c r="B73" s="199"/>
      <c r="C73" s="203"/>
      <c r="D73" s="203"/>
      <c r="E73" s="38"/>
      <c r="F73" s="206"/>
      <c r="G73" s="203"/>
      <c r="H73" s="220"/>
      <c r="I73" s="204"/>
      <c r="J73" s="650"/>
      <c r="K73" s="651"/>
      <c r="L73" s="205"/>
      <c r="M73" s="204"/>
      <c r="N73" s="193"/>
    </row>
    <row r="74" spans="2:14" x14ac:dyDescent="0.3">
      <c r="B74" s="199"/>
      <c r="C74" s="641" t="s">
        <v>237</v>
      </c>
      <c r="D74" s="641"/>
      <c r="E74" s="38"/>
      <c r="F74" s="206"/>
      <c r="G74" s="203"/>
      <c r="H74" s="442" t="s">
        <v>2</v>
      </c>
      <c r="I74" s="440" t="s">
        <v>238</v>
      </c>
      <c r="J74" s="440" t="s">
        <v>107</v>
      </c>
      <c r="K74" s="216"/>
      <c r="L74" s="220"/>
      <c r="M74" s="204"/>
      <c r="N74" s="193"/>
    </row>
    <row r="75" spans="2:14" x14ac:dyDescent="0.3">
      <c r="B75" s="199"/>
      <c r="C75" s="654" t="s">
        <v>1327</v>
      </c>
      <c r="D75" s="655"/>
      <c r="E75" s="655"/>
      <c r="F75" s="655"/>
      <c r="G75" s="656"/>
      <c r="H75" s="443"/>
      <c r="I75" s="518"/>
      <c r="J75" s="444">
        <f>I75*H75</f>
        <v>0</v>
      </c>
      <c r="K75" s="216"/>
      <c r="L75" s="220"/>
      <c r="M75" s="204"/>
      <c r="N75" s="193"/>
    </row>
    <row r="76" spans="2:14" x14ac:dyDescent="0.3">
      <c r="B76" s="199"/>
      <c r="C76" s="654" t="s">
        <v>1328</v>
      </c>
      <c r="D76" s="655"/>
      <c r="E76" s="655"/>
      <c r="F76" s="655"/>
      <c r="G76" s="656"/>
      <c r="H76" s="443"/>
      <c r="I76" s="518"/>
      <c r="J76" s="444">
        <f t="shared" ref="J76:J80" si="0">I76*H76</f>
        <v>0</v>
      </c>
      <c r="K76" s="216"/>
      <c r="L76" s="220"/>
      <c r="M76" s="204"/>
      <c r="N76" s="193"/>
    </row>
    <row r="77" spans="2:14" x14ac:dyDescent="0.3">
      <c r="B77" s="199"/>
      <c r="C77" s="654" t="s">
        <v>1329</v>
      </c>
      <c r="D77" s="655"/>
      <c r="E77" s="655"/>
      <c r="F77" s="655"/>
      <c r="G77" s="656"/>
      <c r="H77" s="443"/>
      <c r="I77" s="518"/>
      <c r="J77" s="444">
        <f t="shared" si="0"/>
        <v>0</v>
      </c>
      <c r="K77" s="216"/>
      <c r="L77" s="220"/>
      <c r="M77" s="204"/>
      <c r="N77" s="193"/>
    </row>
    <row r="78" spans="2:14" x14ac:dyDescent="0.3">
      <c r="B78" s="199"/>
      <c r="C78" s="654" t="s">
        <v>1330</v>
      </c>
      <c r="D78" s="655"/>
      <c r="E78" s="655"/>
      <c r="F78" s="655"/>
      <c r="G78" s="656"/>
      <c r="H78" s="443"/>
      <c r="I78" s="518"/>
      <c r="J78" s="444">
        <f t="shared" si="0"/>
        <v>0</v>
      </c>
      <c r="K78" s="216"/>
      <c r="L78" s="220"/>
      <c r="M78" s="204"/>
      <c r="N78" s="193"/>
    </row>
    <row r="79" spans="2:14" x14ac:dyDescent="0.3">
      <c r="B79" s="199"/>
      <c r="C79" s="654" t="s">
        <v>1331</v>
      </c>
      <c r="D79" s="655"/>
      <c r="E79" s="655"/>
      <c r="F79" s="655"/>
      <c r="G79" s="656"/>
      <c r="H79" s="443"/>
      <c r="I79" s="518"/>
      <c r="J79" s="444">
        <f t="shared" si="0"/>
        <v>0</v>
      </c>
      <c r="K79" s="216"/>
      <c r="L79" s="220"/>
      <c r="M79" s="204"/>
      <c r="N79" s="193"/>
    </row>
    <row r="80" spans="2:14" ht="25" thickBot="1" x14ac:dyDescent="0.35">
      <c r="B80" s="199"/>
      <c r="C80" s="654" t="s">
        <v>1332</v>
      </c>
      <c r="D80" s="655"/>
      <c r="E80" s="655"/>
      <c r="F80" s="655"/>
      <c r="G80" s="656"/>
      <c r="H80" s="443"/>
      <c r="I80" s="518"/>
      <c r="J80" s="449">
        <f t="shared" si="0"/>
        <v>0</v>
      </c>
      <c r="K80" s="216"/>
      <c r="L80" s="220"/>
      <c r="M80" s="204"/>
      <c r="N80" s="193"/>
    </row>
    <row r="81" spans="2:17" ht="25" thickBot="1" x14ac:dyDescent="0.35">
      <c r="B81" s="199"/>
      <c r="C81" s="446"/>
      <c r="D81" s="446"/>
      <c r="E81" s="446"/>
      <c r="F81" s="446"/>
      <c r="G81" s="446"/>
      <c r="H81" s="447"/>
      <c r="I81" s="448" t="s">
        <v>1</v>
      </c>
      <c r="J81" s="450">
        <f>J80+J79+J78+J77+J76+J75</f>
        <v>0</v>
      </c>
      <c r="K81" s="216"/>
      <c r="L81" s="220"/>
      <c r="M81" s="204"/>
      <c r="N81" s="193"/>
    </row>
    <row r="82" spans="2:17" x14ac:dyDescent="0.3">
      <c r="B82" s="452"/>
      <c r="C82" s="453"/>
      <c r="D82" s="453"/>
      <c r="E82" s="454"/>
      <c r="F82" s="454"/>
      <c r="G82" s="454"/>
      <c r="H82" s="455"/>
      <c r="I82" s="455"/>
      <c r="J82" s="455"/>
      <c r="K82" s="454"/>
      <c r="L82" s="153"/>
      <c r="M82" s="153"/>
      <c r="N82" s="193"/>
    </row>
    <row r="83" spans="2:17" ht="21" customHeight="1" x14ac:dyDescent="0.3">
      <c r="B83" s="452"/>
      <c r="C83" s="597" t="s">
        <v>150</v>
      </c>
      <c r="D83" s="598"/>
      <c r="E83" s="598"/>
      <c r="F83" s="598"/>
      <c r="G83" s="598"/>
      <c r="H83" s="598"/>
      <c r="I83" s="598"/>
      <c r="J83" s="598"/>
      <c r="K83" s="598"/>
      <c r="L83" s="598"/>
      <c r="M83" s="599"/>
      <c r="N83" s="165"/>
      <c r="Q83" s="70"/>
    </row>
    <row r="84" spans="2:17" ht="25" thickBot="1" x14ac:dyDescent="0.35">
      <c r="B84" s="456"/>
      <c r="C84" s="457"/>
      <c r="D84" s="454"/>
      <c r="E84" s="454"/>
      <c r="F84" s="454"/>
      <c r="G84" s="454"/>
      <c r="H84" s="455"/>
      <c r="I84" s="455"/>
      <c r="J84" s="455"/>
      <c r="K84" s="454"/>
      <c r="L84" s="153"/>
      <c r="M84" s="153"/>
      <c r="N84" s="165"/>
    </row>
    <row r="85" spans="2:17" ht="25" thickBot="1" x14ac:dyDescent="0.35">
      <c r="B85" s="456"/>
      <c r="C85" s="600" t="s">
        <v>159</v>
      </c>
      <c r="D85" s="601"/>
      <c r="E85" s="458"/>
      <c r="F85" s="459" t="s">
        <v>284</v>
      </c>
      <c r="G85" s="600" t="s">
        <v>277</v>
      </c>
      <c r="H85" s="601"/>
      <c r="I85" s="460">
        <v>0</v>
      </c>
      <c r="J85" s="459" t="s">
        <v>158</v>
      </c>
      <c r="K85" s="461"/>
      <c r="L85" s="461"/>
      <c r="M85" s="462"/>
      <c r="N85" s="165"/>
    </row>
    <row r="86" spans="2:17" ht="25" thickBot="1" x14ac:dyDescent="0.35">
      <c r="B86" s="456"/>
      <c r="C86" s="600" t="s">
        <v>160</v>
      </c>
      <c r="D86" s="601"/>
      <c r="E86" s="458">
        <f>E52</f>
        <v>0</v>
      </c>
      <c r="F86" s="463" t="s">
        <v>157</v>
      </c>
      <c r="G86" s="600" t="s">
        <v>179</v>
      </c>
      <c r="H86" s="601"/>
      <c r="I86" s="460"/>
      <c r="J86" s="459" t="s">
        <v>158</v>
      </c>
      <c r="K86" s="461"/>
      <c r="L86" s="461"/>
      <c r="M86" s="462"/>
      <c r="N86" s="165"/>
      <c r="Q86" s="268"/>
    </row>
    <row r="87" spans="2:17" ht="25" thickBot="1" x14ac:dyDescent="0.35">
      <c r="B87" s="456"/>
      <c r="C87" s="600" t="s">
        <v>167</v>
      </c>
      <c r="D87" s="601"/>
      <c r="E87" s="458">
        <f>Formulas!D4+Formulas!D5+Formulas!D6+Formulas!D7</f>
        <v>20</v>
      </c>
      <c r="F87" s="463" t="s">
        <v>157</v>
      </c>
      <c r="G87" s="600" t="s">
        <v>182</v>
      </c>
      <c r="H87" s="601"/>
      <c r="I87" s="460"/>
      <c r="J87" s="459" t="s">
        <v>158</v>
      </c>
      <c r="K87" s="462"/>
      <c r="L87" s="462"/>
      <c r="M87" s="462"/>
      <c r="N87" s="165"/>
    </row>
    <row r="88" spans="2:17" ht="25" thickBot="1" x14ac:dyDescent="0.35">
      <c r="B88" s="456"/>
      <c r="C88" s="604" t="s">
        <v>161</v>
      </c>
      <c r="D88" s="605"/>
      <c r="E88" s="458"/>
      <c r="F88" s="463" t="s">
        <v>156</v>
      </c>
      <c r="G88" s="600" t="s">
        <v>183</v>
      </c>
      <c r="H88" s="601"/>
      <c r="I88" s="460"/>
      <c r="J88" s="459" t="s">
        <v>158</v>
      </c>
      <c r="K88" s="462"/>
      <c r="L88" s="462"/>
      <c r="M88" s="462"/>
      <c r="N88" s="165"/>
    </row>
    <row r="89" spans="2:17" ht="25" thickBot="1" x14ac:dyDescent="0.35">
      <c r="B89" s="456"/>
      <c r="C89" s="600" t="s">
        <v>275</v>
      </c>
      <c r="D89" s="601"/>
      <c r="E89" s="458"/>
      <c r="F89" s="463" t="s">
        <v>157</v>
      </c>
      <c r="G89" s="600" t="s">
        <v>184</v>
      </c>
      <c r="H89" s="601"/>
      <c r="I89" s="460"/>
      <c r="J89" s="459" t="s">
        <v>157</v>
      </c>
      <c r="K89" s="462"/>
      <c r="L89" s="462"/>
      <c r="M89" s="462"/>
      <c r="N89" s="165"/>
    </row>
    <row r="90" spans="2:17" ht="25" thickBot="1" x14ac:dyDescent="0.35">
      <c r="B90" s="456"/>
      <c r="C90" s="604" t="s">
        <v>276</v>
      </c>
      <c r="D90" s="605"/>
      <c r="E90" s="458"/>
      <c r="F90" s="463" t="s">
        <v>157</v>
      </c>
      <c r="G90" s="600" t="s">
        <v>185</v>
      </c>
      <c r="H90" s="601"/>
      <c r="I90" s="460"/>
      <c r="J90" s="459" t="s">
        <v>157</v>
      </c>
      <c r="K90" s="462"/>
      <c r="L90" s="461"/>
      <c r="M90" s="461"/>
      <c r="N90" s="165"/>
    </row>
    <row r="91" spans="2:17" ht="25" thickBot="1" x14ac:dyDescent="0.35">
      <c r="B91" s="456"/>
      <c r="C91" s="600" t="s">
        <v>163</v>
      </c>
      <c r="D91" s="601"/>
      <c r="E91" s="458"/>
      <c r="F91" s="463" t="s">
        <v>157</v>
      </c>
      <c r="G91" s="464"/>
      <c r="H91" s="465" t="s">
        <v>278</v>
      </c>
      <c r="I91" s="460"/>
      <c r="J91" s="459" t="s">
        <v>156</v>
      </c>
      <c r="K91" s="462"/>
      <c r="L91" s="461"/>
      <c r="M91" s="461"/>
      <c r="N91" s="165"/>
    </row>
    <row r="92" spans="2:17" ht="25" thickBot="1" x14ac:dyDescent="0.35">
      <c r="B92" s="456"/>
      <c r="C92" s="466"/>
      <c r="D92" s="467" t="s">
        <v>171</v>
      </c>
      <c r="E92" s="458"/>
      <c r="F92" s="463" t="s">
        <v>157</v>
      </c>
      <c r="G92" s="464"/>
      <c r="H92" s="465" t="s">
        <v>279</v>
      </c>
      <c r="I92" s="460"/>
      <c r="J92" s="459" t="s">
        <v>158</v>
      </c>
      <c r="K92" s="462"/>
      <c r="L92" s="461"/>
      <c r="M92" s="461"/>
      <c r="N92" s="165"/>
    </row>
    <row r="93" spans="2:17" ht="25" thickBot="1" x14ac:dyDescent="0.35">
      <c r="B93" s="456"/>
      <c r="C93" s="600" t="s">
        <v>172</v>
      </c>
      <c r="D93" s="601"/>
      <c r="E93" s="458">
        <v>10</v>
      </c>
      <c r="F93" s="463" t="s">
        <v>158</v>
      </c>
      <c r="G93" s="600" t="s">
        <v>280</v>
      </c>
      <c r="H93" s="601"/>
      <c r="I93" s="460"/>
      <c r="J93" s="459" t="s">
        <v>158</v>
      </c>
      <c r="K93" s="462"/>
      <c r="L93" s="461"/>
      <c r="M93" s="461"/>
      <c r="N93" s="165"/>
    </row>
    <row r="94" spans="2:17" ht="25" thickBot="1" x14ac:dyDescent="0.35">
      <c r="B94" s="456"/>
      <c r="C94" s="600" t="s">
        <v>173</v>
      </c>
      <c r="D94" s="601"/>
      <c r="E94" s="458"/>
      <c r="F94" s="463" t="s">
        <v>157</v>
      </c>
      <c r="G94" s="600"/>
      <c r="H94" s="601"/>
      <c r="I94" s="460"/>
      <c r="J94" s="459"/>
      <c r="K94" s="462"/>
      <c r="L94" s="461"/>
      <c r="M94" s="461"/>
      <c r="N94" s="165"/>
    </row>
    <row r="95" spans="2:17" ht="25" thickBot="1" x14ac:dyDescent="0.35">
      <c r="B95" s="456"/>
      <c r="C95" s="600" t="s">
        <v>176</v>
      </c>
      <c r="D95" s="601"/>
      <c r="E95" s="458"/>
      <c r="F95" s="463" t="s">
        <v>157</v>
      </c>
      <c r="G95" s="600"/>
      <c r="H95" s="601"/>
      <c r="I95" s="460"/>
      <c r="J95" s="459"/>
      <c r="K95" s="462"/>
      <c r="L95" s="461"/>
      <c r="M95" s="461"/>
      <c r="N95" s="165"/>
    </row>
    <row r="96" spans="2:17" ht="25" thickBot="1" x14ac:dyDescent="0.35">
      <c r="B96" s="456"/>
      <c r="C96" s="604" t="s">
        <v>177</v>
      </c>
      <c r="D96" s="605"/>
      <c r="E96" s="458"/>
      <c r="F96" s="463" t="s">
        <v>157</v>
      </c>
      <c r="G96" s="600"/>
      <c r="H96" s="601"/>
      <c r="I96" s="460"/>
      <c r="J96" s="459"/>
      <c r="K96" s="462"/>
      <c r="L96" s="461"/>
      <c r="M96" s="461"/>
      <c r="N96" s="165"/>
      <c r="O96" s="71"/>
    </row>
    <row r="97" spans="2:23" ht="25" thickBot="1" x14ac:dyDescent="0.35">
      <c r="B97" s="456"/>
      <c r="C97" s="615" t="s">
        <v>178</v>
      </c>
      <c r="D97" s="616"/>
      <c r="E97" s="458">
        <f>E38+J38</f>
        <v>0</v>
      </c>
      <c r="F97" s="463" t="s">
        <v>157</v>
      </c>
      <c r="G97" s="600"/>
      <c r="H97" s="601"/>
      <c r="I97" s="460"/>
      <c r="J97" s="459"/>
      <c r="K97" s="454"/>
      <c r="L97" s="468"/>
      <c r="M97" s="468"/>
      <c r="N97" s="165"/>
      <c r="O97" s="71"/>
    </row>
    <row r="98" spans="2:23" x14ac:dyDescent="0.3">
      <c r="B98" s="456"/>
      <c r="C98" s="469"/>
      <c r="D98" s="469"/>
      <c r="E98" s="470"/>
      <c r="F98" s="463"/>
      <c r="G98" s="464"/>
      <c r="H98" s="464"/>
      <c r="I98" s="471"/>
      <c r="J98" s="459"/>
      <c r="K98" s="454"/>
      <c r="L98" s="468"/>
      <c r="M98" s="468"/>
      <c r="N98" s="165"/>
      <c r="O98" s="71"/>
    </row>
    <row r="99" spans="2:23" x14ac:dyDescent="0.3">
      <c r="B99" s="456"/>
      <c r="C99" s="469"/>
      <c r="D99" s="469"/>
      <c r="E99" s="470"/>
      <c r="F99" s="463"/>
      <c r="G99" s="464"/>
      <c r="H99" s="464"/>
      <c r="I99" s="471"/>
      <c r="J99" s="459"/>
      <c r="K99" s="454"/>
      <c r="L99" s="468"/>
      <c r="M99" s="468"/>
      <c r="N99" s="165"/>
      <c r="O99" s="71"/>
    </row>
    <row r="100" spans="2:23" x14ac:dyDescent="0.3">
      <c r="B100" s="456"/>
      <c r="C100" s="638" t="s">
        <v>239</v>
      </c>
      <c r="D100" s="638"/>
      <c r="E100" s="470"/>
      <c r="F100" s="472"/>
      <c r="G100" s="464"/>
      <c r="H100" s="473"/>
      <c r="I100" s="649" t="s">
        <v>107</v>
      </c>
      <c r="J100" s="649"/>
      <c r="K100" s="457"/>
      <c r="L100" s="457"/>
      <c r="M100" s="457"/>
      <c r="N100" s="328"/>
      <c r="O100" s="179"/>
      <c r="P100" s="179"/>
      <c r="Q100" s="179"/>
      <c r="R100" s="179"/>
      <c r="S100" s="179"/>
      <c r="T100" s="179"/>
      <c r="U100" s="179"/>
      <c r="V100" s="165"/>
      <c r="W100" s="71"/>
    </row>
    <row r="101" spans="2:23" ht="25" thickBot="1" x14ac:dyDescent="0.35">
      <c r="B101" s="474"/>
      <c r="C101" s="606" t="s">
        <v>725</v>
      </c>
      <c r="D101" s="607"/>
      <c r="E101" s="607"/>
      <c r="F101" s="607"/>
      <c r="G101" s="607"/>
      <c r="H101" s="608"/>
      <c r="I101" s="618"/>
      <c r="J101" s="618"/>
      <c r="K101" s="466"/>
      <c r="L101" s="470"/>
      <c r="M101" s="470"/>
      <c r="N101" s="329"/>
      <c r="O101" s="38"/>
      <c r="P101" s="61"/>
      <c r="Q101" s="61"/>
      <c r="R101" s="61"/>
      <c r="S101" s="60"/>
      <c r="T101" s="62"/>
      <c r="U101" s="62"/>
      <c r="V101" s="64"/>
    </row>
    <row r="102" spans="2:23" ht="25" thickBot="1" x14ac:dyDescent="0.35">
      <c r="B102" s="474"/>
      <c r="C102" s="606"/>
      <c r="D102" s="607"/>
      <c r="E102" s="607"/>
      <c r="F102" s="607"/>
      <c r="G102" s="607"/>
      <c r="H102" s="608"/>
      <c r="I102" s="618"/>
      <c r="J102" s="618"/>
      <c r="K102" s="466"/>
      <c r="L102" s="627"/>
      <c r="M102" s="627"/>
      <c r="N102" s="330"/>
      <c r="O102" s="38"/>
      <c r="P102" s="326"/>
      <c r="Q102" s="66"/>
      <c r="R102" s="127"/>
      <c r="S102" s="648"/>
      <c r="T102" s="636"/>
      <c r="U102" s="62"/>
      <c r="V102" s="64"/>
    </row>
    <row r="103" spans="2:23" x14ac:dyDescent="0.3">
      <c r="B103" s="474"/>
      <c r="C103" s="606"/>
      <c r="D103" s="607"/>
      <c r="E103" s="607"/>
      <c r="F103" s="607"/>
      <c r="G103" s="607"/>
      <c r="H103" s="608"/>
      <c r="I103" s="618"/>
      <c r="J103" s="618"/>
      <c r="K103" s="466"/>
      <c r="L103" s="627"/>
      <c r="M103" s="627"/>
      <c r="N103" s="330"/>
      <c r="O103" s="38"/>
      <c r="P103" s="327"/>
      <c r="Q103" s="63"/>
      <c r="R103" s="126"/>
      <c r="S103" s="648"/>
      <c r="T103" s="636"/>
      <c r="U103" s="62"/>
      <c r="V103" s="64"/>
    </row>
    <row r="104" spans="2:23" x14ac:dyDescent="0.3">
      <c r="B104" s="474"/>
      <c r="C104" s="606"/>
      <c r="D104" s="607"/>
      <c r="E104" s="607"/>
      <c r="F104" s="607"/>
      <c r="G104" s="607"/>
      <c r="H104" s="608"/>
      <c r="I104" s="618"/>
      <c r="J104" s="618"/>
      <c r="K104" s="466"/>
      <c r="L104" s="470"/>
      <c r="M104" s="470"/>
      <c r="N104" s="330"/>
      <c r="O104" s="38"/>
      <c r="P104" s="61"/>
      <c r="Q104" s="61"/>
      <c r="R104" s="61"/>
      <c r="S104" s="60"/>
      <c r="T104" s="62"/>
      <c r="U104" s="62"/>
      <c r="V104" s="64"/>
    </row>
    <row r="105" spans="2:23" x14ac:dyDescent="0.3">
      <c r="B105" s="474"/>
      <c r="C105" s="606"/>
      <c r="D105" s="607"/>
      <c r="E105" s="607"/>
      <c r="F105" s="607"/>
      <c r="G105" s="607"/>
      <c r="H105" s="608"/>
      <c r="I105" s="618"/>
      <c r="J105" s="618"/>
      <c r="K105" s="466"/>
      <c r="L105" s="466"/>
      <c r="M105" s="466"/>
      <c r="N105" s="331"/>
      <c r="O105" s="37"/>
      <c r="P105" s="37"/>
      <c r="Q105" s="37"/>
      <c r="R105" s="37"/>
      <c r="S105" s="60"/>
      <c r="T105" s="62"/>
      <c r="U105" s="62"/>
      <c r="V105" s="64"/>
    </row>
    <row r="106" spans="2:23" ht="25" thickBot="1" x14ac:dyDescent="0.35">
      <c r="B106" s="475"/>
      <c r="C106" s="476"/>
      <c r="D106" s="628"/>
      <c r="E106" s="628"/>
      <c r="F106" s="477"/>
      <c r="G106" s="478"/>
      <c r="H106" s="479"/>
      <c r="I106" s="479"/>
      <c r="J106" s="480"/>
      <c r="K106" s="481"/>
      <c r="L106" s="482"/>
      <c r="M106" s="482"/>
      <c r="N106" s="332"/>
      <c r="O106" s="37"/>
    </row>
    <row r="107" spans="2:23" x14ac:dyDescent="0.3">
      <c r="B107" s="466"/>
      <c r="C107" s="466"/>
      <c r="D107" s="609"/>
      <c r="E107" s="609"/>
      <c r="F107" s="483"/>
      <c r="G107" s="483"/>
      <c r="H107" s="483"/>
      <c r="I107" s="483"/>
      <c r="J107" s="483"/>
      <c r="K107" s="454"/>
      <c r="L107" s="617"/>
      <c r="M107" s="617"/>
      <c r="N107" s="221"/>
    </row>
    <row r="108" spans="2:23" x14ac:dyDescent="0.3">
      <c r="B108" s="466"/>
      <c r="C108" s="466"/>
      <c r="D108" s="609"/>
      <c r="E108" s="609"/>
      <c r="F108" s="483"/>
      <c r="G108" s="483"/>
      <c r="H108" s="483"/>
      <c r="I108" s="483"/>
      <c r="J108" s="483"/>
      <c r="K108" s="454"/>
      <c r="L108" s="617"/>
      <c r="M108" s="617"/>
      <c r="N108" s="221"/>
    </row>
    <row r="109" spans="2:23" x14ac:dyDescent="0.3">
      <c r="B109" s="466"/>
      <c r="C109" s="466"/>
      <c r="D109" s="609"/>
      <c r="E109" s="609"/>
      <c r="F109" s="484"/>
      <c r="G109" s="483"/>
      <c r="H109" s="483"/>
      <c r="I109" s="483"/>
      <c r="J109" s="483"/>
      <c r="K109" s="454"/>
      <c r="L109" s="617"/>
      <c r="M109" s="617"/>
      <c r="N109" s="221"/>
    </row>
    <row r="110" spans="2:23" x14ac:dyDescent="0.3">
      <c r="B110" s="466"/>
      <c r="C110" s="466"/>
      <c r="D110" s="470"/>
      <c r="E110" s="466"/>
      <c r="F110" s="470"/>
      <c r="G110" s="484"/>
      <c r="H110" s="484"/>
      <c r="I110" s="484"/>
      <c r="J110" s="484"/>
      <c r="K110" s="485"/>
      <c r="L110" s="617"/>
      <c r="M110" s="617"/>
      <c r="N110" s="221"/>
    </row>
    <row r="111" spans="2:23" x14ac:dyDescent="0.3">
      <c r="B111" s="466"/>
      <c r="C111" s="466"/>
      <c r="D111" s="470"/>
      <c r="E111" s="470"/>
      <c r="F111" s="470"/>
      <c r="G111" s="470"/>
      <c r="H111" s="630"/>
      <c r="I111" s="630"/>
      <c r="J111" s="630"/>
      <c r="K111" s="486"/>
      <c r="L111" s="617"/>
      <c r="M111" s="617"/>
      <c r="N111" s="221"/>
    </row>
    <row r="112" spans="2:23" x14ac:dyDescent="0.3">
      <c r="B112" s="466"/>
      <c r="C112" s="466"/>
      <c r="D112" s="470"/>
      <c r="E112" s="470"/>
      <c r="F112" s="470"/>
      <c r="G112" s="470"/>
      <c r="H112" s="631"/>
      <c r="I112" s="631"/>
      <c r="J112" s="631"/>
      <c r="K112" s="454"/>
      <c r="L112" s="617"/>
      <c r="M112" s="617"/>
      <c r="N112" s="221"/>
    </row>
    <row r="113" spans="1:26" x14ac:dyDescent="0.3">
      <c r="B113" s="466"/>
      <c r="C113" s="466"/>
      <c r="D113" s="470"/>
      <c r="E113" s="470"/>
      <c r="F113" s="470"/>
      <c r="G113" s="470"/>
      <c r="H113" s="631"/>
      <c r="I113" s="631"/>
      <c r="J113" s="631"/>
      <c r="K113" s="454"/>
      <c r="L113" s="617"/>
      <c r="M113" s="617"/>
      <c r="N113" s="222"/>
    </row>
    <row r="114" spans="1:26" x14ac:dyDescent="0.3">
      <c r="B114" s="466"/>
      <c r="C114" s="466"/>
      <c r="D114" s="470"/>
      <c r="E114" s="470"/>
      <c r="F114" s="470"/>
      <c r="G114" s="470"/>
      <c r="H114" s="611"/>
      <c r="I114" s="611"/>
      <c r="J114" s="611"/>
      <c r="K114" s="454"/>
      <c r="L114" s="617"/>
      <c r="M114" s="617"/>
      <c r="N114" s="221"/>
      <c r="R114" s="223"/>
    </row>
    <row r="115" spans="1:26" x14ac:dyDescent="0.3">
      <c r="A115" s="37"/>
      <c r="B115" s="466"/>
      <c r="C115" s="466"/>
      <c r="D115" s="470"/>
      <c r="E115" s="470"/>
      <c r="F115" s="487"/>
      <c r="G115" s="470"/>
      <c r="H115" s="488"/>
      <c r="I115" s="488"/>
      <c r="J115" s="488"/>
      <c r="K115" s="470"/>
      <c r="L115" s="489"/>
      <c r="M115" s="489"/>
      <c r="N115" s="221"/>
    </row>
    <row r="116" spans="1:26" x14ac:dyDescent="0.3">
      <c r="A116" s="37"/>
      <c r="B116" s="466"/>
      <c r="C116" s="487"/>
      <c r="D116" s="487"/>
      <c r="E116" s="487"/>
      <c r="F116" s="490"/>
      <c r="G116" s="487"/>
      <c r="H116" s="487"/>
      <c r="I116" s="487"/>
      <c r="J116" s="487"/>
      <c r="K116" s="487"/>
      <c r="L116" s="487"/>
      <c r="M116" s="487"/>
      <c r="N116" s="221"/>
    </row>
    <row r="117" spans="1:26" x14ac:dyDescent="0.3">
      <c r="A117" s="37"/>
      <c r="B117" s="466"/>
      <c r="C117" s="491"/>
      <c r="D117" s="490"/>
      <c r="E117" s="490"/>
      <c r="F117" s="483"/>
      <c r="G117" s="490"/>
      <c r="H117" s="492"/>
      <c r="I117" s="492"/>
      <c r="J117" s="492"/>
      <c r="K117" s="492"/>
      <c r="L117" s="633"/>
      <c r="M117" s="633"/>
      <c r="N117" s="221"/>
    </row>
    <row r="118" spans="1:26" x14ac:dyDescent="0.3">
      <c r="A118" s="37"/>
      <c r="B118" s="466"/>
      <c r="C118" s="466"/>
      <c r="D118" s="594"/>
      <c r="E118" s="594"/>
      <c r="F118" s="483"/>
      <c r="G118" s="493"/>
      <c r="H118" s="494"/>
      <c r="I118" s="495"/>
      <c r="J118" s="496"/>
      <c r="K118" s="470"/>
      <c r="L118" s="613"/>
      <c r="M118" s="613"/>
      <c r="N118" s="221"/>
    </row>
    <row r="119" spans="1:26" x14ac:dyDescent="0.3">
      <c r="A119" s="37"/>
      <c r="B119" s="466"/>
      <c r="C119" s="466"/>
      <c r="D119" s="497"/>
      <c r="E119" s="497"/>
      <c r="F119" s="498"/>
      <c r="G119" s="497"/>
      <c r="H119" s="499"/>
      <c r="I119" s="500"/>
      <c r="J119" s="496"/>
      <c r="K119" s="470"/>
      <c r="L119" s="489"/>
      <c r="M119" s="489"/>
      <c r="N119" s="221"/>
      <c r="Q119" s="635"/>
      <c r="R119" s="635"/>
      <c r="S119" s="635"/>
      <c r="T119" s="635"/>
      <c r="U119" s="635"/>
      <c r="V119" s="635"/>
      <c r="W119" s="37"/>
      <c r="X119" s="37"/>
      <c r="Y119" s="37"/>
      <c r="Z119" s="37"/>
    </row>
    <row r="120" spans="1:26" x14ac:dyDescent="0.3">
      <c r="A120" s="37"/>
      <c r="B120" s="466"/>
      <c r="C120" s="466"/>
      <c r="D120" s="498"/>
      <c r="E120" s="498"/>
      <c r="F120" s="498"/>
      <c r="G120" s="498"/>
      <c r="H120" s="611"/>
      <c r="I120" s="611"/>
      <c r="J120" s="611"/>
      <c r="K120" s="471"/>
      <c r="L120" s="613"/>
      <c r="M120" s="613"/>
      <c r="N120" s="221"/>
      <c r="Q120" s="225"/>
      <c r="R120" s="225"/>
      <c r="S120" s="225"/>
      <c r="T120" s="225"/>
      <c r="U120" s="225"/>
      <c r="V120" s="225"/>
      <c r="W120" s="37"/>
      <c r="X120" s="37"/>
      <c r="Y120" s="37"/>
      <c r="Z120" s="37"/>
    </row>
    <row r="121" spans="1:26" x14ac:dyDescent="0.3">
      <c r="A121" s="37"/>
      <c r="B121" s="466"/>
      <c r="C121" s="466"/>
      <c r="D121" s="498"/>
      <c r="E121" s="498"/>
      <c r="F121" s="501"/>
      <c r="G121" s="498"/>
      <c r="H121" s="488"/>
      <c r="I121" s="488"/>
      <c r="J121" s="488"/>
      <c r="K121" s="471"/>
      <c r="L121" s="489"/>
      <c r="M121" s="489"/>
      <c r="N121" s="221"/>
      <c r="Q121" s="26"/>
      <c r="R121" s="37"/>
      <c r="S121" s="37"/>
      <c r="T121" s="37"/>
      <c r="U121" s="37"/>
      <c r="V121" s="37"/>
      <c r="W121" s="37"/>
      <c r="X121" s="37"/>
      <c r="Y121" s="37"/>
      <c r="Z121" s="37"/>
    </row>
    <row r="122" spans="1:26" x14ac:dyDescent="0.3">
      <c r="A122" s="37"/>
      <c r="B122" s="466"/>
      <c r="C122" s="466"/>
      <c r="D122" s="470"/>
      <c r="E122" s="501"/>
      <c r="F122" s="470"/>
      <c r="G122" s="470"/>
      <c r="H122" s="611"/>
      <c r="I122" s="611"/>
      <c r="J122" s="611"/>
      <c r="K122" s="488"/>
      <c r="L122" s="613"/>
      <c r="M122" s="613"/>
      <c r="N122" s="221"/>
      <c r="Q122" s="26"/>
      <c r="R122" s="37"/>
      <c r="S122" s="37"/>
      <c r="T122" s="37"/>
      <c r="U122" s="37"/>
      <c r="V122" s="37"/>
      <c r="W122" s="37"/>
      <c r="X122" s="37"/>
      <c r="Y122" s="37"/>
      <c r="Z122" s="37"/>
    </row>
    <row r="123" spans="1:26" x14ac:dyDescent="0.3">
      <c r="A123" s="37"/>
      <c r="B123" s="466"/>
      <c r="C123" s="466"/>
      <c r="D123" s="470"/>
      <c r="E123" s="471"/>
      <c r="F123" s="470"/>
      <c r="G123" s="470"/>
      <c r="H123" s="488"/>
      <c r="I123" s="488"/>
      <c r="J123" s="488"/>
      <c r="K123" s="488"/>
      <c r="L123" s="489"/>
      <c r="M123" s="489"/>
      <c r="N123" s="221"/>
      <c r="R123" s="37"/>
      <c r="S123" s="226"/>
      <c r="T123" s="37"/>
      <c r="U123" s="37"/>
      <c r="V123" s="37"/>
      <c r="W123" s="124">
        <v>70</v>
      </c>
      <c r="X123" s="37" t="s">
        <v>104</v>
      </c>
      <c r="Y123" s="37"/>
      <c r="Z123" s="37"/>
    </row>
    <row r="124" spans="1:26" x14ac:dyDescent="0.3">
      <c r="A124" s="37"/>
      <c r="B124" s="466"/>
      <c r="C124" s="466"/>
      <c r="D124" s="470"/>
      <c r="E124" s="470"/>
      <c r="F124" s="470"/>
      <c r="G124" s="470"/>
      <c r="H124" s="502"/>
      <c r="I124" s="502"/>
      <c r="J124" s="502"/>
      <c r="K124" s="488"/>
      <c r="L124" s="613"/>
      <c r="M124" s="613"/>
      <c r="N124" s="221"/>
      <c r="R124" s="37"/>
      <c r="S124" s="226"/>
      <c r="T124" s="37"/>
      <c r="U124" s="37"/>
      <c r="V124" s="37"/>
      <c r="W124" s="124"/>
      <c r="X124" s="37"/>
      <c r="Y124" s="37"/>
      <c r="Z124" s="37"/>
    </row>
    <row r="125" spans="1:26" x14ac:dyDescent="0.3">
      <c r="A125" s="37"/>
      <c r="B125" s="466"/>
      <c r="C125" s="466"/>
      <c r="D125" s="470"/>
      <c r="E125" s="470"/>
      <c r="F125" s="503"/>
      <c r="G125" s="470"/>
      <c r="H125" s="502"/>
      <c r="I125" s="502"/>
      <c r="J125" s="502"/>
      <c r="K125" s="488"/>
      <c r="L125" s="489"/>
      <c r="M125" s="489"/>
      <c r="N125" s="221"/>
      <c r="R125" s="37"/>
      <c r="S125" s="226"/>
      <c r="T125" s="37"/>
      <c r="U125" s="37"/>
      <c r="V125" s="37"/>
      <c r="W125" s="124">
        <v>9</v>
      </c>
      <c r="X125" s="37" t="s">
        <v>105</v>
      </c>
      <c r="Y125" s="37"/>
      <c r="Z125" s="37"/>
    </row>
    <row r="126" spans="1:26" x14ac:dyDescent="0.3">
      <c r="B126" s="466"/>
      <c r="C126" s="466"/>
      <c r="D126" s="466"/>
      <c r="E126" s="466"/>
      <c r="F126" s="503"/>
      <c r="G126" s="470"/>
      <c r="H126" s="504"/>
      <c r="I126" s="502"/>
      <c r="J126" s="502"/>
      <c r="K126" s="488"/>
      <c r="L126" s="613"/>
      <c r="M126" s="613"/>
      <c r="N126" s="221"/>
      <c r="R126" s="37"/>
      <c r="S126" s="226"/>
      <c r="T126" s="37"/>
      <c r="U126" s="37"/>
      <c r="V126" s="37"/>
      <c r="W126" s="124"/>
      <c r="X126" s="37"/>
      <c r="Y126" s="37"/>
      <c r="Z126" s="37"/>
    </row>
    <row r="127" spans="1:26" x14ac:dyDescent="0.3">
      <c r="B127" s="466"/>
      <c r="C127" s="466"/>
      <c r="D127" s="610"/>
      <c r="E127" s="610"/>
      <c r="F127" s="505"/>
      <c r="G127" s="470"/>
      <c r="H127" s="504"/>
      <c r="I127" s="502"/>
      <c r="J127" s="502"/>
      <c r="K127" s="488"/>
      <c r="L127" s="617"/>
      <c r="M127" s="617"/>
      <c r="N127" s="221"/>
      <c r="R127" s="37"/>
      <c r="S127" s="37"/>
      <c r="T127" s="37"/>
      <c r="U127" s="37"/>
      <c r="V127" s="37"/>
      <c r="W127" s="37"/>
      <c r="X127" s="37"/>
      <c r="Y127" s="37"/>
      <c r="Z127" s="37"/>
    </row>
    <row r="128" spans="1:26" x14ac:dyDescent="0.3">
      <c r="B128" s="466"/>
      <c r="C128" s="466"/>
      <c r="D128" s="610"/>
      <c r="E128" s="610"/>
      <c r="F128" s="505"/>
      <c r="G128" s="470"/>
      <c r="H128" s="506"/>
      <c r="I128" s="488"/>
      <c r="J128" s="488"/>
      <c r="K128" s="507"/>
      <c r="L128" s="507"/>
      <c r="M128" s="489"/>
      <c r="N128" s="221"/>
      <c r="Q128" s="26"/>
      <c r="R128" s="37"/>
      <c r="S128" s="37"/>
      <c r="T128" s="37"/>
      <c r="U128" s="37"/>
      <c r="V128" s="37"/>
      <c r="W128" s="37"/>
      <c r="X128" s="37"/>
      <c r="Y128" s="37"/>
      <c r="Z128" s="37"/>
    </row>
    <row r="129" spans="2:26" x14ac:dyDescent="0.3">
      <c r="B129" s="466"/>
      <c r="C129" s="466"/>
      <c r="D129" s="610"/>
      <c r="E129" s="610"/>
      <c r="F129" s="483"/>
      <c r="G129" s="470"/>
      <c r="H129" s="508"/>
      <c r="I129" s="488"/>
      <c r="J129" s="488"/>
      <c r="K129" s="509"/>
      <c r="L129" s="612"/>
      <c r="M129" s="612"/>
      <c r="N129" s="221"/>
      <c r="R129" s="37"/>
      <c r="S129" s="37"/>
      <c r="T129" s="37"/>
      <c r="U129" s="37"/>
      <c r="V129" s="37"/>
      <c r="W129" s="124">
        <v>0</v>
      </c>
      <c r="X129" s="37" t="s">
        <v>104</v>
      </c>
      <c r="Y129" s="37"/>
      <c r="Z129" s="37"/>
    </row>
    <row r="130" spans="2:26" x14ac:dyDescent="0.3">
      <c r="B130" s="466"/>
      <c r="C130" s="466"/>
      <c r="D130" s="609"/>
      <c r="E130" s="609"/>
      <c r="F130" s="510"/>
      <c r="G130" s="483"/>
      <c r="H130" s="511"/>
      <c r="I130" s="488"/>
      <c r="J130" s="502"/>
      <c r="K130" s="512"/>
      <c r="L130" s="489"/>
      <c r="M130" s="489"/>
      <c r="N130" s="221"/>
      <c r="R130" s="37"/>
      <c r="S130" s="37"/>
      <c r="T130" s="37"/>
      <c r="U130" s="37"/>
      <c r="V130" s="37"/>
      <c r="W130" s="124">
        <v>3</v>
      </c>
      <c r="X130" s="37" t="s">
        <v>105</v>
      </c>
      <c r="Y130" s="37"/>
      <c r="Z130" s="37"/>
    </row>
    <row r="131" spans="2:26" x14ac:dyDescent="0.3">
      <c r="B131" s="466"/>
      <c r="C131" s="513"/>
      <c r="D131" s="470"/>
      <c r="E131" s="513"/>
      <c r="F131" s="470"/>
      <c r="G131" s="513"/>
      <c r="H131" s="513"/>
      <c r="I131" s="593"/>
      <c r="J131" s="593"/>
      <c r="K131" s="513"/>
      <c r="L131" s="513"/>
      <c r="M131" s="513"/>
      <c r="N131" s="221"/>
      <c r="Q131" s="36"/>
      <c r="R131" s="37"/>
      <c r="S131" s="37"/>
      <c r="T131" s="37"/>
      <c r="U131" s="37"/>
      <c r="V131" s="37"/>
      <c r="W131" s="124">
        <v>8</v>
      </c>
      <c r="X131" s="37" t="s">
        <v>105</v>
      </c>
      <c r="Y131" s="37"/>
      <c r="Z131" s="37"/>
    </row>
    <row r="132" spans="2:26" x14ac:dyDescent="0.3">
      <c r="B132" s="466"/>
      <c r="C132" s="466"/>
      <c r="D132" s="470"/>
      <c r="E132" s="470"/>
      <c r="F132" s="470"/>
      <c r="G132" s="470"/>
      <c r="H132" s="502"/>
      <c r="I132" s="502"/>
      <c r="J132" s="502"/>
      <c r="K132" s="488"/>
      <c r="L132" s="468"/>
      <c r="M132" s="468"/>
      <c r="N132" s="221"/>
      <c r="R132" s="37"/>
      <c r="S132" s="37"/>
      <c r="T132" s="37"/>
      <c r="U132" s="37"/>
      <c r="V132" s="37"/>
      <c r="W132" s="37"/>
      <c r="X132" s="37"/>
      <c r="Y132" s="37"/>
      <c r="Z132" s="37"/>
    </row>
    <row r="133" spans="2:26" x14ac:dyDescent="0.3">
      <c r="B133" s="466"/>
      <c r="C133" s="466"/>
      <c r="D133" s="470"/>
      <c r="E133" s="470"/>
      <c r="F133" s="470"/>
      <c r="G133" s="470"/>
      <c r="H133" s="502"/>
      <c r="I133" s="502"/>
      <c r="J133" s="502"/>
      <c r="K133" s="488"/>
      <c r="L133" s="468"/>
      <c r="M133" s="468"/>
      <c r="N133" s="221"/>
      <c r="Q133" s="227"/>
      <c r="R133" s="37"/>
      <c r="S133" s="37"/>
      <c r="T133" s="37"/>
      <c r="U133" s="37"/>
      <c r="V133" s="37"/>
      <c r="W133" s="37"/>
      <c r="X133" s="37"/>
      <c r="Y133" s="37"/>
      <c r="Z133" s="37"/>
    </row>
    <row r="134" spans="2:26" x14ac:dyDescent="0.3">
      <c r="B134" s="466"/>
      <c r="C134" s="466"/>
      <c r="D134" s="470"/>
      <c r="E134" s="470"/>
      <c r="F134" s="470"/>
      <c r="G134" s="470"/>
      <c r="H134" s="488"/>
      <c r="I134" s="488"/>
      <c r="J134" s="488"/>
      <c r="K134" s="488"/>
      <c r="L134" s="468"/>
      <c r="M134" s="468"/>
      <c r="N134" s="221"/>
      <c r="R134" s="37"/>
      <c r="S134" s="37"/>
      <c r="T134" s="37"/>
      <c r="U134" s="37"/>
      <c r="V134" s="37"/>
      <c r="W134" s="124">
        <v>9</v>
      </c>
      <c r="X134" s="37" t="s">
        <v>105</v>
      </c>
      <c r="Y134" s="37"/>
      <c r="Z134" s="37"/>
    </row>
    <row r="135" spans="2:26" x14ac:dyDescent="0.3">
      <c r="B135" s="466"/>
      <c r="C135" s="466"/>
      <c r="D135" s="470"/>
      <c r="E135" s="470"/>
      <c r="F135" s="466"/>
      <c r="G135" s="470"/>
      <c r="H135" s="488"/>
      <c r="I135" s="488"/>
      <c r="J135" s="488"/>
      <c r="K135" s="488"/>
      <c r="L135" s="468"/>
      <c r="M135" s="468"/>
      <c r="N135" s="221"/>
      <c r="R135" s="37"/>
      <c r="S135" s="37"/>
      <c r="T135" s="37"/>
      <c r="U135" s="37"/>
      <c r="V135" s="37"/>
      <c r="W135" s="37"/>
      <c r="X135" s="37"/>
      <c r="Y135" s="37"/>
      <c r="Z135" s="37"/>
    </row>
    <row r="136" spans="2:26" x14ac:dyDescent="0.3">
      <c r="C136" s="37"/>
      <c r="D136" s="37"/>
      <c r="E136" s="37"/>
      <c r="F136" s="37"/>
      <c r="G136" s="37"/>
      <c r="H136" s="37"/>
      <c r="I136" s="37"/>
      <c r="J136" s="37"/>
      <c r="K136" s="224"/>
      <c r="L136" s="201"/>
      <c r="M136" s="201"/>
      <c r="N136" s="221"/>
      <c r="Q136" s="26"/>
      <c r="R136" s="37"/>
      <c r="S136" s="37"/>
      <c r="T136" s="37"/>
      <c r="U136" s="37"/>
      <c r="V136" s="37"/>
      <c r="W136" s="37"/>
      <c r="X136" s="37"/>
      <c r="Y136" s="37"/>
      <c r="Z136" s="37"/>
    </row>
    <row r="137" spans="2:26" x14ac:dyDescent="0.3">
      <c r="C137" s="37"/>
      <c r="D137" s="37"/>
      <c r="E137" s="37"/>
      <c r="F137" s="37"/>
      <c r="G137" s="37"/>
      <c r="H137" s="37"/>
      <c r="I137" s="37"/>
      <c r="J137" s="228"/>
      <c r="K137" s="228"/>
      <c r="L137" s="228"/>
      <c r="M137" s="228"/>
      <c r="N137" s="221"/>
      <c r="W137" s="125">
        <v>0</v>
      </c>
      <c r="X137" s="1" t="s">
        <v>104</v>
      </c>
    </row>
    <row r="138" spans="2:26" ht="10.5" customHeight="1" x14ac:dyDescent="0.3">
      <c r="C138" s="37"/>
      <c r="D138" s="37"/>
      <c r="E138" s="37"/>
      <c r="F138" s="37"/>
      <c r="G138" s="37"/>
      <c r="H138" s="37"/>
      <c r="I138" s="229"/>
      <c r="J138" s="230"/>
      <c r="K138" s="230"/>
      <c r="L138" s="231"/>
      <c r="M138" s="231"/>
      <c r="N138" s="221"/>
    </row>
    <row r="139" spans="2:26" ht="24" customHeight="1" x14ac:dyDescent="0.3">
      <c r="C139" s="37"/>
      <c r="D139" s="37"/>
      <c r="E139" s="37"/>
      <c r="G139" s="37"/>
      <c r="H139" s="37"/>
      <c r="I139" s="37"/>
      <c r="J139" s="228"/>
      <c r="K139" s="228"/>
      <c r="L139" s="228"/>
      <c r="M139" s="228"/>
      <c r="N139" s="221"/>
    </row>
    <row r="140" spans="2:26" ht="11.25" customHeight="1" x14ac:dyDescent="0.3">
      <c r="N140" s="221"/>
    </row>
    <row r="141" spans="2:26" ht="12" customHeight="1" x14ac:dyDescent="0.3"/>
    <row r="142" spans="2:26" ht="25" customHeight="1" x14ac:dyDescent="0.3"/>
    <row r="143" spans="2:26" ht="25" customHeight="1" x14ac:dyDescent="0.3"/>
    <row r="144" spans="2:26" ht="25" customHeight="1" x14ac:dyDescent="0.3"/>
    <row r="145" ht="25" customHeight="1" x14ac:dyDescent="0.3"/>
    <row r="146" ht="25" customHeight="1" x14ac:dyDescent="0.3"/>
    <row r="147" ht="25" customHeight="1" x14ac:dyDescent="0.3"/>
    <row r="148" ht="25" customHeight="1" x14ac:dyDescent="0.3"/>
    <row r="149" ht="25" customHeight="1" x14ac:dyDescent="0.3"/>
    <row r="150" ht="25" customHeight="1" x14ac:dyDescent="0.3"/>
    <row r="151" ht="25" customHeight="1" x14ac:dyDescent="0.3"/>
    <row r="152" ht="25" customHeight="1" x14ac:dyDescent="0.3"/>
    <row r="153" ht="25" customHeight="1" x14ac:dyDescent="0.3"/>
    <row r="154" ht="25" customHeight="1" x14ac:dyDescent="0.3"/>
    <row r="155" ht="25" customHeight="1" x14ac:dyDescent="0.3"/>
    <row r="156" ht="25" customHeight="1" x14ac:dyDescent="0.3"/>
    <row r="157" ht="25" customHeight="1" x14ac:dyDescent="0.3"/>
    <row r="158" ht="25" customHeight="1" x14ac:dyDescent="0.3"/>
  </sheetData>
  <sheetProtection formatCells="0" formatColumns="0" formatRows="0" insertColumns="0" insertRows="0" insertHyperlinks="0" deleteColumns="0" deleteRows="0" sort="0" autoFilter="0" pivotTables="0"/>
  <mergeCells count="155">
    <mergeCell ref="P22:Q22"/>
    <mergeCell ref="C29:D29"/>
    <mergeCell ref="H29:I29"/>
    <mergeCell ref="C45:D45"/>
    <mergeCell ref="C44:D44"/>
    <mergeCell ref="H44:I44"/>
    <mergeCell ref="H45:I45"/>
    <mergeCell ref="C33:D33"/>
    <mergeCell ref="H28:I28"/>
    <mergeCell ref="C31:D31"/>
    <mergeCell ref="C24:D24"/>
    <mergeCell ref="C25:D25"/>
    <mergeCell ref="C26:D26"/>
    <mergeCell ref="H33:I33"/>
    <mergeCell ref="C35:D35"/>
    <mergeCell ref="H35:I35"/>
    <mergeCell ref="C36:D36"/>
    <mergeCell ref="H36:I36"/>
    <mergeCell ref="S102:S103"/>
    <mergeCell ref="I100:J100"/>
    <mergeCell ref="C94:D94"/>
    <mergeCell ref="G94:H94"/>
    <mergeCell ref="J73:K73"/>
    <mergeCell ref="C69:E69"/>
    <mergeCell ref="C91:D91"/>
    <mergeCell ref="J71:K71"/>
    <mergeCell ref="C46:D46"/>
    <mergeCell ref="H46:I46"/>
    <mergeCell ref="C75:G75"/>
    <mergeCell ref="C76:G76"/>
    <mergeCell ref="C77:G77"/>
    <mergeCell ref="C78:G78"/>
    <mergeCell ref="C79:G79"/>
    <mergeCell ref="C80:G80"/>
    <mergeCell ref="J63:K63"/>
    <mergeCell ref="S3:W3"/>
    <mergeCell ref="Q119:V119"/>
    <mergeCell ref="L110:M110"/>
    <mergeCell ref="T102:T103"/>
    <mergeCell ref="D4:M4"/>
    <mergeCell ref="C100:D100"/>
    <mergeCell ref="H114:J114"/>
    <mergeCell ref="L103:M103"/>
    <mergeCell ref="C56:D56"/>
    <mergeCell ref="C74:D74"/>
    <mergeCell ref="G93:H93"/>
    <mergeCell ref="E5:G5"/>
    <mergeCell ref="E6:G6"/>
    <mergeCell ref="C8:M8"/>
    <mergeCell ref="H24:I24"/>
    <mergeCell ref="H25:I25"/>
    <mergeCell ref="C95:D95"/>
    <mergeCell ref="I104:J104"/>
    <mergeCell ref="I101:J101"/>
    <mergeCell ref="C53:D53"/>
    <mergeCell ref="C55:D55"/>
    <mergeCell ref="C57:D57"/>
    <mergeCell ref="C62:D62"/>
    <mergeCell ref="C63:D63"/>
    <mergeCell ref="H7:J7"/>
    <mergeCell ref="C90:D90"/>
    <mergeCell ref="H43:I43"/>
    <mergeCell ref="C43:D43"/>
    <mergeCell ref="H111:J111"/>
    <mergeCell ref="L118:M118"/>
    <mergeCell ref="H113:J113"/>
    <mergeCell ref="L111:M111"/>
    <mergeCell ref="L114:M114"/>
    <mergeCell ref="H112:J112"/>
    <mergeCell ref="L112:M112"/>
    <mergeCell ref="C27:D27"/>
    <mergeCell ref="H27:I27"/>
    <mergeCell ref="C20:D20"/>
    <mergeCell ref="C23:D23"/>
    <mergeCell ref="H20:I20"/>
    <mergeCell ref="H23:I23"/>
    <mergeCell ref="C21:D21"/>
    <mergeCell ref="H21:I21"/>
    <mergeCell ref="C22:D22"/>
    <mergeCell ref="H22:I22"/>
    <mergeCell ref="C28:D28"/>
    <mergeCell ref="L117:M117"/>
    <mergeCell ref="I102:J102"/>
    <mergeCell ref="D3:M3"/>
    <mergeCell ref="I5:J5"/>
    <mergeCell ref="I6:J6"/>
    <mergeCell ref="K7:L7"/>
    <mergeCell ref="C42:D42"/>
    <mergeCell ref="L126:M126"/>
    <mergeCell ref="L113:M113"/>
    <mergeCell ref="L108:M108"/>
    <mergeCell ref="D109:E109"/>
    <mergeCell ref="L102:M102"/>
    <mergeCell ref="L109:M109"/>
    <mergeCell ref="L107:M107"/>
    <mergeCell ref="I105:J105"/>
    <mergeCell ref="D107:E107"/>
    <mergeCell ref="D108:E108"/>
    <mergeCell ref="G87:H87"/>
    <mergeCell ref="G88:H88"/>
    <mergeCell ref="C96:D96"/>
    <mergeCell ref="D106:E106"/>
    <mergeCell ref="C105:H105"/>
    <mergeCell ref="L124:M124"/>
    <mergeCell ref="H120:J120"/>
    <mergeCell ref="L120:M120"/>
    <mergeCell ref="H26:I26"/>
    <mergeCell ref="D129:E129"/>
    <mergeCell ref="H122:J122"/>
    <mergeCell ref="L129:M129"/>
    <mergeCell ref="L122:M122"/>
    <mergeCell ref="C32:D32"/>
    <mergeCell ref="H31:I31"/>
    <mergeCell ref="H32:I32"/>
    <mergeCell ref="G86:H86"/>
    <mergeCell ref="G85:H85"/>
    <mergeCell ref="C41:D41"/>
    <mergeCell ref="C47:D47"/>
    <mergeCell ref="H41:I41"/>
    <mergeCell ref="H42:I42"/>
    <mergeCell ref="C101:H101"/>
    <mergeCell ref="H47:I47"/>
    <mergeCell ref="C97:D97"/>
    <mergeCell ref="G90:H90"/>
    <mergeCell ref="G95:H95"/>
    <mergeCell ref="L127:M127"/>
    <mergeCell ref="I103:J103"/>
    <mergeCell ref="C61:D61"/>
    <mergeCell ref="G57:H57"/>
    <mergeCell ref="C34:D34"/>
    <mergeCell ref="H34:I34"/>
    <mergeCell ref="I131:J131"/>
    <mergeCell ref="D118:E118"/>
    <mergeCell ref="C54:D54"/>
    <mergeCell ref="C83:M83"/>
    <mergeCell ref="C64:D64"/>
    <mergeCell ref="C93:D93"/>
    <mergeCell ref="C70:E70"/>
    <mergeCell ref="C71:E71"/>
    <mergeCell ref="C72:E72"/>
    <mergeCell ref="C85:D85"/>
    <mergeCell ref="C86:D86"/>
    <mergeCell ref="C87:D87"/>
    <mergeCell ref="C88:D88"/>
    <mergeCell ref="G96:H96"/>
    <mergeCell ref="G97:H97"/>
    <mergeCell ref="C89:D89"/>
    <mergeCell ref="C60:D60"/>
    <mergeCell ref="G89:H89"/>
    <mergeCell ref="C104:H104"/>
    <mergeCell ref="C103:H103"/>
    <mergeCell ref="C102:H102"/>
    <mergeCell ref="D130:E130"/>
    <mergeCell ref="D127:E127"/>
    <mergeCell ref="D128:E128"/>
  </mergeCells>
  <phoneticPr fontId="0" type="noConversion"/>
  <printOptions horizontalCentered="1" verticalCentered="1"/>
  <pageMargins left="0" right="0" top="0" bottom="0" header="0" footer="0"/>
  <pageSetup scale="24" orientation="portrait" r:id="rId1"/>
  <headerFooter alignWithMargins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0000000-0002-0000-0000-000001000000}">
          <x14:formula1>
            <xm:f>Formulas!$B$38:$B$40</xm:f>
          </x14:formula1>
          <xm:sqref>E22 J45 E45 J22</xm:sqref>
        </x14:dataValidation>
        <x14:dataValidation type="list" allowBlank="1" showInputMessage="1" showErrorMessage="1" xr:uid="{00000000-0002-0000-0000-000002000000}">
          <x14:formula1>
            <xm:f>Formulas!$A$43:$A$46</xm:f>
          </x14:formula1>
          <xm:sqref>E23 J46 E46 J33 E33 J23</xm:sqref>
        </x14:dataValidation>
        <x14:dataValidation type="list" allowBlank="1" showInputMessage="1" showErrorMessage="1" xr:uid="{86385A39-5E72-4B20-8D01-B25FBF784143}">
          <x14:formula1>
            <xm:f>Formulas!$H$3:$H$7</xm:f>
          </x14:formula1>
          <xm:sqref>E28 J28 E34 J34</xm:sqref>
        </x14:dataValidation>
        <x14:dataValidation type="list" allowBlank="1" showInputMessage="1" showErrorMessage="1" xr:uid="{74E04AE1-0865-4796-BEB9-2E7E364DF253}">
          <x14:formula1>
            <xm:f>Formulas!$K$9:$K$11</xm:f>
          </x14:formula1>
          <xm:sqref>E20 J20 E40 J40</xm:sqref>
        </x14:dataValidation>
        <x14:dataValidation type="list" allowBlank="1" showInputMessage="1" showErrorMessage="1" xr:uid="{DE4D4F48-7A04-447E-82FD-23DE7E0CC53D}">
          <x14:formula1>
            <xm:f>Formulas!$L$58:$L$61</xm:f>
          </x14:formula1>
          <xm:sqref>D52</xm:sqref>
        </x14:dataValidation>
        <x14:dataValidation type="list" allowBlank="1" showInputMessage="1" showErrorMessage="1" xr:uid="{7212C07E-9C5A-42EE-87AF-B327D2676F37}">
          <x14:formula1>
            <xm:f>Formulas!$G$103:$G$105</xm:f>
          </x14:formula1>
          <xm:sqref>E35 J35</xm:sqref>
        </x14:dataValidation>
        <x14:dataValidation type="list" allowBlank="1" showInputMessage="1" showErrorMessage="1" xr:uid="{B0379640-2131-40F6-8D7E-B0FD122AEFB3}">
          <x14:formula1>
            <xm:f>Formulas!$N$24:$N$26</xm:f>
          </x14:formula1>
          <xm:sqref>E56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25008-4401-47A4-A36C-CB6E9B6BE8BA}">
  <sheetPr codeName="Sheet54">
    <tabColor rgb="FFFF0000"/>
    <pageSetUpPr fitToPage="1"/>
  </sheetPr>
  <dimension ref="A1:O67"/>
  <sheetViews>
    <sheetView showGridLines="0" showZeros="0" view="pageBreakPreview" zoomScaleNormal="100" zoomScaleSheetLayoutView="100" workbookViewId="0">
      <selection activeCell="D12" sqref="D12:K24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1.59765625" style="2" bestFit="1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1325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1325</v>
      </c>
      <c r="E11" s="679"/>
      <c r="F11" s="679"/>
      <c r="G11" s="679"/>
      <c r="H11" s="679"/>
      <c r="I11" s="679"/>
      <c r="J11" s="680"/>
      <c r="K11" s="152"/>
      <c r="L11" s="668">
        <f t="shared" ref="L11" si="0">K11*C11</f>
        <v>0</v>
      </c>
      <c r="M11" s="669"/>
      <c r="N11" s="178"/>
      <c r="O11" s="71"/>
    </row>
    <row r="12" spans="1:15" ht="23.5" customHeight="1" x14ac:dyDescent="0.3">
      <c r="A12" s="71"/>
      <c r="B12" s="166"/>
      <c r="C12" s="360"/>
      <c r="D12" s="590" t="s">
        <v>1324</v>
      </c>
      <c r="E12" s="591"/>
      <c r="F12" s="591"/>
      <c r="G12" s="591"/>
      <c r="H12" s="591"/>
      <c r="I12" s="591"/>
      <c r="J12" s="685"/>
      <c r="K12" s="152">
        <v>50</v>
      </c>
      <c r="L12" s="668">
        <f>K12*C12</f>
        <v>0</v>
      </c>
      <c r="M12" s="669"/>
      <c r="N12" s="178"/>
      <c r="O12" s="71"/>
    </row>
    <row r="13" spans="1:15" x14ac:dyDescent="0.3">
      <c r="A13" s="71"/>
      <c r="B13" s="166"/>
      <c r="C13" s="360"/>
      <c r="D13" s="590" t="s">
        <v>1323</v>
      </c>
      <c r="E13" s="591"/>
      <c r="F13" s="591"/>
      <c r="G13" s="591"/>
      <c r="H13" s="591"/>
      <c r="I13" s="591"/>
      <c r="J13" s="685"/>
      <c r="K13" s="152">
        <v>52</v>
      </c>
      <c r="L13" s="668">
        <f t="shared" ref="L13:L35" si="1">K13*C13</f>
        <v>0</v>
      </c>
      <c r="M13" s="669"/>
      <c r="N13" s="178"/>
      <c r="O13" s="71"/>
    </row>
    <row r="14" spans="1:15" x14ac:dyDescent="0.3">
      <c r="A14" s="71"/>
      <c r="B14" s="166"/>
      <c r="C14" s="360"/>
      <c r="D14" s="590" t="s">
        <v>1322</v>
      </c>
      <c r="E14" s="591"/>
      <c r="F14" s="591"/>
      <c r="G14" s="591"/>
      <c r="H14" s="591"/>
      <c r="I14" s="591"/>
      <c r="J14" s="685"/>
      <c r="K14" s="152">
        <v>39</v>
      </c>
      <c r="L14" s="668">
        <f t="shared" si="1"/>
        <v>0</v>
      </c>
      <c r="M14" s="669"/>
      <c r="N14" s="178"/>
      <c r="O14" s="71"/>
    </row>
    <row r="15" spans="1:15" x14ac:dyDescent="0.3">
      <c r="A15" s="71"/>
      <c r="B15" s="166"/>
      <c r="C15" s="360"/>
      <c r="D15" s="590" t="s">
        <v>1321</v>
      </c>
      <c r="E15" s="591"/>
      <c r="F15" s="591"/>
      <c r="G15" s="591"/>
      <c r="H15" s="591"/>
      <c r="I15" s="591"/>
      <c r="J15" s="685"/>
      <c r="K15" s="152">
        <v>15</v>
      </c>
      <c r="L15" s="668">
        <f t="shared" si="1"/>
        <v>0</v>
      </c>
      <c r="M15" s="669"/>
      <c r="N15" s="178"/>
      <c r="O15" s="71"/>
    </row>
    <row r="16" spans="1:15" x14ac:dyDescent="0.3">
      <c r="A16" s="71"/>
      <c r="B16" s="166"/>
      <c r="C16" s="360"/>
      <c r="D16" s="590" t="s">
        <v>1320</v>
      </c>
      <c r="E16" s="591"/>
      <c r="F16" s="591"/>
      <c r="G16" s="591"/>
      <c r="H16" s="591"/>
      <c r="I16" s="591"/>
      <c r="J16" s="685"/>
      <c r="K16" s="152">
        <v>15</v>
      </c>
      <c r="L16" s="668">
        <f t="shared" si="1"/>
        <v>0</v>
      </c>
      <c r="M16" s="669"/>
      <c r="N16" s="178"/>
      <c r="O16" s="71"/>
    </row>
    <row r="17" spans="1:15" x14ac:dyDescent="0.3">
      <c r="A17" s="71"/>
      <c r="B17" s="166"/>
      <c r="C17" s="360"/>
      <c r="D17" s="590" t="s">
        <v>1319</v>
      </c>
      <c r="E17" s="591"/>
      <c r="F17" s="591"/>
      <c r="G17" s="591"/>
      <c r="H17" s="591"/>
      <c r="I17" s="591"/>
      <c r="J17" s="685"/>
      <c r="K17" s="152">
        <f>'Material Price'!J353</f>
        <v>60</v>
      </c>
      <c r="L17" s="668">
        <f t="shared" si="1"/>
        <v>0</v>
      </c>
      <c r="M17" s="669"/>
      <c r="N17" s="178"/>
      <c r="O17" s="71"/>
    </row>
    <row r="18" spans="1:15" x14ac:dyDescent="0.3">
      <c r="A18" s="71"/>
      <c r="B18" s="166"/>
      <c r="C18" s="360"/>
      <c r="D18" s="590" t="s">
        <v>1318</v>
      </c>
      <c r="E18" s="591"/>
      <c r="F18" s="591"/>
      <c r="G18" s="591"/>
      <c r="H18" s="591"/>
      <c r="I18" s="591"/>
      <c r="J18" s="685"/>
      <c r="K18" s="152">
        <v>68</v>
      </c>
      <c r="L18" s="668">
        <f t="shared" si="1"/>
        <v>0</v>
      </c>
      <c r="M18" s="669"/>
      <c r="N18" s="178"/>
      <c r="O18" s="71"/>
    </row>
    <row r="19" spans="1:15" x14ac:dyDescent="0.3">
      <c r="A19" s="71"/>
      <c r="B19" s="166"/>
      <c r="C19" s="360"/>
      <c r="D19" s="590" t="s">
        <v>1333</v>
      </c>
      <c r="E19" s="591"/>
      <c r="F19" s="591"/>
      <c r="G19" s="591"/>
      <c r="H19" s="591"/>
      <c r="I19" s="591"/>
      <c r="J19" s="685"/>
      <c r="K19" s="152">
        <v>6</v>
      </c>
      <c r="L19" s="668">
        <f t="shared" si="1"/>
        <v>0</v>
      </c>
      <c r="M19" s="669"/>
      <c r="N19" s="178"/>
      <c r="O19" s="71"/>
    </row>
    <row r="20" spans="1:15" x14ac:dyDescent="0.3">
      <c r="A20" s="71"/>
      <c r="B20" s="166"/>
      <c r="C20" s="360"/>
      <c r="D20" s="590" t="s">
        <v>1334</v>
      </c>
      <c r="E20" s="591"/>
      <c r="F20" s="591"/>
      <c r="G20" s="591"/>
      <c r="H20" s="591"/>
      <c r="I20" s="591"/>
      <c r="J20" s="685"/>
      <c r="K20" s="152">
        <f>'Material Price'!J356</f>
        <v>18</v>
      </c>
      <c r="L20" s="668">
        <f t="shared" si="1"/>
        <v>0</v>
      </c>
      <c r="M20" s="669"/>
      <c r="N20" s="178"/>
      <c r="O20" s="71"/>
    </row>
    <row r="21" spans="1:15" x14ac:dyDescent="0.3">
      <c r="A21" s="71"/>
      <c r="B21" s="166"/>
      <c r="C21" s="360"/>
      <c r="D21" s="590" t="s">
        <v>1335</v>
      </c>
      <c r="E21" s="591"/>
      <c r="F21" s="591"/>
      <c r="G21" s="591"/>
      <c r="H21" s="591"/>
      <c r="I21" s="591"/>
      <c r="J21" s="685"/>
      <c r="K21" s="152">
        <f>'Material Price'!J357</f>
        <v>2.5</v>
      </c>
      <c r="L21" s="668">
        <f t="shared" si="1"/>
        <v>0</v>
      </c>
      <c r="M21" s="669"/>
      <c r="N21" s="178"/>
      <c r="O21" s="71"/>
    </row>
    <row r="22" spans="1:15" x14ac:dyDescent="0.3">
      <c r="A22" s="71"/>
      <c r="B22" s="166"/>
      <c r="C22" s="360"/>
      <c r="D22" s="590" t="s">
        <v>1336</v>
      </c>
      <c r="E22" s="591"/>
      <c r="F22" s="591"/>
      <c r="G22" s="591"/>
      <c r="H22" s="591"/>
      <c r="I22" s="591"/>
      <c r="J22" s="685"/>
      <c r="K22" s="152">
        <v>3</v>
      </c>
      <c r="L22" s="668">
        <f t="shared" si="1"/>
        <v>0</v>
      </c>
      <c r="M22" s="669"/>
      <c r="N22" s="178"/>
      <c r="O22" s="71"/>
    </row>
    <row r="23" spans="1:15" x14ac:dyDescent="0.3">
      <c r="A23" s="71"/>
      <c r="B23" s="166"/>
      <c r="C23" s="360"/>
      <c r="D23" s="590" t="s">
        <v>1337</v>
      </c>
      <c r="E23" s="591"/>
      <c r="F23" s="591"/>
      <c r="G23" s="591"/>
      <c r="H23" s="591"/>
      <c r="I23" s="591"/>
      <c r="J23" s="685"/>
      <c r="K23" s="152">
        <f>'Material Price'!J359</f>
        <v>1.5</v>
      </c>
      <c r="L23" s="668">
        <f t="shared" si="1"/>
        <v>0</v>
      </c>
      <c r="M23" s="669"/>
      <c r="N23" s="178"/>
      <c r="O23" s="71"/>
    </row>
    <row r="24" spans="1:15" x14ac:dyDescent="0.3">
      <c r="A24" s="71"/>
      <c r="B24" s="166"/>
      <c r="C24" s="360"/>
      <c r="D24" s="590" t="s">
        <v>1312</v>
      </c>
      <c r="E24" s="591"/>
      <c r="F24" s="591"/>
      <c r="G24" s="591"/>
      <c r="H24" s="591"/>
      <c r="I24" s="591"/>
      <c r="J24" s="685"/>
      <c r="K24" s="152">
        <f>'Material Price'!J360</f>
        <v>1.2</v>
      </c>
      <c r="L24" s="668">
        <f t="shared" si="1"/>
        <v>0</v>
      </c>
      <c r="M24" s="669"/>
      <c r="N24" s="178"/>
      <c r="O24" s="71"/>
    </row>
    <row r="25" spans="1:15" x14ac:dyDescent="0.3">
      <c r="A25" s="71"/>
      <c r="B25" s="166"/>
      <c r="C25" s="360"/>
      <c r="D25" s="590"/>
      <c r="E25" s="591"/>
      <c r="F25" s="591"/>
      <c r="G25" s="591"/>
      <c r="H25" s="591"/>
      <c r="I25" s="591"/>
      <c r="J25" s="685"/>
      <c r="K25" s="152"/>
      <c r="L25" s="668">
        <f t="shared" si="1"/>
        <v>0</v>
      </c>
      <c r="M25" s="669"/>
      <c r="N25" s="178"/>
      <c r="O25" s="71"/>
    </row>
    <row r="26" spans="1:15" x14ac:dyDescent="0.3">
      <c r="A26" s="71"/>
      <c r="B26" s="166"/>
      <c r="C26" s="360"/>
      <c r="D26" s="590"/>
      <c r="E26" s="591"/>
      <c r="F26" s="591"/>
      <c r="G26" s="591"/>
      <c r="H26" s="591"/>
      <c r="I26" s="591"/>
      <c r="J26" s="685"/>
      <c r="K26" s="152"/>
      <c r="L26" s="668">
        <f t="shared" si="1"/>
        <v>0</v>
      </c>
      <c r="M26" s="669"/>
      <c r="N26" s="178"/>
      <c r="O26" s="71"/>
    </row>
    <row r="27" spans="1:15" x14ac:dyDescent="0.3">
      <c r="A27" s="71"/>
      <c r="B27" s="166"/>
      <c r="C27" s="360"/>
      <c r="D27" s="590"/>
      <c r="E27" s="591"/>
      <c r="F27" s="591"/>
      <c r="G27" s="591"/>
      <c r="H27" s="591"/>
      <c r="I27" s="591"/>
      <c r="J27" s="685"/>
      <c r="K27" s="152"/>
      <c r="L27" s="668">
        <f t="shared" si="1"/>
        <v>0</v>
      </c>
      <c r="M27" s="669"/>
      <c r="N27" s="178"/>
      <c r="O27" s="71"/>
    </row>
    <row r="28" spans="1:15" x14ac:dyDescent="0.3">
      <c r="A28" s="71"/>
      <c r="B28" s="166"/>
      <c r="C28" s="360"/>
      <c r="D28" s="590"/>
      <c r="E28" s="591"/>
      <c r="F28" s="591"/>
      <c r="G28" s="591"/>
      <c r="H28" s="591"/>
      <c r="I28" s="591"/>
      <c r="J28" s="685"/>
      <c r="K28" s="152"/>
      <c r="L28" s="668">
        <f t="shared" si="1"/>
        <v>0</v>
      </c>
      <c r="M28" s="669"/>
      <c r="N28" s="178"/>
      <c r="O28" s="71"/>
    </row>
    <row r="29" spans="1:15" x14ac:dyDescent="0.3">
      <c r="A29" s="71"/>
      <c r="B29" s="166"/>
      <c r="C29" s="360"/>
      <c r="D29" s="217"/>
      <c r="E29" s="345"/>
      <c r="F29" s="345"/>
      <c r="G29" s="345"/>
      <c r="H29" s="345"/>
      <c r="I29" s="345"/>
      <c r="J29" s="346"/>
      <c r="K29" s="356"/>
      <c r="L29" s="668">
        <f t="shared" si="1"/>
        <v>0</v>
      </c>
      <c r="M29" s="669"/>
      <c r="N29" s="178"/>
      <c r="O29" s="71"/>
    </row>
    <row r="30" spans="1:15" x14ac:dyDescent="0.3">
      <c r="A30" s="71"/>
      <c r="B30" s="166"/>
      <c r="C30" s="360"/>
      <c r="D30" s="217"/>
      <c r="E30" s="345"/>
      <c r="F30" s="345"/>
      <c r="G30" s="345"/>
      <c r="H30" s="345"/>
      <c r="I30" s="345"/>
      <c r="J30" s="346"/>
      <c r="K30" s="356"/>
      <c r="L30" s="668">
        <f t="shared" si="1"/>
        <v>0</v>
      </c>
      <c r="M30" s="669"/>
      <c r="N30" s="178"/>
      <c r="O30" s="71"/>
    </row>
    <row r="31" spans="1:15" x14ac:dyDescent="0.3">
      <c r="A31" s="71"/>
      <c r="B31" s="166"/>
      <c r="C31" s="360"/>
      <c r="D31" s="217"/>
      <c r="E31" s="345"/>
      <c r="F31" s="345"/>
      <c r="G31" s="345"/>
      <c r="H31" s="345"/>
      <c r="I31" s="345"/>
      <c r="J31" s="346"/>
      <c r="K31" s="356"/>
      <c r="L31" s="668">
        <f t="shared" si="1"/>
        <v>0</v>
      </c>
      <c r="M31" s="669"/>
      <c r="N31" s="178"/>
      <c r="O31" s="71"/>
    </row>
    <row r="32" spans="1:15" x14ac:dyDescent="0.3">
      <c r="A32" s="71"/>
      <c r="B32" s="166"/>
      <c r="C32" s="360"/>
      <c r="D32" s="217"/>
      <c r="E32" s="345"/>
      <c r="F32" s="345"/>
      <c r="G32" s="345"/>
      <c r="H32" s="345"/>
      <c r="I32" s="345"/>
      <c r="J32" s="346"/>
      <c r="K32" s="356"/>
      <c r="L32" s="668">
        <f t="shared" si="1"/>
        <v>0</v>
      </c>
      <c r="M32" s="669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356"/>
      <c r="L33" s="668">
        <f t="shared" si="1"/>
        <v>0</v>
      </c>
      <c r="M33" s="669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8">
        <f t="shared" si="1"/>
        <v>0</v>
      </c>
      <c r="M34" s="669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152"/>
      <c r="L35" s="668">
        <f t="shared" si="1"/>
        <v>0</v>
      </c>
      <c r="M35" s="669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152"/>
      <c r="L36" s="668">
        <f>K36*C36</f>
        <v>0</v>
      </c>
      <c r="M36" s="669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8">
        <f t="shared" ref="L37:L46" si="2">K37*C37</f>
        <v>0</v>
      </c>
      <c r="M37" s="669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8">
        <f t="shared" si="2"/>
        <v>0</v>
      </c>
      <c r="M38" s="669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8">
        <f t="shared" si="2"/>
        <v>0</v>
      </c>
      <c r="M39" s="669"/>
      <c r="N39" s="178"/>
      <c r="O39" s="71"/>
    </row>
    <row r="40" spans="1:15" x14ac:dyDescent="0.3">
      <c r="A40" s="71"/>
      <c r="B40" s="166"/>
      <c r="C40" s="360"/>
      <c r="D40" s="347"/>
      <c r="E40" s="345"/>
      <c r="F40" s="345"/>
      <c r="G40" s="345"/>
      <c r="H40" s="345"/>
      <c r="I40" s="345"/>
      <c r="J40" s="346"/>
      <c r="K40" s="152"/>
      <c r="L40" s="668">
        <f t="shared" si="2"/>
        <v>0</v>
      </c>
      <c r="M40" s="669"/>
      <c r="N40" s="178"/>
      <c r="O40" s="71"/>
    </row>
    <row r="41" spans="1:15" x14ac:dyDescent="0.3">
      <c r="A41" s="71"/>
      <c r="B41" s="166"/>
      <c r="C41" s="360"/>
      <c r="D41" s="347"/>
      <c r="E41" s="345"/>
      <c r="F41" s="345"/>
      <c r="G41" s="345"/>
      <c r="H41" s="345"/>
      <c r="I41" s="345"/>
      <c r="J41" s="346"/>
      <c r="K41" s="152"/>
      <c r="L41" s="668">
        <f t="shared" si="2"/>
        <v>0</v>
      </c>
      <c r="M41" s="669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8">
        <f t="shared" si="2"/>
        <v>0</v>
      </c>
      <c r="M42" s="669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8">
        <f t="shared" si="2"/>
        <v>0</v>
      </c>
      <c r="M43" s="669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8">
        <f t="shared" si="2"/>
        <v>0</v>
      </c>
      <c r="M44" s="669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8">
        <f t="shared" si="2"/>
        <v>0</v>
      </c>
      <c r="M45" s="669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8">
        <f t="shared" si="2"/>
        <v>0</v>
      </c>
      <c r="M46" s="669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8">
        <f>K47*C47</f>
        <v>0</v>
      </c>
      <c r="M47" s="669"/>
      <c r="N47" s="178"/>
      <c r="O47" s="71"/>
    </row>
    <row r="48" spans="1:15" x14ac:dyDescent="0.3">
      <c r="A48" s="71"/>
      <c r="B48" s="166"/>
      <c r="C48" s="183"/>
      <c r="D48" s="681" t="s">
        <v>10</v>
      </c>
      <c r="E48" s="682"/>
      <c r="F48" s="682"/>
      <c r="G48" s="682"/>
      <c r="H48" s="682"/>
      <c r="I48" s="682"/>
      <c r="J48" s="682"/>
      <c r="K48" s="683"/>
      <c r="L48" s="686">
        <f>(SUM(L10:M47)*0.0625)</f>
        <v>0</v>
      </c>
      <c r="M48" s="686"/>
      <c r="N48" s="178"/>
      <c r="O48" s="71"/>
    </row>
    <row r="49" spans="1:15" x14ac:dyDescent="0.3">
      <c r="A49" s="71"/>
      <c r="B49" s="166"/>
      <c r="C49" s="183"/>
      <c r="D49" s="681" t="s">
        <v>1</v>
      </c>
      <c r="E49" s="682"/>
      <c r="F49" s="682"/>
      <c r="G49" s="682"/>
      <c r="H49" s="682"/>
      <c r="I49" s="682"/>
      <c r="J49" s="682"/>
      <c r="K49" s="683"/>
      <c r="L49" s="684">
        <f>SUM(L10:M48)</f>
        <v>0</v>
      </c>
      <c r="M49" s="684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formatCells="0" formatColumns="0" formatRows="0" insertColumns="0" insertRows="0" insertHyperlinks="0" deleteColumns="0" deleteRows="0" sort="0" autoFilter="0" pivotTables="0"/>
  <mergeCells count="71">
    <mergeCell ref="D25:J25"/>
    <mergeCell ref="D26:J26"/>
    <mergeCell ref="D27:J27"/>
    <mergeCell ref="D28:J28"/>
    <mergeCell ref="D19:J19"/>
    <mergeCell ref="D20:J20"/>
    <mergeCell ref="D21:J21"/>
    <mergeCell ref="D22:J22"/>
    <mergeCell ref="D23:J23"/>
    <mergeCell ref="D24:J24"/>
    <mergeCell ref="D49:K49"/>
    <mergeCell ref="L49:M49"/>
    <mergeCell ref="D12:J12"/>
    <mergeCell ref="D13:J13"/>
    <mergeCell ref="D14:J14"/>
    <mergeCell ref="D15:J15"/>
    <mergeCell ref="D16:J16"/>
    <mergeCell ref="D17:J17"/>
    <mergeCell ref="D18:J18"/>
    <mergeCell ref="L44:M44"/>
    <mergeCell ref="L45:M45"/>
    <mergeCell ref="L46:M46"/>
    <mergeCell ref="L47:M47"/>
    <mergeCell ref="D48:K48"/>
    <mergeCell ref="L48:M48"/>
    <mergeCell ref="L38:M38"/>
    <mergeCell ref="L39:M39"/>
    <mergeCell ref="L40:M40"/>
    <mergeCell ref="L41:M41"/>
    <mergeCell ref="L42:M42"/>
    <mergeCell ref="L43:M43"/>
    <mergeCell ref="L33:M33"/>
    <mergeCell ref="L34:M34"/>
    <mergeCell ref="L35:M35"/>
    <mergeCell ref="L36:M36"/>
    <mergeCell ref="L37:M37"/>
    <mergeCell ref="L28:M28"/>
    <mergeCell ref="L29:M29"/>
    <mergeCell ref="L30:M30"/>
    <mergeCell ref="L31:M31"/>
    <mergeCell ref="L32:M32"/>
    <mergeCell ref="L27:M27"/>
    <mergeCell ref="L16:M16"/>
    <mergeCell ref="L17:M17"/>
    <mergeCell ref="L18:M18"/>
    <mergeCell ref="L19:M19"/>
    <mergeCell ref="L20:M20"/>
    <mergeCell ref="L21:M21"/>
    <mergeCell ref="L22:M22"/>
    <mergeCell ref="L23:M23"/>
    <mergeCell ref="L24:M24"/>
    <mergeCell ref="L25:M25"/>
    <mergeCell ref="L26:M26"/>
    <mergeCell ref="L15:M15"/>
    <mergeCell ref="E7:G7"/>
    <mergeCell ref="C8:M8"/>
    <mergeCell ref="D9:J9"/>
    <mergeCell ref="L9:M9"/>
    <mergeCell ref="D10:J10"/>
    <mergeCell ref="L10:M10"/>
    <mergeCell ref="D11:J11"/>
    <mergeCell ref="L11:M11"/>
    <mergeCell ref="L12:M12"/>
    <mergeCell ref="L13:M13"/>
    <mergeCell ref="L14:M14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FCED7-4130-447E-8D9C-E9E7B7180F95}">
  <sheetPr codeName="Sheet52">
    <tabColor theme="1"/>
    <pageSetUpPr fitToPage="1"/>
  </sheetPr>
  <dimension ref="A1:P65"/>
  <sheetViews>
    <sheetView showGridLines="0" showZeros="0" zoomScaleNormal="100" zoomScaleSheetLayoutView="100" workbookViewId="0">
      <selection activeCell="P45" sqref="P45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16.3984375" style="1" bestFit="1" customWidth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1244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thickBot="1" x14ac:dyDescent="0.35">
      <c r="A8" s="71"/>
      <c r="B8" s="166"/>
      <c r="C8" s="671"/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thickBot="1" x14ac:dyDescent="0.35">
      <c r="A9" s="71"/>
      <c r="B9" s="166"/>
      <c r="C9" s="715" t="s">
        <v>62</v>
      </c>
      <c r="D9" s="716"/>
      <c r="E9" s="716"/>
      <c r="F9" s="716"/>
      <c r="G9" s="716"/>
      <c r="H9" s="716"/>
      <c r="I9" s="716"/>
      <c r="J9" s="716"/>
      <c r="K9" s="716"/>
      <c r="L9" s="716"/>
      <c r="M9" s="717"/>
      <c r="N9" s="178"/>
      <c r="O9" s="71"/>
    </row>
    <row r="10" spans="1:15" x14ac:dyDescent="0.3">
      <c r="A10" s="71"/>
      <c r="B10" s="166"/>
      <c r="C10" s="524"/>
      <c r="D10" s="696" t="s">
        <v>1289</v>
      </c>
      <c r="E10" s="697"/>
      <c r="F10" s="697"/>
      <c r="G10" s="525"/>
      <c r="H10" s="525"/>
      <c r="I10" s="525"/>
      <c r="J10" s="526"/>
      <c r="K10" s="690">
        <f>VLOOKUP(D10,'Calculations '!A2:D27,4,FALSE)</f>
        <v>2875.921875</v>
      </c>
      <c r="L10" s="691"/>
      <c r="M10" s="692"/>
      <c r="N10" s="9"/>
      <c r="O10" s="71"/>
    </row>
    <row r="11" spans="1:15" x14ac:dyDescent="0.3">
      <c r="A11" s="71"/>
      <c r="B11" s="166"/>
      <c r="C11" s="527"/>
      <c r="D11" s="698" t="s">
        <v>1230</v>
      </c>
      <c r="E11" s="699"/>
      <c r="F11" s="699"/>
      <c r="G11" s="34"/>
      <c r="H11" s="34"/>
      <c r="I11" s="34"/>
      <c r="J11" s="35"/>
      <c r="K11" s="693">
        <f>VLOOKUP(D11,'Calculations '!K2:L13,2,FALSE)</f>
        <v>2674.3125</v>
      </c>
      <c r="L11" s="694"/>
      <c r="M11" s="695"/>
      <c r="N11" s="9"/>
      <c r="O11" s="71"/>
    </row>
    <row r="12" spans="1:15" x14ac:dyDescent="0.3">
      <c r="A12" s="71"/>
      <c r="B12" s="166"/>
      <c r="C12" s="527"/>
      <c r="D12" s="33" t="s">
        <v>1245</v>
      </c>
      <c r="E12" s="34"/>
      <c r="F12" s="34"/>
      <c r="G12" s="34"/>
      <c r="H12" s="34"/>
      <c r="I12" s="34"/>
      <c r="J12" s="35"/>
      <c r="K12" s="693">
        <f>'PT Frame Material'!L49</f>
        <v>568.01250000000005</v>
      </c>
      <c r="L12" s="694">
        <f t="shared" ref="L12:L27" si="0">K12*C12</f>
        <v>0</v>
      </c>
      <c r="M12" s="695"/>
      <c r="N12" s="9"/>
      <c r="O12" s="71"/>
    </row>
    <row r="13" spans="1:15" x14ac:dyDescent="0.3">
      <c r="A13" s="71"/>
      <c r="B13" s="166"/>
      <c r="C13" s="527"/>
      <c r="D13" s="33" t="s">
        <v>631</v>
      </c>
      <c r="E13" s="34"/>
      <c r="F13" s="34"/>
      <c r="G13" s="34"/>
      <c r="H13" s="34"/>
      <c r="I13" s="34"/>
      <c r="J13" s="35"/>
      <c r="K13" s="693">
        <f>'Galv. Strap Fastners Footings'!L48</f>
        <v>2393.09</v>
      </c>
      <c r="L13" s="694">
        <f t="shared" si="0"/>
        <v>0</v>
      </c>
      <c r="M13" s="695"/>
      <c r="N13" s="9"/>
      <c r="O13" s="71"/>
    </row>
    <row r="14" spans="1:15" x14ac:dyDescent="0.3">
      <c r="A14" s="71"/>
      <c r="B14" s="166"/>
      <c r="C14" s="527"/>
      <c r="D14" s="706" t="s">
        <v>1240</v>
      </c>
      <c r="E14" s="707"/>
      <c r="F14" s="707"/>
      <c r="G14" s="34"/>
      <c r="H14" s="34"/>
      <c r="I14" s="34"/>
      <c r="J14" s="35"/>
      <c r="K14" s="693">
        <f>VLOOKUP(D14,'Calculations '!N18:O20,2,FALSE)</f>
        <v>0</v>
      </c>
      <c r="L14" s="694">
        <f t="shared" si="0"/>
        <v>0</v>
      </c>
      <c r="M14" s="695"/>
      <c r="N14" s="9"/>
      <c r="O14" s="71"/>
    </row>
    <row r="15" spans="1:15" x14ac:dyDescent="0.3">
      <c r="A15" s="71"/>
      <c r="B15" s="166"/>
      <c r="C15" s="527"/>
      <c r="D15" s="33" t="s">
        <v>1326</v>
      </c>
      <c r="E15" s="34"/>
      <c r="F15" s="34"/>
      <c r="G15" s="34"/>
      <c r="H15" s="34"/>
      <c r="I15" s="34"/>
      <c r="J15" s="35"/>
      <c r="K15" s="693">
        <f>'Trex Rain Scape'!L49</f>
        <v>0</v>
      </c>
      <c r="L15" s="694">
        <f t="shared" si="0"/>
        <v>0</v>
      </c>
      <c r="M15" s="695"/>
      <c r="N15" s="9"/>
      <c r="O15" s="71"/>
    </row>
    <row r="16" spans="1:15" x14ac:dyDescent="0.3">
      <c r="A16" s="71"/>
      <c r="B16" s="166"/>
      <c r="C16" s="360"/>
      <c r="D16" s="557" t="s">
        <v>1248</v>
      </c>
      <c r="E16" s="558"/>
      <c r="F16" s="558"/>
      <c r="G16" s="558"/>
      <c r="H16" s="558"/>
      <c r="I16" s="558"/>
      <c r="J16" s="718"/>
      <c r="K16" s="693"/>
      <c r="L16" s="694"/>
      <c r="M16" s="695"/>
      <c r="N16" s="9"/>
      <c r="O16" s="71"/>
    </row>
    <row r="17" spans="1:15" x14ac:dyDescent="0.3">
      <c r="A17" s="71"/>
      <c r="B17" s="166"/>
      <c r="C17" s="360">
        <f>'Deck TakeOff'!H75</f>
        <v>0</v>
      </c>
      <c r="D17" s="566" t="str">
        <f>'Deck TakeOff'!C75</f>
        <v>1-</v>
      </c>
      <c r="E17" s="567"/>
      <c r="F17" s="567"/>
      <c r="G17" s="567"/>
      <c r="H17" s="567"/>
      <c r="I17" s="567"/>
      <c r="J17" s="575"/>
      <c r="K17" s="693">
        <f>'Deck TakeOff'!J75</f>
        <v>0</v>
      </c>
      <c r="L17" s="694"/>
      <c r="M17" s="695"/>
      <c r="N17" s="9"/>
      <c r="O17" s="71"/>
    </row>
    <row r="18" spans="1:15" x14ac:dyDescent="0.3">
      <c r="A18" s="71"/>
      <c r="B18" s="166"/>
      <c r="C18" s="360">
        <f>'Deck TakeOff'!H76</f>
        <v>0</v>
      </c>
      <c r="D18" s="566" t="str">
        <f>'Deck TakeOff'!C76</f>
        <v>2-</v>
      </c>
      <c r="E18" s="567"/>
      <c r="F18" s="567"/>
      <c r="G18" s="567"/>
      <c r="H18" s="567"/>
      <c r="I18" s="567"/>
      <c r="J18" s="575"/>
      <c r="K18" s="693">
        <f>'Deck TakeOff'!J76</f>
        <v>0</v>
      </c>
      <c r="L18" s="694"/>
      <c r="M18" s="695"/>
      <c r="N18" s="9"/>
      <c r="O18" s="71"/>
    </row>
    <row r="19" spans="1:15" x14ac:dyDescent="0.3">
      <c r="A19" s="71"/>
      <c r="B19" s="166"/>
      <c r="C19" s="360">
        <f>'Deck TakeOff'!H77</f>
        <v>0</v>
      </c>
      <c r="D19" s="566" t="str">
        <f>'Deck TakeOff'!C77</f>
        <v>3-</v>
      </c>
      <c r="E19" s="567"/>
      <c r="F19" s="567"/>
      <c r="G19" s="567"/>
      <c r="H19" s="567"/>
      <c r="I19" s="567"/>
      <c r="J19" s="575"/>
      <c r="K19" s="693">
        <f>'Deck TakeOff'!J77</f>
        <v>0</v>
      </c>
      <c r="L19" s="694"/>
      <c r="M19" s="695"/>
      <c r="N19" s="9"/>
      <c r="O19" s="71"/>
    </row>
    <row r="20" spans="1:15" x14ac:dyDescent="0.3">
      <c r="A20" s="71"/>
      <c r="B20" s="166"/>
      <c r="C20" s="360">
        <f>'Deck TakeOff'!H78</f>
        <v>0</v>
      </c>
      <c r="D20" s="566" t="str">
        <f>'Deck TakeOff'!C78</f>
        <v>4-</v>
      </c>
      <c r="E20" s="567"/>
      <c r="F20" s="567"/>
      <c r="G20" s="567"/>
      <c r="H20" s="567"/>
      <c r="I20" s="567"/>
      <c r="J20" s="575"/>
      <c r="K20" s="693">
        <f>'Deck TakeOff'!J78</f>
        <v>0</v>
      </c>
      <c r="L20" s="694"/>
      <c r="M20" s="695"/>
      <c r="N20" s="9"/>
      <c r="O20" s="71"/>
    </row>
    <row r="21" spans="1:15" x14ac:dyDescent="0.3">
      <c r="A21" s="71"/>
      <c r="B21" s="166"/>
      <c r="C21" s="360">
        <f>'Deck TakeOff'!H79</f>
        <v>0</v>
      </c>
      <c r="D21" s="566" t="str">
        <f>'Deck TakeOff'!C79</f>
        <v>5-</v>
      </c>
      <c r="E21" s="567"/>
      <c r="F21" s="567"/>
      <c r="G21" s="567"/>
      <c r="H21" s="567"/>
      <c r="I21" s="567"/>
      <c r="J21" s="575"/>
      <c r="K21" s="693">
        <f>'Deck TakeOff'!J79</f>
        <v>0</v>
      </c>
      <c r="L21" s="694"/>
      <c r="M21" s="695"/>
      <c r="N21" s="9"/>
      <c r="O21" s="71"/>
    </row>
    <row r="22" spans="1:15" x14ac:dyDescent="0.3">
      <c r="A22" s="71"/>
      <c r="B22" s="166"/>
      <c r="C22" s="360">
        <f>'Deck TakeOff'!H80</f>
        <v>0</v>
      </c>
      <c r="D22" s="566" t="str">
        <f>'Deck TakeOff'!C80</f>
        <v>6-</v>
      </c>
      <c r="E22" s="567"/>
      <c r="F22" s="567"/>
      <c r="G22" s="567"/>
      <c r="H22" s="567"/>
      <c r="I22" s="567"/>
      <c r="J22" s="575"/>
      <c r="K22" s="693">
        <f>'Deck TakeOff'!J80</f>
        <v>0</v>
      </c>
      <c r="L22" s="694"/>
      <c r="M22" s="695"/>
      <c r="N22" s="9"/>
      <c r="O22" s="71"/>
    </row>
    <row r="23" spans="1:15" ht="25" thickBot="1" x14ac:dyDescent="0.35">
      <c r="A23" s="71"/>
      <c r="B23" s="166"/>
      <c r="C23" s="528"/>
      <c r="D23" s="529"/>
      <c r="E23" s="530"/>
      <c r="F23" s="530"/>
      <c r="G23" s="530"/>
      <c r="H23" s="530"/>
      <c r="I23" s="530"/>
      <c r="J23" s="531" t="s">
        <v>1271</v>
      </c>
      <c r="K23" s="742">
        <f>K22+K20+K19+K18+K14+K13+K12+K11+K10+K17+K16+K15+K21</f>
        <v>8511.3368750000009</v>
      </c>
      <c r="L23" s="743"/>
      <c r="M23" s="744"/>
      <c r="N23" s="9"/>
      <c r="O23" s="71"/>
    </row>
    <row r="24" spans="1:15" ht="25" thickBot="1" x14ac:dyDescent="0.35">
      <c r="A24" s="71"/>
      <c r="B24" s="166"/>
      <c r="C24" s="700" t="s">
        <v>61</v>
      </c>
      <c r="D24" s="701"/>
      <c r="E24" s="701"/>
      <c r="F24" s="701"/>
      <c r="G24" s="701"/>
      <c r="H24" s="701"/>
      <c r="I24" s="701"/>
      <c r="J24" s="701"/>
      <c r="K24" s="701"/>
      <c r="L24" s="701"/>
      <c r="M24" s="702"/>
      <c r="N24" s="9"/>
      <c r="O24" s="71"/>
    </row>
    <row r="25" spans="1:15" x14ac:dyDescent="0.3">
      <c r="A25" s="71"/>
      <c r="B25" s="166"/>
      <c r="C25" s="524"/>
      <c r="D25" s="703" t="s">
        <v>1247</v>
      </c>
      <c r="E25" s="704"/>
      <c r="F25" s="704"/>
      <c r="G25" s="704"/>
      <c r="H25" s="704"/>
      <c r="I25" s="704"/>
      <c r="J25" s="705"/>
      <c r="K25" s="709"/>
      <c r="L25" s="710"/>
      <c r="M25" s="711"/>
      <c r="N25" s="9"/>
      <c r="O25" s="71"/>
    </row>
    <row r="26" spans="1:15" x14ac:dyDescent="0.3">
      <c r="A26" s="71"/>
      <c r="B26" s="166"/>
      <c r="C26" s="527"/>
      <c r="D26" s="706" t="s">
        <v>239</v>
      </c>
      <c r="E26" s="707"/>
      <c r="F26" s="707"/>
      <c r="G26" s="707"/>
      <c r="H26" s="707"/>
      <c r="I26" s="707"/>
      <c r="J26" s="708"/>
      <c r="K26" s="712"/>
      <c r="L26" s="713"/>
      <c r="M26" s="714"/>
      <c r="N26" s="9"/>
      <c r="O26" s="71"/>
    </row>
    <row r="27" spans="1:15" ht="25" thickBot="1" x14ac:dyDescent="0.35">
      <c r="A27" s="71"/>
      <c r="B27" s="166"/>
      <c r="C27" s="527"/>
      <c r="D27" s="725" t="s">
        <v>1270</v>
      </c>
      <c r="E27" s="726"/>
      <c r="F27" s="726"/>
      <c r="G27" s="726"/>
      <c r="H27" s="726"/>
      <c r="I27" s="726"/>
      <c r="J27" s="727"/>
      <c r="K27" s="687">
        <f>K26+K25</f>
        <v>0</v>
      </c>
      <c r="L27" s="688">
        <f t="shared" si="0"/>
        <v>0</v>
      </c>
      <c r="M27" s="689"/>
      <c r="N27" s="9"/>
      <c r="O27" s="71"/>
    </row>
    <row r="28" spans="1:15" ht="25" thickBot="1" x14ac:dyDescent="0.35">
      <c r="A28" s="71"/>
      <c r="B28" s="166"/>
      <c r="C28" s="728" t="s">
        <v>1272</v>
      </c>
      <c r="D28" s="729"/>
      <c r="E28" s="729"/>
      <c r="F28" s="729"/>
      <c r="G28" s="729"/>
      <c r="H28" s="729"/>
      <c r="I28" s="729"/>
      <c r="J28" s="729"/>
      <c r="K28" s="729"/>
      <c r="L28" s="729"/>
      <c r="M28" s="730"/>
      <c r="N28" s="9"/>
      <c r="O28" s="71"/>
    </row>
    <row r="29" spans="1:15" x14ac:dyDescent="0.3">
      <c r="A29" s="71"/>
      <c r="B29" s="166"/>
      <c r="C29" s="731"/>
      <c r="D29" s="732"/>
      <c r="E29" s="732"/>
      <c r="F29" s="732"/>
      <c r="G29" s="732"/>
      <c r="H29" s="732"/>
      <c r="I29" s="732"/>
      <c r="J29" s="732"/>
      <c r="K29" s="732"/>
      <c r="L29" s="732"/>
      <c r="M29" s="733"/>
      <c r="N29" s="9"/>
      <c r="O29" s="71"/>
    </row>
    <row r="30" spans="1:15" x14ac:dyDescent="0.3">
      <c r="A30" s="71"/>
      <c r="B30" s="166"/>
      <c r="C30" s="734"/>
      <c r="D30" s="735"/>
      <c r="E30" s="735"/>
      <c r="F30" s="735"/>
      <c r="G30" s="735"/>
      <c r="H30" s="735"/>
      <c r="I30" s="735"/>
      <c r="J30" s="735"/>
      <c r="K30" s="735"/>
      <c r="L30" s="735"/>
      <c r="M30" s="736"/>
      <c r="N30" s="9"/>
      <c r="O30" s="71"/>
    </row>
    <row r="31" spans="1:15" x14ac:dyDescent="0.3">
      <c r="A31" s="71"/>
      <c r="B31" s="166"/>
      <c r="C31" s="734"/>
      <c r="D31" s="735"/>
      <c r="E31" s="735"/>
      <c r="F31" s="735"/>
      <c r="G31" s="735"/>
      <c r="H31" s="735"/>
      <c r="I31" s="735"/>
      <c r="J31" s="735"/>
      <c r="K31" s="735"/>
      <c r="L31" s="735"/>
      <c r="M31" s="736"/>
      <c r="N31" s="9"/>
      <c r="O31" s="71"/>
    </row>
    <row r="32" spans="1:15" x14ac:dyDescent="0.3">
      <c r="A32" s="71"/>
      <c r="B32" s="166"/>
      <c r="C32" s="734"/>
      <c r="D32" s="735"/>
      <c r="E32" s="735"/>
      <c r="F32" s="735"/>
      <c r="G32" s="735"/>
      <c r="H32" s="735"/>
      <c r="I32" s="735"/>
      <c r="J32" s="735"/>
      <c r="K32" s="735"/>
      <c r="L32" s="735"/>
      <c r="M32" s="736"/>
      <c r="N32" s="9"/>
      <c r="O32" s="71"/>
    </row>
    <row r="33" spans="1:16" ht="25" thickBot="1" x14ac:dyDescent="0.35">
      <c r="A33" s="71"/>
      <c r="B33" s="166"/>
      <c r="C33" s="737"/>
      <c r="D33" s="738"/>
      <c r="E33" s="738"/>
      <c r="F33" s="738"/>
      <c r="G33" s="738"/>
      <c r="H33" s="738"/>
      <c r="I33" s="738"/>
      <c r="J33" s="738"/>
      <c r="K33" s="738"/>
      <c r="L33" s="738"/>
      <c r="M33" s="739"/>
      <c r="N33" s="9"/>
      <c r="O33" s="71"/>
    </row>
    <row r="34" spans="1:16" ht="25" thickBot="1" x14ac:dyDescent="0.35">
      <c r="A34" s="71"/>
      <c r="B34" s="166"/>
      <c r="C34" s="745" t="s">
        <v>1269</v>
      </c>
      <c r="D34" s="746"/>
      <c r="E34" s="746"/>
      <c r="F34" s="746"/>
      <c r="G34" s="746"/>
      <c r="H34" s="746"/>
      <c r="I34" s="746"/>
      <c r="J34" s="746"/>
      <c r="K34" s="746"/>
      <c r="L34" s="746"/>
      <c r="M34" s="747"/>
      <c r="N34" s="9"/>
      <c r="O34" s="71"/>
    </row>
    <row r="35" spans="1:16" x14ac:dyDescent="0.3">
      <c r="A35" s="71"/>
      <c r="B35" s="166"/>
      <c r="C35" s="524">
        <v>1</v>
      </c>
      <c r="D35" s="703" t="s">
        <v>1273</v>
      </c>
      <c r="E35" s="704"/>
      <c r="F35" s="704"/>
      <c r="G35" s="704"/>
      <c r="H35" s="704"/>
      <c r="I35" s="704"/>
      <c r="J35" s="705"/>
      <c r="K35" s="532"/>
      <c r="L35" s="712">
        <f>K35*C35</f>
        <v>0</v>
      </c>
      <c r="M35" s="714"/>
      <c r="N35" s="9"/>
      <c r="O35" s="71"/>
    </row>
    <row r="36" spans="1:16" x14ac:dyDescent="0.3">
      <c r="A36" s="71"/>
      <c r="B36" s="166"/>
      <c r="C36" s="527">
        <v>1</v>
      </c>
      <c r="D36" s="706" t="s">
        <v>1274</v>
      </c>
      <c r="E36" s="707"/>
      <c r="F36" s="707"/>
      <c r="G36" s="707"/>
      <c r="H36" s="707"/>
      <c r="I36" s="707"/>
      <c r="J36" s="708"/>
      <c r="K36" s="532">
        <v>150</v>
      </c>
      <c r="L36" s="712">
        <f t="shared" ref="L36:L37" si="1">K36*C36</f>
        <v>150</v>
      </c>
      <c r="M36" s="714"/>
      <c r="N36" s="9"/>
      <c r="O36" s="71"/>
    </row>
    <row r="37" spans="1:16" x14ac:dyDescent="0.3">
      <c r="A37" s="71"/>
      <c r="B37" s="166"/>
      <c r="C37" s="527">
        <v>1</v>
      </c>
      <c r="D37" s="698" t="s">
        <v>1278</v>
      </c>
      <c r="E37" s="699"/>
      <c r="F37" s="699"/>
      <c r="G37" s="34"/>
      <c r="H37" s="34"/>
      <c r="I37" s="34"/>
      <c r="J37" s="35"/>
      <c r="K37" s="356">
        <f>VLOOKUP('General Estimate'!D37,Formulas!F147:G154,2,FALSE)</f>
        <v>675</v>
      </c>
      <c r="L37" s="712">
        <f t="shared" si="1"/>
        <v>675</v>
      </c>
      <c r="M37" s="714"/>
      <c r="N37" s="9"/>
      <c r="O37" s="71"/>
    </row>
    <row r="38" spans="1:16" x14ac:dyDescent="0.3">
      <c r="A38" s="71"/>
      <c r="B38" s="166"/>
      <c r="C38" s="527"/>
      <c r="D38" s="751"/>
      <c r="E38" s="752"/>
      <c r="F38" s="752"/>
      <c r="G38" s="752"/>
      <c r="H38" s="752"/>
      <c r="I38" s="752"/>
      <c r="J38" s="753"/>
      <c r="K38" s="533"/>
      <c r="L38" s="712"/>
      <c r="M38" s="714"/>
      <c r="N38" s="9"/>
      <c r="O38" s="71"/>
    </row>
    <row r="39" spans="1:16" x14ac:dyDescent="0.3">
      <c r="A39" s="71"/>
      <c r="B39" s="166"/>
      <c r="C39" s="527"/>
      <c r="D39" s="751"/>
      <c r="E39" s="752"/>
      <c r="F39" s="752"/>
      <c r="G39" s="752"/>
      <c r="H39" s="752"/>
      <c r="I39" s="752"/>
      <c r="J39" s="753"/>
      <c r="K39" s="533"/>
      <c r="L39" s="712"/>
      <c r="M39" s="714"/>
      <c r="N39" s="9"/>
      <c r="O39" s="71"/>
      <c r="P39" s="36"/>
    </row>
    <row r="40" spans="1:16" ht="25" thickBot="1" x14ac:dyDescent="0.35">
      <c r="A40" s="71"/>
      <c r="B40" s="166"/>
      <c r="C40" s="527"/>
      <c r="D40" s="748" t="s">
        <v>1283</v>
      </c>
      <c r="E40" s="749"/>
      <c r="F40" s="749"/>
      <c r="G40" s="749"/>
      <c r="H40" s="749"/>
      <c r="I40" s="749"/>
      <c r="J40" s="749"/>
      <c r="K40" s="750"/>
      <c r="L40" s="740">
        <f>SUM(L35:M39)</f>
        <v>825</v>
      </c>
      <c r="M40" s="741"/>
      <c r="N40" s="9"/>
      <c r="O40" s="71"/>
    </row>
    <row r="41" spans="1:16" ht="25" thickBot="1" x14ac:dyDescent="0.35">
      <c r="A41" s="71"/>
      <c r="B41" s="166"/>
      <c r="C41" s="745" t="s">
        <v>1282</v>
      </c>
      <c r="D41" s="746"/>
      <c r="E41" s="746"/>
      <c r="F41" s="746"/>
      <c r="G41" s="746"/>
      <c r="H41" s="746"/>
      <c r="I41" s="746"/>
      <c r="J41" s="746"/>
      <c r="K41" s="746"/>
      <c r="L41" s="746"/>
      <c r="M41" s="747"/>
      <c r="N41" s="9"/>
      <c r="O41" s="71"/>
    </row>
    <row r="42" spans="1:16" x14ac:dyDescent="0.3">
      <c r="A42" s="71"/>
      <c r="B42" s="166"/>
      <c r="C42" s="722" t="s">
        <v>62</v>
      </c>
      <c r="D42" s="723"/>
      <c r="E42" s="723"/>
      <c r="F42" s="723"/>
      <c r="G42" s="723"/>
      <c r="H42" s="723"/>
      <c r="I42" s="724"/>
      <c r="J42" s="719">
        <f>K23</f>
        <v>8511.3368750000009</v>
      </c>
      <c r="K42" s="720"/>
      <c r="L42" s="720"/>
      <c r="M42" s="721"/>
      <c r="N42" s="9"/>
      <c r="O42" s="71"/>
      <c r="P42" s="451"/>
    </row>
    <row r="43" spans="1:16" x14ac:dyDescent="0.3">
      <c r="A43" s="71"/>
      <c r="B43" s="166"/>
      <c r="C43" s="766" t="s">
        <v>61</v>
      </c>
      <c r="D43" s="767"/>
      <c r="E43" s="767"/>
      <c r="F43" s="767"/>
      <c r="G43" s="767"/>
      <c r="H43" s="767"/>
      <c r="I43" s="768"/>
      <c r="J43" s="758">
        <f>K27</f>
        <v>0</v>
      </c>
      <c r="K43" s="759"/>
      <c r="L43" s="759"/>
      <c r="M43" s="760"/>
      <c r="N43" s="9"/>
      <c r="O43" s="71"/>
    </row>
    <row r="44" spans="1:16" x14ac:dyDescent="0.3">
      <c r="A44" s="71"/>
      <c r="B44" s="166"/>
      <c r="C44" s="766" t="s">
        <v>1269</v>
      </c>
      <c r="D44" s="767"/>
      <c r="E44" s="767"/>
      <c r="F44" s="767"/>
      <c r="G44" s="767"/>
      <c r="H44" s="767"/>
      <c r="I44" s="768"/>
      <c r="J44" s="758">
        <f>L40</f>
        <v>825</v>
      </c>
      <c r="K44" s="759"/>
      <c r="L44" s="759"/>
      <c r="M44" s="760"/>
      <c r="N44" s="9"/>
      <c r="O44" s="71"/>
    </row>
    <row r="45" spans="1:16" ht="25" thickBot="1" x14ac:dyDescent="0.35">
      <c r="A45" s="71"/>
      <c r="B45" s="166"/>
      <c r="C45" s="769" t="s">
        <v>108</v>
      </c>
      <c r="D45" s="770"/>
      <c r="E45" s="770"/>
      <c r="F45" s="770"/>
      <c r="G45" s="770"/>
      <c r="H45" s="770"/>
      <c r="I45" s="771"/>
      <c r="J45" s="761">
        <f>J44+J43+J42</f>
        <v>9336.3368750000009</v>
      </c>
      <c r="K45" s="762"/>
      <c r="L45" s="762"/>
      <c r="M45" s="763"/>
      <c r="N45" s="9"/>
      <c r="O45" s="71"/>
      <c r="P45" s="268"/>
    </row>
    <row r="46" spans="1:16" ht="25" thickBot="1" x14ac:dyDescent="0.35">
      <c r="A46" s="71"/>
      <c r="B46" s="166"/>
      <c r="C46" s="772" t="s">
        <v>15</v>
      </c>
      <c r="D46" s="773"/>
      <c r="E46" s="773"/>
      <c r="F46" s="773"/>
      <c r="G46" s="773"/>
      <c r="H46" s="773"/>
      <c r="I46" s="534">
        <v>0.3</v>
      </c>
      <c r="J46" s="764">
        <f>(J45/(1-I46))-J45</f>
        <v>4001.2872321428586</v>
      </c>
      <c r="K46" s="764"/>
      <c r="L46" s="764"/>
      <c r="M46" s="765"/>
      <c r="N46" s="9"/>
      <c r="O46" s="71"/>
    </row>
    <row r="47" spans="1:16" x14ac:dyDescent="0.3">
      <c r="A47" s="71"/>
      <c r="B47" s="166"/>
      <c r="C47" s="754" t="s">
        <v>1284</v>
      </c>
      <c r="D47" s="755"/>
      <c r="E47" s="755"/>
      <c r="F47" s="755"/>
      <c r="G47" s="755"/>
      <c r="H47" s="755"/>
      <c r="I47" s="756"/>
      <c r="J47" s="757"/>
      <c r="K47" s="774">
        <f>J46+J45</f>
        <v>13337.624107142859</v>
      </c>
      <c r="L47" s="775"/>
      <c r="M47" s="776"/>
      <c r="N47" s="9"/>
      <c r="O47" s="71"/>
    </row>
    <row r="48" spans="1:16" ht="6" customHeight="1" x14ac:dyDescent="0.3">
      <c r="A48" s="71"/>
      <c r="B48" s="166"/>
      <c r="C48" s="535"/>
      <c r="D48" s="17"/>
      <c r="E48" s="17"/>
      <c r="F48" s="17"/>
      <c r="G48" s="17"/>
      <c r="H48" s="18"/>
      <c r="I48" s="18"/>
      <c r="J48" s="18"/>
      <c r="K48" s="17"/>
      <c r="L48" s="19"/>
      <c r="M48" s="19"/>
      <c r="N48" s="9"/>
      <c r="O48" s="71"/>
    </row>
    <row r="49" ht="25" customHeight="1" x14ac:dyDescent="0.3"/>
    <row r="50" ht="25" customHeight="1" x14ac:dyDescent="0.3"/>
    <row r="51" ht="25" customHeight="1" x14ac:dyDescent="0.3"/>
    <row r="52" ht="25" customHeight="1" x14ac:dyDescent="0.3"/>
    <row r="53" ht="25" customHeight="1" x14ac:dyDescent="0.3"/>
    <row r="54" ht="25" customHeight="1" x14ac:dyDescent="0.3"/>
    <row r="55" ht="25" customHeight="1" x14ac:dyDescent="0.3"/>
    <row r="56" ht="25" customHeight="1" x14ac:dyDescent="0.3"/>
    <row r="57" ht="25" customHeight="1" x14ac:dyDescent="0.3"/>
    <row r="58" ht="25" customHeight="1" x14ac:dyDescent="0.3"/>
    <row r="59" ht="25" customHeight="1" x14ac:dyDescent="0.3"/>
    <row r="60" ht="25" customHeight="1" x14ac:dyDescent="0.3"/>
    <row r="61" ht="25" customHeight="1" x14ac:dyDescent="0.3"/>
    <row r="62" ht="25" customHeight="1" x14ac:dyDescent="0.3"/>
    <row r="63" ht="25" customHeight="1" x14ac:dyDescent="0.3"/>
    <row r="64" ht="25" customHeight="1" x14ac:dyDescent="0.3"/>
    <row r="65" ht="25" customHeight="1" x14ac:dyDescent="0.3"/>
  </sheetData>
  <sheetProtection formatCells="0" formatColumns="0" formatRows="0" insertColumns="0" insertRows="0" insertHyperlinks="0" deleteColumns="0" deleteRows="0" sort="0" autoFilter="0" pivotTables="0"/>
  <mergeCells count="68">
    <mergeCell ref="C47:J47"/>
    <mergeCell ref="J43:M43"/>
    <mergeCell ref="J44:M44"/>
    <mergeCell ref="J45:M45"/>
    <mergeCell ref="J46:M46"/>
    <mergeCell ref="C43:I43"/>
    <mergeCell ref="C44:I44"/>
    <mergeCell ref="C45:I45"/>
    <mergeCell ref="C46:H46"/>
    <mergeCell ref="K47:M47"/>
    <mergeCell ref="C34:M34"/>
    <mergeCell ref="D37:F37"/>
    <mergeCell ref="C41:M41"/>
    <mergeCell ref="D40:K40"/>
    <mergeCell ref="L39:M39"/>
    <mergeCell ref="D38:J38"/>
    <mergeCell ref="D39:J39"/>
    <mergeCell ref="D36:J36"/>
    <mergeCell ref="D35:J35"/>
    <mergeCell ref="J42:M42"/>
    <mergeCell ref="C42:I42"/>
    <mergeCell ref="D14:F14"/>
    <mergeCell ref="D27:J27"/>
    <mergeCell ref="C28:M28"/>
    <mergeCell ref="C29:M33"/>
    <mergeCell ref="K18:M18"/>
    <mergeCell ref="K19:M19"/>
    <mergeCell ref="K20:M20"/>
    <mergeCell ref="L37:M37"/>
    <mergeCell ref="L38:M38"/>
    <mergeCell ref="L40:M40"/>
    <mergeCell ref="L35:M35"/>
    <mergeCell ref="L36:M36"/>
    <mergeCell ref="K22:M22"/>
    <mergeCell ref="K23:M23"/>
    <mergeCell ref="E7:G7"/>
    <mergeCell ref="C8:M8"/>
    <mergeCell ref="D3:M3"/>
    <mergeCell ref="D4:M4"/>
    <mergeCell ref="E5:G5"/>
    <mergeCell ref="I5:J5"/>
    <mergeCell ref="E6:G6"/>
    <mergeCell ref="I6:J6"/>
    <mergeCell ref="C9:M9"/>
    <mergeCell ref="K17:M17"/>
    <mergeCell ref="K13:M13"/>
    <mergeCell ref="K14:M14"/>
    <mergeCell ref="K15:M15"/>
    <mergeCell ref="K16:M16"/>
    <mergeCell ref="K12:M12"/>
    <mergeCell ref="D16:J16"/>
    <mergeCell ref="D17:J17"/>
    <mergeCell ref="K27:M27"/>
    <mergeCell ref="K10:M10"/>
    <mergeCell ref="K11:M11"/>
    <mergeCell ref="D10:F10"/>
    <mergeCell ref="D11:F11"/>
    <mergeCell ref="C24:M24"/>
    <mergeCell ref="D18:J18"/>
    <mergeCell ref="D19:J19"/>
    <mergeCell ref="D20:J20"/>
    <mergeCell ref="D22:J22"/>
    <mergeCell ref="D21:J21"/>
    <mergeCell ref="K21:M21"/>
    <mergeCell ref="D25:J25"/>
    <mergeCell ref="D26:J26"/>
    <mergeCell ref="K25:M25"/>
    <mergeCell ref="K26:M26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F9E5970D-A07E-4CA8-A0DB-7F9C0A2FE474}">
          <x14:formula1>
            <xm:f>'Calculations '!$A$2:$A$27</xm:f>
          </x14:formula1>
          <xm:sqref>D10:F10</xm:sqref>
        </x14:dataValidation>
        <x14:dataValidation type="list" allowBlank="1" showInputMessage="1" showErrorMessage="1" xr:uid="{E2E1E380-25B0-4A34-9E9D-C5DB6EE48DF6}">
          <x14:formula1>
            <xm:f>'Calculations '!$K$2:$K$13</xm:f>
          </x14:formula1>
          <xm:sqref>D11:F11</xm:sqref>
        </x14:dataValidation>
        <x14:dataValidation type="list" allowBlank="1" showInputMessage="1" showErrorMessage="1" xr:uid="{8897FAD8-FBCE-4701-8E20-9C25982B9B51}">
          <x14:formula1>
            <xm:f>'Calculations '!$N$18:$N$20</xm:f>
          </x14:formula1>
          <xm:sqref>D14</xm:sqref>
        </x14:dataValidation>
        <x14:dataValidation type="list" allowBlank="1" showInputMessage="1" showErrorMessage="1" xr:uid="{F4B19EBC-2F67-44AA-BA9C-CCE425FEEA8E}">
          <x14:formula1>
            <xm:f>Formulas!$F$147:$F$154</xm:f>
          </x14:formula1>
          <xm:sqref>D37:F37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E5FC1-E7C0-4410-A50C-DDD6927F0CAD}">
  <sheetPr codeName="Sheet9">
    <tabColor theme="0" tint="-0.34998626667073579"/>
    <pageSetUpPr fitToPage="1"/>
  </sheetPr>
  <dimension ref="A1:O66"/>
  <sheetViews>
    <sheetView showGridLines="0" showZeros="0" view="pageBreakPreview" topLeftCell="A16" zoomScaleNormal="100" zoomScaleSheetLayoutView="100" workbookViewId="0">
      <selection activeCell="J32" sqref="J3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3.3984375" style="2" bestFit="1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631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>
        <f>Formulas!E68</f>
        <v>30</v>
      </c>
      <c r="D10" s="347" t="s">
        <v>1352</v>
      </c>
      <c r="E10" s="345"/>
      <c r="F10" s="345"/>
      <c r="G10" s="345"/>
      <c r="H10" s="345"/>
      <c r="I10" s="345"/>
      <c r="J10" s="346"/>
      <c r="K10" s="152">
        <f>'Material Price'!J90</f>
        <v>2.11</v>
      </c>
      <c r="L10" s="668">
        <f>K10*C10</f>
        <v>63.3</v>
      </c>
      <c r="M10" s="669"/>
      <c r="N10" s="178"/>
      <c r="O10" s="71"/>
    </row>
    <row r="11" spans="1:15" x14ac:dyDescent="0.3">
      <c r="A11" s="71"/>
      <c r="B11" s="166"/>
      <c r="C11" s="360">
        <f>Formulas!E69</f>
        <v>0</v>
      </c>
      <c r="D11" s="347" t="s">
        <v>1351</v>
      </c>
      <c r="E11" s="345"/>
      <c r="F11" s="345"/>
      <c r="G11" s="345"/>
      <c r="H11" s="345"/>
      <c r="I11" s="345"/>
      <c r="J11" s="346"/>
      <c r="K11" s="152">
        <f>'Material Price'!J91</f>
        <v>2.5</v>
      </c>
      <c r="L11" s="668">
        <f t="shared" ref="L11:L30" si="0">K11*C11</f>
        <v>0</v>
      </c>
      <c r="M11" s="669"/>
      <c r="N11" s="178"/>
      <c r="O11" s="71"/>
    </row>
    <row r="12" spans="1:15" x14ac:dyDescent="0.3">
      <c r="A12" s="71"/>
      <c r="B12" s="166"/>
      <c r="C12" s="360">
        <f>Formulas!E70</f>
        <v>0</v>
      </c>
      <c r="D12" s="347" t="s">
        <v>1344</v>
      </c>
      <c r="E12" s="345"/>
      <c r="F12" s="345"/>
      <c r="G12" s="345"/>
      <c r="H12" s="345"/>
      <c r="I12" s="345"/>
      <c r="J12" s="346"/>
      <c r="K12" s="152">
        <f>'Material Price'!J92</f>
        <v>4</v>
      </c>
      <c r="L12" s="668">
        <f t="shared" si="0"/>
        <v>0</v>
      </c>
      <c r="M12" s="669"/>
      <c r="N12" s="178"/>
      <c r="O12" s="71"/>
    </row>
    <row r="13" spans="1:15" x14ac:dyDescent="0.3">
      <c r="A13" s="71"/>
      <c r="B13" s="166"/>
      <c r="C13" s="360">
        <f>Formulas!E71</f>
        <v>4</v>
      </c>
      <c r="D13" s="347" t="s">
        <v>263</v>
      </c>
      <c r="E13" s="345"/>
      <c r="F13" s="345"/>
      <c r="G13" s="345"/>
      <c r="H13" s="345"/>
      <c r="I13" s="345"/>
      <c r="J13" s="346"/>
      <c r="K13" s="152">
        <f>'Material Price'!J93</f>
        <v>0.73</v>
      </c>
      <c r="L13" s="668">
        <f t="shared" si="0"/>
        <v>2.92</v>
      </c>
      <c r="M13" s="669"/>
      <c r="N13" s="178"/>
      <c r="O13" s="71"/>
    </row>
    <row r="14" spans="1:15" x14ac:dyDescent="0.3">
      <c r="A14" s="71"/>
      <c r="B14" s="166"/>
      <c r="C14" s="360">
        <f>Formulas!E79</f>
        <v>0</v>
      </c>
      <c r="D14" s="347" t="s">
        <v>259</v>
      </c>
      <c r="E14" s="345"/>
      <c r="F14" s="345"/>
      <c r="G14" s="345"/>
      <c r="H14" s="345"/>
      <c r="I14" s="345"/>
      <c r="J14" s="346"/>
      <c r="K14" s="152">
        <f>'Material Price'!J94</f>
        <v>70</v>
      </c>
      <c r="L14" s="668">
        <f t="shared" si="0"/>
        <v>0</v>
      </c>
      <c r="M14" s="669"/>
      <c r="N14" s="178"/>
      <c r="O14" s="71"/>
    </row>
    <row r="15" spans="1:15" x14ac:dyDescent="0.3">
      <c r="A15" s="71"/>
      <c r="B15" s="166"/>
      <c r="C15" s="360">
        <f>Formulas!E80</f>
        <v>0</v>
      </c>
      <c r="D15" s="347" t="s">
        <v>494</v>
      </c>
      <c r="E15" s="345"/>
      <c r="F15" s="345"/>
      <c r="G15" s="345"/>
      <c r="H15" s="345"/>
      <c r="I15" s="345"/>
      <c r="J15" s="346"/>
      <c r="K15" s="152">
        <f>'Material Price'!J95</f>
        <v>36</v>
      </c>
      <c r="L15" s="668">
        <f t="shared" si="0"/>
        <v>0</v>
      </c>
      <c r="M15" s="669"/>
      <c r="N15" s="178"/>
      <c r="O15" s="71"/>
    </row>
    <row r="16" spans="1:15" x14ac:dyDescent="0.3">
      <c r="A16" s="71"/>
      <c r="B16" s="166"/>
      <c r="C16" s="360">
        <f>Formulas!E74</f>
        <v>0</v>
      </c>
      <c r="D16" s="347" t="s">
        <v>264</v>
      </c>
      <c r="E16" s="345"/>
      <c r="F16" s="345"/>
      <c r="G16" s="345"/>
      <c r="H16" s="345"/>
      <c r="I16" s="345"/>
      <c r="J16" s="346"/>
      <c r="K16" s="152">
        <f>'Material Price'!J96</f>
        <v>26.67</v>
      </c>
      <c r="L16" s="668">
        <f t="shared" si="0"/>
        <v>0</v>
      </c>
      <c r="M16" s="669"/>
      <c r="N16" s="178"/>
      <c r="O16" s="71"/>
    </row>
    <row r="17" spans="1:15" x14ac:dyDescent="0.3">
      <c r="A17" s="71"/>
      <c r="B17" s="166"/>
      <c r="C17" s="360">
        <f>Formulas!E73</f>
        <v>0</v>
      </c>
      <c r="D17" s="347" t="s">
        <v>265</v>
      </c>
      <c r="E17" s="345"/>
      <c r="F17" s="345"/>
      <c r="G17" s="345"/>
      <c r="H17" s="345"/>
      <c r="I17" s="345"/>
      <c r="J17" s="346"/>
      <c r="K17" s="152">
        <f>'Material Price'!J97</f>
        <v>25</v>
      </c>
      <c r="L17" s="668">
        <f t="shared" si="0"/>
        <v>0</v>
      </c>
      <c r="M17" s="669"/>
      <c r="N17" s="178"/>
      <c r="O17" s="71"/>
    </row>
    <row r="18" spans="1:15" x14ac:dyDescent="0.3">
      <c r="A18" s="71"/>
      <c r="B18" s="166"/>
      <c r="C18" s="360">
        <f>Formulas!E72</f>
        <v>0</v>
      </c>
      <c r="D18" s="347" t="s">
        <v>266</v>
      </c>
      <c r="E18" s="345"/>
      <c r="F18" s="345"/>
      <c r="G18" s="345"/>
      <c r="H18" s="345"/>
      <c r="I18" s="345"/>
      <c r="J18" s="346"/>
      <c r="K18" s="152">
        <f>'Material Price'!J98</f>
        <v>20</v>
      </c>
      <c r="L18" s="668">
        <f t="shared" si="0"/>
        <v>0</v>
      </c>
      <c r="M18" s="669"/>
      <c r="N18" s="178"/>
      <c r="O18" s="71"/>
    </row>
    <row r="19" spans="1:15" x14ac:dyDescent="0.3">
      <c r="A19" s="71"/>
      <c r="B19" s="166"/>
      <c r="C19" s="360">
        <f>Formulas!E75</f>
        <v>0</v>
      </c>
      <c r="D19" s="347" t="s">
        <v>267</v>
      </c>
      <c r="E19" s="345"/>
      <c r="F19" s="345"/>
      <c r="G19" s="345"/>
      <c r="H19" s="345"/>
      <c r="I19" s="345"/>
      <c r="J19" s="346"/>
      <c r="K19" s="152">
        <f>'Material Price'!J99</f>
        <v>12</v>
      </c>
      <c r="L19" s="668">
        <f t="shared" si="0"/>
        <v>0</v>
      </c>
      <c r="M19" s="669"/>
      <c r="N19" s="178"/>
      <c r="O19" s="71"/>
    </row>
    <row r="20" spans="1:15" x14ac:dyDescent="0.3">
      <c r="A20" s="71"/>
      <c r="B20" s="166"/>
      <c r="C20" s="360">
        <f>Formulas!E76</f>
        <v>0</v>
      </c>
      <c r="D20" s="347" t="s">
        <v>1353</v>
      </c>
      <c r="E20" s="345"/>
      <c r="F20" s="345"/>
      <c r="G20" s="345"/>
      <c r="H20" s="345"/>
      <c r="I20" s="345"/>
      <c r="J20" s="346"/>
      <c r="K20" s="152">
        <f>'Material Price'!J100</f>
        <v>21</v>
      </c>
      <c r="L20" s="668">
        <f t="shared" si="0"/>
        <v>0</v>
      </c>
      <c r="M20" s="669"/>
      <c r="N20" s="178"/>
      <c r="O20" s="71"/>
    </row>
    <row r="21" spans="1:15" x14ac:dyDescent="0.3">
      <c r="A21" s="71"/>
      <c r="B21" s="166"/>
      <c r="C21" s="360"/>
      <c r="D21" s="347" t="s">
        <v>1354</v>
      </c>
      <c r="E21" s="345"/>
      <c r="F21" s="345"/>
      <c r="G21" s="345"/>
      <c r="H21" s="345"/>
      <c r="I21" s="345"/>
      <c r="J21" s="346"/>
      <c r="K21" s="152">
        <f>'Material Price'!J101</f>
        <v>5.2</v>
      </c>
      <c r="L21" s="668">
        <f t="shared" si="0"/>
        <v>0</v>
      </c>
      <c r="M21" s="669"/>
      <c r="N21" s="178"/>
      <c r="O21" s="71"/>
    </row>
    <row r="22" spans="1:15" x14ac:dyDescent="0.3">
      <c r="A22" s="71"/>
      <c r="B22" s="166"/>
      <c r="C22" s="360"/>
      <c r="D22" s="347" t="s">
        <v>1355</v>
      </c>
      <c r="E22" s="345"/>
      <c r="F22" s="345"/>
      <c r="G22" s="345"/>
      <c r="H22" s="345"/>
      <c r="I22" s="345"/>
      <c r="J22" s="346"/>
      <c r="K22" s="152">
        <f>'Material Price'!J102</f>
        <v>5.8</v>
      </c>
      <c r="L22" s="668">
        <f t="shared" si="0"/>
        <v>0</v>
      </c>
      <c r="M22" s="669"/>
      <c r="N22" s="178"/>
      <c r="O22" s="71"/>
    </row>
    <row r="23" spans="1:15" x14ac:dyDescent="0.3">
      <c r="A23" s="71"/>
      <c r="B23" s="166"/>
      <c r="C23" s="360"/>
      <c r="D23" s="347" t="s">
        <v>497</v>
      </c>
      <c r="E23" s="345"/>
      <c r="F23" s="345"/>
      <c r="G23" s="345"/>
      <c r="H23" s="345"/>
      <c r="I23" s="345"/>
      <c r="J23" s="346"/>
      <c r="K23" s="152">
        <f>'Material Price'!J103</f>
        <v>8</v>
      </c>
      <c r="L23" s="668">
        <f t="shared" si="0"/>
        <v>0</v>
      </c>
      <c r="M23" s="669"/>
      <c r="N23" s="178"/>
      <c r="O23" s="71"/>
    </row>
    <row r="24" spans="1:15" x14ac:dyDescent="0.3">
      <c r="A24" s="71"/>
      <c r="B24" s="166"/>
      <c r="C24" s="360"/>
      <c r="D24" s="347" t="s">
        <v>498</v>
      </c>
      <c r="E24" s="345"/>
      <c r="F24" s="345"/>
      <c r="G24" s="345"/>
      <c r="H24" s="345"/>
      <c r="I24" s="345"/>
      <c r="J24" s="346"/>
      <c r="K24" s="152">
        <f>'Material Price'!J104</f>
        <v>9</v>
      </c>
      <c r="L24" s="668">
        <f>K24*C24</f>
        <v>0</v>
      </c>
      <c r="M24" s="669"/>
      <c r="N24" s="178"/>
      <c r="O24" s="71"/>
    </row>
    <row r="25" spans="1:15" x14ac:dyDescent="0.3">
      <c r="A25" s="71"/>
      <c r="B25" s="166"/>
      <c r="C25" s="527">
        <f>'Deck TakeOff'!E57</f>
        <v>0</v>
      </c>
      <c r="D25" s="706" t="s">
        <v>1343</v>
      </c>
      <c r="E25" s="707"/>
      <c r="F25" s="707"/>
      <c r="G25" s="707"/>
      <c r="H25" s="707"/>
      <c r="I25" s="707"/>
      <c r="J25" s="708"/>
      <c r="K25" s="533">
        <f>'Material Price'!J105</f>
        <v>7.1</v>
      </c>
      <c r="L25" s="668">
        <f>K25*C25</f>
        <v>0</v>
      </c>
      <c r="M25" s="669"/>
      <c r="N25" s="178"/>
      <c r="O25" s="71"/>
    </row>
    <row r="26" spans="1:15" x14ac:dyDescent="0.3">
      <c r="A26" s="71"/>
      <c r="B26" s="166"/>
      <c r="C26" s="527"/>
      <c r="D26" s="751"/>
      <c r="E26" s="752"/>
      <c r="F26" s="752"/>
      <c r="G26" s="752"/>
      <c r="H26" s="752"/>
      <c r="I26" s="752"/>
      <c r="J26" s="753"/>
      <c r="K26" s="533"/>
      <c r="L26" s="668">
        <f>K26*C26</f>
        <v>0</v>
      </c>
      <c r="M26" s="669"/>
      <c r="N26" s="178"/>
      <c r="O26" s="71"/>
    </row>
    <row r="27" spans="1:15" x14ac:dyDescent="0.3">
      <c r="A27" s="71"/>
      <c r="B27" s="166"/>
      <c r="C27" s="527"/>
      <c r="D27" s="751"/>
      <c r="E27" s="752"/>
      <c r="F27" s="752"/>
      <c r="G27" s="752"/>
      <c r="H27" s="752"/>
      <c r="I27" s="752"/>
      <c r="J27" s="753"/>
      <c r="K27" s="533"/>
      <c r="L27" s="668">
        <f>K27*C27</f>
        <v>0</v>
      </c>
      <c r="M27" s="669"/>
      <c r="N27" s="178"/>
      <c r="O27" s="71"/>
    </row>
    <row r="28" spans="1:15" x14ac:dyDescent="0.3">
      <c r="A28" s="71"/>
      <c r="B28" s="166"/>
      <c r="C28" s="527"/>
      <c r="D28" s="751"/>
      <c r="E28" s="752"/>
      <c r="F28" s="752"/>
      <c r="G28" s="752"/>
      <c r="H28" s="752"/>
      <c r="I28" s="752"/>
      <c r="J28" s="753"/>
      <c r="K28" s="533"/>
      <c r="L28" s="668">
        <f t="shared" ref="L28" si="1">K28*C28</f>
        <v>0</v>
      </c>
      <c r="M28" s="669"/>
      <c r="N28" s="178"/>
      <c r="O28" s="71"/>
    </row>
    <row r="29" spans="1:15" x14ac:dyDescent="0.3">
      <c r="A29" s="71"/>
      <c r="B29" s="166"/>
      <c r="C29" s="360"/>
      <c r="D29" s="678" t="s">
        <v>646</v>
      </c>
      <c r="E29" s="679"/>
      <c r="F29" s="679"/>
      <c r="G29" s="679"/>
      <c r="H29" s="679"/>
      <c r="I29" s="679"/>
      <c r="J29" s="680"/>
      <c r="K29" s="152"/>
      <c r="L29" s="668">
        <f t="shared" si="0"/>
        <v>0</v>
      </c>
      <c r="M29" s="669"/>
      <c r="N29" s="178"/>
      <c r="O29" s="71"/>
    </row>
    <row r="30" spans="1:15" x14ac:dyDescent="0.3">
      <c r="A30" s="71"/>
      <c r="B30" s="166"/>
      <c r="C30" s="360">
        <f>'Deck TakeOff'!E52</f>
        <v>0</v>
      </c>
      <c r="D30" s="347" t="str">
        <f>'Deck TakeOff'!D52</f>
        <v>12" x 48" Sonotube</v>
      </c>
      <c r="E30" s="345"/>
      <c r="F30" s="345"/>
      <c r="G30" s="350"/>
      <c r="H30" s="350"/>
      <c r="I30" s="350"/>
      <c r="J30" s="351"/>
      <c r="K30" s="152">
        <f>'Material Price'!J6</f>
        <v>10</v>
      </c>
      <c r="L30" s="668">
        <f t="shared" si="0"/>
        <v>0</v>
      </c>
      <c r="M30" s="669"/>
      <c r="N30" s="178"/>
      <c r="O30" s="71"/>
    </row>
    <row r="31" spans="1:15" x14ac:dyDescent="0.3">
      <c r="A31" s="71"/>
      <c r="B31" s="166"/>
      <c r="C31" s="360">
        <f>'Deck TakeOff'!E54</f>
        <v>10</v>
      </c>
      <c r="D31" s="217" t="s">
        <v>145</v>
      </c>
      <c r="E31" s="345"/>
      <c r="F31" s="345"/>
      <c r="G31" s="345"/>
      <c r="H31" s="345"/>
      <c r="I31" s="345"/>
      <c r="J31" s="346"/>
      <c r="K31" s="356">
        <f>'Material Price'!J9</f>
        <v>165</v>
      </c>
      <c r="L31" s="668">
        <f t="shared" ref="L31:L32" si="2">K31*C31</f>
        <v>1650</v>
      </c>
      <c r="M31" s="669"/>
      <c r="N31" s="178"/>
      <c r="O31" s="71"/>
    </row>
    <row r="32" spans="1:15" x14ac:dyDescent="0.3">
      <c r="A32" s="71"/>
      <c r="B32" s="166"/>
      <c r="C32" s="360">
        <f>Formulas!L69</f>
        <v>0</v>
      </c>
      <c r="D32" s="217" t="s">
        <v>186</v>
      </c>
      <c r="E32" s="345"/>
      <c r="F32" s="345"/>
      <c r="G32" s="345"/>
      <c r="H32" s="345"/>
      <c r="I32" s="345"/>
      <c r="J32" s="346"/>
      <c r="K32" s="152">
        <f>'Material Price'!J10</f>
        <v>7</v>
      </c>
      <c r="L32" s="668">
        <f t="shared" si="2"/>
        <v>0</v>
      </c>
      <c r="M32" s="669"/>
      <c r="N32" s="178"/>
      <c r="O32" s="71"/>
    </row>
    <row r="33" spans="1:15" x14ac:dyDescent="0.3">
      <c r="A33" s="71"/>
      <c r="B33" s="166"/>
      <c r="C33" s="360">
        <f>'Deck TakeOff'!E53</f>
        <v>10</v>
      </c>
      <c r="D33" s="217" t="s">
        <v>503</v>
      </c>
      <c r="E33" s="345"/>
      <c r="F33" s="345"/>
      <c r="G33" s="345"/>
      <c r="H33" s="345"/>
      <c r="I33" s="345"/>
      <c r="J33" s="346"/>
      <c r="K33" s="152">
        <f>'Material Price'!J11</f>
        <v>35</v>
      </c>
      <c r="L33" s="668">
        <f>K33*C33</f>
        <v>350</v>
      </c>
      <c r="M33" s="669"/>
      <c r="N33" s="178"/>
      <c r="O33" s="71"/>
    </row>
    <row r="34" spans="1:15" x14ac:dyDescent="0.3">
      <c r="A34" s="71"/>
      <c r="B34" s="166"/>
      <c r="C34" s="527"/>
      <c r="D34" s="751"/>
      <c r="E34" s="752"/>
      <c r="F34" s="752"/>
      <c r="G34" s="752"/>
      <c r="H34" s="752"/>
      <c r="I34" s="752"/>
      <c r="J34" s="753"/>
      <c r="K34" s="533"/>
      <c r="L34" s="668">
        <f>K34*C34</f>
        <v>0</v>
      </c>
      <c r="M34" s="669"/>
      <c r="N34" s="178"/>
      <c r="O34" s="71"/>
    </row>
    <row r="35" spans="1:15" x14ac:dyDescent="0.3">
      <c r="A35" s="71"/>
      <c r="B35" s="166"/>
      <c r="C35" s="527"/>
      <c r="D35" s="751"/>
      <c r="E35" s="752"/>
      <c r="F35" s="752"/>
      <c r="G35" s="752"/>
      <c r="H35" s="752"/>
      <c r="I35" s="752"/>
      <c r="J35" s="753"/>
      <c r="K35" s="533"/>
      <c r="L35" s="668">
        <f>K35*C35</f>
        <v>0</v>
      </c>
      <c r="M35" s="669"/>
      <c r="N35" s="178"/>
      <c r="O35" s="71"/>
    </row>
    <row r="36" spans="1:15" x14ac:dyDescent="0.3">
      <c r="A36" s="71"/>
      <c r="B36" s="166"/>
      <c r="C36" s="527"/>
      <c r="D36" s="751"/>
      <c r="E36" s="752"/>
      <c r="F36" s="752"/>
      <c r="G36" s="752"/>
      <c r="H36" s="752"/>
      <c r="I36" s="752"/>
      <c r="J36" s="753"/>
      <c r="K36" s="533"/>
      <c r="L36" s="668">
        <f t="shared" ref="L36" si="3">K36*C36</f>
        <v>0</v>
      </c>
      <c r="M36" s="669"/>
      <c r="N36" s="178"/>
      <c r="O36" s="71"/>
    </row>
    <row r="37" spans="1:15" x14ac:dyDescent="0.3">
      <c r="A37" s="71"/>
      <c r="B37" s="166"/>
      <c r="C37" s="360"/>
      <c r="D37" s="678" t="s">
        <v>716</v>
      </c>
      <c r="E37" s="679"/>
      <c r="F37" s="679"/>
      <c r="G37" s="679"/>
      <c r="H37" s="679"/>
      <c r="I37" s="679"/>
      <c r="J37" s="680"/>
      <c r="K37" s="152"/>
      <c r="L37" s="668">
        <f t="shared" ref="L37:L39" si="4">K37*C37</f>
        <v>0</v>
      </c>
      <c r="M37" s="669"/>
      <c r="N37" s="178"/>
      <c r="O37" s="71"/>
    </row>
    <row r="38" spans="1:15" x14ac:dyDescent="0.3">
      <c r="A38" s="71"/>
      <c r="B38" s="166"/>
      <c r="C38" s="360">
        <f>Formulas!Y22</f>
        <v>5</v>
      </c>
      <c r="D38" s="780" t="s">
        <v>1356</v>
      </c>
      <c r="E38" s="781"/>
      <c r="F38" s="781"/>
      <c r="G38" s="781"/>
      <c r="H38" s="781"/>
      <c r="I38" s="781"/>
      <c r="J38" s="782"/>
      <c r="K38" s="152">
        <f>'Material Price'!J109</f>
        <v>7.82</v>
      </c>
      <c r="L38" s="668">
        <f t="shared" si="4"/>
        <v>39.1</v>
      </c>
      <c r="M38" s="669"/>
      <c r="N38" s="178"/>
      <c r="O38" s="71"/>
    </row>
    <row r="39" spans="1:15" x14ac:dyDescent="0.3">
      <c r="A39" s="71"/>
      <c r="B39" s="166"/>
      <c r="C39" s="360"/>
      <c r="D39" s="560" t="s">
        <v>1349</v>
      </c>
      <c r="E39" s="561"/>
      <c r="F39" s="561"/>
      <c r="G39" s="561"/>
      <c r="H39" s="561"/>
      <c r="I39" s="561"/>
      <c r="J39" s="562"/>
      <c r="K39" s="152">
        <f>'Material Price'!J110</f>
        <v>25.75</v>
      </c>
      <c r="L39" s="668">
        <f t="shared" si="4"/>
        <v>0</v>
      </c>
      <c r="M39" s="669"/>
      <c r="N39" s="178"/>
      <c r="O39" s="71"/>
    </row>
    <row r="40" spans="1:15" x14ac:dyDescent="0.3">
      <c r="A40" s="71"/>
      <c r="B40" s="166"/>
      <c r="C40" s="360">
        <f>Formulas!E40</f>
        <v>0</v>
      </c>
      <c r="D40" s="560" t="s">
        <v>717</v>
      </c>
      <c r="E40" s="561"/>
      <c r="F40" s="561"/>
      <c r="G40" s="561"/>
      <c r="H40" s="561"/>
      <c r="I40" s="561"/>
      <c r="J40" s="562"/>
      <c r="K40" s="152">
        <f>'Material Price'!J111</f>
        <v>2.2000000000000002</v>
      </c>
      <c r="L40" s="668">
        <f t="shared" ref="L40:L44" si="5">K40*C40</f>
        <v>0</v>
      </c>
      <c r="M40" s="669"/>
      <c r="N40" s="178"/>
      <c r="O40" s="71"/>
    </row>
    <row r="41" spans="1:15" x14ac:dyDescent="0.3">
      <c r="A41" s="71"/>
      <c r="B41" s="166"/>
      <c r="C41" s="360">
        <f>ROUNDUP(C38/100,0)</f>
        <v>1</v>
      </c>
      <c r="D41" s="780" t="s">
        <v>718</v>
      </c>
      <c r="E41" s="561"/>
      <c r="F41" s="561"/>
      <c r="G41" s="561"/>
      <c r="H41" s="561"/>
      <c r="I41" s="561"/>
      <c r="J41" s="562"/>
      <c r="K41" s="152">
        <f>'Material Price'!J112</f>
        <v>19</v>
      </c>
      <c r="L41" s="668">
        <f t="shared" si="5"/>
        <v>19</v>
      </c>
      <c r="M41" s="669"/>
      <c r="N41" s="178"/>
      <c r="O41" s="71"/>
    </row>
    <row r="42" spans="1:15" x14ac:dyDescent="0.3">
      <c r="A42" s="71"/>
      <c r="B42" s="166"/>
      <c r="C42" s="360">
        <f>Formulas!F39</f>
        <v>1</v>
      </c>
      <c r="D42" s="364" t="s">
        <v>1342</v>
      </c>
      <c r="E42" s="345"/>
      <c r="F42" s="345"/>
      <c r="G42" s="345"/>
      <c r="H42" s="345"/>
      <c r="I42" s="345"/>
      <c r="J42" s="346"/>
      <c r="K42" s="152">
        <f>'Material Price'!J119</f>
        <v>42</v>
      </c>
      <c r="L42" s="668">
        <f t="shared" si="5"/>
        <v>42</v>
      </c>
      <c r="M42" s="669"/>
      <c r="N42" s="178"/>
      <c r="O42" s="71"/>
    </row>
    <row r="43" spans="1:15" x14ac:dyDescent="0.3">
      <c r="A43" s="71"/>
      <c r="B43" s="166"/>
      <c r="C43" s="360">
        <f>Formulas!H38</f>
        <v>3</v>
      </c>
      <c r="D43" s="365" t="s">
        <v>719</v>
      </c>
      <c r="E43" s="345"/>
      <c r="F43" s="345"/>
      <c r="G43" s="345"/>
      <c r="H43" s="345"/>
      <c r="I43" s="345"/>
      <c r="J43" s="346"/>
      <c r="K43" s="152">
        <f>'Material Price'!J120</f>
        <v>8</v>
      </c>
      <c r="L43" s="668">
        <f t="shared" si="5"/>
        <v>24</v>
      </c>
      <c r="M43" s="669"/>
      <c r="N43" s="178"/>
      <c r="O43" s="71"/>
    </row>
    <row r="44" spans="1:15" x14ac:dyDescent="0.3">
      <c r="A44" s="71"/>
      <c r="B44" s="166"/>
      <c r="C44" s="360">
        <f>IF('Deck TakeOff'!E56=Formulas!N25,Formulas!H39,0)</f>
        <v>0</v>
      </c>
      <c r="D44" s="364" t="s">
        <v>720</v>
      </c>
      <c r="E44" s="345"/>
      <c r="F44" s="345"/>
      <c r="G44" s="345"/>
      <c r="H44" s="345"/>
      <c r="I44" s="345"/>
      <c r="J44" s="346"/>
      <c r="K44" s="152">
        <f>'Material Price'!J121</f>
        <v>15</v>
      </c>
      <c r="L44" s="668">
        <f t="shared" si="5"/>
        <v>0</v>
      </c>
      <c r="M44" s="669"/>
      <c r="N44" s="178"/>
      <c r="O44" s="71"/>
    </row>
    <row r="45" spans="1:15" x14ac:dyDescent="0.3">
      <c r="A45" s="71"/>
      <c r="B45" s="166"/>
      <c r="C45" s="527">
        <f>ROUNDUP(Formulas!E81,0)</f>
        <v>1</v>
      </c>
      <c r="D45" s="777" t="s">
        <v>1345</v>
      </c>
      <c r="E45" s="778"/>
      <c r="F45" s="778"/>
      <c r="G45" s="778"/>
      <c r="H45" s="778"/>
      <c r="I45" s="778"/>
      <c r="J45" s="779"/>
      <c r="K45" s="533">
        <f>'Material Price'!J132</f>
        <v>62</v>
      </c>
      <c r="L45" s="668">
        <f t="shared" ref="L45:L46" si="6">K45*C45</f>
        <v>62</v>
      </c>
      <c r="M45" s="669"/>
      <c r="N45" s="178"/>
      <c r="O45" s="71"/>
    </row>
    <row r="46" spans="1:15" x14ac:dyDescent="0.3">
      <c r="A46" s="71"/>
      <c r="B46" s="166"/>
      <c r="C46" s="527"/>
      <c r="D46" s="777" t="s">
        <v>1348</v>
      </c>
      <c r="E46" s="778"/>
      <c r="F46" s="778"/>
      <c r="G46" s="778"/>
      <c r="H46" s="778"/>
      <c r="I46" s="778"/>
      <c r="J46" s="779"/>
      <c r="K46" s="533">
        <f>'Material Price'!J133</f>
        <v>100</v>
      </c>
      <c r="L46" s="668">
        <f t="shared" si="6"/>
        <v>0</v>
      </c>
      <c r="M46" s="669"/>
      <c r="N46" s="178"/>
      <c r="O46" s="71"/>
    </row>
    <row r="47" spans="1:15" x14ac:dyDescent="0.3">
      <c r="A47" s="71"/>
      <c r="B47" s="166"/>
      <c r="C47" s="183"/>
      <c r="D47" s="681" t="s">
        <v>10</v>
      </c>
      <c r="E47" s="682"/>
      <c r="F47" s="682"/>
      <c r="G47" s="682"/>
      <c r="H47" s="682"/>
      <c r="I47" s="682"/>
      <c r="J47" s="682"/>
      <c r="K47" s="683"/>
      <c r="L47" s="686">
        <f>(SUM(L10:M46)*0.0625)</f>
        <v>140.77000000000001</v>
      </c>
      <c r="M47" s="686"/>
      <c r="N47" s="178"/>
      <c r="O47" s="71"/>
    </row>
    <row r="48" spans="1:15" x14ac:dyDescent="0.3">
      <c r="A48" s="71"/>
      <c r="B48" s="166"/>
      <c r="C48" s="183"/>
      <c r="D48" s="681" t="s">
        <v>1</v>
      </c>
      <c r="E48" s="682"/>
      <c r="F48" s="682"/>
      <c r="G48" s="682"/>
      <c r="H48" s="682"/>
      <c r="I48" s="682"/>
      <c r="J48" s="682"/>
      <c r="K48" s="683"/>
      <c r="L48" s="684">
        <f>SUM(L10:M47)</f>
        <v>2393.09</v>
      </c>
      <c r="M48" s="684"/>
      <c r="N48" s="178"/>
      <c r="O48" s="71"/>
    </row>
    <row r="49" spans="1:15" ht="6" customHeight="1" x14ac:dyDescent="0.3">
      <c r="A49" s="71"/>
      <c r="B49" s="166"/>
      <c r="C49" s="184"/>
      <c r="D49" s="185"/>
      <c r="E49" s="185"/>
      <c r="F49" s="185"/>
      <c r="G49" s="185"/>
      <c r="H49" s="186"/>
      <c r="I49" s="186"/>
      <c r="J49" s="186"/>
      <c r="K49" s="185"/>
      <c r="L49" s="187"/>
      <c r="M49" s="187"/>
      <c r="N49" s="178"/>
      <c r="O49" s="71"/>
    </row>
    <row r="50" spans="1:15" ht="25" customHeight="1" x14ac:dyDescent="0.3"/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</sheetData>
  <sheetProtection formatCells="0" formatColumns="0" formatRows="0" insertColumns="0" insertRows="0" insertHyperlinks="0" deleteColumns="0" deleteRows="0" sort="0" autoFilter="0" pivotTables="0"/>
  <mergeCells count="66">
    <mergeCell ref="L43:M43"/>
    <mergeCell ref="L44:M44"/>
    <mergeCell ref="L45:M45"/>
    <mergeCell ref="L38:M38"/>
    <mergeCell ref="L39:M39"/>
    <mergeCell ref="L40:M40"/>
    <mergeCell ref="L41:M41"/>
    <mergeCell ref="L42:M42"/>
    <mergeCell ref="D3:M3"/>
    <mergeCell ref="D4:M4"/>
    <mergeCell ref="E5:G5"/>
    <mergeCell ref="I5:J5"/>
    <mergeCell ref="E6:G6"/>
    <mergeCell ref="I6:J6"/>
    <mergeCell ref="E7:G7"/>
    <mergeCell ref="C8:M8"/>
    <mergeCell ref="D9:J9"/>
    <mergeCell ref="L9:M9"/>
    <mergeCell ref="L10:M10"/>
    <mergeCell ref="L14:M14"/>
    <mergeCell ref="L15:M15"/>
    <mergeCell ref="L16:M16"/>
    <mergeCell ref="L11:M11"/>
    <mergeCell ref="L12:M12"/>
    <mergeCell ref="L13:M13"/>
    <mergeCell ref="L20:M20"/>
    <mergeCell ref="L21:M21"/>
    <mergeCell ref="L22:M22"/>
    <mergeCell ref="L17:M17"/>
    <mergeCell ref="L18:M18"/>
    <mergeCell ref="L19:M19"/>
    <mergeCell ref="L29:M29"/>
    <mergeCell ref="L30:M30"/>
    <mergeCell ref="L31:M31"/>
    <mergeCell ref="D29:J29"/>
    <mergeCell ref="L23:M23"/>
    <mergeCell ref="L24:M24"/>
    <mergeCell ref="L28:M28"/>
    <mergeCell ref="L25:M25"/>
    <mergeCell ref="L26:M26"/>
    <mergeCell ref="L27:M27"/>
    <mergeCell ref="D25:J25"/>
    <mergeCell ref="D26:J26"/>
    <mergeCell ref="D27:J27"/>
    <mergeCell ref="D28:J28"/>
    <mergeCell ref="D47:K47"/>
    <mergeCell ref="L47:M47"/>
    <mergeCell ref="D48:K48"/>
    <mergeCell ref="L48:M48"/>
    <mergeCell ref="L32:M32"/>
    <mergeCell ref="L33:M33"/>
    <mergeCell ref="L46:M46"/>
    <mergeCell ref="D37:J37"/>
    <mergeCell ref="D38:J38"/>
    <mergeCell ref="D39:J39"/>
    <mergeCell ref="D40:J40"/>
    <mergeCell ref="D41:J41"/>
    <mergeCell ref="L34:M34"/>
    <mergeCell ref="L35:M35"/>
    <mergeCell ref="L36:M36"/>
    <mergeCell ref="L37:M37"/>
    <mergeCell ref="D45:J45"/>
    <mergeCell ref="D46:J46"/>
    <mergeCell ref="D34:J34"/>
    <mergeCell ref="D35:J35"/>
    <mergeCell ref="D36:J36"/>
  </mergeCells>
  <printOptions horizontalCentered="1" verticalCentered="1"/>
  <pageMargins left="0" right="0" top="0" bottom="0" header="0" footer="0"/>
  <pageSetup scale="69"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theme="2" tint="0.39997558519241921"/>
    <pageSetUpPr fitToPage="1"/>
  </sheetPr>
  <dimension ref="A1:O51"/>
  <sheetViews>
    <sheetView showGridLines="0" showZeros="0" view="pageBreakPreview" zoomScale="110" zoomScaleNormal="100" zoomScaleSheetLayoutView="110" workbookViewId="0">
      <selection activeCell="D17" sqref="D17:J17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10.398437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18.59765625" style="2" customWidth="1"/>
    <col min="11" max="11" width="14" style="2" bestFit="1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627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8" t="s">
        <v>628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182">
        <f>Formulas!B68</f>
        <v>297</v>
      </c>
      <c r="D10" s="347" t="s">
        <v>621</v>
      </c>
      <c r="E10" s="345"/>
      <c r="F10" s="345"/>
      <c r="G10" s="345"/>
      <c r="H10" s="345"/>
      <c r="I10" s="345"/>
      <c r="J10" s="346"/>
      <c r="K10" s="152">
        <f>'Material Price'!J13</f>
        <v>1.8</v>
      </c>
      <c r="L10" s="668">
        <f>K10*C10</f>
        <v>534.6</v>
      </c>
      <c r="M10" s="669"/>
      <c r="N10" s="178"/>
      <c r="O10" s="71"/>
    </row>
    <row r="11" spans="1:15" x14ac:dyDescent="0.3">
      <c r="A11" s="71"/>
      <c r="B11" s="166"/>
      <c r="C11" s="182">
        <f>Formulas!B69</f>
        <v>0</v>
      </c>
      <c r="D11" s="566" t="s">
        <v>622</v>
      </c>
      <c r="E11" s="567"/>
      <c r="F11" s="567"/>
      <c r="G11" s="567"/>
      <c r="H11" s="567"/>
      <c r="I11" s="567"/>
      <c r="J11" s="575"/>
      <c r="K11" s="152">
        <f>'Material Price'!J14</f>
        <v>2.42</v>
      </c>
      <c r="L11" s="668">
        <f t="shared" ref="L11:L31" si="0">K11*C11</f>
        <v>0</v>
      </c>
      <c r="M11" s="669"/>
      <c r="N11" s="178"/>
      <c r="O11" s="71"/>
    </row>
    <row r="12" spans="1:15" x14ac:dyDescent="0.3">
      <c r="A12" s="71"/>
      <c r="B12" s="166"/>
      <c r="C12" s="182">
        <f>Formulas!B70</f>
        <v>0</v>
      </c>
      <c r="D12" s="566" t="s">
        <v>623</v>
      </c>
      <c r="E12" s="567"/>
      <c r="F12" s="567"/>
      <c r="G12" s="567"/>
      <c r="H12" s="567"/>
      <c r="I12" s="567"/>
      <c r="J12" s="575"/>
      <c r="K12" s="152">
        <f>'Material Price'!J15</f>
        <v>3.75</v>
      </c>
      <c r="L12" s="668">
        <f t="shared" si="0"/>
        <v>0</v>
      </c>
      <c r="M12" s="669"/>
      <c r="N12" s="178"/>
      <c r="O12" s="71"/>
    </row>
    <row r="13" spans="1:15" x14ac:dyDescent="0.3">
      <c r="A13" s="71"/>
      <c r="B13" s="166"/>
      <c r="C13" s="182">
        <f>Formulas!B71+Formulas!B74+Formulas!B75+Formulas!B76</f>
        <v>0</v>
      </c>
      <c r="D13" s="566" t="s">
        <v>624</v>
      </c>
      <c r="E13" s="567"/>
      <c r="F13" s="567"/>
      <c r="G13" s="567"/>
      <c r="H13" s="567"/>
      <c r="I13" s="567"/>
      <c r="J13" s="575"/>
      <c r="K13" s="152">
        <f>'Material Price'!J16</f>
        <v>2.2000000000000002</v>
      </c>
      <c r="L13" s="668">
        <f t="shared" si="0"/>
        <v>0</v>
      </c>
      <c r="M13" s="669"/>
      <c r="N13" s="178"/>
      <c r="O13" s="71"/>
    </row>
    <row r="14" spans="1:15" x14ac:dyDescent="0.3">
      <c r="A14" s="71"/>
      <c r="B14" s="166"/>
      <c r="C14" s="182">
        <f>Formulas!B72</f>
        <v>0</v>
      </c>
      <c r="D14" s="566" t="s">
        <v>625</v>
      </c>
      <c r="E14" s="567"/>
      <c r="F14" s="567"/>
      <c r="G14" s="567"/>
      <c r="H14" s="567"/>
      <c r="I14" s="567"/>
      <c r="J14" s="575"/>
      <c r="K14" s="152">
        <f>'Material Price'!J17</f>
        <v>4</v>
      </c>
      <c r="L14" s="668">
        <f t="shared" si="0"/>
        <v>0</v>
      </c>
      <c r="M14" s="669"/>
      <c r="N14" s="178"/>
      <c r="O14" s="71"/>
    </row>
    <row r="15" spans="1:15" x14ac:dyDescent="0.3">
      <c r="A15" s="71"/>
      <c r="B15" s="166"/>
      <c r="C15" s="182">
        <f>Formulas!B73</f>
        <v>0</v>
      </c>
      <c r="D15" s="566" t="s">
        <v>626</v>
      </c>
      <c r="E15" s="567"/>
      <c r="F15" s="567"/>
      <c r="G15" s="567"/>
      <c r="H15" s="567"/>
      <c r="I15" s="567"/>
      <c r="J15" s="575"/>
      <c r="K15" s="152">
        <f>'Material Price'!J18</f>
        <v>5</v>
      </c>
      <c r="L15" s="668">
        <f t="shared" si="0"/>
        <v>0</v>
      </c>
      <c r="M15" s="669"/>
      <c r="N15" s="178"/>
      <c r="O15" s="71"/>
    </row>
    <row r="16" spans="1:15" x14ac:dyDescent="0.3">
      <c r="A16" s="71"/>
      <c r="B16" s="166"/>
      <c r="C16" s="182"/>
      <c r="D16" s="566"/>
      <c r="E16" s="567"/>
      <c r="F16" s="567"/>
      <c r="G16" s="567"/>
      <c r="H16" s="567"/>
      <c r="I16" s="567"/>
      <c r="J16" s="575"/>
      <c r="K16" s="152"/>
      <c r="L16" s="668">
        <f t="shared" si="0"/>
        <v>0</v>
      </c>
      <c r="M16" s="669"/>
      <c r="N16" s="178"/>
      <c r="O16" s="71"/>
    </row>
    <row r="17" spans="1:15" x14ac:dyDescent="0.3">
      <c r="A17" s="71"/>
      <c r="B17" s="166"/>
      <c r="C17" s="182"/>
      <c r="D17" s="783"/>
      <c r="E17" s="784"/>
      <c r="F17" s="784"/>
      <c r="G17" s="784"/>
      <c r="H17" s="784"/>
      <c r="I17" s="784"/>
      <c r="J17" s="785"/>
      <c r="K17" s="152"/>
      <c r="L17" s="668">
        <f t="shared" si="0"/>
        <v>0</v>
      </c>
      <c r="M17" s="669"/>
      <c r="N17" s="178"/>
      <c r="O17" s="71"/>
    </row>
    <row r="18" spans="1:15" x14ac:dyDescent="0.3">
      <c r="A18" s="71"/>
      <c r="B18" s="166"/>
      <c r="C18" s="182"/>
      <c r="D18" s="783"/>
      <c r="E18" s="784"/>
      <c r="F18" s="784"/>
      <c r="G18" s="784"/>
      <c r="H18" s="784"/>
      <c r="I18" s="784"/>
      <c r="J18" s="785"/>
      <c r="K18" s="152"/>
      <c r="L18" s="668">
        <f t="shared" si="0"/>
        <v>0</v>
      </c>
      <c r="M18" s="669"/>
      <c r="N18" s="178"/>
      <c r="O18" s="71"/>
    </row>
    <row r="19" spans="1:15" x14ac:dyDescent="0.3">
      <c r="A19" s="71"/>
      <c r="B19" s="166"/>
      <c r="C19" s="182"/>
      <c r="D19" s="783"/>
      <c r="E19" s="784"/>
      <c r="F19" s="784"/>
      <c r="G19" s="784"/>
      <c r="H19" s="784"/>
      <c r="I19" s="784"/>
      <c r="J19" s="785"/>
      <c r="K19" s="152"/>
      <c r="L19" s="668">
        <f t="shared" si="0"/>
        <v>0</v>
      </c>
      <c r="M19" s="669"/>
      <c r="N19" s="178"/>
      <c r="O19" s="71"/>
    </row>
    <row r="20" spans="1:15" x14ac:dyDescent="0.3">
      <c r="A20" s="71"/>
      <c r="B20" s="166"/>
      <c r="C20" s="182"/>
      <c r="D20" s="783"/>
      <c r="E20" s="784"/>
      <c r="F20" s="784"/>
      <c r="G20" s="784"/>
      <c r="H20" s="784"/>
      <c r="I20" s="784"/>
      <c r="J20" s="785"/>
      <c r="K20" s="152"/>
      <c r="L20" s="668">
        <f t="shared" si="0"/>
        <v>0</v>
      </c>
      <c r="M20" s="669"/>
      <c r="N20" s="178"/>
      <c r="O20" s="71"/>
    </row>
    <row r="21" spans="1:15" x14ac:dyDescent="0.3">
      <c r="A21" s="71"/>
      <c r="B21" s="166"/>
      <c r="C21" s="182"/>
      <c r="D21" s="783"/>
      <c r="E21" s="784"/>
      <c r="F21" s="784"/>
      <c r="G21" s="784"/>
      <c r="H21" s="784"/>
      <c r="I21" s="784"/>
      <c r="J21" s="785"/>
      <c r="K21" s="152"/>
      <c r="L21" s="668">
        <f t="shared" si="0"/>
        <v>0</v>
      </c>
      <c r="M21" s="669"/>
      <c r="N21" s="178"/>
      <c r="O21" s="71"/>
    </row>
    <row r="22" spans="1:15" x14ac:dyDescent="0.3">
      <c r="A22" s="71"/>
      <c r="B22" s="166"/>
      <c r="C22" s="182"/>
      <c r="D22" s="783"/>
      <c r="E22" s="784"/>
      <c r="F22" s="784"/>
      <c r="G22" s="784"/>
      <c r="H22" s="784"/>
      <c r="I22" s="784"/>
      <c r="J22" s="785"/>
      <c r="K22" s="152"/>
      <c r="L22" s="668">
        <f t="shared" si="0"/>
        <v>0</v>
      </c>
      <c r="M22" s="669"/>
      <c r="N22" s="178"/>
      <c r="O22" s="71"/>
    </row>
    <row r="23" spans="1:15" x14ac:dyDescent="0.3">
      <c r="A23" s="71"/>
      <c r="B23" s="166"/>
      <c r="C23" s="182"/>
      <c r="D23" s="783"/>
      <c r="E23" s="784"/>
      <c r="F23" s="784"/>
      <c r="G23" s="784"/>
      <c r="H23" s="784"/>
      <c r="I23" s="784"/>
      <c r="J23" s="785"/>
      <c r="K23" s="152"/>
      <c r="L23" s="668">
        <f t="shared" si="0"/>
        <v>0</v>
      </c>
      <c r="M23" s="669"/>
      <c r="N23" s="178"/>
      <c r="O23" s="71"/>
    </row>
    <row r="24" spans="1:15" x14ac:dyDescent="0.3">
      <c r="A24" s="71"/>
      <c r="B24" s="166"/>
      <c r="C24" s="182"/>
      <c r="D24" s="783"/>
      <c r="E24" s="784"/>
      <c r="F24" s="784"/>
      <c r="G24" s="784"/>
      <c r="H24" s="784"/>
      <c r="I24" s="784"/>
      <c r="J24" s="785"/>
      <c r="K24" s="152"/>
      <c r="L24" s="668">
        <f t="shared" si="0"/>
        <v>0</v>
      </c>
      <c r="M24" s="669"/>
      <c r="N24" s="178"/>
      <c r="O24" s="71"/>
    </row>
    <row r="25" spans="1:15" x14ac:dyDescent="0.3">
      <c r="A25" s="71"/>
      <c r="B25" s="166"/>
      <c r="C25" s="182"/>
      <c r="D25" s="783"/>
      <c r="E25" s="784"/>
      <c r="F25" s="784"/>
      <c r="G25" s="784"/>
      <c r="H25" s="784"/>
      <c r="I25" s="784"/>
      <c r="J25" s="785"/>
      <c r="K25" s="152"/>
      <c r="L25" s="668">
        <f t="shared" si="0"/>
        <v>0</v>
      </c>
      <c r="M25" s="669"/>
      <c r="N25" s="178"/>
      <c r="O25" s="71"/>
    </row>
    <row r="26" spans="1:15" x14ac:dyDescent="0.3">
      <c r="A26" s="71"/>
      <c r="B26" s="166"/>
      <c r="C26" s="182"/>
      <c r="D26" s="783"/>
      <c r="E26" s="784"/>
      <c r="F26" s="784"/>
      <c r="G26" s="784"/>
      <c r="H26" s="784"/>
      <c r="I26" s="784"/>
      <c r="J26" s="785"/>
      <c r="K26" s="152"/>
      <c r="L26" s="668">
        <f t="shared" si="0"/>
        <v>0</v>
      </c>
      <c r="M26" s="669"/>
      <c r="N26" s="178"/>
      <c r="O26" s="71"/>
    </row>
    <row r="27" spans="1:15" x14ac:dyDescent="0.3">
      <c r="A27" s="71"/>
      <c r="B27" s="166"/>
      <c r="C27" s="182"/>
      <c r="D27" s="783"/>
      <c r="E27" s="784"/>
      <c r="F27" s="784"/>
      <c r="G27" s="784"/>
      <c r="H27" s="784"/>
      <c r="I27" s="784"/>
      <c r="J27" s="785"/>
      <c r="K27" s="152"/>
      <c r="L27" s="668">
        <f t="shared" si="0"/>
        <v>0</v>
      </c>
      <c r="M27" s="669"/>
      <c r="N27" s="178"/>
      <c r="O27" s="71"/>
    </row>
    <row r="28" spans="1:15" x14ac:dyDescent="0.3">
      <c r="A28" s="71"/>
      <c r="B28" s="166"/>
      <c r="C28" s="182"/>
      <c r="D28" s="783"/>
      <c r="E28" s="784"/>
      <c r="F28" s="784"/>
      <c r="G28" s="784"/>
      <c r="H28" s="784"/>
      <c r="I28" s="784"/>
      <c r="J28" s="785"/>
      <c r="K28" s="152"/>
      <c r="L28" s="668">
        <f t="shared" si="0"/>
        <v>0</v>
      </c>
      <c r="M28" s="669"/>
      <c r="N28" s="178"/>
      <c r="O28" s="71"/>
    </row>
    <row r="29" spans="1:15" x14ac:dyDescent="0.3">
      <c r="A29" s="71"/>
      <c r="B29" s="166"/>
      <c r="C29" s="182"/>
      <c r="D29" s="783"/>
      <c r="E29" s="784"/>
      <c r="F29" s="784"/>
      <c r="G29" s="784"/>
      <c r="H29" s="784"/>
      <c r="I29" s="784"/>
      <c r="J29" s="785"/>
      <c r="K29" s="152"/>
      <c r="L29" s="668">
        <f t="shared" si="0"/>
        <v>0</v>
      </c>
      <c r="M29" s="669"/>
      <c r="N29" s="178"/>
      <c r="O29" s="71"/>
    </row>
    <row r="30" spans="1:15" x14ac:dyDescent="0.3">
      <c r="A30" s="71"/>
      <c r="B30" s="166"/>
      <c r="C30" s="182"/>
      <c r="D30" s="783"/>
      <c r="E30" s="784"/>
      <c r="F30" s="784"/>
      <c r="G30" s="784"/>
      <c r="H30" s="784"/>
      <c r="I30" s="784"/>
      <c r="J30" s="785"/>
      <c r="K30" s="152"/>
      <c r="L30" s="668">
        <f>K30*C30</f>
        <v>0</v>
      </c>
      <c r="M30" s="669"/>
      <c r="N30" s="178"/>
      <c r="O30" s="71"/>
    </row>
    <row r="31" spans="1:15" x14ac:dyDescent="0.3">
      <c r="A31" s="71"/>
      <c r="B31" s="166"/>
      <c r="C31" s="182"/>
      <c r="D31" s="783"/>
      <c r="E31" s="784"/>
      <c r="F31" s="784"/>
      <c r="G31" s="784"/>
      <c r="H31" s="784"/>
      <c r="I31" s="784"/>
      <c r="J31" s="785"/>
      <c r="K31" s="152"/>
      <c r="L31" s="668">
        <f t="shared" si="0"/>
        <v>0</v>
      </c>
      <c r="M31" s="669"/>
      <c r="N31" s="178"/>
      <c r="O31" s="71"/>
    </row>
    <row r="32" spans="1:15" x14ac:dyDescent="0.3">
      <c r="A32" s="71"/>
      <c r="B32" s="166"/>
      <c r="C32" s="183"/>
      <c r="D32" s="681" t="s">
        <v>10</v>
      </c>
      <c r="E32" s="682"/>
      <c r="F32" s="682"/>
      <c r="G32" s="682"/>
      <c r="H32" s="682"/>
      <c r="I32" s="682"/>
      <c r="J32" s="682"/>
      <c r="K32" s="683"/>
      <c r="L32" s="686">
        <f>(SUM(L10:M31)*0.0625)</f>
        <v>33.412500000000001</v>
      </c>
      <c r="M32" s="686"/>
      <c r="N32" s="178"/>
      <c r="O32" s="71"/>
    </row>
    <row r="33" spans="1:15" x14ac:dyDescent="0.3">
      <c r="A33" s="71"/>
      <c r="B33" s="166"/>
      <c r="C33" s="183"/>
      <c r="D33" s="681" t="s">
        <v>1</v>
      </c>
      <c r="E33" s="682"/>
      <c r="F33" s="682"/>
      <c r="G33" s="682"/>
      <c r="H33" s="682"/>
      <c r="I33" s="682"/>
      <c r="J33" s="682"/>
      <c r="K33" s="683"/>
      <c r="L33" s="684">
        <f>SUM(L10:M32)</f>
        <v>568.01250000000005</v>
      </c>
      <c r="M33" s="684"/>
      <c r="N33" s="178"/>
      <c r="O33" s="71"/>
    </row>
    <row r="34" spans="1:15" ht="6" customHeight="1" x14ac:dyDescent="0.3">
      <c r="A34" s="71"/>
      <c r="B34" s="166"/>
      <c r="C34" s="184"/>
      <c r="D34" s="185"/>
      <c r="E34" s="185"/>
      <c r="F34" s="185"/>
      <c r="G34" s="185"/>
      <c r="H34" s="186"/>
      <c r="I34" s="186"/>
      <c r="J34" s="186"/>
      <c r="K34" s="185"/>
      <c r="L34" s="187"/>
      <c r="M34" s="187"/>
      <c r="N34" s="178"/>
      <c r="O34" s="71"/>
    </row>
    <row r="35" spans="1:15" ht="25" customHeight="1" x14ac:dyDescent="0.3"/>
    <row r="36" spans="1:15" ht="25" customHeight="1" x14ac:dyDescent="0.3"/>
    <row r="37" spans="1:15" ht="25" customHeight="1" x14ac:dyDescent="0.3"/>
    <row r="38" spans="1:15" ht="25" customHeight="1" x14ac:dyDescent="0.3"/>
    <row r="39" spans="1:15" ht="25" customHeight="1" x14ac:dyDescent="0.3"/>
    <row r="40" spans="1:15" ht="25" customHeight="1" x14ac:dyDescent="0.3"/>
    <row r="41" spans="1:15" ht="25" customHeight="1" x14ac:dyDescent="0.3"/>
    <row r="42" spans="1:15" ht="25" customHeight="1" x14ac:dyDescent="0.3"/>
    <row r="43" spans="1:15" ht="25" customHeight="1" x14ac:dyDescent="0.3"/>
    <row r="44" spans="1:15" ht="25" customHeight="1" x14ac:dyDescent="0.3"/>
    <row r="45" spans="1:15" ht="25" customHeight="1" x14ac:dyDescent="0.3"/>
    <row r="46" spans="1:15" ht="25" customHeight="1" x14ac:dyDescent="0.3"/>
    <row r="47" spans="1:15" ht="25" customHeight="1" x14ac:dyDescent="0.3"/>
    <row r="48" spans="1:15" ht="25" customHeight="1" x14ac:dyDescent="0.3"/>
    <row r="49" ht="25" customHeight="1" x14ac:dyDescent="0.3"/>
    <row r="50" ht="25" customHeight="1" x14ac:dyDescent="0.3"/>
    <row r="51" ht="25" customHeight="1" x14ac:dyDescent="0.3"/>
  </sheetData>
  <sheetProtection sheet="1" formatCells="0" formatColumns="0" formatRows="0" insertColumns="0" insertRows="0" insertHyperlinks="0" deleteColumns="0" deleteRows="0" sort="0" autoFilter="0" pivotTables="0"/>
  <mergeCells count="57">
    <mergeCell ref="D28:J28"/>
    <mergeCell ref="D29:J29"/>
    <mergeCell ref="D30:J30"/>
    <mergeCell ref="D32:K32"/>
    <mergeCell ref="D33:K33"/>
    <mergeCell ref="D31:J31"/>
    <mergeCell ref="L31:M31"/>
    <mergeCell ref="L32:M32"/>
    <mergeCell ref="L28:M28"/>
    <mergeCell ref="L29:M29"/>
    <mergeCell ref="L33:M33"/>
    <mergeCell ref="L30:M30"/>
    <mergeCell ref="L26:M26"/>
    <mergeCell ref="L27:M27"/>
    <mergeCell ref="L24:M24"/>
    <mergeCell ref="L25:M25"/>
    <mergeCell ref="D24:J24"/>
    <mergeCell ref="D25:J25"/>
    <mergeCell ref="D27:J27"/>
    <mergeCell ref="D26:J26"/>
    <mergeCell ref="L22:M22"/>
    <mergeCell ref="L23:M23"/>
    <mergeCell ref="L20:M20"/>
    <mergeCell ref="L21:M21"/>
    <mergeCell ref="D20:J20"/>
    <mergeCell ref="D21:J21"/>
    <mergeCell ref="D22:J22"/>
    <mergeCell ref="D23:J23"/>
    <mergeCell ref="L15:M15"/>
    <mergeCell ref="D14:J14"/>
    <mergeCell ref="D15:J15"/>
    <mergeCell ref="L18:M18"/>
    <mergeCell ref="L19:M19"/>
    <mergeCell ref="L16:M16"/>
    <mergeCell ref="L17:M17"/>
    <mergeCell ref="D16:J16"/>
    <mergeCell ref="D17:J17"/>
    <mergeCell ref="D18:J18"/>
    <mergeCell ref="D19:J19"/>
    <mergeCell ref="L10:M10"/>
    <mergeCell ref="L12:M12"/>
    <mergeCell ref="L13:M13"/>
    <mergeCell ref="D13:J13"/>
    <mergeCell ref="L14:M14"/>
    <mergeCell ref="L11:M11"/>
    <mergeCell ref="D11:J11"/>
    <mergeCell ref="D12:J12"/>
    <mergeCell ref="D3:M3"/>
    <mergeCell ref="D4:M4"/>
    <mergeCell ref="E5:G5"/>
    <mergeCell ref="I5:J5"/>
    <mergeCell ref="D9:J9"/>
    <mergeCell ref="E6:G6"/>
    <mergeCell ref="I6:J6"/>
    <mergeCell ref="E7:G7"/>
    <mergeCell ref="C8:M8"/>
    <mergeCell ref="L9:M9"/>
  </mergeCells>
  <printOptions horizontalCentered="1" verticalCentered="1"/>
  <pageMargins left="0" right="0" top="0" bottom="0" header="0" footer="0"/>
  <pageSetup scale="72"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3962B-112C-4C31-A341-D5A5A6574D3D}">
  <sheetPr codeName="Sheet10">
    <tabColor theme="2" tint="-0.499984740745262"/>
    <pageSetUpPr fitToPage="1"/>
  </sheetPr>
  <dimension ref="A1:O67"/>
  <sheetViews>
    <sheetView showGridLines="0" showZeros="0" view="pageBreakPreview" topLeftCell="A6" zoomScaleNormal="100" zoomScaleSheetLayoutView="100" workbookViewId="0">
      <selection activeCell="D33" sqref="D33:F47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1.59765625" style="2" bestFit="1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1241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786" t="s">
        <v>647</v>
      </c>
      <c r="D10" s="787"/>
      <c r="E10" s="787"/>
      <c r="F10" s="787"/>
      <c r="G10" s="787"/>
      <c r="H10" s="787"/>
      <c r="I10" s="787"/>
      <c r="J10" s="787"/>
      <c r="K10" s="788"/>
      <c r="L10" s="668"/>
      <c r="M10" s="669"/>
      <c r="N10" s="178"/>
      <c r="O10" s="71"/>
    </row>
    <row r="11" spans="1:15" x14ac:dyDescent="0.3">
      <c r="A11" s="71"/>
      <c r="B11" s="166"/>
      <c r="C11" s="360"/>
      <c r="D11" s="569" t="s">
        <v>1242</v>
      </c>
      <c r="E11" s="570"/>
      <c r="F11" s="570"/>
      <c r="G11" s="570"/>
      <c r="H11" s="570"/>
      <c r="I11" s="570"/>
      <c r="J11" s="789"/>
      <c r="K11" s="152"/>
      <c r="L11" s="740">
        <f>'PT Frame by LF'!L33</f>
        <v>568.01250000000005</v>
      </c>
      <c r="M11" s="741"/>
      <c r="N11" s="178"/>
      <c r="O11" s="71"/>
    </row>
    <row r="12" spans="1:15" x14ac:dyDescent="0.3">
      <c r="A12" s="71"/>
      <c r="B12" s="166"/>
      <c r="C12" s="360"/>
      <c r="D12" s="217" t="s">
        <v>651</v>
      </c>
      <c r="E12" s="345"/>
      <c r="F12" s="345"/>
      <c r="G12" s="345"/>
      <c r="H12" s="345"/>
      <c r="I12" s="345"/>
      <c r="J12" s="346"/>
      <c r="K12" s="152">
        <f>'PT Frame by LF'!K10*8</f>
        <v>14.4</v>
      </c>
      <c r="L12" s="57">
        <f t="shared" ref="L12:L33" si="0">K12*C12</f>
        <v>0</v>
      </c>
      <c r="M12" s="58"/>
      <c r="N12" s="178"/>
      <c r="O12" s="71"/>
    </row>
    <row r="13" spans="1:15" x14ac:dyDescent="0.3">
      <c r="A13" s="71"/>
      <c r="B13" s="166"/>
      <c r="C13" s="360"/>
      <c r="D13" s="217" t="s">
        <v>652</v>
      </c>
      <c r="E13" s="345"/>
      <c r="F13" s="345"/>
      <c r="G13" s="345"/>
      <c r="H13" s="345"/>
      <c r="I13" s="345"/>
      <c r="J13" s="346"/>
      <c r="K13" s="152">
        <f>'PT Frame by LF'!K10*10</f>
        <v>18</v>
      </c>
      <c r="L13" s="668">
        <f t="shared" si="0"/>
        <v>0</v>
      </c>
      <c r="M13" s="669"/>
      <c r="N13" s="178"/>
      <c r="O13" s="71"/>
    </row>
    <row r="14" spans="1:15" x14ac:dyDescent="0.3">
      <c r="A14" s="71"/>
      <c r="B14" s="166"/>
      <c r="C14" s="360"/>
      <c r="D14" s="217" t="s">
        <v>653</v>
      </c>
      <c r="E14" s="345"/>
      <c r="F14" s="345"/>
      <c r="G14" s="345"/>
      <c r="H14" s="345"/>
      <c r="I14" s="345"/>
      <c r="J14" s="346"/>
      <c r="K14" s="152">
        <f>'PT Frame by LF'!K10*12</f>
        <v>21.6</v>
      </c>
      <c r="L14" s="668">
        <f t="shared" si="0"/>
        <v>0</v>
      </c>
      <c r="M14" s="669"/>
      <c r="N14" s="178"/>
      <c r="O14" s="71"/>
    </row>
    <row r="15" spans="1:15" x14ac:dyDescent="0.3">
      <c r="A15" s="71"/>
      <c r="B15" s="166"/>
      <c r="C15" s="360"/>
      <c r="D15" s="217" t="s">
        <v>654</v>
      </c>
      <c r="E15" s="345"/>
      <c r="F15" s="345"/>
      <c r="G15" s="345"/>
      <c r="H15" s="345"/>
      <c r="I15" s="345"/>
      <c r="J15" s="346"/>
      <c r="K15" s="152">
        <f>'PT Frame by LF'!K10*14</f>
        <v>25.2</v>
      </c>
      <c r="L15" s="668">
        <f t="shared" si="0"/>
        <v>0</v>
      </c>
      <c r="M15" s="669"/>
      <c r="N15" s="178"/>
      <c r="O15" s="71"/>
    </row>
    <row r="16" spans="1:15" x14ac:dyDescent="0.3">
      <c r="A16" s="71"/>
      <c r="B16" s="166"/>
      <c r="C16" s="360"/>
      <c r="D16" s="217" t="s">
        <v>655</v>
      </c>
      <c r="E16" s="345"/>
      <c r="F16" s="345"/>
      <c r="G16" s="345"/>
      <c r="H16" s="345"/>
      <c r="I16" s="345"/>
      <c r="J16" s="346"/>
      <c r="K16" s="152">
        <f>'PT Frame by LF'!K10*16</f>
        <v>28.8</v>
      </c>
      <c r="L16" s="668">
        <f t="shared" si="0"/>
        <v>0</v>
      </c>
      <c r="M16" s="669"/>
      <c r="N16" s="178"/>
      <c r="O16" s="71"/>
    </row>
    <row r="17" spans="1:15" x14ac:dyDescent="0.3">
      <c r="A17" s="71"/>
      <c r="B17" s="166"/>
      <c r="C17" s="360"/>
      <c r="D17" s="217" t="s">
        <v>656</v>
      </c>
      <c r="E17" s="345"/>
      <c r="F17" s="345"/>
      <c r="G17" s="345"/>
      <c r="H17" s="345"/>
      <c r="I17" s="345"/>
      <c r="J17" s="346"/>
      <c r="K17" s="152"/>
      <c r="L17" s="668">
        <f t="shared" si="0"/>
        <v>0</v>
      </c>
      <c r="M17" s="669"/>
      <c r="N17" s="178"/>
      <c r="O17" s="71"/>
    </row>
    <row r="18" spans="1:15" x14ac:dyDescent="0.3">
      <c r="A18" s="71"/>
      <c r="B18" s="166"/>
      <c r="C18" s="360"/>
      <c r="D18" s="217" t="s">
        <v>657</v>
      </c>
      <c r="E18" s="345"/>
      <c r="F18" s="345"/>
      <c r="G18" s="345"/>
      <c r="H18" s="345"/>
      <c r="I18" s="345"/>
      <c r="J18" s="346"/>
      <c r="K18" s="152"/>
      <c r="L18" s="668">
        <f t="shared" si="0"/>
        <v>0</v>
      </c>
      <c r="M18" s="669"/>
      <c r="N18" s="178"/>
      <c r="O18" s="71"/>
    </row>
    <row r="19" spans="1:15" x14ac:dyDescent="0.3">
      <c r="A19" s="71"/>
      <c r="B19" s="166"/>
      <c r="C19" s="360"/>
      <c r="D19" s="347" t="s">
        <v>658</v>
      </c>
      <c r="E19" s="345"/>
      <c r="F19" s="345"/>
      <c r="G19" s="345"/>
      <c r="H19" s="345"/>
      <c r="I19" s="345"/>
      <c r="J19" s="346"/>
      <c r="K19" s="152">
        <f>'PT Frame by LF'!K11*8</f>
        <v>19.36</v>
      </c>
      <c r="L19" s="668">
        <f t="shared" si="0"/>
        <v>0</v>
      </c>
      <c r="M19" s="669"/>
      <c r="N19" s="178"/>
      <c r="O19" s="71"/>
    </row>
    <row r="20" spans="1:15" x14ac:dyDescent="0.3">
      <c r="A20" s="71"/>
      <c r="B20" s="166"/>
      <c r="C20" s="360"/>
      <c r="D20" s="347" t="s">
        <v>659</v>
      </c>
      <c r="E20" s="345"/>
      <c r="F20" s="345"/>
      <c r="G20" s="345"/>
      <c r="H20" s="345"/>
      <c r="I20" s="345"/>
      <c r="J20" s="346"/>
      <c r="K20" s="152">
        <f>'PT Frame by LF'!K11*10</f>
        <v>24.2</v>
      </c>
      <c r="L20" s="668">
        <f t="shared" si="0"/>
        <v>0</v>
      </c>
      <c r="M20" s="669"/>
      <c r="N20" s="178"/>
      <c r="O20" s="71"/>
    </row>
    <row r="21" spans="1:15" x14ac:dyDescent="0.3">
      <c r="A21" s="71"/>
      <c r="B21" s="166"/>
      <c r="C21" s="360"/>
      <c r="D21" s="347" t="s">
        <v>660</v>
      </c>
      <c r="E21" s="345"/>
      <c r="F21" s="345"/>
      <c r="G21" s="345"/>
      <c r="H21" s="345"/>
      <c r="I21" s="345"/>
      <c r="J21" s="346"/>
      <c r="K21" s="152">
        <f>'PT Frame by LF'!K11*12</f>
        <v>29.04</v>
      </c>
      <c r="L21" s="668">
        <f t="shared" si="0"/>
        <v>0</v>
      </c>
      <c r="M21" s="669"/>
      <c r="N21" s="178"/>
      <c r="O21" s="71"/>
    </row>
    <row r="22" spans="1:15" x14ac:dyDescent="0.3">
      <c r="A22" s="71"/>
      <c r="B22" s="166"/>
      <c r="C22" s="360"/>
      <c r="D22" s="347" t="s">
        <v>661</v>
      </c>
      <c r="E22" s="345"/>
      <c r="F22" s="345"/>
      <c r="G22" s="345"/>
      <c r="H22" s="345"/>
      <c r="I22" s="345"/>
      <c r="J22" s="346"/>
      <c r="K22" s="152">
        <f>'PT Frame by LF'!K11*14</f>
        <v>33.879999999999995</v>
      </c>
      <c r="L22" s="668">
        <f t="shared" si="0"/>
        <v>0</v>
      </c>
      <c r="M22" s="669"/>
      <c r="N22" s="178"/>
      <c r="O22" s="71"/>
    </row>
    <row r="23" spans="1:15" x14ac:dyDescent="0.3">
      <c r="A23" s="71"/>
      <c r="B23" s="166"/>
      <c r="C23" s="360"/>
      <c r="D23" s="347" t="s">
        <v>662</v>
      </c>
      <c r="E23" s="345"/>
      <c r="F23" s="345"/>
      <c r="G23" s="345"/>
      <c r="H23" s="345"/>
      <c r="I23" s="345"/>
      <c r="J23" s="346"/>
      <c r="K23" s="152">
        <f>'PT Frame by LF'!K11*16</f>
        <v>38.72</v>
      </c>
      <c r="L23" s="668">
        <f t="shared" si="0"/>
        <v>0</v>
      </c>
      <c r="M23" s="669"/>
      <c r="N23" s="178"/>
      <c r="O23" s="71"/>
    </row>
    <row r="24" spans="1:15" x14ac:dyDescent="0.3">
      <c r="A24" s="71"/>
      <c r="B24" s="166"/>
      <c r="C24" s="360"/>
      <c r="D24" s="217" t="s">
        <v>663</v>
      </c>
      <c r="E24" s="345"/>
      <c r="F24" s="345"/>
      <c r="G24" s="345"/>
      <c r="H24" s="345"/>
      <c r="I24" s="345"/>
      <c r="J24" s="346"/>
      <c r="K24" s="152"/>
      <c r="L24" s="668">
        <f t="shared" ref="L24" si="1">K24*C24</f>
        <v>0</v>
      </c>
      <c r="M24" s="669"/>
      <c r="N24" s="178"/>
      <c r="O24" s="71"/>
    </row>
    <row r="25" spans="1:15" x14ac:dyDescent="0.3">
      <c r="A25" s="71"/>
      <c r="B25" s="166"/>
      <c r="C25" s="360"/>
      <c r="D25" s="217" t="s">
        <v>664</v>
      </c>
      <c r="E25" s="345"/>
      <c r="F25" s="345"/>
      <c r="G25" s="345"/>
      <c r="H25" s="345"/>
      <c r="I25" s="345"/>
      <c r="J25" s="346"/>
      <c r="K25" s="152"/>
      <c r="L25" s="668">
        <f t="shared" si="0"/>
        <v>0</v>
      </c>
      <c r="M25" s="669"/>
      <c r="N25" s="178"/>
      <c r="O25" s="71"/>
    </row>
    <row r="26" spans="1:15" x14ac:dyDescent="0.3">
      <c r="A26" s="71"/>
      <c r="B26" s="166"/>
      <c r="C26" s="786" t="s">
        <v>648</v>
      </c>
      <c r="D26" s="787"/>
      <c r="E26" s="787"/>
      <c r="F26" s="787"/>
      <c r="G26" s="787"/>
      <c r="H26" s="787"/>
      <c r="I26" s="787"/>
      <c r="J26" s="787"/>
      <c r="K26" s="788"/>
      <c r="L26" s="668"/>
      <c r="M26" s="669"/>
      <c r="N26" s="178"/>
      <c r="O26" s="71"/>
    </row>
    <row r="27" spans="1:15" x14ac:dyDescent="0.3">
      <c r="A27" s="71"/>
      <c r="B27" s="166"/>
      <c r="C27" s="360"/>
      <c r="D27" s="347" t="s">
        <v>665</v>
      </c>
      <c r="E27" s="345"/>
      <c r="F27" s="345"/>
      <c r="G27" s="345"/>
      <c r="H27" s="345"/>
      <c r="I27" s="345"/>
      <c r="J27" s="346"/>
      <c r="K27" s="152">
        <f>'PT Frame by LF'!K12*8</f>
        <v>30</v>
      </c>
      <c r="L27" s="668">
        <f t="shared" ref="L27:L30" si="2">K27*C27</f>
        <v>0</v>
      </c>
      <c r="M27" s="669"/>
      <c r="N27" s="178"/>
      <c r="O27" s="71"/>
    </row>
    <row r="28" spans="1:15" x14ac:dyDescent="0.3">
      <c r="A28" s="71"/>
      <c r="B28" s="166"/>
      <c r="C28" s="360"/>
      <c r="D28" s="347" t="s">
        <v>666</v>
      </c>
      <c r="E28" s="345"/>
      <c r="F28" s="345"/>
      <c r="G28" s="345"/>
      <c r="H28" s="345"/>
      <c r="I28" s="345"/>
      <c r="J28" s="346"/>
      <c r="K28" s="152">
        <f>'PT Frame by LF'!K12*10</f>
        <v>37.5</v>
      </c>
      <c r="L28" s="668">
        <f t="shared" si="2"/>
        <v>0</v>
      </c>
      <c r="M28" s="669"/>
      <c r="N28" s="178"/>
      <c r="O28" s="71"/>
    </row>
    <row r="29" spans="1:15" x14ac:dyDescent="0.3">
      <c r="A29" s="71"/>
      <c r="B29" s="166"/>
      <c r="C29" s="360"/>
      <c r="D29" s="347" t="s">
        <v>667</v>
      </c>
      <c r="E29" s="345"/>
      <c r="F29" s="345"/>
      <c r="G29" s="345"/>
      <c r="H29" s="345"/>
      <c r="I29" s="345"/>
      <c r="J29" s="346"/>
      <c r="K29" s="152">
        <f>'PT Frame by LF'!K12*12</f>
        <v>45</v>
      </c>
      <c r="L29" s="668">
        <f t="shared" si="2"/>
        <v>0</v>
      </c>
      <c r="M29" s="669"/>
      <c r="N29" s="178"/>
      <c r="O29" s="71"/>
    </row>
    <row r="30" spans="1:15" x14ac:dyDescent="0.3">
      <c r="A30" s="71"/>
      <c r="B30" s="166"/>
      <c r="C30" s="360"/>
      <c r="D30" s="347" t="s">
        <v>668</v>
      </c>
      <c r="E30" s="345"/>
      <c r="F30" s="345"/>
      <c r="G30" s="345"/>
      <c r="H30" s="345"/>
      <c r="I30" s="345"/>
      <c r="J30" s="346"/>
      <c r="K30" s="152">
        <f>'PT Frame by LF'!K12*14</f>
        <v>52.5</v>
      </c>
      <c r="L30" s="668">
        <f t="shared" si="2"/>
        <v>0</v>
      </c>
      <c r="M30" s="669"/>
      <c r="N30" s="178"/>
      <c r="O30" s="71"/>
    </row>
    <row r="31" spans="1:15" x14ac:dyDescent="0.3">
      <c r="A31" s="71"/>
      <c r="B31" s="166"/>
      <c r="C31" s="360"/>
      <c r="D31" s="217" t="s">
        <v>669</v>
      </c>
      <c r="E31" s="345"/>
      <c r="F31" s="345"/>
      <c r="G31" s="345"/>
      <c r="H31" s="345"/>
      <c r="I31" s="345"/>
      <c r="J31" s="346"/>
      <c r="K31" s="152">
        <f>'PT Frame by LF'!K12*16</f>
        <v>60</v>
      </c>
      <c r="L31" s="668">
        <f t="shared" si="0"/>
        <v>0</v>
      </c>
      <c r="M31" s="669"/>
      <c r="N31" s="178"/>
      <c r="O31" s="71"/>
    </row>
    <row r="32" spans="1:15" x14ac:dyDescent="0.3">
      <c r="A32" s="71"/>
      <c r="B32" s="166"/>
      <c r="C32" s="786" t="s">
        <v>649</v>
      </c>
      <c r="D32" s="787"/>
      <c r="E32" s="787"/>
      <c r="F32" s="787"/>
      <c r="G32" s="787"/>
      <c r="H32" s="787"/>
      <c r="I32" s="787"/>
      <c r="J32" s="787"/>
      <c r="K32" s="788"/>
      <c r="L32" s="668"/>
      <c r="M32" s="669"/>
      <c r="N32" s="178"/>
      <c r="O32" s="71"/>
    </row>
    <row r="33" spans="1:15" x14ac:dyDescent="0.3">
      <c r="A33" s="71"/>
      <c r="B33" s="166"/>
      <c r="C33" s="360"/>
      <c r="D33" s="217" t="s">
        <v>670</v>
      </c>
      <c r="E33" s="345"/>
      <c r="F33" s="345"/>
      <c r="G33" s="345"/>
      <c r="H33" s="345"/>
      <c r="I33" s="345"/>
      <c r="J33" s="346"/>
      <c r="K33" s="152">
        <f>'PT Frame by LF'!K13*8</f>
        <v>17.600000000000001</v>
      </c>
      <c r="L33" s="668">
        <f t="shared" si="0"/>
        <v>0</v>
      </c>
      <c r="M33" s="669"/>
      <c r="N33" s="178"/>
      <c r="O33" s="71"/>
    </row>
    <row r="34" spans="1:15" x14ac:dyDescent="0.3">
      <c r="A34" s="71"/>
      <c r="B34" s="166"/>
      <c r="C34" s="360"/>
      <c r="D34" s="217" t="s">
        <v>671</v>
      </c>
      <c r="E34" s="345"/>
      <c r="F34" s="345"/>
      <c r="G34" s="345"/>
      <c r="H34" s="345"/>
      <c r="I34" s="345"/>
      <c r="J34" s="346"/>
      <c r="K34" s="152">
        <f>'PT Frame by LF'!K13*10</f>
        <v>22</v>
      </c>
      <c r="L34" s="668">
        <f>K34*C34</f>
        <v>0</v>
      </c>
      <c r="M34" s="669"/>
      <c r="N34" s="178"/>
      <c r="O34" s="71"/>
    </row>
    <row r="35" spans="1:15" x14ac:dyDescent="0.3">
      <c r="A35" s="71"/>
      <c r="B35" s="166"/>
      <c r="C35" s="360"/>
      <c r="D35" s="217" t="s">
        <v>672</v>
      </c>
      <c r="E35" s="345"/>
      <c r="F35" s="345"/>
      <c r="G35" s="345"/>
      <c r="H35" s="345"/>
      <c r="I35" s="345"/>
      <c r="J35" s="346"/>
      <c r="K35" s="152">
        <f>'PT Frame by LF'!K13*12</f>
        <v>26.400000000000002</v>
      </c>
      <c r="L35" s="668">
        <f t="shared" ref="L35:L40" si="3">K35*C35</f>
        <v>0</v>
      </c>
      <c r="M35" s="669"/>
      <c r="N35" s="178"/>
      <c r="O35" s="71"/>
    </row>
    <row r="36" spans="1:15" x14ac:dyDescent="0.3">
      <c r="A36" s="71"/>
      <c r="B36" s="166"/>
      <c r="C36" s="360"/>
      <c r="D36" s="217" t="s">
        <v>673</v>
      </c>
      <c r="E36" s="345"/>
      <c r="F36" s="345"/>
      <c r="G36" s="345"/>
      <c r="H36" s="345"/>
      <c r="I36" s="345"/>
      <c r="J36" s="346"/>
      <c r="K36" s="152">
        <f>'PT Frame by LF'!K13*14</f>
        <v>30.800000000000004</v>
      </c>
      <c r="L36" s="668">
        <f t="shared" si="3"/>
        <v>0</v>
      </c>
      <c r="M36" s="669"/>
      <c r="N36" s="178"/>
      <c r="O36" s="71"/>
    </row>
    <row r="37" spans="1:15" x14ac:dyDescent="0.3">
      <c r="A37" s="71"/>
      <c r="B37" s="166"/>
      <c r="C37" s="360"/>
      <c r="D37" s="217" t="s">
        <v>674</v>
      </c>
      <c r="E37" s="345"/>
      <c r="F37" s="345"/>
      <c r="G37" s="345"/>
      <c r="H37" s="345"/>
      <c r="I37" s="345"/>
      <c r="J37" s="346"/>
      <c r="K37" s="152">
        <f>'PT Frame by LF'!K13*16</f>
        <v>35.200000000000003</v>
      </c>
      <c r="L37" s="668">
        <f t="shared" si="3"/>
        <v>0</v>
      </c>
      <c r="M37" s="669"/>
      <c r="N37" s="178"/>
      <c r="O37" s="71"/>
    </row>
    <row r="38" spans="1:15" x14ac:dyDescent="0.3">
      <c r="A38" s="71"/>
      <c r="B38" s="166"/>
      <c r="C38" s="360"/>
      <c r="D38" s="217" t="s">
        <v>675</v>
      </c>
      <c r="E38" s="345"/>
      <c r="F38" s="345"/>
      <c r="G38" s="345"/>
      <c r="H38" s="345"/>
      <c r="I38" s="345"/>
      <c r="J38" s="346"/>
      <c r="K38" s="152">
        <f>'PT Frame by LF'!K14*8</f>
        <v>32</v>
      </c>
      <c r="L38" s="668">
        <f t="shared" si="3"/>
        <v>0</v>
      </c>
      <c r="M38" s="669"/>
      <c r="N38" s="178"/>
      <c r="O38" s="71"/>
    </row>
    <row r="39" spans="1:15" x14ac:dyDescent="0.3">
      <c r="A39" s="71"/>
      <c r="B39" s="166"/>
      <c r="C39" s="360"/>
      <c r="D39" s="217" t="s">
        <v>676</v>
      </c>
      <c r="E39" s="345"/>
      <c r="F39" s="345"/>
      <c r="G39" s="345"/>
      <c r="H39" s="345"/>
      <c r="I39" s="345"/>
      <c r="J39" s="346"/>
      <c r="K39" s="152">
        <f>'PT Frame by LF'!K14*10</f>
        <v>40</v>
      </c>
      <c r="L39" s="668">
        <f t="shared" si="3"/>
        <v>0</v>
      </c>
      <c r="M39" s="669"/>
      <c r="N39" s="178"/>
      <c r="O39" s="71"/>
    </row>
    <row r="40" spans="1:15" x14ac:dyDescent="0.3">
      <c r="A40" s="71"/>
      <c r="B40" s="166"/>
      <c r="C40" s="360"/>
      <c r="D40" s="217" t="s">
        <v>677</v>
      </c>
      <c r="E40" s="345"/>
      <c r="F40" s="345"/>
      <c r="G40" s="345"/>
      <c r="H40" s="345"/>
      <c r="I40" s="345"/>
      <c r="J40" s="346"/>
      <c r="K40" s="152">
        <f>'PT Frame by LF'!K14*12</f>
        <v>48</v>
      </c>
      <c r="L40" s="668">
        <f t="shared" si="3"/>
        <v>0</v>
      </c>
      <c r="M40" s="669"/>
      <c r="N40" s="178"/>
      <c r="O40" s="71"/>
    </row>
    <row r="41" spans="1:15" x14ac:dyDescent="0.3">
      <c r="A41" s="71"/>
      <c r="B41" s="166"/>
      <c r="C41" s="360"/>
      <c r="D41" s="217" t="s">
        <v>678</v>
      </c>
      <c r="E41" s="345"/>
      <c r="F41" s="345"/>
      <c r="G41" s="345"/>
      <c r="H41" s="345"/>
      <c r="I41" s="345"/>
      <c r="J41" s="346"/>
      <c r="K41" s="152">
        <f>'PT Frame by LF'!K14*14</f>
        <v>56</v>
      </c>
      <c r="L41" s="668">
        <f>K41*C41</f>
        <v>0</v>
      </c>
      <c r="M41" s="669"/>
      <c r="N41" s="178"/>
      <c r="O41" s="71"/>
    </row>
    <row r="42" spans="1:15" x14ac:dyDescent="0.3">
      <c r="A42" s="71"/>
      <c r="B42" s="166"/>
      <c r="C42" s="360"/>
      <c r="D42" s="217" t="s">
        <v>679</v>
      </c>
      <c r="E42" s="345"/>
      <c r="F42" s="345"/>
      <c r="G42" s="345"/>
      <c r="H42" s="345"/>
      <c r="I42" s="345"/>
      <c r="J42" s="346"/>
      <c r="K42" s="152">
        <f>'PT Frame by LF'!K14*16</f>
        <v>64</v>
      </c>
      <c r="L42" s="668">
        <f t="shared" ref="L42:L47" si="4">K42*C42</f>
        <v>0</v>
      </c>
      <c r="M42" s="669"/>
      <c r="N42" s="178"/>
      <c r="O42" s="71"/>
    </row>
    <row r="43" spans="1:15" x14ac:dyDescent="0.3">
      <c r="A43" s="71"/>
      <c r="B43" s="166"/>
      <c r="C43" s="360"/>
      <c r="D43" s="217" t="s">
        <v>680</v>
      </c>
      <c r="E43" s="345"/>
      <c r="F43" s="345"/>
      <c r="G43" s="345"/>
      <c r="H43" s="345"/>
      <c r="I43" s="345"/>
      <c r="J43" s="346"/>
      <c r="K43" s="152">
        <f>'PT Frame by LF'!K15*8</f>
        <v>40</v>
      </c>
      <c r="L43" s="668">
        <f t="shared" si="4"/>
        <v>0</v>
      </c>
      <c r="M43" s="669"/>
      <c r="N43" s="178"/>
      <c r="O43" s="71"/>
    </row>
    <row r="44" spans="1:15" x14ac:dyDescent="0.3">
      <c r="A44" s="71"/>
      <c r="B44" s="166"/>
      <c r="C44" s="360"/>
      <c r="D44" s="217" t="s">
        <v>681</v>
      </c>
      <c r="E44" s="345"/>
      <c r="F44" s="345"/>
      <c r="G44" s="345"/>
      <c r="H44" s="345"/>
      <c r="I44" s="345"/>
      <c r="J44" s="346"/>
      <c r="K44" s="152">
        <f>'PT Frame by LF'!K15*10</f>
        <v>50</v>
      </c>
      <c r="L44" s="668">
        <f t="shared" si="4"/>
        <v>0</v>
      </c>
      <c r="M44" s="669"/>
      <c r="N44" s="178"/>
      <c r="O44" s="71"/>
    </row>
    <row r="45" spans="1:15" x14ac:dyDescent="0.3">
      <c r="A45" s="71"/>
      <c r="B45" s="166"/>
      <c r="C45" s="360"/>
      <c r="D45" s="217" t="s">
        <v>682</v>
      </c>
      <c r="E45" s="345"/>
      <c r="F45" s="345"/>
      <c r="G45" s="345"/>
      <c r="H45" s="345"/>
      <c r="I45" s="345"/>
      <c r="J45" s="346"/>
      <c r="K45" s="152">
        <f>'PT Frame by LF'!K15*12</f>
        <v>60</v>
      </c>
      <c r="L45" s="668">
        <f t="shared" si="4"/>
        <v>0</v>
      </c>
      <c r="M45" s="669"/>
      <c r="N45" s="178"/>
      <c r="O45" s="71"/>
    </row>
    <row r="46" spans="1:15" x14ac:dyDescent="0.3">
      <c r="A46" s="71"/>
      <c r="B46" s="166"/>
      <c r="C46" s="360"/>
      <c r="D46" s="217" t="s">
        <v>683</v>
      </c>
      <c r="E46" s="345"/>
      <c r="F46" s="345"/>
      <c r="G46" s="345"/>
      <c r="H46" s="345"/>
      <c r="I46" s="345"/>
      <c r="J46" s="346"/>
      <c r="K46" s="152">
        <f>'PT Frame by LF'!K15*14</f>
        <v>70</v>
      </c>
      <c r="L46" s="668">
        <f t="shared" si="4"/>
        <v>0</v>
      </c>
      <c r="M46" s="669"/>
      <c r="N46" s="178"/>
      <c r="O46" s="71"/>
    </row>
    <row r="47" spans="1:15" x14ac:dyDescent="0.3">
      <c r="A47" s="71"/>
      <c r="B47" s="166"/>
      <c r="C47" s="360"/>
      <c r="D47" s="217" t="s">
        <v>684</v>
      </c>
      <c r="E47" s="345"/>
      <c r="F47" s="345"/>
      <c r="G47" s="345"/>
      <c r="H47" s="345"/>
      <c r="I47" s="345"/>
      <c r="J47" s="346"/>
      <c r="K47" s="152">
        <f>'PT Frame by LF'!K15*16</f>
        <v>80</v>
      </c>
      <c r="L47" s="668">
        <f t="shared" si="4"/>
        <v>0</v>
      </c>
      <c r="M47" s="669"/>
      <c r="N47" s="178"/>
      <c r="O47" s="71"/>
    </row>
    <row r="48" spans="1:15" x14ac:dyDescent="0.3">
      <c r="A48" s="71"/>
      <c r="B48" s="166"/>
      <c r="C48" s="183"/>
      <c r="D48" s="681"/>
      <c r="E48" s="682"/>
      <c r="F48" s="682"/>
      <c r="G48" s="682"/>
      <c r="H48" s="682"/>
      <c r="I48" s="682"/>
      <c r="J48" s="682"/>
      <c r="K48" s="683"/>
      <c r="L48" s="686">
        <f>SUM(L12:M47)*0.0625</f>
        <v>0</v>
      </c>
      <c r="M48" s="686"/>
      <c r="N48" s="178"/>
      <c r="O48" s="71"/>
    </row>
    <row r="49" spans="1:15" x14ac:dyDescent="0.3">
      <c r="A49" s="71"/>
      <c r="B49" s="166"/>
      <c r="C49" s="183"/>
      <c r="D49" s="681" t="s">
        <v>1</v>
      </c>
      <c r="E49" s="682"/>
      <c r="F49" s="682"/>
      <c r="G49" s="682"/>
      <c r="H49" s="682"/>
      <c r="I49" s="682"/>
      <c r="J49" s="682"/>
      <c r="K49" s="683"/>
      <c r="L49" s="684">
        <f>SUM(L11:M47)</f>
        <v>568.01250000000005</v>
      </c>
      <c r="M49" s="684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D3:M3"/>
    <mergeCell ref="D4:M4"/>
    <mergeCell ref="E5:G5"/>
    <mergeCell ref="I5:J5"/>
    <mergeCell ref="E6:G6"/>
    <mergeCell ref="I6:J6"/>
    <mergeCell ref="L18:M18"/>
    <mergeCell ref="E7:G7"/>
    <mergeCell ref="C8:M8"/>
    <mergeCell ref="D9:J9"/>
    <mergeCell ref="L9:M9"/>
    <mergeCell ref="L10:M10"/>
    <mergeCell ref="L13:M13"/>
    <mergeCell ref="L14:M14"/>
    <mergeCell ref="L15:M15"/>
    <mergeCell ref="L16:M16"/>
    <mergeCell ref="L17:M17"/>
    <mergeCell ref="C10:K10"/>
    <mergeCell ref="D11:J11"/>
    <mergeCell ref="L11:M11"/>
    <mergeCell ref="D48:K48"/>
    <mergeCell ref="L48:M48"/>
    <mergeCell ref="D49:K49"/>
    <mergeCell ref="L49:M49"/>
    <mergeCell ref="L35:M35"/>
    <mergeCell ref="L36:M36"/>
    <mergeCell ref="L37:M37"/>
    <mergeCell ref="L38:M38"/>
    <mergeCell ref="L39:M39"/>
    <mergeCell ref="L40:M40"/>
    <mergeCell ref="L41:M41"/>
    <mergeCell ref="L44:M44"/>
    <mergeCell ref="L45:M45"/>
    <mergeCell ref="L46:M46"/>
    <mergeCell ref="L47:M47"/>
    <mergeCell ref="L19:M19"/>
    <mergeCell ref="L27:M27"/>
    <mergeCell ref="L28:M28"/>
    <mergeCell ref="L29:M29"/>
    <mergeCell ref="L33:M33"/>
    <mergeCell ref="L20:M20"/>
    <mergeCell ref="L21:M21"/>
    <mergeCell ref="L22:M22"/>
    <mergeCell ref="L23:M23"/>
    <mergeCell ref="L25:M25"/>
    <mergeCell ref="L24:M24"/>
    <mergeCell ref="C26:K26"/>
    <mergeCell ref="C32:K32"/>
    <mergeCell ref="L42:M42"/>
    <mergeCell ref="L43:M43"/>
    <mergeCell ref="L26:M26"/>
    <mergeCell ref="L31:M31"/>
    <mergeCell ref="L30:M30"/>
    <mergeCell ref="L32:M32"/>
    <mergeCell ref="L34:M34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3F3A5-DECF-4BFA-9AF8-C00960E6F9C5}">
  <sheetPr codeName="Sheet53">
    <tabColor rgb="FF7030A0"/>
    <pageSetUpPr fitToPage="1"/>
  </sheetPr>
  <dimension ref="A1:O67"/>
  <sheetViews>
    <sheetView showGridLines="0" showZeros="0" view="pageBreakPreview" topLeftCell="C1" zoomScaleNormal="100" zoomScaleSheetLayoutView="100" workbookViewId="0">
      <selection activeCell="G18" sqref="G18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1.59765625" style="2" bestFit="1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1259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1260</v>
      </c>
      <c r="E11" s="679"/>
      <c r="F11" s="679"/>
      <c r="G11" s="679"/>
      <c r="H11" s="679"/>
      <c r="I11" s="679"/>
      <c r="J11" s="680"/>
      <c r="K11" s="429"/>
      <c r="L11" s="668">
        <f t="shared" ref="L11" si="0">K11*C11</f>
        <v>0</v>
      </c>
      <c r="M11" s="669"/>
      <c r="N11" s="178"/>
      <c r="O11" s="71"/>
    </row>
    <row r="12" spans="1:15" x14ac:dyDescent="0.3">
      <c r="A12" s="71"/>
      <c r="B12" s="166"/>
      <c r="C12" s="425">
        <f>ROUNDUP(Formulas!C149,)</f>
        <v>0</v>
      </c>
      <c r="D12" s="365" t="s">
        <v>1258</v>
      </c>
      <c r="E12" s="355"/>
      <c r="F12" s="355"/>
      <c r="G12" s="355"/>
      <c r="H12" s="355"/>
      <c r="I12" s="355"/>
      <c r="J12" s="421"/>
      <c r="K12" s="429">
        <f>'Material Price'!J27</f>
        <v>25.6</v>
      </c>
      <c r="L12" s="668">
        <f>K12*C12</f>
        <v>0</v>
      </c>
      <c r="M12" s="669"/>
      <c r="N12" s="178"/>
      <c r="O12" s="71"/>
    </row>
    <row r="13" spans="1:15" x14ac:dyDescent="0.3">
      <c r="A13" s="71"/>
      <c r="B13" s="166"/>
      <c r="C13" s="425">
        <f>ROUNDUP(Formulas!C144/18,0)</f>
        <v>0</v>
      </c>
      <c r="D13" s="560" t="s">
        <v>1215</v>
      </c>
      <c r="E13" s="561"/>
      <c r="F13" s="561"/>
      <c r="G13" s="561"/>
      <c r="H13" s="561"/>
      <c r="I13" s="561"/>
      <c r="J13" s="562"/>
      <c r="K13" s="429">
        <f>'Material Price'!J335</f>
        <v>57</v>
      </c>
      <c r="L13" s="668">
        <f t="shared" ref="L13:L37" si="1">K13*C13</f>
        <v>0</v>
      </c>
      <c r="M13" s="669"/>
      <c r="N13" s="178"/>
      <c r="O13" s="71"/>
    </row>
    <row r="14" spans="1:15" x14ac:dyDescent="0.3">
      <c r="A14" s="71"/>
      <c r="B14" s="166"/>
      <c r="C14" s="394">
        <f>ROUNDUP(Formulas!C150+Formulas!C151,0)</f>
        <v>0</v>
      </c>
      <c r="D14" s="566" t="s">
        <v>1261</v>
      </c>
      <c r="E14" s="567"/>
      <c r="F14" s="567"/>
      <c r="G14" s="567"/>
      <c r="H14" s="567"/>
      <c r="I14" s="567"/>
      <c r="J14" s="568"/>
      <c r="K14" s="429">
        <f>'Material Price'!J37</f>
        <v>32</v>
      </c>
      <c r="L14" s="668">
        <f t="shared" si="1"/>
        <v>0</v>
      </c>
      <c r="M14" s="669"/>
      <c r="N14" s="178"/>
      <c r="O14" s="71"/>
    </row>
    <row r="15" spans="1:15" x14ac:dyDescent="0.3">
      <c r="A15" s="71"/>
      <c r="B15" s="166"/>
      <c r="C15" s="394">
        <f>Formulas!D130</f>
        <v>0</v>
      </c>
      <c r="D15" s="364" t="s">
        <v>1193</v>
      </c>
      <c r="E15" s="218"/>
      <c r="F15" s="218"/>
      <c r="G15" s="218"/>
      <c r="H15" s="218"/>
      <c r="I15" s="218"/>
      <c r="J15" s="219"/>
      <c r="K15" s="429">
        <f>'Material Price'!J336</f>
        <v>30</v>
      </c>
      <c r="L15" s="668">
        <f t="shared" si="1"/>
        <v>0</v>
      </c>
      <c r="M15" s="669"/>
      <c r="N15" s="178"/>
      <c r="O15" s="71"/>
    </row>
    <row r="16" spans="1:15" x14ac:dyDescent="0.3">
      <c r="A16" s="71"/>
      <c r="B16" s="166"/>
      <c r="C16" s="394">
        <f>Formulas!D131</f>
        <v>0</v>
      </c>
      <c r="D16" s="217" t="s">
        <v>1262</v>
      </c>
      <c r="E16" s="218"/>
      <c r="F16" s="218"/>
      <c r="G16" s="218"/>
      <c r="H16" s="218"/>
      <c r="I16" s="218"/>
      <c r="J16" s="219"/>
      <c r="K16" s="429">
        <f>'Material Price'!J88</f>
        <v>50</v>
      </c>
      <c r="L16" s="668">
        <f t="shared" si="1"/>
        <v>0</v>
      </c>
      <c r="M16" s="669"/>
      <c r="N16" s="178"/>
      <c r="O16" s="71"/>
    </row>
    <row r="17" spans="1:15" x14ac:dyDescent="0.3">
      <c r="A17" s="71"/>
      <c r="B17" s="166"/>
      <c r="C17" s="537"/>
      <c r="D17" s="706"/>
      <c r="E17" s="707"/>
      <c r="F17" s="707"/>
      <c r="G17" s="707"/>
      <c r="H17" s="707"/>
      <c r="I17" s="707"/>
      <c r="J17" s="790"/>
      <c r="K17" s="538"/>
      <c r="L17" s="668">
        <f t="shared" si="1"/>
        <v>0</v>
      </c>
      <c r="M17" s="669"/>
      <c r="N17" s="178"/>
      <c r="O17" s="71"/>
    </row>
    <row r="18" spans="1:15" x14ac:dyDescent="0.3">
      <c r="A18" s="71"/>
      <c r="B18" s="166"/>
      <c r="C18" s="537"/>
      <c r="D18" s="539"/>
      <c r="E18" s="55"/>
      <c r="F18" s="55"/>
      <c r="G18" s="55"/>
      <c r="H18" s="55"/>
      <c r="I18" s="55"/>
      <c r="J18" s="56"/>
      <c r="K18" s="538"/>
      <c r="L18" s="668">
        <f t="shared" si="1"/>
        <v>0</v>
      </c>
      <c r="M18" s="669"/>
      <c r="N18" s="178"/>
      <c r="O18" s="71"/>
    </row>
    <row r="19" spans="1:15" x14ac:dyDescent="0.3">
      <c r="A19" s="71"/>
      <c r="B19" s="166"/>
      <c r="C19" s="537"/>
      <c r="D19" s="539"/>
      <c r="E19" s="55"/>
      <c r="F19" s="55"/>
      <c r="G19" s="55"/>
      <c r="H19" s="55"/>
      <c r="I19" s="55"/>
      <c r="J19" s="56"/>
      <c r="K19" s="538"/>
      <c r="L19" s="668">
        <f t="shared" si="1"/>
        <v>0</v>
      </c>
      <c r="M19" s="669"/>
      <c r="N19" s="178"/>
      <c r="O19" s="71"/>
    </row>
    <row r="20" spans="1:15" x14ac:dyDescent="0.3">
      <c r="A20" s="71"/>
      <c r="B20" s="166"/>
      <c r="C20" s="537"/>
      <c r="D20" s="54"/>
      <c r="E20" s="34"/>
      <c r="F20" s="34"/>
      <c r="G20" s="34"/>
      <c r="H20" s="34"/>
      <c r="I20" s="34"/>
      <c r="J20" s="540"/>
      <c r="K20" s="538"/>
      <c r="L20" s="668">
        <f t="shared" si="1"/>
        <v>0</v>
      </c>
      <c r="M20" s="669"/>
      <c r="N20" s="178"/>
      <c r="O20" s="71"/>
    </row>
    <row r="21" spans="1:15" x14ac:dyDescent="0.3">
      <c r="A21" s="71"/>
      <c r="B21" s="166"/>
      <c r="C21" s="537"/>
      <c r="D21" s="539"/>
      <c r="E21" s="55"/>
      <c r="F21" s="55"/>
      <c r="G21" s="55"/>
      <c r="H21" s="55"/>
      <c r="I21" s="55"/>
      <c r="J21" s="541"/>
      <c r="K21" s="538"/>
      <c r="L21" s="668">
        <f t="shared" si="1"/>
        <v>0</v>
      </c>
      <c r="M21" s="669"/>
      <c r="N21" s="178"/>
      <c r="O21" s="71"/>
    </row>
    <row r="22" spans="1:15" x14ac:dyDescent="0.3">
      <c r="A22" s="71"/>
      <c r="B22" s="166"/>
      <c r="C22" s="542"/>
      <c r="D22" s="54"/>
      <c r="E22" s="55"/>
      <c r="F22" s="55"/>
      <c r="G22" s="55"/>
      <c r="H22" s="55"/>
      <c r="I22" s="55"/>
      <c r="J22" s="541"/>
      <c r="K22" s="538"/>
      <c r="L22" s="668">
        <f t="shared" si="1"/>
        <v>0</v>
      </c>
      <c r="M22" s="669"/>
      <c r="N22" s="178"/>
      <c r="O22" s="71"/>
    </row>
    <row r="23" spans="1:15" x14ac:dyDescent="0.3">
      <c r="A23" s="71"/>
      <c r="B23" s="166"/>
      <c r="C23" s="537"/>
      <c r="D23" s="536"/>
      <c r="E23" s="55"/>
      <c r="F23" s="55"/>
      <c r="G23" s="55"/>
      <c r="H23" s="55"/>
      <c r="I23" s="55"/>
      <c r="J23" s="541"/>
      <c r="K23" s="538"/>
      <c r="L23" s="668">
        <f t="shared" si="1"/>
        <v>0</v>
      </c>
      <c r="M23" s="669"/>
      <c r="N23" s="178"/>
      <c r="O23" s="71"/>
    </row>
    <row r="24" spans="1:15" x14ac:dyDescent="0.3">
      <c r="A24" s="71"/>
      <c r="B24" s="166"/>
      <c r="C24" s="537"/>
      <c r="D24" s="539"/>
      <c r="E24" s="55"/>
      <c r="F24" s="55"/>
      <c r="G24" s="55"/>
      <c r="H24" s="55"/>
      <c r="I24" s="55"/>
      <c r="J24" s="541"/>
      <c r="K24" s="538"/>
      <c r="L24" s="668">
        <f t="shared" si="1"/>
        <v>0</v>
      </c>
      <c r="M24" s="669"/>
      <c r="N24" s="178"/>
      <c r="O24" s="71"/>
    </row>
    <row r="25" spans="1:15" x14ac:dyDescent="0.3">
      <c r="A25" s="71"/>
      <c r="B25" s="166"/>
      <c r="C25" s="537"/>
      <c r="D25" s="54"/>
      <c r="E25" s="55"/>
      <c r="F25" s="55"/>
      <c r="G25" s="55"/>
      <c r="H25" s="55"/>
      <c r="I25" s="55"/>
      <c r="J25" s="541"/>
      <c r="K25" s="543"/>
      <c r="L25" s="668">
        <f t="shared" si="1"/>
        <v>0</v>
      </c>
      <c r="M25" s="669"/>
      <c r="N25" s="178"/>
      <c r="O25" s="71"/>
    </row>
    <row r="26" spans="1:15" x14ac:dyDescent="0.3">
      <c r="A26" s="71"/>
      <c r="B26" s="166"/>
      <c r="C26" s="537"/>
      <c r="D26" s="54"/>
      <c r="E26" s="55"/>
      <c r="F26" s="55"/>
      <c r="G26" s="55"/>
      <c r="H26" s="55"/>
      <c r="I26" s="55"/>
      <c r="J26" s="541"/>
      <c r="K26" s="543"/>
      <c r="L26" s="668">
        <f t="shared" si="1"/>
        <v>0</v>
      </c>
      <c r="M26" s="669"/>
      <c r="N26" s="178"/>
      <c r="O26" s="71"/>
    </row>
    <row r="27" spans="1:15" x14ac:dyDescent="0.3">
      <c r="A27" s="71"/>
      <c r="B27" s="166"/>
      <c r="C27" s="537"/>
      <c r="D27" s="54"/>
      <c r="E27" s="55"/>
      <c r="F27" s="55"/>
      <c r="G27" s="55"/>
      <c r="H27" s="55"/>
      <c r="I27" s="55"/>
      <c r="J27" s="541"/>
      <c r="K27" s="538"/>
      <c r="L27" s="668">
        <f t="shared" si="1"/>
        <v>0</v>
      </c>
      <c r="M27" s="669"/>
      <c r="N27" s="178"/>
      <c r="O27" s="71"/>
    </row>
    <row r="28" spans="1:15" x14ac:dyDescent="0.3">
      <c r="A28" s="71"/>
      <c r="B28" s="166"/>
      <c r="C28" s="537"/>
      <c r="D28" s="54"/>
      <c r="E28" s="55"/>
      <c r="F28" s="55"/>
      <c r="G28" s="55"/>
      <c r="H28" s="55"/>
      <c r="I28" s="55"/>
      <c r="J28" s="541"/>
      <c r="K28" s="538"/>
      <c r="L28" s="668">
        <f t="shared" si="1"/>
        <v>0</v>
      </c>
      <c r="M28" s="669"/>
      <c r="N28" s="178"/>
      <c r="O28" s="71"/>
    </row>
    <row r="29" spans="1:15" x14ac:dyDescent="0.3">
      <c r="A29" s="71"/>
      <c r="B29" s="166"/>
      <c r="C29" s="537"/>
      <c r="D29" s="54"/>
      <c r="E29" s="55"/>
      <c r="F29" s="55"/>
      <c r="G29" s="55"/>
      <c r="H29" s="55"/>
      <c r="I29" s="55"/>
      <c r="J29" s="541"/>
      <c r="K29" s="538"/>
      <c r="L29" s="668">
        <f t="shared" si="1"/>
        <v>0</v>
      </c>
      <c r="M29" s="669"/>
      <c r="N29" s="178"/>
      <c r="O29" s="71"/>
    </row>
    <row r="30" spans="1:15" x14ac:dyDescent="0.3">
      <c r="A30" s="71"/>
      <c r="B30" s="166"/>
      <c r="C30" s="537"/>
      <c r="D30" s="54"/>
      <c r="E30" s="55"/>
      <c r="F30" s="55"/>
      <c r="G30" s="55"/>
      <c r="H30" s="55"/>
      <c r="I30" s="55"/>
      <c r="J30" s="541"/>
      <c r="K30" s="538"/>
      <c r="L30" s="668">
        <f t="shared" si="1"/>
        <v>0</v>
      </c>
      <c r="M30" s="669"/>
      <c r="N30" s="178"/>
      <c r="O30" s="71"/>
    </row>
    <row r="31" spans="1:15" x14ac:dyDescent="0.3">
      <c r="A31" s="71"/>
      <c r="B31" s="166"/>
      <c r="C31" s="537"/>
      <c r="D31" s="536"/>
      <c r="E31" s="55"/>
      <c r="F31" s="55"/>
      <c r="G31" s="55"/>
      <c r="H31" s="55"/>
      <c r="I31" s="55"/>
      <c r="J31" s="541"/>
      <c r="K31" s="538"/>
      <c r="L31" s="668">
        <f t="shared" si="1"/>
        <v>0</v>
      </c>
      <c r="M31" s="669"/>
      <c r="N31" s="178"/>
      <c r="O31" s="71"/>
    </row>
    <row r="32" spans="1:15" x14ac:dyDescent="0.3">
      <c r="A32" s="71"/>
      <c r="B32" s="166"/>
      <c r="C32" s="537"/>
      <c r="D32" s="536"/>
      <c r="E32" s="55"/>
      <c r="F32" s="55"/>
      <c r="G32" s="55"/>
      <c r="H32" s="55"/>
      <c r="I32" s="55"/>
      <c r="J32" s="541"/>
      <c r="K32" s="538"/>
      <c r="L32" s="57"/>
      <c r="M32" s="58"/>
      <c r="N32" s="178"/>
      <c r="O32" s="71"/>
    </row>
    <row r="33" spans="1:15" x14ac:dyDescent="0.3">
      <c r="A33" s="71"/>
      <c r="B33" s="166"/>
      <c r="C33" s="537"/>
      <c r="D33" s="54"/>
      <c r="E33" s="34"/>
      <c r="F33" s="34"/>
      <c r="G33" s="34"/>
      <c r="H33" s="34"/>
      <c r="I33" s="34"/>
      <c r="J33" s="35"/>
      <c r="K33" s="538"/>
      <c r="L33" s="668">
        <f t="shared" si="1"/>
        <v>0</v>
      </c>
      <c r="M33" s="669"/>
      <c r="N33" s="178"/>
      <c r="O33" s="71"/>
    </row>
    <row r="34" spans="1:15" x14ac:dyDescent="0.3">
      <c r="A34" s="71"/>
      <c r="B34" s="166"/>
      <c r="C34" s="537"/>
      <c r="D34" s="54"/>
      <c r="E34" s="34"/>
      <c r="F34" s="34"/>
      <c r="G34" s="34"/>
      <c r="H34" s="34"/>
      <c r="I34" s="34"/>
      <c r="J34" s="35"/>
      <c r="K34" s="538"/>
      <c r="L34" s="668">
        <f t="shared" si="1"/>
        <v>0</v>
      </c>
      <c r="M34" s="669"/>
      <c r="N34" s="178"/>
      <c r="O34" s="71"/>
    </row>
    <row r="35" spans="1:15" x14ac:dyDescent="0.3">
      <c r="A35" s="71"/>
      <c r="B35" s="166"/>
      <c r="C35" s="537"/>
      <c r="D35" s="54"/>
      <c r="E35" s="34"/>
      <c r="F35" s="34"/>
      <c r="G35" s="34"/>
      <c r="H35" s="34"/>
      <c r="I35" s="34"/>
      <c r="J35" s="35"/>
      <c r="K35" s="538"/>
      <c r="L35" s="668">
        <f t="shared" si="1"/>
        <v>0</v>
      </c>
      <c r="M35" s="669"/>
      <c r="N35" s="178"/>
      <c r="O35" s="71"/>
    </row>
    <row r="36" spans="1:15" x14ac:dyDescent="0.3">
      <c r="A36" s="71"/>
      <c r="B36" s="166"/>
      <c r="C36" s="527"/>
      <c r="D36" s="54"/>
      <c r="E36" s="34"/>
      <c r="F36" s="34"/>
      <c r="G36" s="34"/>
      <c r="H36" s="34"/>
      <c r="I36" s="34"/>
      <c r="J36" s="35"/>
      <c r="K36" s="538"/>
      <c r="L36" s="668">
        <f t="shared" si="1"/>
        <v>0</v>
      </c>
      <c r="M36" s="669"/>
      <c r="N36" s="178"/>
      <c r="O36" s="71"/>
    </row>
    <row r="37" spans="1:15" x14ac:dyDescent="0.3">
      <c r="A37" s="71"/>
      <c r="B37" s="166"/>
      <c r="C37" s="527"/>
      <c r="D37" s="54"/>
      <c r="E37" s="34"/>
      <c r="F37" s="34"/>
      <c r="G37" s="34"/>
      <c r="H37" s="34"/>
      <c r="I37" s="34"/>
      <c r="J37" s="35"/>
      <c r="K37" s="538"/>
      <c r="L37" s="668">
        <f t="shared" si="1"/>
        <v>0</v>
      </c>
      <c r="M37" s="669"/>
      <c r="N37" s="178"/>
      <c r="O37" s="71"/>
    </row>
    <row r="38" spans="1:15" x14ac:dyDescent="0.3">
      <c r="A38" s="71"/>
      <c r="B38" s="166"/>
      <c r="C38" s="527"/>
      <c r="D38" s="54"/>
      <c r="E38" s="34"/>
      <c r="F38" s="34"/>
      <c r="G38" s="34"/>
      <c r="H38" s="34"/>
      <c r="I38" s="34"/>
      <c r="J38" s="35"/>
      <c r="K38" s="533"/>
      <c r="L38" s="668">
        <f>K38*C38</f>
        <v>0</v>
      </c>
      <c r="M38" s="669"/>
      <c r="N38" s="178"/>
      <c r="O38" s="71"/>
    </row>
    <row r="39" spans="1:15" x14ac:dyDescent="0.3">
      <c r="A39" s="71"/>
      <c r="B39" s="166"/>
      <c r="C39" s="527"/>
      <c r="D39" s="54"/>
      <c r="E39" s="34"/>
      <c r="F39" s="34"/>
      <c r="G39" s="34"/>
      <c r="H39" s="34"/>
      <c r="I39" s="34"/>
      <c r="J39" s="35"/>
      <c r="K39" s="533"/>
      <c r="L39" s="668">
        <f t="shared" ref="L39:L47" si="2">K39*C39</f>
        <v>0</v>
      </c>
      <c r="M39" s="669"/>
      <c r="N39" s="178"/>
      <c r="O39" s="71"/>
    </row>
    <row r="40" spans="1:15" x14ac:dyDescent="0.3">
      <c r="A40" s="71"/>
      <c r="B40" s="166"/>
      <c r="C40" s="527"/>
      <c r="D40" s="54"/>
      <c r="E40" s="34"/>
      <c r="F40" s="34"/>
      <c r="G40" s="34"/>
      <c r="H40" s="34"/>
      <c r="I40" s="34"/>
      <c r="J40" s="35"/>
      <c r="K40" s="533"/>
      <c r="L40" s="668">
        <f t="shared" si="2"/>
        <v>0</v>
      </c>
      <c r="M40" s="669"/>
      <c r="N40" s="178"/>
      <c r="O40" s="71"/>
    </row>
    <row r="41" spans="1:15" x14ac:dyDescent="0.3">
      <c r="A41" s="71"/>
      <c r="B41" s="166"/>
      <c r="C41" s="527"/>
      <c r="D41" s="54"/>
      <c r="E41" s="34"/>
      <c r="F41" s="34"/>
      <c r="G41" s="34"/>
      <c r="H41" s="34"/>
      <c r="I41" s="34"/>
      <c r="J41" s="35"/>
      <c r="K41" s="533"/>
      <c r="L41" s="668">
        <f t="shared" si="2"/>
        <v>0</v>
      </c>
      <c r="M41" s="669"/>
      <c r="N41" s="178"/>
      <c r="O41" s="71"/>
    </row>
    <row r="42" spans="1:15" x14ac:dyDescent="0.3">
      <c r="A42" s="71"/>
      <c r="B42" s="166"/>
      <c r="C42" s="527"/>
      <c r="D42" s="33"/>
      <c r="E42" s="34"/>
      <c r="F42" s="34"/>
      <c r="G42" s="34"/>
      <c r="H42" s="34"/>
      <c r="I42" s="34"/>
      <c r="J42" s="35"/>
      <c r="K42" s="533"/>
      <c r="L42" s="668">
        <f t="shared" si="2"/>
        <v>0</v>
      </c>
      <c r="M42" s="669"/>
      <c r="N42" s="178"/>
      <c r="O42" s="71"/>
    </row>
    <row r="43" spans="1:15" x14ac:dyDescent="0.3">
      <c r="A43" s="71"/>
      <c r="B43" s="166"/>
      <c r="C43" s="527"/>
      <c r="D43" s="33"/>
      <c r="E43" s="34"/>
      <c r="F43" s="34"/>
      <c r="G43" s="34"/>
      <c r="H43" s="34"/>
      <c r="I43" s="34"/>
      <c r="J43" s="35"/>
      <c r="K43" s="533"/>
      <c r="L43" s="668">
        <f t="shared" si="2"/>
        <v>0</v>
      </c>
      <c r="M43" s="669"/>
      <c r="N43" s="178"/>
      <c r="O43" s="71"/>
    </row>
    <row r="44" spans="1:15" x14ac:dyDescent="0.3">
      <c r="A44" s="71"/>
      <c r="B44" s="166"/>
      <c r="C44" s="527"/>
      <c r="D44" s="33"/>
      <c r="E44" s="34"/>
      <c r="F44" s="34"/>
      <c r="G44" s="34"/>
      <c r="H44" s="34"/>
      <c r="I44" s="34"/>
      <c r="J44" s="35"/>
      <c r="K44" s="533"/>
      <c r="L44" s="668">
        <f t="shared" si="2"/>
        <v>0</v>
      </c>
      <c r="M44" s="669"/>
      <c r="N44" s="178"/>
      <c r="O44" s="71"/>
    </row>
    <row r="45" spans="1:15" x14ac:dyDescent="0.3">
      <c r="A45" s="71"/>
      <c r="B45" s="166"/>
      <c r="C45" s="527"/>
      <c r="D45" s="33"/>
      <c r="E45" s="34"/>
      <c r="F45" s="34"/>
      <c r="G45" s="34"/>
      <c r="H45" s="34"/>
      <c r="I45" s="34"/>
      <c r="J45" s="35"/>
      <c r="K45" s="533"/>
      <c r="L45" s="668">
        <f t="shared" si="2"/>
        <v>0</v>
      </c>
      <c r="M45" s="669"/>
      <c r="N45" s="178"/>
      <c r="O45" s="71"/>
    </row>
    <row r="46" spans="1:15" x14ac:dyDescent="0.3">
      <c r="A46" s="71"/>
      <c r="B46" s="166"/>
      <c r="C46" s="527"/>
      <c r="D46" s="33"/>
      <c r="E46" s="34"/>
      <c r="F46" s="34"/>
      <c r="G46" s="34"/>
      <c r="H46" s="34"/>
      <c r="I46" s="34"/>
      <c r="J46" s="35"/>
      <c r="K46" s="533"/>
      <c r="L46" s="668">
        <f t="shared" si="2"/>
        <v>0</v>
      </c>
      <c r="M46" s="669"/>
      <c r="N46" s="178"/>
      <c r="O46" s="71"/>
    </row>
    <row r="47" spans="1:15" x14ac:dyDescent="0.3">
      <c r="A47" s="71"/>
      <c r="B47" s="166"/>
      <c r="C47" s="527"/>
      <c r="D47" s="33"/>
      <c r="E47" s="34"/>
      <c r="F47" s="34"/>
      <c r="G47" s="34"/>
      <c r="H47" s="34"/>
      <c r="I47" s="34"/>
      <c r="J47" s="35"/>
      <c r="K47" s="533"/>
      <c r="L47" s="668">
        <f t="shared" si="2"/>
        <v>0</v>
      </c>
      <c r="M47" s="669"/>
      <c r="N47" s="178"/>
      <c r="O47" s="71"/>
    </row>
    <row r="48" spans="1:15" x14ac:dyDescent="0.3">
      <c r="A48" s="71"/>
      <c r="B48" s="166"/>
      <c r="C48" s="183"/>
      <c r="D48" s="681" t="s">
        <v>10</v>
      </c>
      <c r="E48" s="682"/>
      <c r="F48" s="682"/>
      <c r="G48" s="682"/>
      <c r="H48" s="682"/>
      <c r="I48" s="682"/>
      <c r="J48" s="682"/>
      <c r="K48" s="683"/>
      <c r="L48" s="686">
        <f>(SUM(L10:M47)*0.0625)</f>
        <v>0</v>
      </c>
      <c r="M48" s="686"/>
      <c r="N48" s="178"/>
      <c r="O48" s="71"/>
    </row>
    <row r="49" spans="1:15" x14ac:dyDescent="0.3">
      <c r="A49" s="71"/>
      <c r="B49" s="166"/>
      <c r="C49" s="183"/>
      <c r="D49" s="681" t="s">
        <v>1</v>
      </c>
      <c r="E49" s="682"/>
      <c r="F49" s="682"/>
      <c r="G49" s="682"/>
      <c r="H49" s="682"/>
      <c r="I49" s="682"/>
      <c r="J49" s="682"/>
      <c r="K49" s="683"/>
      <c r="L49" s="684">
        <f>SUM(L10:M48)</f>
        <v>0</v>
      </c>
      <c r="M49" s="684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6">
    <mergeCell ref="D49:K49"/>
    <mergeCell ref="L49:M49"/>
    <mergeCell ref="L39:M39"/>
    <mergeCell ref="L40:M40"/>
    <mergeCell ref="L41:M41"/>
    <mergeCell ref="L42:M42"/>
    <mergeCell ref="L43:M43"/>
    <mergeCell ref="L44:M44"/>
    <mergeCell ref="L45:M45"/>
    <mergeCell ref="L46:M46"/>
    <mergeCell ref="L47:M47"/>
    <mergeCell ref="D48:K48"/>
    <mergeCell ref="L48:M48"/>
    <mergeCell ref="L38:M38"/>
    <mergeCell ref="L26:M26"/>
    <mergeCell ref="L27:M27"/>
    <mergeCell ref="L28:M28"/>
    <mergeCell ref="L29:M29"/>
    <mergeCell ref="L30:M30"/>
    <mergeCell ref="L31:M31"/>
    <mergeCell ref="L33:M33"/>
    <mergeCell ref="L34:M34"/>
    <mergeCell ref="L35:M35"/>
    <mergeCell ref="L36:M36"/>
    <mergeCell ref="L37:M37"/>
    <mergeCell ref="L25:M25"/>
    <mergeCell ref="L15:M15"/>
    <mergeCell ref="L16:M16"/>
    <mergeCell ref="D17:J17"/>
    <mergeCell ref="L17:M17"/>
    <mergeCell ref="L18:M18"/>
    <mergeCell ref="L19:M19"/>
    <mergeCell ref="L20:M20"/>
    <mergeCell ref="L21:M21"/>
    <mergeCell ref="L22:M22"/>
    <mergeCell ref="L23:M23"/>
    <mergeCell ref="L24:M24"/>
    <mergeCell ref="D14:J14"/>
    <mergeCell ref="L14:M14"/>
    <mergeCell ref="E7:G7"/>
    <mergeCell ref="C8:M8"/>
    <mergeCell ref="D9:J9"/>
    <mergeCell ref="L9:M9"/>
    <mergeCell ref="D10:J10"/>
    <mergeCell ref="L10:M10"/>
    <mergeCell ref="D11:J11"/>
    <mergeCell ref="L11:M11"/>
    <mergeCell ref="L12:M12"/>
    <mergeCell ref="D13:J13"/>
    <mergeCell ref="L13:M13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D314C-25D6-4473-AE3F-EEA43D7EAA44}">
  <sheetPr codeName="Sheet51">
    <tabColor rgb="FF7030A0"/>
    <pageSetUpPr fitToPage="1"/>
  </sheetPr>
  <dimension ref="A1:O67"/>
  <sheetViews>
    <sheetView showGridLines="0" showZeros="0" view="pageBreakPreview" zoomScaleNormal="100" zoomScaleSheetLayoutView="100" workbookViewId="0">
      <selection activeCell="D12" sqref="D12:K25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3.3984375" style="2" bestFit="1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1183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1183</v>
      </c>
      <c r="E11" s="679"/>
      <c r="F11" s="679"/>
      <c r="G11" s="679"/>
      <c r="H11" s="679"/>
      <c r="I11" s="679"/>
      <c r="J11" s="680"/>
      <c r="K11" s="429"/>
      <c r="L11" s="668">
        <f t="shared" ref="L11" si="0">K11*C11</f>
        <v>0</v>
      </c>
      <c r="M11" s="669"/>
      <c r="N11" s="178"/>
      <c r="O11" s="71"/>
    </row>
    <row r="12" spans="1:15" x14ac:dyDescent="0.3">
      <c r="A12" s="71"/>
      <c r="B12" s="166"/>
      <c r="C12" s="425">
        <f>ROUNDUP(Formulas!C138,)</f>
        <v>0</v>
      </c>
      <c r="D12" s="365" t="s">
        <v>1360</v>
      </c>
      <c r="E12" s="355"/>
      <c r="F12" s="355"/>
      <c r="G12" s="355"/>
      <c r="H12" s="355"/>
      <c r="I12" s="355"/>
      <c r="J12" s="421"/>
      <c r="K12" s="429">
        <f>'Material Price'!J331</f>
        <v>45.22</v>
      </c>
      <c r="L12" s="668">
        <f>K12*C12</f>
        <v>0</v>
      </c>
      <c r="M12" s="669"/>
      <c r="N12" s="178"/>
      <c r="O12" s="71"/>
    </row>
    <row r="13" spans="1:15" x14ac:dyDescent="0.3">
      <c r="A13" s="71"/>
      <c r="B13" s="166"/>
      <c r="C13" s="425">
        <f>ROUNDUP(Formulas!C144/1,0)</f>
        <v>0</v>
      </c>
      <c r="D13" s="560" t="s">
        <v>1361</v>
      </c>
      <c r="E13" s="561"/>
      <c r="F13" s="561"/>
      <c r="G13" s="561"/>
      <c r="H13" s="561"/>
      <c r="I13" s="561"/>
      <c r="J13" s="562"/>
      <c r="K13" s="429">
        <f>'Material Price'!J335</f>
        <v>57</v>
      </c>
      <c r="L13" s="668">
        <f t="shared" ref="L13:L37" si="1">K13*C13</f>
        <v>0</v>
      </c>
      <c r="M13" s="669"/>
      <c r="N13" s="178"/>
      <c r="O13" s="71"/>
    </row>
    <row r="14" spans="1:15" x14ac:dyDescent="0.3">
      <c r="A14" s="71"/>
      <c r="B14" s="166"/>
      <c r="C14" s="394">
        <f>ROUNDUP(Formulas!C140+Formulas!C139+Formulas!H140+Formulas!H141+Formulas!H142,0)</f>
        <v>0</v>
      </c>
      <c r="D14" s="566" t="s">
        <v>1362</v>
      </c>
      <c r="E14" s="567"/>
      <c r="F14" s="567"/>
      <c r="G14" s="567"/>
      <c r="H14" s="567"/>
      <c r="I14" s="567"/>
      <c r="J14" s="568"/>
      <c r="K14" s="429">
        <f>'Material Price'!J332</f>
        <v>73</v>
      </c>
      <c r="L14" s="668">
        <f t="shared" si="1"/>
        <v>0</v>
      </c>
      <c r="M14" s="669"/>
      <c r="N14" s="178"/>
      <c r="O14" s="71"/>
    </row>
    <row r="15" spans="1:15" x14ac:dyDescent="0.3">
      <c r="A15" s="71"/>
      <c r="B15" s="166"/>
      <c r="C15" s="394">
        <f>ROUNDUP(Formulas!C141,0)</f>
        <v>0</v>
      </c>
      <c r="D15" s="217" t="s">
        <v>1363</v>
      </c>
      <c r="E15" s="218"/>
      <c r="F15" s="218"/>
      <c r="G15" s="218"/>
      <c r="H15" s="218"/>
      <c r="I15" s="218"/>
      <c r="J15" s="219"/>
      <c r="K15" s="429">
        <f>'Material Price'!J333</f>
        <v>90</v>
      </c>
      <c r="L15" s="668">
        <f t="shared" si="1"/>
        <v>0</v>
      </c>
      <c r="M15" s="669"/>
      <c r="N15" s="178"/>
      <c r="O15" s="71"/>
    </row>
    <row r="16" spans="1:15" x14ac:dyDescent="0.3">
      <c r="A16" s="71"/>
      <c r="B16" s="166"/>
      <c r="C16" s="394">
        <f>ROUNDUP((Formulas!C142+Formulas!C143)/18,0)</f>
        <v>0</v>
      </c>
      <c r="D16" s="217" t="s">
        <v>1364</v>
      </c>
      <c r="E16" s="218"/>
      <c r="F16" s="218"/>
      <c r="G16" s="218"/>
      <c r="H16" s="218"/>
      <c r="I16" s="218"/>
      <c r="J16" s="219"/>
      <c r="K16" s="429">
        <f>'Material Price'!J334</f>
        <v>123</v>
      </c>
      <c r="L16" s="668">
        <f t="shared" si="1"/>
        <v>0</v>
      </c>
      <c r="M16" s="669"/>
      <c r="N16" s="178"/>
      <c r="O16" s="71"/>
    </row>
    <row r="17" spans="1:15" x14ac:dyDescent="0.3">
      <c r="A17" s="71"/>
      <c r="B17" s="166"/>
      <c r="C17" s="394">
        <f>Formulas!H139</f>
        <v>0</v>
      </c>
      <c r="D17" s="566" t="s">
        <v>1365</v>
      </c>
      <c r="E17" s="567"/>
      <c r="F17" s="567"/>
      <c r="G17" s="567"/>
      <c r="H17" s="567"/>
      <c r="I17" s="567"/>
      <c r="J17" s="568"/>
      <c r="K17" s="429">
        <f>'Material Price'!J330</f>
        <v>36.630000000000003</v>
      </c>
      <c r="L17" s="668">
        <f t="shared" si="1"/>
        <v>0</v>
      </c>
      <c r="M17" s="669"/>
      <c r="N17" s="178"/>
      <c r="O17" s="71"/>
    </row>
    <row r="18" spans="1:15" x14ac:dyDescent="0.3">
      <c r="A18" s="71"/>
      <c r="B18" s="166"/>
      <c r="C18" s="394">
        <f>ROUNDUP((Formulas!C145+Formulas!H145)/75,0)</f>
        <v>0</v>
      </c>
      <c r="D18" s="364" t="s">
        <v>1190</v>
      </c>
      <c r="E18" s="218"/>
      <c r="F18" s="218"/>
      <c r="G18" s="218"/>
      <c r="H18" s="218"/>
      <c r="I18" s="218"/>
      <c r="J18" s="219"/>
      <c r="K18" s="429">
        <f>'Material Price'!J134</f>
        <v>35</v>
      </c>
      <c r="L18" s="668">
        <f t="shared" si="1"/>
        <v>0</v>
      </c>
      <c r="M18" s="669"/>
      <c r="N18" s="178"/>
      <c r="O18" s="71"/>
    </row>
    <row r="19" spans="1:15" x14ac:dyDescent="0.3">
      <c r="A19" s="71"/>
      <c r="B19" s="166"/>
      <c r="C19" s="394">
        <f>Formulas!D130</f>
        <v>0</v>
      </c>
      <c r="D19" s="364" t="s">
        <v>1193</v>
      </c>
      <c r="E19" s="218"/>
      <c r="F19" s="218"/>
      <c r="G19" s="218"/>
      <c r="H19" s="218"/>
      <c r="I19" s="218"/>
      <c r="J19" s="219"/>
      <c r="K19" s="429">
        <f>'Material Price'!J336</f>
        <v>30</v>
      </c>
      <c r="L19" s="668">
        <f t="shared" si="1"/>
        <v>0</v>
      </c>
      <c r="M19" s="669"/>
      <c r="N19" s="178"/>
      <c r="O19" s="71"/>
    </row>
    <row r="20" spans="1:15" x14ac:dyDescent="0.3">
      <c r="A20" s="71"/>
      <c r="B20" s="166"/>
      <c r="C20" s="394">
        <f>Formulas!D131</f>
        <v>0</v>
      </c>
      <c r="D20" s="217" t="s">
        <v>1194</v>
      </c>
      <c r="E20" s="345"/>
      <c r="F20" s="345"/>
      <c r="G20" s="345"/>
      <c r="H20" s="345"/>
      <c r="I20" s="345"/>
      <c r="J20" s="353"/>
      <c r="K20" s="429">
        <f>'Material Price'!J337</f>
        <v>40</v>
      </c>
      <c r="L20" s="668">
        <f t="shared" si="1"/>
        <v>0</v>
      </c>
      <c r="M20" s="669"/>
      <c r="N20" s="178"/>
      <c r="O20" s="71"/>
    </row>
    <row r="21" spans="1:15" x14ac:dyDescent="0.3">
      <c r="A21" s="71"/>
      <c r="B21" s="166"/>
      <c r="C21" s="394">
        <f>ROUNDUP(Formulas!H135/12,0)</f>
        <v>0</v>
      </c>
      <c r="D21" s="364" t="s">
        <v>1203</v>
      </c>
      <c r="E21" s="218"/>
      <c r="F21" s="218"/>
      <c r="G21" s="218"/>
      <c r="H21" s="218"/>
      <c r="I21" s="218"/>
      <c r="J21" s="324"/>
      <c r="K21" s="429">
        <f>'Material Price'!J338</f>
        <v>10</v>
      </c>
      <c r="L21" s="668">
        <f t="shared" si="1"/>
        <v>0</v>
      </c>
      <c r="M21" s="669"/>
      <c r="N21" s="178"/>
      <c r="O21" s="71"/>
    </row>
    <row r="22" spans="1:15" x14ac:dyDescent="0.3">
      <c r="A22" s="71"/>
      <c r="B22" s="166"/>
      <c r="C22" s="425">
        <f>Formulas!H144</f>
        <v>0</v>
      </c>
      <c r="D22" s="217" t="s">
        <v>1372</v>
      </c>
      <c r="E22" s="218"/>
      <c r="F22" s="218"/>
      <c r="G22" s="218"/>
      <c r="H22" s="218"/>
      <c r="I22" s="218"/>
      <c r="J22" s="324"/>
      <c r="K22" s="429">
        <f>'Material Price'!J339</f>
        <v>2.35</v>
      </c>
      <c r="L22" s="668">
        <f t="shared" si="1"/>
        <v>0</v>
      </c>
      <c r="M22" s="669"/>
      <c r="N22" s="178"/>
      <c r="O22" s="71"/>
    </row>
    <row r="23" spans="1:15" x14ac:dyDescent="0.3">
      <c r="A23" s="71"/>
      <c r="B23" s="166"/>
      <c r="C23" s="394">
        <f>ROUNDUP(C18/1000,0)</f>
        <v>0</v>
      </c>
      <c r="D23" s="289" t="s">
        <v>1208</v>
      </c>
      <c r="E23" s="218"/>
      <c r="F23" s="218"/>
      <c r="G23" s="218"/>
      <c r="H23" s="218"/>
      <c r="I23" s="218"/>
      <c r="J23" s="324"/>
      <c r="K23" s="429">
        <f>'Material Price'!J340</f>
        <v>21</v>
      </c>
      <c r="L23" s="668">
        <f t="shared" si="1"/>
        <v>0</v>
      </c>
      <c r="M23" s="669"/>
      <c r="N23" s="178"/>
      <c r="O23" s="71"/>
    </row>
    <row r="24" spans="1:15" x14ac:dyDescent="0.3">
      <c r="A24" s="71"/>
      <c r="B24" s="166"/>
      <c r="C24" s="394">
        <f>Formulas!H143</f>
        <v>0</v>
      </c>
      <c r="D24" s="364" t="s">
        <v>1213</v>
      </c>
      <c r="E24" s="218"/>
      <c r="F24" s="218"/>
      <c r="G24" s="218"/>
      <c r="H24" s="218"/>
      <c r="I24" s="218"/>
      <c r="J24" s="324"/>
      <c r="K24" s="429">
        <f>'Material Price'!J341</f>
        <v>25</v>
      </c>
      <c r="L24" s="668">
        <f t="shared" si="1"/>
        <v>0</v>
      </c>
      <c r="M24" s="669"/>
      <c r="N24" s="178"/>
      <c r="O24" s="71"/>
    </row>
    <row r="25" spans="1:15" x14ac:dyDescent="0.3">
      <c r="A25" s="71"/>
      <c r="B25" s="166"/>
      <c r="C25" s="394">
        <f>ROUNDUP((C24+C22)/1000,0)</f>
        <v>0</v>
      </c>
      <c r="D25" s="217" t="s">
        <v>1216</v>
      </c>
      <c r="E25" s="218"/>
      <c r="F25" s="218"/>
      <c r="G25" s="218"/>
      <c r="H25" s="218"/>
      <c r="I25" s="218"/>
      <c r="J25" s="324"/>
      <c r="K25" s="445">
        <f>'Material Price'!J131</f>
        <v>18</v>
      </c>
      <c r="L25" s="668">
        <f t="shared" si="1"/>
        <v>0</v>
      </c>
      <c r="M25" s="669"/>
      <c r="N25" s="178"/>
      <c r="O25" s="71"/>
    </row>
    <row r="26" spans="1:15" x14ac:dyDescent="0.3">
      <c r="A26" s="71"/>
      <c r="B26" s="166"/>
      <c r="C26" s="537"/>
      <c r="D26" s="54"/>
      <c r="E26" s="55"/>
      <c r="F26" s="55"/>
      <c r="G26" s="55"/>
      <c r="H26" s="55"/>
      <c r="I26" s="55"/>
      <c r="J26" s="541"/>
      <c r="K26" s="543"/>
      <c r="L26" s="668">
        <f t="shared" si="1"/>
        <v>0</v>
      </c>
      <c r="M26" s="669"/>
      <c r="N26" s="178"/>
      <c r="O26" s="71"/>
    </row>
    <row r="27" spans="1:15" x14ac:dyDescent="0.3">
      <c r="A27" s="71"/>
      <c r="B27" s="166"/>
      <c r="C27" s="537"/>
      <c r="D27" s="54"/>
      <c r="E27" s="55"/>
      <c r="F27" s="55"/>
      <c r="G27" s="55"/>
      <c r="H27" s="55"/>
      <c r="I27" s="55"/>
      <c r="J27" s="541"/>
      <c r="K27" s="538"/>
      <c r="L27" s="668">
        <f t="shared" ref="L27:L28" si="2">K27*C27</f>
        <v>0</v>
      </c>
      <c r="M27" s="669"/>
      <c r="N27" s="178"/>
      <c r="O27" s="71"/>
    </row>
    <row r="28" spans="1:15" x14ac:dyDescent="0.3">
      <c r="A28" s="71"/>
      <c r="B28" s="166"/>
      <c r="C28" s="537"/>
      <c r="D28" s="54"/>
      <c r="E28" s="55"/>
      <c r="F28" s="55"/>
      <c r="G28" s="55"/>
      <c r="H28" s="55"/>
      <c r="I28" s="55"/>
      <c r="J28" s="541"/>
      <c r="K28" s="538"/>
      <c r="L28" s="668">
        <f t="shared" si="2"/>
        <v>0</v>
      </c>
      <c r="M28" s="669"/>
      <c r="N28" s="178"/>
      <c r="O28" s="71"/>
    </row>
    <row r="29" spans="1:15" x14ac:dyDescent="0.3">
      <c r="A29" s="71"/>
      <c r="B29" s="166"/>
      <c r="C29" s="537"/>
      <c r="D29" s="54"/>
      <c r="E29" s="55"/>
      <c r="F29" s="55"/>
      <c r="G29" s="55"/>
      <c r="H29" s="55"/>
      <c r="I29" s="55"/>
      <c r="J29" s="541"/>
      <c r="K29" s="538"/>
      <c r="L29" s="668">
        <f t="shared" si="1"/>
        <v>0</v>
      </c>
      <c r="M29" s="669"/>
      <c r="N29" s="178"/>
      <c r="O29" s="71"/>
    </row>
    <row r="30" spans="1:15" x14ac:dyDescent="0.3">
      <c r="A30" s="71"/>
      <c r="B30" s="166"/>
      <c r="C30" s="537"/>
      <c r="D30" s="54"/>
      <c r="E30" s="55"/>
      <c r="F30" s="55"/>
      <c r="G30" s="55"/>
      <c r="H30" s="55"/>
      <c r="I30" s="55"/>
      <c r="J30" s="541"/>
      <c r="K30" s="538"/>
      <c r="L30" s="668">
        <f t="shared" si="1"/>
        <v>0</v>
      </c>
      <c r="M30" s="669"/>
      <c r="N30" s="178"/>
      <c r="O30" s="71"/>
    </row>
    <row r="31" spans="1:15" x14ac:dyDescent="0.3">
      <c r="A31" s="71"/>
      <c r="B31" s="166"/>
      <c r="C31" s="537"/>
      <c r="D31" s="536"/>
      <c r="E31" s="55"/>
      <c r="F31" s="55"/>
      <c r="G31" s="55"/>
      <c r="H31" s="55"/>
      <c r="I31" s="55"/>
      <c r="J31" s="541"/>
      <c r="K31" s="538"/>
      <c r="L31" s="668">
        <f t="shared" si="1"/>
        <v>0</v>
      </c>
      <c r="M31" s="669"/>
      <c r="N31" s="178"/>
      <c r="O31" s="71"/>
    </row>
    <row r="32" spans="1:15" x14ac:dyDescent="0.3">
      <c r="A32" s="71"/>
      <c r="B32" s="166"/>
      <c r="C32" s="537"/>
      <c r="D32" s="536"/>
      <c r="E32" s="55"/>
      <c r="F32" s="55"/>
      <c r="G32" s="55"/>
      <c r="H32" s="55"/>
      <c r="I32" s="55"/>
      <c r="J32" s="541"/>
      <c r="K32" s="538"/>
      <c r="L32" s="57"/>
      <c r="M32" s="58"/>
      <c r="N32" s="178"/>
      <c r="O32" s="71"/>
    </row>
    <row r="33" spans="1:15" x14ac:dyDescent="0.3">
      <c r="A33" s="71"/>
      <c r="B33" s="166"/>
      <c r="C33" s="537"/>
      <c r="D33" s="54"/>
      <c r="E33" s="34"/>
      <c r="F33" s="34"/>
      <c r="G33" s="34"/>
      <c r="H33" s="34"/>
      <c r="I33" s="34"/>
      <c r="J33" s="35"/>
      <c r="K33" s="538"/>
      <c r="L33" s="668">
        <f t="shared" si="1"/>
        <v>0</v>
      </c>
      <c r="M33" s="669"/>
      <c r="N33" s="178"/>
      <c r="O33" s="71"/>
    </row>
    <row r="34" spans="1:15" x14ac:dyDescent="0.3">
      <c r="A34" s="71"/>
      <c r="B34" s="166"/>
      <c r="C34" s="537"/>
      <c r="D34" s="54"/>
      <c r="E34" s="34"/>
      <c r="F34" s="34"/>
      <c r="G34" s="34"/>
      <c r="H34" s="34"/>
      <c r="I34" s="34"/>
      <c r="J34" s="35"/>
      <c r="K34" s="538"/>
      <c r="L34" s="668">
        <f t="shared" si="1"/>
        <v>0</v>
      </c>
      <c r="M34" s="669"/>
      <c r="N34" s="178"/>
      <c r="O34" s="71"/>
    </row>
    <row r="35" spans="1:15" x14ac:dyDescent="0.3">
      <c r="A35" s="71"/>
      <c r="B35" s="166"/>
      <c r="C35" s="537"/>
      <c r="D35" s="54"/>
      <c r="E35" s="34"/>
      <c r="F35" s="34"/>
      <c r="G35" s="34"/>
      <c r="H35" s="34"/>
      <c r="I35" s="34"/>
      <c r="J35" s="35"/>
      <c r="K35" s="538"/>
      <c r="L35" s="668">
        <f t="shared" si="1"/>
        <v>0</v>
      </c>
      <c r="M35" s="669"/>
      <c r="N35" s="178"/>
      <c r="O35" s="71"/>
    </row>
    <row r="36" spans="1:15" x14ac:dyDescent="0.3">
      <c r="A36" s="71"/>
      <c r="B36" s="166"/>
      <c r="C36" s="527"/>
      <c r="D36" s="54"/>
      <c r="E36" s="34"/>
      <c r="F36" s="34"/>
      <c r="G36" s="34"/>
      <c r="H36" s="34"/>
      <c r="I36" s="34"/>
      <c r="J36" s="35"/>
      <c r="K36" s="538"/>
      <c r="L36" s="668">
        <f t="shared" si="1"/>
        <v>0</v>
      </c>
      <c r="M36" s="669"/>
      <c r="N36" s="178"/>
      <c r="O36" s="71"/>
    </row>
    <row r="37" spans="1:15" x14ac:dyDescent="0.3">
      <c r="A37" s="71"/>
      <c r="B37" s="166"/>
      <c r="C37" s="527"/>
      <c r="D37" s="54"/>
      <c r="E37" s="34"/>
      <c r="F37" s="34"/>
      <c r="G37" s="34"/>
      <c r="H37" s="34"/>
      <c r="I37" s="34"/>
      <c r="J37" s="35"/>
      <c r="K37" s="538"/>
      <c r="L37" s="668">
        <f t="shared" si="1"/>
        <v>0</v>
      </c>
      <c r="M37" s="669"/>
      <c r="N37" s="178"/>
      <c r="O37" s="71"/>
    </row>
    <row r="38" spans="1:15" x14ac:dyDescent="0.3">
      <c r="A38" s="71"/>
      <c r="B38" s="166"/>
      <c r="C38" s="527"/>
      <c r="D38" s="54"/>
      <c r="E38" s="34"/>
      <c r="F38" s="34"/>
      <c r="G38" s="34"/>
      <c r="H38" s="34"/>
      <c r="I38" s="34"/>
      <c r="J38" s="35"/>
      <c r="K38" s="533"/>
      <c r="L38" s="668">
        <f>K38*C38</f>
        <v>0</v>
      </c>
      <c r="M38" s="669"/>
      <c r="N38" s="178"/>
      <c r="O38" s="71"/>
    </row>
    <row r="39" spans="1:15" x14ac:dyDescent="0.3">
      <c r="A39" s="71"/>
      <c r="B39" s="166"/>
      <c r="C39" s="527"/>
      <c r="D39" s="54"/>
      <c r="E39" s="34"/>
      <c r="F39" s="34"/>
      <c r="G39" s="34"/>
      <c r="H39" s="34"/>
      <c r="I39" s="34"/>
      <c r="J39" s="35"/>
      <c r="K39" s="533"/>
      <c r="L39" s="668">
        <f t="shared" ref="L39:L47" si="3">K39*C39</f>
        <v>0</v>
      </c>
      <c r="M39" s="669"/>
      <c r="N39" s="178"/>
      <c r="O39" s="71"/>
    </row>
    <row r="40" spans="1:15" x14ac:dyDescent="0.3">
      <c r="A40" s="71"/>
      <c r="B40" s="166"/>
      <c r="C40" s="527"/>
      <c r="D40" s="54"/>
      <c r="E40" s="34"/>
      <c r="F40" s="34"/>
      <c r="G40" s="34"/>
      <c r="H40" s="34"/>
      <c r="I40" s="34"/>
      <c r="J40" s="35"/>
      <c r="K40" s="533"/>
      <c r="L40" s="668">
        <f t="shared" si="3"/>
        <v>0</v>
      </c>
      <c r="M40" s="669"/>
      <c r="N40" s="178"/>
      <c r="O40" s="71"/>
    </row>
    <row r="41" spans="1:15" x14ac:dyDescent="0.3">
      <c r="A41" s="71"/>
      <c r="B41" s="166"/>
      <c r="C41" s="527"/>
      <c r="D41" s="54"/>
      <c r="E41" s="34"/>
      <c r="F41" s="34"/>
      <c r="G41" s="34"/>
      <c r="H41" s="34"/>
      <c r="I41" s="34"/>
      <c r="J41" s="35"/>
      <c r="K41" s="533"/>
      <c r="L41" s="668">
        <f t="shared" si="3"/>
        <v>0</v>
      </c>
      <c r="M41" s="669"/>
      <c r="N41" s="178"/>
      <c r="O41" s="71"/>
    </row>
    <row r="42" spans="1:15" x14ac:dyDescent="0.3">
      <c r="A42" s="71"/>
      <c r="B42" s="166"/>
      <c r="C42" s="527"/>
      <c r="D42" s="33"/>
      <c r="E42" s="34"/>
      <c r="F42" s="34"/>
      <c r="G42" s="34"/>
      <c r="H42" s="34"/>
      <c r="I42" s="34"/>
      <c r="J42" s="35"/>
      <c r="K42" s="533"/>
      <c r="L42" s="668">
        <f t="shared" si="3"/>
        <v>0</v>
      </c>
      <c r="M42" s="669"/>
      <c r="N42" s="178"/>
      <c r="O42" s="71"/>
    </row>
    <row r="43" spans="1:15" x14ac:dyDescent="0.3">
      <c r="A43" s="71"/>
      <c r="B43" s="166"/>
      <c r="C43" s="527"/>
      <c r="D43" s="33"/>
      <c r="E43" s="34"/>
      <c r="F43" s="34"/>
      <c r="G43" s="34"/>
      <c r="H43" s="34"/>
      <c r="I43" s="34"/>
      <c r="J43" s="35"/>
      <c r="K43" s="533"/>
      <c r="L43" s="668">
        <f t="shared" si="3"/>
        <v>0</v>
      </c>
      <c r="M43" s="669"/>
      <c r="N43" s="178"/>
      <c r="O43" s="71"/>
    </row>
    <row r="44" spans="1:15" x14ac:dyDescent="0.3">
      <c r="A44" s="71"/>
      <c r="B44" s="166"/>
      <c r="C44" s="527"/>
      <c r="D44" s="33"/>
      <c r="E44" s="34"/>
      <c r="F44" s="34"/>
      <c r="G44" s="34"/>
      <c r="H44" s="34"/>
      <c r="I44" s="34"/>
      <c r="J44" s="35"/>
      <c r="K44" s="533"/>
      <c r="L44" s="668">
        <f t="shared" si="3"/>
        <v>0</v>
      </c>
      <c r="M44" s="669"/>
      <c r="N44" s="178"/>
      <c r="O44" s="71"/>
    </row>
    <row r="45" spans="1:15" x14ac:dyDescent="0.3">
      <c r="A45" s="71"/>
      <c r="B45" s="166"/>
      <c r="C45" s="527"/>
      <c r="D45" s="33"/>
      <c r="E45" s="34"/>
      <c r="F45" s="34"/>
      <c r="G45" s="34"/>
      <c r="H45" s="34"/>
      <c r="I45" s="34"/>
      <c r="J45" s="35"/>
      <c r="K45" s="533"/>
      <c r="L45" s="668">
        <f t="shared" si="3"/>
        <v>0</v>
      </c>
      <c r="M45" s="669"/>
      <c r="N45" s="178"/>
      <c r="O45" s="71"/>
    </row>
    <row r="46" spans="1:15" x14ac:dyDescent="0.3">
      <c r="A46" s="71"/>
      <c r="B46" s="166"/>
      <c r="C46" s="527"/>
      <c r="D46" s="33"/>
      <c r="E46" s="34"/>
      <c r="F46" s="34"/>
      <c r="G46" s="34"/>
      <c r="H46" s="34"/>
      <c r="I46" s="34"/>
      <c r="J46" s="35"/>
      <c r="K46" s="533"/>
      <c r="L46" s="668">
        <f t="shared" si="3"/>
        <v>0</v>
      </c>
      <c r="M46" s="669"/>
      <c r="N46" s="178"/>
      <c r="O46" s="71"/>
    </row>
    <row r="47" spans="1:15" x14ac:dyDescent="0.3">
      <c r="A47" s="71"/>
      <c r="B47" s="166"/>
      <c r="C47" s="527"/>
      <c r="D47" s="33"/>
      <c r="E47" s="34"/>
      <c r="F47" s="34"/>
      <c r="G47" s="34"/>
      <c r="H47" s="34"/>
      <c r="I47" s="34"/>
      <c r="J47" s="35"/>
      <c r="K47" s="533"/>
      <c r="L47" s="668">
        <f t="shared" si="3"/>
        <v>0</v>
      </c>
      <c r="M47" s="669"/>
      <c r="N47" s="178"/>
      <c r="O47" s="71"/>
    </row>
    <row r="48" spans="1:15" x14ac:dyDescent="0.3">
      <c r="A48" s="71"/>
      <c r="B48" s="166"/>
      <c r="C48" s="183"/>
      <c r="D48" s="681" t="s">
        <v>10</v>
      </c>
      <c r="E48" s="682"/>
      <c r="F48" s="682"/>
      <c r="G48" s="682"/>
      <c r="H48" s="682"/>
      <c r="I48" s="682"/>
      <c r="J48" s="682"/>
      <c r="K48" s="683"/>
      <c r="L48" s="686">
        <f>(SUM(L10:M47)*0.0625)</f>
        <v>0</v>
      </c>
      <c r="M48" s="686"/>
      <c r="N48" s="178"/>
      <c r="O48" s="71"/>
    </row>
    <row r="49" spans="1:15" x14ac:dyDescent="0.3">
      <c r="A49" s="71"/>
      <c r="B49" s="166"/>
      <c r="C49" s="183"/>
      <c r="D49" s="681" t="s">
        <v>1</v>
      </c>
      <c r="E49" s="682"/>
      <c r="F49" s="682"/>
      <c r="G49" s="682"/>
      <c r="H49" s="682"/>
      <c r="I49" s="682"/>
      <c r="J49" s="682"/>
      <c r="K49" s="683"/>
      <c r="L49" s="684">
        <f>SUM(L10:M48)</f>
        <v>0</v>
      </c>
      <c r="M49" s="684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6">
    <mergeCell ref="L46:M46"/>
    <mergeCell ref="L47:M47"/>
    <mergeCell ref="D48:K48"/>
    <mergeCell ref="L48:M48"/>
    <mergeCell ref="D49:K49"/>
    <mergeCell ref="L49:M49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27:M27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E7:G7"/>
    <mergeCell ref="C8:M8"/>
    <mergeCell ref="D9:J9"/>
    <mergeCell ref="L9:M9"/>
    <mergeCell ref="D10:J10"/>
    <mergeCell ref="L10:M10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83AD37-BB9C-4B86-ABF2-3B27FC20C068}">
  <dimension ref="A1:T27"/>
  <sheetViews>
    <sheetView workbookViewId="0">
      <selection activeCell="T27" sqref="T27"/>
    </sheetView>
  </sheetViews>
  <sheetFormatPr baseColWidth="10" defaultColWidth="9" defaultRowHeight="16" x14ac:dyDescent="0.2"/>
  <cols>
    <col min="1" max="1" width="43.796875" bestFit="1" customWidth="1"/>
    <col min="3" max="3" width="9.19921875" customWidth="1"/>
    <col min="4" max="4" width="13.3984375" customWidth="1"/>
    <col min="12" max="12" width="16.796875" customWidth="1"/>
    <col min="14" max="14" width="22.19921875" bestFit="1" customWidth="1"/>
    <col min="15" max="15" width="10.3984375" customWidth="1"/>
    <col min="20" max="20" width="9.796875" bestFit="1" customWidth="1"/>
  </cols>
  <sheetData>
    <row r="1" spans="1:17" x14ac:dyDescent="0.2">
      <c r="A1" s="791" t="s">
        <v>513</v>
      </c>
      <c r="B1" s="791"/>
      <c r="C1" s="791"/>
      <c r="D1" s="791"/>
      <c r="G1" s="791" t="s">
        <v>1229</v>
      </c>
      <c r="H1" s="791"/>
      <c r="I1" s="791"/>
      <c r="J1" s="791"/>
      <c r="K1" s="791"/>
      <c r="L1" s="791"/>
    </row>
    <row r="2" spans="1:17" x14ac:dyDescent="0.2">
      <c r="A2" t="s">
        <v>1286</v>
      </c>
      <c r="D2" s="269" t="s">
        <v>1228</v>
      </c>
      <c r="K2" s="286" t="s">
        <v>1246</v>
      </c>
      <c r="L2" t="s">
        <v>1228</v>
      </c>
    </row>
    <row r="3" spans="1:17" x14ac:dyDescent="0.2">
      <c r="A3" s="285" t="s">
        <v>1287</v>
      </c>
      <c r="D3" s="128">
        <f>'Pressure Treated Decking Boards'!L49</f>
        <v>794.484375</v>
      </c>
      <c r="E3" s="439"/>
      <c r="G3" s="388"/>
      <c r="H3" s="388"/>
      <c r="I3" s="388"/>
      <c r="J3" s="388"/>
      <c r="K3" s="436" t="s">
        <v>1227</v>
      </c>
      <c r="L3" s="438" cm="1">
        <f t="array" ref="L3:M3">' PT Railings'!L49:M49</f>
        <v>860.625</v>
      </c>
      <c r="M3" s="439">
        <v>0</v>
      </c>
    </row>
    <row r="4" spans="1:17" x14ac:dyDescent="0.2">
      <c r="A4" s="285" t="s">
        <v>1288</v>
      </c>
      <c r="D4" s="128">
        <f>'Trex Select Decking'!L49</f>
        <v>2157.9375</v>
      </c>
      <c r="E4" s="439"/>
      <c r="G4" s="388"/>
      <c r="H4" s="388"/>
      <c r="I4" s="388"/>
      <c r="J4" s="388"/>
      <c r="K4" s="436" t="s">
        <v>1230</v>
      </c>
      <c r="L4" s="438" cm="1">
        <f t="array" ref="L4:M4">'Contemporary Round Alu Ba '!L49:M49</f>
        <v>2674.3125</v>
      </c>
      <c r="M4" s="439">
        <v>0</v>
      </c>
      <c r="Q4" t="s">
        <v>1231</v>
      </c>
    </row>
    <row r="5" spans="1:17" x14ac:dyDescent="0.2">
      <c r="A5" s="285" t="s">
        <v>1289</v>
      </c>
      <c r="D5" s="128">
        <f>'Trex Transcend Decking'!L49</f>
        <v>2875.921875</v>
      </c>
      <c r="E5" s="439"/>
      <c r="G5" s="388"/>
      <c r="H5" s="388"/>
      <c r="I5" s="388"/>
      <c r="J5" s="388"/>
      <c r="K5" s="436" t="s">
        <v>1267</v>
      </c>
      <c r="L5" s="438" cm="1">
        <f t="array" ref="L5:M5">'Contemporary- Square Comp Balus'!L49:M49</f>
        <v>2750.8125</v>
      </c>
      <c r="M5" s="439">
        <v>0</v>
      </c>
      <c r="Q5">
        <f>VLOOKUP(Q4,K3:L12,2,FALSE)</f>
        <v>9573.4437499999985</v>
      </c>
    </row>
    <row r="6" spans="1:17" x14ac:dyDescent="0.2">
      <c r="A6" s="285" t="s">
        <v>1290</v>
      </c>
      <c r="D6" s="128" cm="1">
        <f t="array" ref="D6:E6">'Trex Enhance Natural Decking'!L49:M49</f>
        <v>1741.5065625</v>
      </c>
      <c r="E6" s="439">
        <v>0</v>
      </c>
      <c r="G6" s="388"/>
      <c r="H6" s="388"/>
      <c r="I6" s="388"/>
      <c r="J6" s="388"/>
      <c r="K6" s="436" t="s">
        <v>1231</v>
      </c>
      <c r="L6" s="438" cm="1">
        <f t="array" ref="L6:M6">'Contemporary-Feeney Cablerail'!L49:M49</f>
        <v>9573.4437499999985</v>
      </c>
      <c r="M6" s="439">
        <v>0</v>
      </c>
    </row>
    <row r="7" spans="1:17" x14ac:dyDescent="0.2">
      <c r="A7" s="285" t="s">
        <v>1291</v>
      </c>
      <c r="D7" s="128" cm="1">
        <f t="array" ref="D7:E7">'AZEK Vintage Collection Decking'!L49:M49</f>
        <v>3206.4549999999995</v>
      </c>
      <c r="E7" s="439">
        <v>0</v>
      </c>
      <c r="G7" s="388"/>
      <c r="H7" s="388"/>
      <c r="I7" s="388"/>
      <c r="J7" s="388"/>
      <c r="K7" s="436" t="s">
        <v>1233</v>
      </c>
      <c r="L7" s="438">
        <f>'Premier - Comp Black Balusters'!L49</f>
        <v>2838.0437499999998</v>
      </c>
      <c r="M7" s="439"/>
    </row>
    <row r="8" spans="1:17" x14ac:dyDescent="0.2">
      <c r="A8" s="285" t="s">
        <v>1292</v>
      </c>
      <c r="D8" s="128" cm="1">
        <f t="array" ref="D8:E8">'AZEK Arbor Collection Decking'!L49:M49</f>
        <v>2818.7434374999998</v>
      </c>
      <c r="E8" s="439">
        <v>0</v>
      </c>
      <c r="G8" s="388"/>
      <c r="H8" s="388"/>
      <c r="I8" s="388"/>
      <c r="J8" s="388"/>
      <c r="K8" s="436" t="s">
        <v>1234</v>
      </c>
      <c r="L8" s="438">
        <f>'Premier - Alum Round Balusters'!L49</f>
        <v>3093.0437499999998</v>
      </c>
      <c r="M8" s="439"/>
      <c r="N8" t="s">
        <v>1249</v>
      </c>
      <c r="O8">
        <v>1</v>
      </c>
    </row>
    <row r="9" spans="1:17" x14ac:dyDescent="0.2">
      <c r="A9" s="285" t="s">
        <v>1293</v>
      </c>
      <c r="D9" s="128" cm="1">
        <f t="array" ref="D9:E9">'AZEK Harvest Collection Decking'!L49:M49</f>
        <v>2325.7275</v>
      </c>
      <c r="E9" s="439">
        <v>0</v>
      </c>
      <c r="G9" s="388"/>
      <c r="H9" s="388"/>
      <c r="I9" s="388"/>
      <c r="J9" s="388"/>
      <c r="K9" s="436" t="s">
        <v>1237</v>
      </c>
      <c r="L9" s="438">
        <f>'TimberTech Premier - Feeney'!L51</f>
        <v>9992.1749999999993</v>
      </c>
      <c r="M9" s="439"/>
      <c r="N9" t="s">
        <v>1250</v>
      </c>
      <c r="O9">
        <v>2</v>
      </c>
    </row>
    <row r="10" spans="1:17" x14ac:dyDescent="0.2">
      <c r="A10" s="285" t="s">
        <v>1294</v>
      </c>
      <c r="D10" s="128" cm="1">
        <f t="array" ref="D10:E10">'Timbertech Pro Legacy '!L49:M49</f>
        <v>3359.625</v>
      </c>
      <c r="E10" s="439">
        <v>0</v>
      </c>
      <c r="G10" s="388"/>
      <c r="H10" s="388"/>
      <c r="I10" s="388"/>
      <c r="J10" s="388"/>
      <c r="K10" s="436" t="s">
        <v>1232</v>
      </c>
      <c r="L10" s="438">
        <f>'TimberTech Premier White Balust'!L51</f>
        <v>1678.75</v>
      </c>
      <c r="M10" s="439"/>
      <c r="N10" t="s">
        <v>1251</v>
      </c>
      <c r="O10">
        <v>3</v>
      </c>
    </row>
    <row r="11" spans="1:17" x14ac:dyDescent="0.2">
      <c r="A11" s="285" t="s">
        <v>1295</v>
      </c>
      <c r="D11" s="128" cm="1">
        <f t="array" ref="D11:E11">'Timbertech Pro Reserve '!L49:M49</f>
        <v>2971.9134375000003</v>
      </c>
      <c r="E11" s="439">
        <v>0</v>
      </c>
      <c r="G11" s="388"/>
      <c r="H11" s="388"/>
      <c r="I11" s="388"/>
      <c r="J11" s="388"/>
      <c r="K11" s="436" t="s">
        <v>1236</v>
      </c>
      <c r="L11" s="438">
        <f>'Trex Select Round Bal- Cocktail'!L50</f>
        <v>1850.5562500000001</v>
      </c>
      <c r="M11" s="439"/>
      <c r="N11" t="s">
        <v>1252</v>
      </c>
      <c r="O11">
        <v>4</v>
      </c>
    </row>
    <row r="12" spans="1:17" x14ac:dyDescent="0.2">
      <c r="A12" s="285" t="s">
        <v>1296</v>
      </c>
      <c r="D12" s="128" cm="1">
        <f t="array" ref="D12:E12">'Timbertech Pro Terrain'!L49:M49</f>
        <v>2282.6484375</v>
      </c>
      <c r="E12" s="439">
        <v>0</v>
      </c>
      <c r="G12" s="388"/>
      <c r="H12" s="388"/>
      <c r="I12" s="388"/>
      <c r="J12" s="388"/>
      <c r="K12" s="436" t="s">
        <v>1235</v>
      </c>
      <c r="L12" s="438">
        <f>' RDI Transform Railings'!L51</f>
        <v>2507.5</v>
      </c>
      <c r="M12" s="439"/>
    </row>
    <row r="13" spans="1:17" x14ac:dyDescent="0.2">
      <c r="A13" s="285" t="s">
        <v>1297</v>
      </c>
      <c r="D13" s="128" cm="1">
        <f t="array" ref="D13:E13">'Timbertech Edge Premier'!L49:M49</f>
        <v>2450.1781249999999</v>
      </c>
      <c r="E13" s="439">
        <v>0</v>
      </c>
      <c r="H13" s="388"/>
      <c r="I13" s="388"/>
      <c r="J13" s="388"/>
      <c r="K13" s="436" t="s">
        <v>1387</v>
      </c>
      <c r="L13" s="438">
        <f>' RDI Transform Railings'!L50</f>
        <v>147.5</v>
      </c>
    </row>
    <row r="14" spans="1:17" x14ac:dyDescent="0.2">
      <c r="A14" s="285" t="s">
        <v>1298</v>
      </c>
      <c r="D14" s="128" cm="1">
        <f t="array" ref="D14:E14">'Timbertech Edge Prime+'!L49:M49</f>
        <v>2091.1859374999999</v>
      </c>
      <c r="E14" s="439">
        <v>0</v>
      </c>
      <c r="G14" s="791"/>
      <c r="H14" s="791"/>
      <c r="I14" s="791"/>
      <c r="J14" s="791"/>
      <c r="K14" s="791"/>
    </row>
    <row r="15" spans="1:17" x14ac:dyDescent="0.2">
      <c r="A15" s="285" t="s">
        <v>1299</v>
      </c>
      <c r="D15" s="128" cm="1">
        <f t="array" ref="D15:E15">'Timbertech Edge Prime'!L49:M49</f>
        <v>2091.1859374999999</v>
      </c>
      <c r="E15" s="439">
        <v>0</v>
      </c>
    </row>
    <row r="16" spans="1:17" x14ac:dyDescent="0.2">
      <c r="A16" s="285" t="s">
        <v>1300</v>
      </c>
      <c r="D16" s="128" cm="1">
        <f t="array" ref="D16:E16">'Moistur. Elevate-Premium '!L49:M49</f>
        <v>1895.1812500000001</v>
      </c>
      <c r="E16" s="439">
        <v>0</v>
      </c>
    </row>
    <row r="17" spans="1:20" x14ac:dyDescent="0.2">
      <c r="A17" s="285" t="s">
        <v>1301</v>
      </c>
      <c r="D17" s="128" cm="1">
        <f t="array" ref="D17:E17">'Moistur. Elevate-Original'!L49:M49</f>
        <v>1655.8531250000001</v>
      </c>
      <c r="E17" s="439">
        <v>0</v>
      </c>
      <c r="G17" s="791" t="s">
        <v>1266</v>
      </c>
      <c r="H17" s="791"/>
      <c r="I17" s="791"/>
      <c r="J17" s="791"/>
      <c r="K17" s="791"/>
      <c r="L17" s="791"/>
    </row>
    <row r="18" spans="1:20" ht="24" x14ac:dyDescent="0.3">
      <c r="A18" s="285" t="s">
        <v>1302</v>
      </c>
      <c r="D18" s="128" cm="1">
        <f t="array" ref="D18:E18">'Moistur. Vision Cool'!L49:M49</f>
        <v>2986.421875</v>
      </c>
      <c r="E18" s="439">
        <v>0</v>
      </c>
      <c r="G18" s="792"/>
      <c r="H18" s="792"/>
      <c r="I18" s="792"/>
      <c r="J18" s="792"/>
      <c r="K18" s="792"/>
      <c r="L18" s="128"/>
      <c r="N18" s="286" t="s">
        <v>1268</v>
      </c>
      <c r="O18" t="s">
        <v>1228</v>
      </c>
      <c r="T18" s="152">
        <f>'Material Price'!S89</f>
        <v>0</v>
      </c>
    </row>
    <row r="19" spans="1:20" ht="24" x14ac:dyDescent="0.3">
      <c r="A19" s="285" t="s">
        <v>1303</v>
      </c>
      <c r="D19" s="128" cm="1">
        <f t="array" ref="D19:E19">'Moistur. Vision Non Cool '!L49:M49</f>
        <v>2794.9593749999999</v>
      </c>
      <c r="E19" s="439">
        <v>0</v>
      </c>
      <c r="G19" s="792" t="s">
        <v>1238</v>
      </c>
      <c r="H19" s="792"/>
      <c r="I19" s="792"/>
      <c r="J19" s="792"/>
      <c r="K19" s="792"/>
      <c r="L19" s="441" cm="1">
        <f t="array" ref="L19:M19">'PT Frame Material'!L49:M49</f>
        <v>568.01250000000005</v>
      </c>
      <c r="M19" s="439">
        <v>0</v>
      </c>
      <c r="N19" s="286" t="s">
        <v>1240</v>
      </c>
      <c r="O19" s="128">
        <f>L21</f>
        <v>0</v>
      </c>
      <c r="T19" s="152">
        <f>'Material Price'!S90</f>
        <v>0</v>
      </c>
    </row>
    <row r="20" spans="1:20" ht="24" x14ac:dyDescent="0.3">
      <c r="A20" s="285" t="s">
        <v>1304</v>
      </c>
      <c r="D20" s="128" cm="1">
        <f t="array" ref="D20:E20">'Moistur. Vantage '!L49:M49</f>
        <v>2459.9</v>
      </c>
      <c r="E20" s="439">
        <v>0</v>
      </c>
      <c r="G20" s="792" t="s">
        <v>1239</v>
      </c>
      <c r="H20" s="792"/>
      <c r="I20" s="792"/>
      <c r="J20" s="792"/>
      <c r="K20" s="792"/>
      <c r="L20" s="441" cm="1">
        <f t="array" ref="L20:M20">'Galv. Strap Fastners Footings'!L48:M48</f>
        <v>2393.09</v>
      </c>
      <c r="M20" s="439">
        <v>0</v>
      </c>
      <c r="N20" s="286" t="s">
        <v>1259</v>
      </c>
      <c r="O20" s="128">
        <f>L22</f>
        <v>0</v>
      </c>
      <c r="T20" s="152">
        <f>'Material Price'!S91</f>
        <v>0</v>
      </c>
    </row>
    <row r="21" spans="1:20" ht="24" x14ac:dyDescent="0.3">
      <c r="A21" s="285" t="s">
        <v>1305</v>
      </c>
      <c r="D21" s="128" cm="1">
        <f t="array" ref="D21:E21">'Fiberon Good Life - Weekender'!L49:M49</f>
        <v>1887.690625</v>
      </c>
      <c r="E21" s="439">
        <v>0</v>
      </c>
      <c r="G21" s="792" t="s">
        <v>1240</v>
      </c>
      <c r="H21" s="792"/>
      <c r="I21" s="792"/>
      <c r="J21" s="792"/>
      <c r="K21" s="792"/>
      <c r="L21" s="441" cm="1">
        <f t="array" ref="L21:M21">'PVC - White Finish'!L49:M49</f>
        <v>0</v>
      </c>
      <c r="M21" s="439">
        <v>0</v>
      </c>
      <c r="T21" s="152">
        <f>'Material Price'!S92</f>
        <v>0</v>
      </c>
    </row>
    <row r="22" spans="1:20" ht="24" x14ac:dyDescent="0.3">
      <c r="A22" s="285" t="s">
        <v>1306</v>
      </c>
      <c r="D22" s="128" cm="1">
        <f t="array" ref="D22:E22">'Fiberon Good Life Escapes'!L49:M49</f>
        <v>1887.690625</v>
      </c>
      <c r="E22" s="439">
        <v>0</v>
      </c>
      <c r="G22" s="792" t="s">
        <v>1259</v>
      </c>
      <c r="H22" s="792"/>
      <c r="I22" s="792"/>
      <c r="J22" s="792"/>
      <c r="K22" s="792"/>
      <c r="L22" s="128">
        <f>'PT Finish'!L49</f>
        <v>0</v>
      </c>
      <c r="T22" s="152">
        <f>'Material Price'!S99</f>
        <v>0</v>
      </c>
    </row>
    <row r="23" spans="1:20" ht="24" x14ac:dyDescent="0.3">
      <c r="A23" s="285" t="s">
        <v>1307</v>
      </c>
      <c r="D23" s="128" cm="1">
        <f t="array" ref="D23:E23">'Wolf Perspective '!L49:M49</f>
        <v>1983.421875</v>
      </c>
      <c r="E23" s="439">
        <v>0</v>
      </c>
      <c r="G23" s="792" t="s">
        <v>1243</v>
      </c>
      <c r="H23" s="792"/>
      <c r="I23" s="792"/>
      <c r="J23" s="792"/>
      <c r="K23" s="792"/>
      <c r="L23" s="128">
        <f>'Deck TakeOff'!J81</f>
        <v>0</v>
      </c>
      <c r="T23" s="152">
        <f>'Material Price'!S100</f>
        <v>0</v>
      </c>
    </row>
    <row r="24" spans="1:20" ht="24" x14ac:dyDescent="0.3">
      <c r="A24" s="285" t="s">
        <v>1308</v>
      </c>
      <c r="D24" s="128" cm="1">
        <f t="array" ref="D24:E24">'DuraLife Siesta Landscape'!L49:M49</f>
        <v>2812.3365624999997</v>
      </c>
      <c r="E24" s="439">
        <v>0</v>
      </c>
      <c r="G24" s="792" t="s">
        <v>1247</v>
      </c>
      <c r="H24" s="792"/>
      <c r="I24" s="792"/>
      <c r="J24" s="792"/>
      <c r="K24" s="792"/>
      <c r="L24" s="128"/>
      <c r="T24" s="152">
        <f>'Material Price'!S101</f>
        <v>0</v>
      </c>
    </row>
    <row r="25" spans="1:20" ht="24" x14ac:dyDescent="0.3">
      <c r="A25" s="285" t="s">
        <v>1309</v>
      </c>
      <c r="D25" s="128" cm="1">
        <f t="array" ref="D25:E25">'DuraLife Siesta Hardwoods'!L49:M49</f>
        <v>3381.9375</v>
      </c>
      <c r="E25" s="439">
        <v>0</v>
      </c>
      <c r="G25" s="792" t="s">
        <v>239</v>
      </c>
      <c r="H25" s="792"/>
      <c r="I25" s="792"/>
      <c r="J25" s="792"/>
      <c r="K25" s="792"/>
      <c r="L25" s="128"/>
      <c r="T25" s="533">
        <f>'Material Price'!S112</f>
        <v>0</v>
      </c>
    </row>
    <row r="26" spans="1:20" ht="24" x14ac:dyDescent="0.3">
      <c r="A26" s="285" t="s">
        <v>1310</v>
      </c>
      <c r="D26" s="128" cm="1">
        <f t="array" ref="D26:E26">'DuraLife MVP Landscape'!L49:M49</f>
        <v>1966.1615625000002</v>
      </c>
      <c r="E26" s="439">
        <v>0</v>
      </c>
      <c r="G26" s="792"/>
      <c r="H26" s="792"/>
      <c r="I26" s="792"/>
      <c r="J26" s="792"/>
      <c r="K26" s="792"/>
      <c r="L26" s="128"/>
      <c r="T26" s="533">
        <f>'Material Price'!S113</f>
        <v>0</v>
      </c>
    </row>
    <row r="27" spans="1:20" x14ac:dyDescent="0.2">
      <c r="A27" s="285" t="s">
        <v>1311</v>
      </c>
      <c r="D27" s="128" cm="1">
        <f t="array" ref="D27:E27">'DuraLife MVP Harwoods'!L49:M49</f>
        <v>2507.7124999999996</v>
      </c>
      <c r="E27" s="439">
        <v>0</v>
      </c>
      <c r="G27" s="792"/>
      <c r="H27" s="792"/>
      <c r="I27" s="792"/>
      <c r="J27" s="792"/>
      <c r="K27" s="792"/>
      <c r="L27" s="128"/>
    </row>
  </sheetData>
  <mergeCells count="14">
    <mergeCell ref="G27:K27"/>
    <mergeCell ref="G22:K22"/>
    <mergeCell ref="G23:K23"/>
    <mergeCell ref="G24:K24"/>
    <mergeCell ref="G17:L17"/>
    <mergeCell ref="G25:K25"/>
    <mergeCell ref="G26:K26"/>
    <mergeCell ref="G21:K21"/>
    <mergeCell ref="A1:D1"/>
    <mergeCell ref="G1:L1"/>
    <mergeCell ref="G18:K18"/>
    <mergeCell ref="G19:K19"/>
    <mergeCell ref="G20:K20"/>
    <mergeCell ref="G14:K14"/>
  </mergeCells>
  <dataValidations disablePrompts="1" count="1">
    <dataValidation type="list" allowBlank="1" showInputMessage="1" showErrorMessage="1" sqref="Q4" xr:uid="{E61F9EA8-9DC3-4522-BD0E-5CE4EEF54BFB}">
      <formula1>$K$3:$K$12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75093-DA63-4771-B43F-92BA5962971E}">
  <dimension ref="A1:J43"/>
  <sheetViews>
    <sheetView workbookViewId="0">
      <selection activeCell="A9" sqref="A9"/>
    </sheetView>
  </sheetViews>
  <sheetFormatPr baseColWidth="10" defaultColWidth="9" defaultRowHeight="16" x14ac:dyDescent="0.2"/>
  <cols>
    <col min="6" max="6" width="18.19921875" bestFit="1" customWidth="1"/>
  </cols>
  <sheetData>
    <row r="1" spans="1:10" x14ac:dyDescent="0.2">
      <c r="A1" t="s">
        <v>437</v>
      </c>
      <c r="C1" s="286">
        <v>141.94999999999999</v>
      </c>
    </row>
    <row r="2" spans="1:10" x14ac:dyDescent="0.2">
      <c r="A2" t="s">
        <v>438</v>
      </c>
      <c r="C2" s="286">
        <v>595</v>
      </c>
    </row>
    <row r="3" spans="1:10" x14ac:dyDescent="0.2">
      <c r="A3" t="s">
        <v>457</v>
      </c>
      <c r="C3" s="286">
        <v>1032.5</v>
      </c>
    </row>
    <row r="4" spans="1:10" x14ac:dyDescent="0.2">
      <c r="A4" t="s">
        <v>458</v>
      </c>
      <c r="C4" s="286">
        <v>477</v>
      </c>
    </row>
    <row r="5" spans="1:10" x14ac:dyDescent="0.2">
      <c r="A5" t="s">
        <v>459</v>
      </c>
      <c r="C5" s="286">
        <v>232.92500000000001</v>
      </c>
    </row>
    <row r="6" spans="1:10" x14ac:dyDescent="0.2">
      <c r="A6" t="s">
        <v>728</v>
      </c>
      <c r="C6" s="286">
        <v>176</v>
      </c>
    </row>
    <row r="9" spans="1:10" x14ac:dyDescent="0.2">
      <c r="A9">
        <v>445.5</v>
      </c>
      <c r="B9" t="s">
        <v>621</v>
      </c>
      <c r="I9">
        <v>2.3199999999999998</v>
      </c>
      <c r="J9">
        <v>1033.56</v>
      </c>
    </row>
    <row r="10" spans="1:10" x14ac:dyDescent="0.2">
      <c r="A10">
        <v>0</v>
      </c>
      <c r="B10" t="s">
        <v>622</v>
      </c>
      <c r="I10">
        <v>2.68</v>
      </c>
      <c r="J10">
        <v>0</v>
      </c>
    </row>
    <row r="11" spans="1:10" x14ac:dyDescent="0.2">
      <c r="A11">
        <v>50</v>
      </c>
      <c r="B11" t="s">
        <v>623</v>
      </c>
      <c r="I11">
        <v>2.88</v>
      </c>
      <c r="J11">
        <v>144</v>
      </c>
    </row>
    <row r="12" spans="1:10" x14ac:dyDescent="0.2">
      <c r="A12">
        <v>30</v>
      </c>
      <c r="B12" t="s">
        <v>624</v>
      </c>
      <c r="I12">
        <v>2.12</v>
      </c>
      <c r="J12">
        <v>63.6</v>
      </c>
    </row>
    <row r="13" spans="1:10" x14ac:dyDescent="0.2">
      <c r="A13">
        <v>0</v>
      </c>
      <c r="B13" t="s">
        <v>625</v>
      </c>
      <c r="I13">
        <v>2.2200000000000002</v>
      </c>
      <c r="J13">
        <v>0</v>
      </c>
    </row>
    <row r="14" spans="1:10" x14ac:dyDescent="0.2">
      <c r="A14">
        <v>36</v>
      </c>
      <c r="B14" t="s">
        <v>626</v>
      </c>
      <c r="I14">
        <v>3.01</v>
      </c>
      <c r="J14">
        <v>108.35999999999999</v>
      </c>
    </row>
    <row r="17" spans="1:7" x14ac:dyDescent="0.2">
      <c r="B17" t="s">
        <v>366</v>
      </c>
      <c r="C17" t="s">
        <v>365</v>
      </c>
      <c r="D17" t="s">
        <v>420</v>
      </c>
      <c r="G17" t="s">
        <v>421</v>
      </c>
    </row>
    <row r="18" spans="1:7" x14ac:dyDescent="0.2">
      <c r="A18" t="s">
        <v>414</v>
      </c>
      <c r="C18">
        <v>30</v>
      </c>
      <c r="D18">
        <v>16</v>
      </c>
      <c r="F18" t="s">
        <v>422</v>
      </c>
      <c r="G18">
        <v>30</v>
      </c>
    </row>
    <row r="19" spans="1:7" x14ac:dyDescent="0.2">
      <c r="A19" t="s">
        <v>416</v>
      </c>
      <c r="B19">
        <v>5</v>
      </c>
      <c r="F19" t="s">
        <v>423</v>
      </c>
      <c r="G19">
        <v>0</v>
      </c>
    </row>
    <row r="20" spans="1:7" x14ac:dyDescent="0.2">
      <c r="A20" t="s">
        <v>417</v>
      </c>
      <c r="C20">
        <v>8</v>
      </c>
      <c r="F20" t="s">
        <v>424</v>
      </c>
      <c r="G20">
        <v>8</v>
      </c>
    </row>
    <row r="21" spans="1:7" x14ac:dyDescent="0.2">
      <c r="F21" t="s">
        <v>425</v>
      </c>
      <c r="G21">
        <v>0</v>
      </c>
    </row>
    <row r="22" spans="1:7" x14ac:dyDescent="0.2">
      <c r="A22" t="s">
        <v>415</v>
      </c>
      <c r="C22">
        <v>0</v>
      </c>
      <c r="D22">
        <v>0</v>
      </c>
      <c r="F22" t="s">
        <v>426</v>
      </c>
      <c r="G22">
        <v>0</v>
      </c>
    </row>
    <row r="23" spans="1:7" x14ac:dyDescent="0.2">
      <c r="A23" t="s">
        <v>418</v>
      </c>
      <c r="B23">
        <v>0</v>
      </c>
      <c r="F23" t="s">
        <v>427</v>
      </c>
      <c r="G23">
        <v>0</v>
      </c>
    </row>
    <row r="24" spans="1:7" x14ac:dyDescent="0.2">
      <c r="A24" t="s">
        <v>419</v>
      </c>
      <c r="C24">
        <v>0</v>
      </c>
      <c r="F24" t="s">
        <v>428</v>
      </c>
      <c r="G24">
        <v>0</v>
      </c>
    </row>
    <row r="25" spans="1:7" x14ac:dyDescent="0.2">
      <c r="F25" t="s">
        <v>429</v>
      </c>
      <c r="G25">
        <v>0</v>
      </c>
    </row>
    <row r="27" spans="1:7" x14ac:dyDescent="0.2">
      <c r="F27" t="s">
        <v>430</v>
      </c>
      <c r="G27">
        <v>38</v>
      </c>
    </row>
    <row r="28" spans="1:7" x14ac:dyDescent="0.2">
      <c r="F28" t="s">
        <v>431</v>
      </c>
      <c r="G28">
        <v>0</v>
      </c>
    </row>
    <row r="29" spans="1:7" x14ac:dyDescent="0.2">
      <c r="F29" t="s">
        <v>366</v>
      </c>
      <c r="G29">
        <v>5</v>
      </c>
    </row>
    <row r="30" spans="1:7" x14ac:dyDescent="0.2">
      <c r="F30" t="s">
        <v>420</v>
      </c>
      <c r="G30">
        <v>16</v>
      </c>
    </row>
    <row r="31" spans="1:7" x14ac:dyDescent="0.2">
      <c r="F31" t="s">
        <v>451</v>
      </c>
      <c r="G31">
        <v>0</v>
      </c>
    </row>
    <row r="32" spans="1:7" x14ac:dyDescent="0.2">
      <c r="F32" t="s">
        <v>450</v>
      </c>
      <c r="G32">
        <v>0</v>
      </c>
    </row>
    <row r="33" spans="2:7" x14ac:dyDescent="0.2">
      <c r="F33" t="s">
        <v>452</v>
      </c>
      <c r="G33">
        <v>6</v>
      </c>
    </row>
    <row r="34" spans="2:7" x14ac:dyDescent="0.2">
      <c r="F34" t="s">
        <v>453</v>
      </c>
      <c r="G34">
        <v>0</v>
      </c>
    </row>
    <row r="35" spans="2:7" x14ac:dyDescent="0.2">
      <c r="F35" t="s">
        <v>454</v>
      </c>
      <c r="G35">
        <v>6</v>
      </c>
    </row>
    <row r="37" spans="2:7" x14ac:dyDescent="0.2">
      <c r="C37" t="s">
        <v>726</v>
      </c>
      <c r="G37">
        <v>5</v>
      </c>
    </row>
    <row r="38" spans="2:7" x14ac:dyDescent="0.2">
      <c r="E38" t="s">
        <v>456</v>
      </c>
      <c r="G38">
        <v>1</v>
      </c>
    </row>
    <row r="40" spans="2:7" x14ac:dyDescent="0.2">
      <c r="B40" t="s">
        <v>485</v>
      </c>
      <c r="D40" t="s">
        <v>486</v>
      </c>
      <c r="E40" t="s">
        <v>487</v>
      </c>
      <c r="F40" t="s">
        <v>490</v>
      </c>
      <c r="G40" t="s">
        <v>491</v>
      </c>
    </row>
    <row r="41" spans="2:7" x14ac:dyDescent="0.2">
      <c r="D41">
        <v>2</v>
      </c>
      <c r="E41">
        <v>2</v>
      </c>
      <c r="F41">
        <v>0</v>
      </c>
      <c r="G41">
        <v>0</v>
      </c>
    </row>
    <row r="42" spans="2:7" x14ac:dyDescent="0.2">
      <c r="D42" t="s">
        <v>488</v>
      </c>
      <c r="E42" t="s">
        <v>489</v>
      </c>
      <c r="F42" t="s">
        <v>492</v>
      </c>
      <c r="G42" t="s">
        <v>493</v>
      </c>
    </row>
    <row r="43" spans="2:7" x14ac:dyDescent="0.2">
      <c r="D43">
        <v>0</v>
      </c>
      <c r="E43">
        <v>0</v>
      </c>
      <c r="F43">
        <v>0</v>
      </c>
      <c r="G43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689CB-2FBF-4619-A5AD-8E7C00211760}">
  <dimension ref="A1"/>
  <sheetViews>
    <sheetView topLeftCell="A34" workbookViewId="0">
      <selection activeCell="H49" sqref="H49"/>
    </sheetView>
  </sheetViews>
  <sheetFormatPr baseColWidth="10" defaultColWidth="9" defaultRowHeight="16" x14ac:dyDescent="0.2"/>
  <sheetData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B154"/>
  <sheetViews>
    <sheetView zoomScaleNormal="100" workbookViewId="0">
      <selection activeCell="F25" sqref="F25"/>
    </sheetView>
  </sheetViews>
  <sheetFormatPr baseColWidth="10" defaultColWidth="9" defaultRowHeight="16" x14ac:dyDescent="0.2"/>
  <cols>
    <col min="1" max="1" width="11.3984375" customWidth="1"/>
    <col min="2" max="2" width="9.796875" customWidth="1"/>
    <col min="3" max="3" width="11" customWidth="1"/>
    <col min="4" max="4" width="12.59765625" customWidth="1"/>
    <col min="5" max="5" width="12" customWidth="1"/>
    <col min="6" max="6" width="18.3984375" customWidth="1"/>
    <col min="7" max="7" width="16" customWidth="1"/>
    <col min="8" max="8" width="17.796875" customWidth="1"/>
    <col min="9" max="9" width="12.796875" customWidth="1"/>
    <col min="10" max="10" width="12.3984375" customWidth="1"/>
    <col min="11" max="11" width="13.19921875" customWidth="1"/>
    <col min="12" max="12" width="11.796875" customWidth="1"/>
    <col min="13" max="13" width="16.3984375" customWidth="1"/>
    <col min="14" max="14" width="10.3984375" customWidth="1"/>
    <col min="15" max="15" width="12" customWidth="1"/>
    <col min="16" max="16" width="13.3984375" customWidth="1"/>
    <col min="17" max="17" width="15.19921875" customWidth="1"/>
    <col min="18" max="18" width="12.59765625" customWidth="1"/>
    <col min="19" max="19" width="11.796875" customWidth="1"/>
    <col min="20" max="20" width="13.19921875" customWidth="1"/>
    <col min="21" max="24" width="12.3984375" customWidth="1"/>
    <col min="25" max="25" width="11.59765625" customWidth="1"/>
    <col min="26" max="26" width="11.3984375" customWidth="1"/>
    <col min="27" max="27" width="11.59765625" customWidth="1"/>
    <col min="28" max="28" width="11.3984375" customWidth="1"/>
  </cols>
  <sheetData>
    <row r="1" spans="1:26" ht="17" thickBot="1" x14ac:dyDescent="0.25">
      <c r="U1" s="269"/>
      <c r="V1" s="269"/>
      <c r="W1" s="269"/>
    </row>
    <row r="2" spans="1:26" x14ac:dyDescent="0.2">
      <c r="A2" s="800" t="s">
        <v>329</v>
      </c>
      <c r="B2" s="801"/>
      <c r="C2" s="801"/>
      <c r="D2" s="801"/>
      <c r="E2" s="801"/>
      <c r="F2" s="801"/>
      <c r="G2" s="801"/>
      <c r="H2" s="273"/>
      <c r="I2" s="274" t="s">
        <v>358</v>
      </c>
      <c r="J2" s="275">
        <v>1.1000000000000001</v>
      </c>
      <c r="K2" s="273"/>
      <c r="L2" s="273"/>
      <c r="M2" s="273"/>
      <c r="N2" s="273"/>
      <c r="O2" s="273"/>
      <c r="P2" s="273"/>
      <c r="Q2" s="302"/>
      <c r="R2" s="301"/>
      <c r="S2" s="307"/>
      <c r="T2" s="155" t="s">
        <v>366</v>
      </c>
      <c r="U2" s="155" t="s">
        <v>365</v>
      </c>
      <c r="V2" s="155" t="s">
        <v>420</v>
      </c>
      <c r="W2" s="155"/>
      <c r="X2" s="155"/>
      <c r="Y2" s="155" t="s">
        <v>421</v>
      </c>
      <c r="Z2" s="156"/>
    </row>
    <row r="3" spans="1:26" ht="17" x14ac:dyDescent="0.2">
      <c r="A3" s="157"/>
      <c r="B3" s="269" t="s">
        <v>331</v>
      </c>
      <c r="C3" s="269" t="s">
        <v>332</v>
      </c>
      <c r="D3" s="269" t="s">
        <v>333</v>
      </c>
      <c r="E3" s="269" t="s">
        <v>337</v>
      </c>
      <c r="F3" s="269"/>
      <c r="G3" s="291"/>
      <c r="H3" s="269" t="s">
        <v>359</v>
      </c>
      <c r="I3" s="272" t="s">
        <v>353</v>
      </c>
      <c r="J3" s="272" t="s">
        <v>354</v>
      </c>
      <c r="K3" s="272" t="s">
        <v>355</v>
      </c>
      <c r="L3" s="272" t="s">
        <v>356</v>
      </c>
      <c r="M3" s="272" t="s">
        <v>397</v>
      </c>
      <c r="N3" s="272" t="s">
        <v>398</v>
      </c>
      <c r="O3" s="272" t="s">
        <v>399</v>
      </c>
      <c r="P3" s="284" t="s">
        <v>400</v>
      </c>
      <c r="Q3" s="303"/>
      <c r="R3" s="301"/>
      <c r="S3" s="308" t="s">
        <v>414</v>
      </c>
      <c r="U3" s="269">
        <f>B4*2</f>
        <v>30</v>
      </c>
      <c r="V3" s="269">
        <f>ROUNDUP(IF('Deck TakeOff'!F28&gt;1,'Deck TakeOff'!F28*12/15,0),0)</f>
        <v>4</v>
      </c>
      <c r="W3" s="269"/>
      <c r="X3" s="286" t="s">
        <v>422</v>
      </c>
      <c r="Y3">
        <f>IF(H10&gt;0,U3,0)</f>
        <v>30</v>
      </c>
      <c r="Z3" s="158"/>
    </row>
    <row r="4" spans="1:26" x14ac:dyDescent="0.2">
      <c r="A4" s="157" t="s">
        <v>330</v>
      </c>
      <c r="B4" s="269">
        <f>ROUNDUP((('Deck TakeOff'!E24*12)-E4)/16, 0)</f>
        <v>15</v>
      </c>
      <c r="C4" s="269">
        <f>IF('Deck TakeOff'!E24&gt;0,5,0)</f>
        <v>5</v>
      </c>
      <c r="D4" s="269">
        <f>B4+C4</f>
        <v>20</v>
      </c>
      <c r="E4">
        <f>IF('Deck TakeOff'!E24&gt;0,4.5,0)</f>
        <v>4.5</v>
      </c>
      <c r="F4" s="271"/>
      <c r="G4" s="291"/>
      <c r="H4" s="269" t="s">
        <v>360</v>
      </c>
      <c r="I4" s="269">
        <f>'Deck TakeOff'!F28*2*J2</f>
        <v>11</v>
      </c>
      <c r="J4" s="269">
        <f>'Deck TakeOff'!K28*2*J2</f>
        <v>0</v>
      </c>
      <c r="K4">
        <f>IF('Deck TakeOff'!E28=Formulas!H4,I4,0)</f>
        <v>11</v>
      </c>
      <c r="L4">
        <f>IF('Deck TakeOff'!J28=Formulas!H4,J4,0)</f>
        <v>0</v>
      </c>
      <c r="M4" s="292">
        <f>'Deck TakeOff'!F34*2*J2</f>
        <v>0</v>
      </c>
      <c r="N4" s="271">
        <f>'Deck TakeOff'!K34*2*J2</f>
        <v>0</v>
      </c>
      <c r="O4">
        <f>IF('Deck TakeOff'!E34=Formulas!H4,M4,0)</f>
        <v>0</v>
      </c>
      <c r="P4">
        <f>IF('Deck TakeOff'!J34=Formulas!H4,N4,0)</f>
        <v>0</v>
      </c>
      <c r="Q4" s="158"/>
      <c r="R4" s="269">
        <v>1</v>
      </c>
      <c r="S4" s="309" t="s">
        <v>416</v>
      </c>
      <c r="T4">
        <f>ROUNDUP(ROUNDUP(B33*0.75,0)*1.05,0)</f>
        <v>0</v>
      </c>
      <c r="U4" s="269"/>
      <c r="V4" s="269"/>
      <c r="W4" s="269"/>
      <c r="X4" s="286" t="s">
        <v>423</v>
      </c>
      <c r="Y4">
        <f>IF(I10&gt;0,U3,0)</f>
        <v>0</v>
      </c>
      <c r="Z4" s="158"/>
    </row>
    <row r="5" spans="1:26" x14ac:dyDescent="0.2">
      <c r="A5" s="157" t="s">
        <v>334</v>
      </c>
      <c r="B5" s="269">
        <f>ROUNDUP((('Deck TakeOff'!J24*12)-E5)/16, 0)</f>
        <v>0</v>
      </c>
      <c r="C5" s="269">
        <f>IF('Deck TakeOff'!J24&gt;0,5,0)</f>
        <v>0</v>
      </c>
      <c r="D5" s="269">
        <f>B5+C5</f>
        <v>0</v>
      </c>
      <c r="E5">
        <f>IF('Deck TakeOff'!J24&gt;0,4.5,0)</f>
        <v>0</v>
      </c>
      <c r="G5" s="291"/>
      <c r="H5" s="269" t="s">
        <v>361</v>
      </c>
      <c r="I5" s="269">
        <f>'Deck TakeOff'!F28*3*J2</f>
        <v>16.5</v>
      </c>
      <c r="J5" s="269">
        <f>'Deck TakeOff'!K28*3*J2</f>
        <v>0</v>
      </c>
      <c r="K5">
        <f>IF('Deck TakeOff'!E28=Formulas!H5,I5,0)</f>
        <v>0</v>
      </c>
      <c r="L5">
        <f>IF('Deck TakeOff'!J28=Formulas!H5,J5,0)</f>
        <v>0</v>
      </c>
      <c r="M5" s="269">
        <f>'Deck TakeOff'!F34*3*J2</f>
        <v>0</v>
      </c>
      <c r="N5">
        <f>'Deck TakeOff'!K34*3*J2</f>
        <v>0</v>
      </c>
      <c r="O5">
        <f>IF('Deck TakeOff'!E34=Formulas!H5,M5,0)</f>
        <v>0</v>
      </c>
      <c r="P5">
        <f>IF('Deck TakeOff'!J34=Formulas!H5,N5,0)</f>
        <v>0</v>
      </c>
      <c r="Q5" s="158"/>
      <c r="R5" s="269">
        <v>2</v>
      </c>
      <c r="S5" s="309" t="s">
        <v>417</v>
      </c>
      <c r="U5" s="269">
        <f>(B6*2)</f>
        <v>0</v>
      </c>
      <c r="V5" s="269"/>
      <c r="W5" s="269"/>
      <c r="X5" s="286" t="s">
        <v>424</v>
      </c>
      <c r="Y5">
        <f>IF(H14&gt;0,U5,0)</f>
        <v>0</v>
      </c>
      <c r="Z5" s="158"/>
    </row>
    <row r="6" spans="1:26" x14ac:dyDescent="0.2">
      <c r="A6" s="157" t="s">
        <v>335</v>
      </c>
      <c r="B6" s="269">
        <f>ROUNDUP((('Deck TakeOff'!E41*12)-E6)/16, 0)</f>
        <v>0</v>
      </c>
      <c r="C6" s="269">
        <f>IF('Deck TakeOff'!E41&gt;0,5,0)</f>
        <v>0</v>
      </c>
      <c r="D6" s="269">
        <f>B6+C6</f>
        <v>0</v>
      </c>
      <c r="E6">
        <f>IF('Deck TakeOff'!E41&gt;0,4.5,0)</f>
        <v>0</v>
      </c>
      <c r="G6" s="271"/>
      <c r="H6" s="269" t="s">
        <v>362</v>
      </c>
      <c r="I6" s="269">
        <f>'Deck TakeOff'!F28*2*J2</f>
        <v>11</v>
      </c>
      <c r="J6" s="269">
        <f>'Deck TakeOff'!K28*2*J2</f>
        <v>0</v>
      </c>
      <c r="K6">
        <f>IF('Deck TakeOff'!E28=Formulas!H6,I6,0)</f>
        <v>0</v>
      </c>
      <c r="L6">
        <f>IF('Deck TakeOff'!J28=Formulas!H6,J6,0)</f>
        <v>0</v>
      </c>
      <c r="M6" s="269">
        <f>'Deck TakeOff'!F34*2*J2</f>
        <v>0</v>
      </c>
      <c r="N6" s="271">
        <f>'Deck TakeOff'!K34*2*J2</f>
        <v>0</v>
      </c>
      <c r="O6">
        <f>IF('Deck TakeOff'!E34=Formulas!H6,M6,0)</f>
        <v>0</v>
      </c>
      <c r="P6">
        <f>IF('Deck TakeOff'!J34=Formulas!H6,N6,0)</f>
        <v>0</v>
      </c>
      <c r="Q6" s="158"/>
      <c r="R6" s="269">
        <v>3</v>
      </c>
      <c r="S6" s="309"/>
      <c r="U6" s="269"/>
      <c r="V6" s="269"/>
      <c r="W6" s="269"/>
      <c r="X6" s="286" t="s">
        <v>425</v>
      </c>
      <c r="Y6">
        <f>IF(I14&gt;0,U5,0)</f>
        <v>0</v>
      </c>
      <c r="Z6" s="158"/>
    </row>
    <row r="7" spans="1:26" ht="17" x14ac:dyDescent="0.2">
      <c r="A7" s="157" t="s">
        <v>336</v>
      </c>
      <c r="B7" s="269">
        <f>ROUNDUP((('Deck TakeOff'!J41*12)-E7)/16, 0)</f>
        <v>0</v>
      </c>
      <c r="C7" s="269">
        <f>IF('Deck TakeOff'!J41&gt;0,5,0)</f>
        <v>0</v>
      </c>
      <c r="D7" s="269">
        <f>B7+C7</f>
        <v>0</v>
      </c>
      <c r="E7">
        <f>IF('Deck TakeOff'!J41&gt;0,4.5,0)</f>
        <v>0</v>
      </c>
      <c r="H7" s="269" t="s">
        <v>363</v>
      </c>
      <c r="I7" s="269">
        <f>'Deck TakeOff'!F28*3*J2</f>
        <v>16.5</v>
      </c>
      <c r="J7" s="269">
        <f>'Deck TakeOff'!K28*3*J2</f>
        <v>0</v>
      </c>
      <c r="K7">
        <f>IF('Deck TakeOff'!E28=Formulas!H7,I7,0)</f>
        <v>0</v>
      </c>
      <c r="L7">
        <f>IF('Deck TakeOff'!J28=Formulas!H7,J7,0)</f>
        <v>0</v>
      </c>
      <c r="M7" s="323">
        <f>'Deck TakeOff'!F34*3*J2</f>
        <v>0</v>
      </c>
      <c r="N7">
        <f>'Deck TakeOff'!K34*3*J2</f>
        <v>0</v>
      </c>
      <c r="O7">
        <f>IF('Deck TakeOff'!E34=Formulas!H7,M7,0)</f>
        <v>0</v>
      </c>
      <c r="P7">
        <f>IF('Deck TakeOff'!J34=Formulas!H7,N7,0)</f>
        <v>0</v>
      </c>
      <c r="Q7" s="158"/>
      <c r="S7" s="308" t="s">
        <v>415</v>
      </c>
      <c r="U7" s="269">
        <f>B5*2</f>
        <v>0</v>
      </c>
      <c r="V7" s="269">
        <f>ROUNDUP(IF('Deck TakeOff'!K28&gt;1,'Deck TakeOff'!K28*12/15,0),0)</f>
        <v>0</v>
      </c>
      <c r="W7" s="269"/>
      <c r="X7" s="286" t="s">
        <v>426</v>
      </c>
      <c r="Y7">
        <f>IF(H11&gt;0,U7,0)</f>
        <v>0</v>
      </c>
      <c r="Z7" s="158"/>
    </row>
    <row r="8" spans="1:26" x14ac:dyDescent="0.2">
      <c r="A8" s="157"/>
      <c r="B8" s="269"/>
      <c r="C8" s="269"/>
      <c r="D8" s="269"/>
      <c r="H8" s="269"/>
      <c r="I8" s="269"/>
      <c r="J8" s="269"/>
      <c r="M8" s="269"/>
      <c r="Q8" s="158"/>
      <c r="S8" s="309" t="s">
        <v>418</v>
      </c>
      <c r="T8">
        <f>ROUNDUP(ROUNDUP(B34*0.75,0)*1.05,0)</f>
        <v>0</v>
      </c>
      <c r="U8" s="269"/>
      <c r="V8" s="269"/>
      <c r="W8" s="269"/>
      <c r="X8" s="286" t="s">
        <v>427</v>
      </c>
      <c r="Y8">
        <f>IF(I11&gt;0,U7,0)</f>
        <v>0</v>
      </c>
      <c r="Z8" s="158"/>
    </row>
    <row r="9" spans="1:26" x14ac:dyDescent="0.2">
      <c r="A9" s="157"/>
      <c r="B9" s="269" t="s">
        <v>367</v>
      </c>
      <c r="C9" s="276" t="s">
        <v>368</v>
      </c>
      <c r="D9" s="269" t="s">
        <v>369</v>
      </c>
      <c r="F9" t="s">
        <v>390</v>
      </c>
      <c r="H9" s="269" t="str">
        <f>K10</f>
        <v xml:space="preserve">2 x 8 Frame </v>
      </c>
      <c r="I9" s="269" t="str">
        <f>K11</f>
        <v>2 x 10 Frame</v>
      </c>
      <c r="J9" s="269"/>
      <c r="K9" s="269" t="s">
        <v>403</v>
      </c>
      <c r="Q9" s="158"/>
      <c r="S9" s="309" t="s">
        <v>419</v>
      </c>
      <c r="U9" s="269">
        <f>B7*2</f>
        <v>0</v>
      </c>
      <c r="V9" s="269"/>
      <c r="W9" s="269"/>
      <c r="X9" s="286" t="s">
        <v>428</v>
      </c>
      <c r="Y9">
        <f>IF(H15&gt;0,U9,0)</f>
        <v>0</v>
      </c>
      <c r="Z9" s="158"/>
    </row>
    <row r="10" spans="1:26" x14ac:dyDescent="0.2">
      <c r="A10" s="157" t="s">
        <v>339</v>
      </c>
      <c r="B10" s="269">
        <f>ROUNDUP(ROUNDUP(B33*0.75,0)*1.05,0)</f>
        <v>0</v>
      </c>
      <c r="C10" s="269">
        <f>E33*13.46/12*J2</f>
        <v>0</v>
      </c>
      <c r="D10" s="277">
        <f>C10*B10</f>
        <v>0</v>
      </c>
      <c r="F10" s="286" t="s">
        <v>330</v>
      </c>
      <c r="G10" s="285">
        <f>(D4)*'Deck TakeOff'!E25*J2</f>
        <v>220.00000000000003</v>
      </c>
      <c r="H10" s="282">
        <f>IF($H$9='Deck TakeOff'!E20,$G$10,0)</f>
        <v>220.00000000000003</v>
      </c>
      <c r="I10" s="282">
        <f>IF(I9='Deck TakeOff'!E20,G10,0)</f>
        <v>0</v>
      </c>
      <c r="J10" s="269"/>
      <c r="K10" s="269" t="s">
        <v>402</v>
      </c>
      <c r="Q10" s="158"/>
      <c r="S10" s="157"/>
      <c r="X10" s="286" t="s">
        <v>429</v>
      </c>
      <c r="Y10">
        <f>IF(I15&gt;0,U9,0)</f>
        <v>0</v>
      </c>
      <c r="Z10" s="158"/>
    </row>
    <row r="11" spans="1:26" ht="17" thickBot="1" x14ac:dyDescent="0.25">
      <c r="A11" s="157" t="s">
        <v>340</v>
      </c>
      <c r="B11" s="269">
        <f>ROUNDUP(ROUNDUP(B34*0.75,0)*1.05,0)</f>
        <v>0</v>
      </c>
      <c r="C11" s="269">
        <f>E34*13.46/12*J2</f>
        <v>0</v>
      </c>
      <c r="D11" s="277">
        <f>C11*B11</f>
        <v>0</v>
      </c>
      <c r="F11" s="286" t="s">
        <v>334</v>
      </c>
      <c r="G11" s="285">
        <f>(D5)*'Deck TakeOff'!J25*J2</f>
        <v>0</v>
      </c>
      <c r="H11" s="282">
        <f>IF(H9='Deck TakeOff'!J20,G11,0)</f>
        <v>0</v>
      </c>
      <c r="I11" s="282">
        <f>IF(I9='Deck TakeOff'!J20,G11,0)</f>
        <v>0</v>
      </c>
      <c r="J11" s="269"/>
      <c r="K11" s="269" t="s">
        <v>401</v>
      </c>
      <c r="Q11" s="158"/>
      <c r="S11" s="157"/>
      <c r="Z11" s="158"/>
    </row>
    <row r="12" spans="1:26" x14ac:dyDescent="0.2">
      <c r="A12" s="154"/>
      <c r="B12" s="295"/>
      <c r="C12" s="295" t="s">
        <v>410</v>
      </c>
      <c r="D12" s="295" t="s">
        <v>373</v>
      </c>
      <c r="E12" s="156"/>
      <c r="F12" s="286" t="s">
        <v>393</v>
      </c>
      <c r="G12" s="290"/>
      <c r="H12" s="282">
        <f>K4+K5</f>
        <v>11</v>
      </c>
      <c r="I12" s="282">
        <f>K6+K7</f>
        <v>0</v>
      </c>
      <c r="J12" s="269"/>
      <c r="Q12" s="158"/>
      <c r="S12" s="157"/>
      <c r="X12" s="286" t="s">
        <v>430</v>
      </c>
      <c r="Y12">
        <f>Y3+Y5+Y7+Y9</f>
        <v>30</v>
      </c>
      <c r="Z12" s="158"/>
    </row>
    <row r="13" spans="1:26" x14ac:dyDescent="0.2">
      <c r="A13" s="157" t="s">
        <v>406</v>
      </c>
      <c r="B13" s="292">
        <f>'Deck TakeOff'!E21</f>
        <v>20</v>
      </c>
      <c r="C13" s="269">
        <f>IF(B39='Deck TakeOff'!E22,B13,0)</f>
        <v>20</v>
      </c>
      <c r="D13" s="277">
        <f>IF(B40='Deck TakeOff'!E22,B13,0)</f>
        <v>0</v>
      </c>
      <c r="E13" s="158"/>
      <c r="F13" s="286" t="s">
        <v>394</v>
      </c>
      <c r="G13" s="285"/>
      <c r="H13" s="282">
        <f>L4+L5</f>
        <v>0</v>
      </c>
      <c r="I13" s="282">
        <f>L6+L7</f>
        <v>0</v>
      </c>
      <c r="J13" s="269"/>
      <c r="Q13" s="158"/>
      <c r="S13" s="157"/>
      <c r="X13" s="286" t="s">
        <v>431</v>
      </c>
      <c r="Y13">
        <f>Y4+Y6+Y8+Y10</f>
        <v>0</v>
      </c>
      <c r="Z13" s="158"/>
    </row>
    <row r="14" spans="1:26" x14ac:dyDescent="0.2">
      <c r="A14" s="157" t="s">
        <v>407</v>
      </c>
      <c r="B14" s="292">
        <f>'Deck TakeOff'!J21</f>
        <v>0</v>
      </c>
      <c r="C14" s="269">
        <f>IF(B39='Deck TakeOff'!J22,B14,0)</f>
        <v>0</v>
      </c>
      <c r="D14" s="277">
        <f>IF(B40='Deck TakeOff'!J22,B14,0)</f>
        <v>0</v>
      </c>
      <c r="E14" s="158"/>
      <c r="F14" s="286" t="s">
        <v>335</v>
      </c>
      <c r="G14" s="285">
        <f>(((D6)*'Deck TakeOff'!E42)+(Formulas!E42*3))*J2</f>
        <v>0</v>
      </c>
      <c r="H14" s="282">
        <f>IF(H9='Deck TakeOff'!E40,G14,0)</f>
        <v>0</v>
      </c>
      <c r="I14" s="282">
        <f>IF(I9='Deck TakeOff'!E40,G14,0)</f>
        <v>0</v>
      </c>
      <c r="J14" s="269"/>
      <c r="Q14" s="158"/>
      <c r="S14" s="157"/>
      <c r="X14" s="286" t="s">
        <v>366</v>
      </c>
      <c r="Y14">
        <f>T4+T8</f>
        <v>0</v>
      </c>
      <c r="Z14" s="158"/>
    </row>
    <row r="15" spans="1:26" x14ac:dyDescent="0.2">
      <c r="A15" s="157" t="s">
        <v>408</v>
      </c>
      <c r="B15" s="292">
        <f>'Deck TakeOff'!E44</f>
        <v>0</v>
      </c>
      <c r="C15" s="269">
        <f>IF(B39='Deck TakeOff'!E45,B15,0)</f>
        <v>0</v>
      </c>
      <c r="D15" s="277">
        <f>IF(B40='Deck TakeOff'!E45,B15,0)</f>
        <v>0</v>
      </c>
      <c r="E15" s="158"/>
      <c r="F15" s="286" t="s">
        <v>336</v>
      </c>
      <c r="G15" s="285">
        <f>(((D7)*'Deck TakeOff'!J42)+(Formulas!J42*3))*J2</f>
        <v>0</v>
      </c>
      <c r="H15" s="282">
        <f>IF(H9='Deck TakeOff'!J40,G15,0)</f>
        <v>0</v>
      </c>
      <c r="I15" s="282">
        <f>IF(I9='Deck TakeOff'!J40,G15,0)</f>
        <v>0</v>
      </c>
      <c r="J15" s="269"/>
      <c r="Q15" s="158"/>
      <c r="S15" s="157"/>
      <c r="X15" s="286" t="s">
        <v>420</v>
      </c>
      <c r="Y15">
        <f>V7+V3</f>
        <v>4</v>
      </c>
      <c r="Z15" s="158"/>
    </row>
    <row r="16" spans="1:26" x14ac:dyDescent="0.2">
      <c r="A16" s="157" t="s">
        <v>409</v>
      </c>
      <c r="B16" s="292">
        <f>'Deck TakeOff'!J44</f>
        <v>0</v>
      </c>
      <c r="C16" s="269">
        <f>IF(B39='Deck TakeOff'!J45,B16,0)</f>
        <v>0</v>
      </c>
      <c r="D16" s="277">
        <f>IF(B40='Deck TakeOff'!J45,B16,0)</f>
        <v>0</v>
      </c>
      <c r="E16" s="158"/>
      <c r="F16" s="286" t="s">
        <v>391</v>
      </c>
      <c r="G16" s="285">
        <f>('Deck TakeOff'!E24*3)*Formulas!J2</f>
        <v>66</v>
      </c>
      <c r="H16" s="282">
        <f>IF(H9='Deck TakeOff'!E20,G16,0)</f>
        <v>66</v>
      </c>
      <c r="I16" s="282">
        <f>IF(I9='Deck TakeOff'!E20,G16,0)</f>
        <v>0</v>
      </c>
      <c r="J16" s="269"/>
      <c r="Q16" s="158"/>
      <c r="S16" s="157"/>
      <c r="X16" s="286" t="s">
        <v>451</v>
      </c>
      <c r="Y16">
        <f>J55</f>
        <v>0</v>
      </c>
      <c r="Z16" s="158"/>
    </row>
    <row r="17" spans="1:26" x14ac:dyDescent="0.2">
      <c r="A17" s="157"/>
      <c r="B17" s="269"/>
      <c r="C17" s="269"/>
      <c r="D17" s="277" t="s">
        <v>158</v>
      </c>
      <c r="E17" s="299"/>
      <c r="F17" s="286" t="s">
        <v>392</v>
      </c>
      <c r="G17" s="285">
        <f>('Deck TakeOff'!J24*3)*Formulas!J2</f>
        <v>0</v>
      </c>
      <c r="H17" s="282">
        <f>IF(H9='Deck TakeOff'!J20,G17,0)</f>
        <v>0</v>
      </c>
      <c r="I17" s="282">
        <f>IF(I9='Deck TakeOff'!J20,G17,0)</f>
        <v>0</v>
      </c>
      <c r="J17" s="269"/>
      <c r="Q17" s="158"/>
      <c r="S17" s="157"/>
      <c r="X17" s="286" t="s">
        <v>450</v>
      </c>
      <c r="Y17">
        <f>L55</f>
        <v>0</v>
      </c>
      <c r="Z17" s="158"/>
    </row>
    <row r="18" spans="1:26" x14ac:dyDescent="0.2">
      <c r="A18" s="802" t="s">
        <v>269</v>
      </c>
      <c r="B18" s="803"/>
      <c r="C18" s="803"/>
      <c r="D18" s="277">
        <f>D13+D14+D15+D16</f>
        <v>0</v>
      </c>
      <c r="E18" s="299"/>
      <c r="F18" s="286" t="s">
        <v>395</v>
      </c>
      <c r="G18" s="285"/>
      <c r="H18" s="282">
        <f>O4+O5</f>
        <v>0</v>
      </c>
      <c r="I18" s="282">
        <f>O6+O7</f>
        <v>0</v>
      </c>
      <c r="J18" s="269"/>
      <c r="Q18" s="158"/>
      <c r="S18" s="157"/>
      <c r="X18" s="286" t="s">
        <v>452</v>
      </c>
      <c r="Y18">
        <f>K55</f>
        <v>0</v>
      </c>
      <c r="Z18" s="158"/>
    </row>
    <row r="19" spans="1:26" ht="17" thickBot="1" x14ac:dyDescent="0.25">
      <c r="A19" s="804" t="s">
        <v>274</v>
      </c>
      <c r="B19" s="805"/>
      <c r="C19" s="805"/>
      <c r="D19" s="296">
        <f>C13+C14+C15+C16</f>
        <v>20</v>
      </c>
      <c r="E19" s="161"/>
      <c r="F19" s="286" t="s">
        <v>396</v>
      </c>
      <c r="G19" s="285"/>
      <c r="H19" s="282">
        <f>P4+P5</f>
        <v>0</v>
      </c>
      <c r="I19" s="282">
        <f>P6+P7</f>
        <v>0</v>
      </c>
      <c r="Q19" s="158"/>
      <c r="S19" s="157"/>
      <c r="X19" s="286" t="s">
        <v>453</v>
      </c>
      <c r="Y19">
        <f>Y16</f>
        <v>0</v>
      </c>
      <c r="Z19" s="158"/>
    </row>
    <row r="20" spans="1:26" x14ac:dyDescent="0.2">
      <c r="A20" s="157"/>
      <c r="F20" s="286"/>
      <c r="G20" s="285"/>
      <c r="H20" s="282"/>
      <c r="I20" s="282"/>
      <c r="Q20" s="158"/>
      <c r="S20" s="157"/>
      <c r="X20" s="286" t="s">
        <v>454</v>
      </c>
      <c r="Y20">
        <f>Y18+Y17</f>
        <v>0</v>
      </c>
      <c r="Z20" s="158"/>
    </row>
    <row r="21" spans="1:26" x14ac:dyDescent="0.2">
      <c r="A21" s="157"/>
      <c r="F21" s="297" t="s">
        <v>411</v>
      </c>
      <c r="G21" s="298">
        <f>SUM(H10:H19)</f>
        <v>297</v>
      </c>
      <c r="H21" s="282"/>
      <c r="I21" s="282"/>
      <c r="Q21" s="158"/>
      <c r="S21" s="157"/>
      <c r="Z21" s="158"/>
    </row>
    <row r="22" spans="1:26" ht="17" thickBot="1" x14ac:dyDescent="0.25">
      <c r="A22" s="159"/>
      <c r="B22" s="160"/>
      <c r="C22" s="160"/>
      <c r="D22" s="160"/>
      <c r="E22" s="160"/>
      <c r="F22" s="304" t="s">
        <v>412</v>
      </c>
      <c r="G22" s="305">
        <f>SUM(I10:I19)</f>
        <v>0</v>
      </c>
      <c r="H22" s="306"/>
      <c r="I22" s="306"/>
      <c r="J22" s="160"/>
      <c r="K22" s="160"/>
      <c r="L22" s="160"/>
      <c r="M22" s="160"/>
      <c r="N22" s="160"/>
      <c r="O22" s="160"/>
      <c r="P22" s="160"/>
      <c r="Q22" s="161"/>
      <c r="S22" s="157"/>
      <c r="U22" s="791" t="s">
        <v>1357</v>
      </c>
      <c r="V22" s="791"/>
      <c r="W22" s="791"/>
      <c r="X22" s="791"/>
      <c r="Y22">
        <f>ROUNDUP(((Y12*6)+(Y13*10)+(Y14*24)+(Y15*10))/50,0)</f>
        <v>5</v>
      </c>
      <c r="Z22" s="158"/>
    </row>
    <row r="23" spans="1:26" x14ac:dyDescent="0.2">
      <c r="A23" s="157" t="s">
        <v>161</v>
      </c>
      <c r="M23" s="158"/>
      <c r="N23" s="154" t="s">
        <v>974</v>
      </c>
      <c r="O23" s="155"/>
      <c r="P23" s="156"/>
      <c r="S23" s="157"/>
      <c r="W23" s="791" t="s">
        <v>456</v>
      </c>
      <c r="X23" s="791"/>
      <c r="Y23">
        <v>1</v>
      </c>
      <c r="Z23" s="158"/>
    </row>
    <row r="24" spans="1:26" x14ac:dyDescent="0.2">
      <c r="A24" s="281"/>
      <c r="B24" s="276" t="s">
        <v>341</v>
      </c>
      <c r="C24" s="276" t="s">
        <v>137</v>
      </c>
      <c r="D24" s="276" t="s">
        <v>342</v>
      </c>
      <c r="E24" s="276" t="s">
        <v>343</v>
      </c>
      <c r="F24" s="276" t="s">
        <v>344</v>
      </c>
      <c r="G24" s="276" t="s">
        <v>345</v>
      </c>
      <c r="H24" s="276" t="s">
        <v>346</v>
      </c>
      <c r="I24" s="276" t="s">
        <v>351</v>
      </c>
      <c r="J24" s="276" t="s">
        <v>352</v>
      </c>
      <c r="K24" s="316" t="s">
        <v>434</v>
      </c>
      <c r="L24" s="276" t="s">
        <v>389</v>
      </c>
      <c r="M24" s="315" t="s">
        <v>435</v>
      </c>
      <c r="N24" s="157"/>
      <c r="P24" s="158"/>
      <c r="S24" s="157"/>
      <c r="Z24" s="158"/>
    </row>
    <row r="25" spans="1:26" x14ac:dyDescent="0.2">
      <c r="A25" s="157" t="s">
        <v>330</v>
      </c>
      <c r="B25" s="271">
        <f>'Deck TakeOff'!E24</f>
        <v>20</v>
      </c>
      <c r="C25" s="271">
        <f>'Deck TakeOff'!E25</f>
        <v>10</v>
      </c>
      <c r="D25">
        <f>ROUNDUP(((C25*12)/5.75)-1,0)</f>
        <v>20</v>
      </c>
      <c r="E25" s="372">
        <v>1.0649999999999999</v>
      </c>
      <c r="F25">
        <f>ROUNDUP(E25*D25,0)</f>
        <v>22</v>
      </c>
      <c r="G25">
        <f>F25*B25</f>
        <v>440</v>
      </c>
      <c r="H25" s="271">
        <f>'Deck TakeOff'!E27</f>
        <v>10</v>
      </c>
      <c r="I25" s="269">
        <f>B25*C25</f>
        <v>200</v>
      </c>
      <c r="J25" s="282">
        <f>I25+I26+I27+I28</f>
        <v>200</v>
      </c>
      <c r="K25" s="317">
        <f>G25+G26+G27+G28</f>
        <v>440</v>
      </c>
      <c r="L25" s="271">
        <f>SUM(H25:H28)</f>
        <v>10</v>
      </c>
      <c r="M25" s="315">
        <f>L25*1.05</f>
        <v>10.5</v>
      </c>
      <c r="N25" s="157" t="s">
        <v>975</v>
      </c>
      <c r="P25" s="158"/>
      <c r="T25" t="s">
        <v>485</v>
      </c>
      <c r="V25" t="s">
        <v>486</v>
      </c>
      <c r="W25" t="s">
        <v>487</v>
      </c>
      <c r="X25" t="s">
        <v>490</v>
      </c>
      <c r="Y25" t="s">
        <v>491</v>
      </c>
    </row>
    <row r="26" spans="1:26" x14ac:dyDescent="0.2">
      <c r="A26" s="157" t="s">
        <v>338</v>
      </c>
      <c r="B26" s="271">
        <f>'Deck TakeOff'!J24</f>
        <v>0</v>
      </c>
      <c r="C26" s="271">
        <f>'Deck TakeOff'!J25</f>
        <v>0</v>
      </c>
      <c r="D26">
        <f>ROUNDUP(((C26*12)/5.75)-1,0)</f>
        <v>-1</v>
      </c>
      <c r="E26" s="372">
        <v>1.0649999999999999</v>
      </c>
      <c r="F26">
        <f>ROUNDUP(E26*D26,0)</f>
        <v>-2</v>
      </c>
      <c r="G26">
        <f>F26*B26</f>
        <v>0</v>
      </c>
      <c r="H26" s="271">
        <f>'Deck TakeOff'!J27</f>
        <v>0</v>
      </c>
      <c r="I26" s="269">
        <f>B26*C26</f>
        <v>0</v>
      </c>
      <c r="J26" s="283"/>
      <c r="K26" s="283"/>
      <c r="L26" s="284"/>
      <c r="M26" s="158"/>
      <c r="N26" s="157" t="s">
        <v>976</v>
      </c>
      <c r="P26" s="158"/>
      <c r="V26" s="269">
        <f>IF(Y3&gt;1,2,0)</f>
        <v>2</v>
      </c>
      <c r="W26" s="269">
        <f>IF(Y5&gt;1,2,0)</f>
        <v>0</v>
      </c>
      <c r="X26" s="269">
        <f>IF(Y7&gt;1,2,0)</f>
        <v>0</v>
      </c>
      <c r="Y26" s="269">
        <f>IF(Y9&gt;1,2,0)</f>
        <v>0</v>
      </c>
    </row>
    <row r="27" spans="1:26" ht="17" thickBot="1" x14ac:dyDescent="0.25">
      <c r="A27" s="157" t="s">
        <v>335</v>
      </c>
      <c r="B27" s="271">
        <f>'Deck TakeOff'!E41</f>
        <v>0</v>
      </c>
      <c r="C27" s="271">
        <f>'Deck TakeOff'!E42</f>
        <v>0</v>
      </c>
      <c r="D27">
        <f>ROUNDUP(((C27*12)/5.75)-1,0)</f>
        <v>-1</v>
      </c>
      <c r="E27" s="372">
        <v>1.0649999999999999</v>
      </c>
      <c r="F27">
        <f>ROUNDUP(E27*D27,0)</f>
        <v>-2</v>
      </c>
      <c r="G27">
        <f>F27*B27</f>
        <v>0</v>
      </c>
      <c r="H27" s="271">
        <f>'Deck TakeOff'!E47</f>
        <v>0</v>
      </c>
      <c r="I27" s="269">
        <f>B27*C27</f>
        <v>0</v>
      </c>
      <c r="J27" s="282" t="s">
        <v>433</v>
      </c>
      <c r="K27" s="283"/>
      <c r="M27" s="158"/>
      <c r="N27" s="159"/>
      <c r="O27" s="160"/>
      <c r="P27" s="161"/>
      <c r="V27" t="s">
        <v>488</v>
      </c>
      <c r="W27" t="s">
        <v>489</v>
      </c>
      <c r="X27" t="s">
        <v>492</v>
      </c>
      <c r="Y27" t="s">
        <v>493</v>
      </c>
    </row>
    <row r="28" spans="1:26" x14ac:dyDescent="0.2">
      <c r="A28" s="157" t="s">
        <v>336</v>
      </c>
      <c r="B28" s="271">
        <f>'Deck TakeOff'!J41</f>
        <v>0</v>
      </c>
      <c r="C28" s="271">
        <f>'Deck TakeOff'!J42</f>
        <v>0</v>
      </c>
      <c r="D28">
        <f>ROUNDUP(((C28*12)/5.75)-1,0)</f>
        <v>-1</v>
      </c>
      <c r="E28" s="372">
        <v>1.0649999999999999</v>
      </c>
      <c r="F28">
        <f>ROUNDUP(E28*D28,0)</f>
        <v>-2</v>
      </c>
      <c r="G28">
        <f>F28*B28</f>
        <v>0</v>
      </c>
      <c r="H28" s="271">
        <f>'Deck TakeOff'!J47</f>
        <v>0</v>
      </c>
      <c r="I28" s="269">
        <f>B28*C28</f>
        <v>0</v>
      </c>
      <c r="J28" s="282">
        <f>J25*1.1</f>
        <v>220.00000000000003</v>
      </c>
      <c r="K28" s="283"/>
      <c r="L28" s="311"/>
      <c r="M28" s="314"/>
      <c r="V28" s="269">
        <f>IF(Y4&gt;1,2,0)</f>
        <v>0</v>
      </c>
      <c r="W28" s="269">
        <f>IF(Y6&gt;1,2,0)</f>
        <v>0</v>
      </c>
      <c r="X28" s="269">
        <f>IF(Y8&gt;1,2,0)</f>
        <v>0</v>
      </c>
      <c r="Y28" s="269">
        <f>IF(Y10&gt;1,2,0)</f>
        <v>0</v>
      </c>
    </row>
    <row r="29" spans="1:26" ht="17" thickBot="1" x14ac:dyDescent="0.25">
      <c r="A29" s="157"/>
      <c r="G29">
        <f>(G28+G27+G26+G25)/1.1</f>
        <v>399.99999999999994</v>
      </c>
      <c r="M29" s="158"/>
    </row>
    <row r="30" spans="1:26" x14ac:dyDescent="0.2">
      <c r="A30" s="157"/>
      <c r="J30" s="810" t="s">
        <v>437</v>
      </c>
      <c r="K30" s="811"/>
      <c r="L30" s="318">
        <f>M25+H35</f>
        <v>10.5</v>
      </c>
      <c r="M30" s="158"/>
    </row>
    <row r="31" spans="1:26" x14ac:dyDescent="0.2">
      <c r="A31" s="157"/>
      <c r="J31" s="808" t="s">
        <v>1388</v>
      </c>
      <c r="K31" s="809"/>
      <c r="L31" s="315">
        <f>K25</f>
        <v>440</v>
      </c>
      <c r="M31" s="158"/>
    </row>
    <row r="32" spans="1:26" x14ac:dyDescent="0.2">
      <c r="A32" s="157"/>
      <c r="B32" t="s">
        <v>136</v>
      </c>
      <c r="C32" t="s">
        <v>347</v>
      </c>
      <c r="D32" t="s">
        <v>349</v>
      </c>
      <c r="E32" t="s">
        <v>350</v>
      </c>
      <c r="F32" s="269" t="s">
        <v>388</v>
      </c>
      <c r="G32" s="310" t="s">
        <v>432</v>
      </c>
      <c r="H32" s="311" t="s">
        <v>436</v>
      </c>
      <c r="J32" s="808" t="s">
        <v>457</v>
      </c>
      <c r="K32" s="809"/>
      <c r="L32" s="315">
        <f>(((G28+G27+G26+G25)*0.75)+F35)*2</f>
        <v>660</v>
      </c>
      <c r="M32" s="158"/>
    </row>
    <row r="33" spans="1:13" x14ac:dyDescent="0.2">
      <c r="A33" s="157" t="s">
        <v>339</v>
      </c>
      <c r="B33" s="271">
        <f>'Deck TakeOff'!E31</f>
        <v>0</v>
      </c>
      <c r="C33" s="271">
        <f>'Deck TakeOff'!E32</f>
        <v>0</v>
      </c>
      <c r="D33">
        <f>ROUNDUP((C33*12)/7.5,0)</f>
        <v>0</v>
      </c>
      <c r="E33">
        <f>ROUNDDOWN(D33*0.99,0)</f>
        <v>0</v>
      </c>
      <c r="F33">
        <f>E33*B33*2</f>
        <v>0</v>
      </c>
      <c r="G33">
        <f>ROUNDUP(F33/20, 0)</f>
        <v>0</v>
      </c>
      <c r="H33" s="312">
        <f>G33*20</f>
        <v>0</v>
      </c>
      <c r="J33" s="808" t="s">
        <v>458</v>
      </c>
      <c r="K33" s="809"/>
      <c r="L33" s="315">
        <f>1.8*J25</f>
        <v>360</v>
      </c>
      <c r="M33" s="158"/>
    </row>
    <row r="34" spans="1:13" x14ac:dyDescent="0.2">
      <c r="A34" s="157" t="s">
        <v>340</v>
      </c>
      <c r="B34" s="271">
        <f>'Deck TakeOff'!J31</f>
        <v>0</v>
      </c>
      <c r="C34" s="271">
        <f>'Deck TakeOff'!J32</f>
        <v>0</v>
      </c>
      <c r="D34">
        <f>ROUNDUP((C34*12)/7.5,0)</f>
        <v>0</v>
      </c>
      <c r="E34">
        <f>ROUNDDOWN(D34*0.99,0)</f>
        <v>0</v>
      </c>
      <c r="F34">
        <f>E34*B34*2</f>
        <v>0</v>
      </c>
      <c r="G34">
        <f>ROUNDUP(F34/20, 0)</f>
        <v>0</v>
      </c>
      <c r="H34" s="312">
        <f>G34*20</f>
        <v>0</v>
      </c>
      <c r="J34" s="808" t="s">
        <v>459</v>
      </c>
      <c r="K34" s="809"/>
      <c r="L34" s="315">
        <f>((B33+B34)*(E33+E34)*4)+(M25*0.75*2)</f>
        <v>15.75</v>
      </c>
      <c r="M34" s="158"/>
    </row>
    <row r="35" spans="1:13" ht="17" thickBot="1" x14ac:dyDescent="0.25">
      <c r="A35" s="159"/>
      <c r="B35" s="160"/>
      <c r="C35" s="160"/>
      <c r="D35" s="160"/>
      <c r="E35" s="160"/>
      <c r="F35" s="160">
        <f>F34+F33</f>
        <v>0</v>
      </c>
      <c r="G35" s="160">
        <f>G34+G33</f>
        <v>0</v>
      </c>
      <c r="H35" s="313">
        <f>H33+H34</f>
        <v>0</v>
      </c>
      <c r="I35" s="160"/>
      <c r="J35" s="366" t="s">
        <v>728</v>
      </c>
      <c r="K35" s="160"/>
      <c r="L35" s="367">
        <f>(G89+G96)*2</f>
        <v>280</v>
      </c>
      <c r="M35" s="161"/>
    </row>
    <row r="36" spans="1:13" ht="17" thickBot="1" x14ac:dyDescent="0.25"/>
    <row r="37" spans="1:13" x14ac:dyDescent="0.2">
      <c r="A37" s="154" t="s">
        <v>370</v>
      </c>
      <c r="B37" s="155"/>
      <c r="C37" s="155"/>
      <c r="D37" s="155"/>
      <c r="E37" s="155"/>
      <c r="F37" s="156"/>
      <c r="G37" s="793" t="s">
        <v>722</v>
      </c>
      <c r="H37" s="794"/>
      <c r="I37" s="797"/>
      <c r="J37" s="154"/>
      <c r="K37" s="155" t="s">
        <v>830</v>
      </c>
      <c r="L37" s="155"/>
      <c r="M37" s="156"/>
    </row>
    <row r="38" spans="1:13" x14ac:dyDescent="0.2">
      <c r="A38" s="157"/>
      <c r="B38" t="s">
        <v>385</v>
      </c>
      <c r="D38" s="282" t="s">
        <v>158</v>
      </c>
      <c r="E38" s="319" t="s">
        <v>413</v>
      </c>
      <c r="F38" s="158" t="s">
        <v>721</v>
      </c>
      <c r="G38" s="157" t="s">
        <v>723</v>
      </c>
      <c r="H38" s="271">
        <f>ROUNDUP(('Deck TakeOff'!E21+'Deck TakeOff'!J21+'Deck TakeOff'!E44+'Deck TakeOff'!J44)/8,0)</f>
        <v>3</v>
      </c>
      <c r="I38" s="158"/>
      <c r="J38" s="157"/>
      <c r="M38" s="158"/>
    </row>
    <row r="39" spans="1:13" x14ac:dyDescent="0.2">
      <c r="A39" s="157" t="s">
        <v>371</v>
      </c>
      <c r="B39" t="s">
        <v>374</v>
      </c>
      <c r="C39" s="271"/>
      <c r="D39" s="269">
        <f>C13+C14+C15+C16</f>
        <v>20</v>
      </c>
      <c r="E39" s="320">
        <f>ROUNDUP(D39*12/7,0)</f>
        <v>35</v>
      </c>
      <c r="F39" s="158">
        <f>ROUNDUP(E39/50,0)</f>
        <v>1</v>
      </c>
      <c r="G39" s="157" t="s">
        <v>724</v>
      </c>
      <c r="H39">
        <f>ROUNDUP((B68+B69+B70)/50,0)</f>
        <v>6</v>
      </c>
      <c r="I39" s="158"/>
      <c r="J39" s="157" t="s">
        <v>831</v>
      </c>
      <c r="M39" s="158"/>
    </row>
    <row r="40" spans="1:13" x14ac:dyDescent="0.2">
      <c r="A40" s="157" t="s">
        <v>372</v>
      </c>
      <c r="B40" t="s">
        <v>373</v>
      </c>
      <c r="C40" s="271"/>
      <c r="D40" s="277">
        <f>D13+D14+D15+D16</f>
        <v>0</v>
      </c>
      <c r="E40" s="320">
        <f>ROUNDUP(D40*12/19,0)</f>
        <v>0</v>
      </c>
      <c r="F40" s="158"/>
      <c r="G40" s="157"/>
      <c r="I40" s="158"/>
      <c r="J40" s="157"/>
      <c r="M40" s="158"/>
    </row>
    <row r="41" spans="1:13" ht="17" thickBot="1" x14ac:dyDescent="0.25">
      <c r="A41" s="157" t="s">
        <v>364</v>
      </c>
      <c r="F41" s="158"/>
      <c r="G41" s="159"/>
      <c r="H41" s="160"/>
      <c r="I41" s="161"/>
      <c r="J41" s="159"/>
      <c r="K41" s="160"/>
      <c r="L41" s="160"/>
      <c r="M41" s="161"/>
    </row>
    <row r="42" spans="1:13" x14ac:dyDescent="0.2">
      <c r="A42" s="154" t="s">
        <v>377</v>
      </c>
      <c r="B42" s="155"/>
      <c r="C42" s="155"/>
      <c r="D42" s="155"/>
      <c r="E42" s="155"/>
      <c r="F42" s="155"/>
      <c r="G42" s="155"/>
      <c r="H42" s="155"/>
      <c r="I42" s="155"/>
      <c r="J42" s="155"/>
      <c r="K42" s="155"/>
      <c r="L42" s="155"/>
      <c r="M42" s="156"/>
    </row>
    <row r="43" spans="1:13" x14ac:dyDescent="0.2">
      <c r="A43" s="157" t="s">
        <v>381</v>
      </c>
      <c r="M43" s="158"/>
    </row>
    <row r="44" spans="1:13" x14ac:dyDescent="0.2">
      <c r="A44" s="157" t="s">
        <v>378</v>
      </c>
      <c r="E44" t="s">
        <v>343</v>
      </c>
      <c r="F44">
        <v>1.2</v>
      </c>
      <c r="M44" s="158"/>
    </row>
    <row r="45" spans="1:13" x14ac:dyDescent="0.2">
      <c r="A45" s="157" t="s">
        <v>380</v>
      </c>
      <c r="M45" s="158"/>
    </row>
    <row r="46" spans="1:13" x14ac:dyDescent="0.2">
      <c r="A46" s="157" t="s">
        <v>379</v>
      </c>
      <c r="M46" s="158"/>
    </row>
    <row r="47" spans="1:13" x14ac:dyDescent="0.2">
      <c r="A47" s="157"/>
      <c r="C47" s="269" t="s">
        <v>444</v>
      </c>
      <c r="D47" s="269" t="s">
        <v>445</v>
      </c>
      <c r="E47" s="269" t="s">
        <v>442</v>
      </c>
      <c r="F47" s="269" t="s">
        <v>446</v>
      </c>
      <c r="G47" s="269" t="s">
        <v>378</v>
      </c>
      <c r="H47" s="269" t="s">
        <v>380</v>
      </c>
      <c r="I47" s="269" t="s">
        <v>379</v>
      </c>
      <c r="J47" s="269" t="s">
        <v>451</v>
      </c>
      <c r="K47" s="269" t="s">
        <v>452</v>
      </c>
      <c r="L47" s="269" t="s">
        <v>450</v>
      </c>
      <c r="M47" s="158"/>
    </row>
    <row r="48" spans="1:13" x14ac:dyDescent="0.2">
      <c r="A48" s="157" t="s">
        <v>439</v>
      </c>
      <c r="C48" s="271">
        <f>'Deck TakeOff'!E26</f>
        <v>5</v>
      </c>
      <c r="D48" s="300">
        <f>'Deck TakeOff'!F23</f>
        <v>0</v>
      </c>
      <c r="E48">
        <f>D48*C48</f>
        <v>0</v>
      </c>
      <c r="F48">
        <f>E48*F44</f>
        <v>0</v>
      </c>
      <c r="G48">
        <f>IF(A44='Deck TakeOff'!E23,F48,0)</f>
        <v>0</v>
      </c>
      <c r="H48">
        <f>IF(A45='Deck TakeOff'!E23,F48,0)</f>
        <v>0</v>
      </c>
      <c r="I48">
        <f>IF(A46='Deck TakeOff'!E23,F48,0)</f>
        <v>0</v>
      </c>
      <c r="J48">
        <f>IF(A44='Deck TakeOff'!E23,D48,0)</f>
        <v>0</v>
      </c>
      <c r="K48">
        <f>IF(A46='Deck TakeOff'!E23,D48,0)</f>
        <v>0</v>
      </c>
      <c r="L48">
        <f>IF(A45='Deck TakeOff'!E23,D48,0)</f>
        <v>0</v>
      </c>
      <c r="M48" s="158"/>
    </row>
    <row r="49" spans="1:13" x14ac:dyDescent="0.2">
      <c r="A49" s="157" t="s">
        <v>440</v>
      </c>
      <c r="C49" s="271">
        <f>'Deck TakeOff'!E43</f>
        <v>0</v>
      </c>
      <c r="D49" s="300">
        <f>'Deck TakeOff'!F46</f>
        <v>0</v>
      </c>
      <c r="E49">
        <f>C49*D49</f>
        <v>0</v>
      </c>
      <c r="F49">
        <f>E49*F44</f>
        <v>0</v>
      </c>
      <c r="G49">
        <f>IF(A44='Deck TakeOff'!E46,F49,0)</f>
        <v>0</v>
      </c>
      <c r="H49">
        <f>IF(A45='Deck TakeOff'!E46,F49,0)</f>
        <v>0</v>
      </c>
      <c r="I49">
        <f>IF(A46='Deck TakeOff'!E46,F49,0)</f>
        <v>0</v>
      </c>
      <c r="J49">
        <f>IF(A44='Deck TakeOff'!E46,D49,0)</f>
        <v>0</v>
      </c>
      <c r="K49">
        <f>IF(A46='Deck TakeOff'!E46,D49,0)</f>
        <v>0</v>
      </c>
      <c r="L49">
        <f>IF(A45='Deck TakeOff'!E46,D49,0)</f>
        <v>0</v>
      </c>
      <c r="M49" s="158"/>
    </row>
    <row r="50" spans="1:13" x14ac:dyDescent="0.2">
      <c r="A50" s="157" t="s">
        <v>441</v>
      </c>
      <c r="C50" s="271">
        <f>'Deck TakeOff'!E32</f>
        <v>0</v>
      </c>
      <c r="D50" s="300">
        <f>'Deck TakeOff'!F33</f>
        <v>0</v>
      </c>
      <c r="E50">
        <f>(D50*C50)/2</f>
        <v>0</v>
      </c>
      <c r="F50">
        <f>E50*F44</f>
        <v>0</v>
      </c>
      <c r="G50">
        <f>IF(A44='Deck TakeOff'!E33,F50,0)</f>
        <v>0</v>
      </c>
      <c r="H50">
        <f>IF(A45='Deck TakeOff'!E33,F50,0)</f>
        <v>0</v>
      </c>
      <c r="I50">
        <f>IF(A46='Deck TakeOff'!E33,F50,0)</f>
        <v>0</v>
      </c>
      <c r="J50">
        <f>IF(A44='Deck TakeOff'!E33,D50,0)</f>
        <v>0</v>
      </c>
      <c r="K50">
        <f>IF(A46='Deck TakeOff'!E33,D50,0)</f>
        <v>0</v>
      </c>
      <c r="L50">
        <f>IF(A45='Deck TakeOff'!E33,D50,0)</f>
        <v>0</v>
      </c>
      <c r="M50" s="158"/>
    </row>
    <row r="51" spans="1:13" x14ac:dyDescent="0.2">
      <c r="A51" s="157"/>
      <c r="M51" s="158"/>
    </row>
    <row r="52" spans="1:13" x14ac:dyDescent="0.2">
      <c r="A52" s="157" t="s">
        <v>447</v>
      </c>
      <c r="C52" s="271">
        <f>'Deck TakeOff'!J26</f>
        <v>0</v>
      </c>
      <c r="D52" s="300">
        <f>'Deck TakeOff'!K23</f>
        <v>0</v>
      </c>
      <c r="E52">
        <f>C52*D52</f>
        <v>0</v>
      </c>
      <c r="F52">
        <f>E52*F44</f>
        <v>0</v>
      </c>
      <c r="G52">
        <f>IF(A44='Deck TakeOff'!J23,F52,0)</f>
        <v>0</v>
      </c>
      <c r="H52">
        <f>IF(A45='Deck TakeOff'!J23,F52,0)</f>
        <v>0</v>
      </c>
      <c r="I52">
        <f>IF(A46='Deck TakeOff'!J23,F52,0)</f>
        <v>0</v>
      </c>
      <c r="J52">
        <f>IF(A44='Deck TakeOff'!J23,D52,0)</f>
        <v>0</v>
      </c>
      <c r="K52">
        <f>IF(A46='Deck TakeOff'!J23,D52,0)</f>
        <v>0</v>
      </c>
      <c r="L52">
        <f>IF(A45='Deck TakeOff'!J23,D52,0)</f>
        <v>0</v>
      </c>
      <c r="M52" s="158"/>
    </row>
    <row r="53" spans="1:13" x14ac:dyDescent="0.2">
      <c r="A53" s="157" t="s">
        <v>448</v>
      </c>
      <c r="C53" s="271">
        <f>'Deck TakeOff'!J43</f>
        <v>0</v>
      </c>
      <c r="D53" s="300">
        <f>'Deck TakeOff'!K46</f>
        <v>0</v>
      </c>
      <c r="E53">
        <f>D53*C53</f>
        <v>0</v>
      </c>
      <c r="F53">
        <f>E53*F44</f>
        <v>0</v>
      </c>
      <c r="G53">
        <f>IF(A44='Deck TakeOff'!J46,F53,0)</f>
        <v>0</v>
      </c>
      <c r="H53">
        <f>IF(A45='Deck TakeOff'!J46,F53,0)</f>
        <v>0</v>
      </c>
      <c r="I53">
        <f>IF(A46='Deck TakeOff'!J46,F53,0)</f>
        <v>0</v>
      </c>
      <c r="J53">
        <f>IF(A44='Deck TakeOff'!J46,D53,0)</f>
        <v>0</v>
      </c>
      <c r="K53">
        <f>IF(A46='Deck TakeOff'!J46,D53,0)</f>
        <v>0</v>
      </c>
      <c r="L53">
        <f>IF(A45='Deck TakeOff'!J46,D53,0)</f>
        <v>0</v>
      </c>
      <c r="M53" s="158"/>
    </row>
    <row r="54" spans="1:13" x14ac:dyDescent="0.2">
      <c r="A54" s="157" t="s">
        <v>449</v>
      </c>
      <c r="C54" s="271">
        <f>'Deck TakeOff'!J32</f>
        <v>0</v>
      </c>
      <c r="D54" s="300">
        <f>'Deck TakeOff'!K33</f>
        <v>0</v>
      </c>
      <c r="E54">
        <f>(D54*C54)/2</f>
        <v>0</v>
      </c>
      <c r="F54">
        <f>E54*F44</f>
        <v>0</v>
      </c>
      <c r="G54">
        <f>IF(A44='Deck TakeOff'!J33,F54,0)</f>
        <v>0</v>
      </c>
      <c r="H54">
        <f>IF(A45='Deck TakeOff'!J33,F54,0)</f>
        <v>0</v>
      </c>
      <c r="I54">
        <f>IF(A46='Deck TakeOff'!J33,F54,0)</f>
        <v>0</v>
      </c>
      <c r="J54">
        <f>IF(A44='Deck TakeOff'!J33,D54,0)</f>
        <v>0</v>
      </c>
      <c r="K54">
        <f>IF(A46='Deck TakeOff'!J33,D54,0)</f>
        <v>0</v>
      </c>
      <c r="L54">
        <f>IF(A45='Deck TakeOff'!J33,D54,0)</f>
        <v>0</v>
      </c>
      <c r="M54" s="158"/>
    </row>
    <row r="55" spans="1:13" x14ac:dyDescent="0.2">
      <c r="A55" s="157"/>
      <c r="F55" s="286" t="s">
        <v>98</v>
      </c>
      <c r="G55">
        <f t="shared" ref="G55:L55" si="0">SUM(G48:G54)</f>
        <v>0</v>
      </c>
      <c r="H55">
        <f t="shared" si="0"/>
        <v>0</v>
      </c>
      <c r="I55">
        <f t="shared" si="0"/>
        <v>0</v>
      </c>
      <c r="J55">
        <f t="shared" si="0"/>
        <v>0</v>
      </c>
      <c r="K55">
        <f t="shared" si="0"/>
        <v>0</v>
      </c>
      <c r="L55">
        <f t="shared" si="0"/>
        <v>0</v>
      </c>
      <c r="M55" s="158"/>
    </row>
    <row r="56" spans="1:13" ht="17" thickBot="1" x14ac:dyDescent="0.25">
      <c r="A56" s="159"/>
      <c r="B56" s="160"/>
      <c r="C56" s="160"/>
      <c r="D56" s="160"/>
      <c r="E56" s="160"/>
      <c r="F56" s="160"/>
      <c r="G56" s="160"/>
      <c r="H56" s="160"/>
      <c r="I56" s="160"/>
      <c r="J56" s="160"/>
      <c r="K56" s="160"/>
      <c r="L56" s="160"/>
      <c r="M56" s="161"/>
    </row>
    <row r="57" spans="1:13" x14ac:dyDescent="0.2">
      <c r="A57" s="154"/>
      <c r="B57" s="155"/>
      <c r="C57" s="155"/>
      <c r="D57" s="155"/>
      <c r="E57" s="155"/>
      <c r="F57" s="155"/>
      <c r="G57" s="155"/>
      <c r="H57" s="154"/>
      <c r="I57" s="155"/>
      <c r="J57" s="155"/>
      <c r="K57" s="156"/>
      <c r="L57" s="794" t="s">
        <v>633</v>
      </c>
      <c r="M57" s="807"/>
    </row>
    <row r="58" spans="1:13" x14ac:dyDescent="0.2">
      <c r="A58" s="157" t="s">
        <v>460</v>
      </c>
      <c r="C58" s="791" t="s">
        <v>343</v>
      </c>
      <c r="D58" s="791"/>
      <c r="E58">
        <v>1.1000000000000001</v>
      </c>
      <c r="H58" s="157" t="s">
        <v>466</v>
      </c>
      <c r="K58" s="158"/>
      <c r="L58" t="s">
        <v>637</v>
      </c>
      <c r="M58" s="358" t="s">
        <v>639</v>
      </c>
    </row>
    <row r="59" spans="1:13" x14ac:dyDescent="0.2">
      <c r="A59" s="157"/>
      <c r="H59" s="373" t="s">
        <v>467</v>
      </c>
      <c r="I59" s="146" t="s">
        <v>468</v>
      </c>
      <c r="J59" s="374" t="s">
        <v>345</v>
      </c>
      <c r="K59" s="158"/>
      <c r="L59" t="s">
        <v>634</v>
      </c>
      <c r="M59" s="357">
        <v>3</v>
      </c>
    </row>
    <row r="60" spans="1:13" x14ac:dyDescent="0.2">
      <c r="A60" s="157"/>
      <c r="B60" t="s">
        <v>142</v>
      </c>
      <c r="C60" t="s">
        <v>462</v>
      </c>
      <c r="D60" t="s">
        <v>461</v>
      </c>
      <c r="E60" t="s">
        <v>463</v>
      </c>
      <c r="F60" t="s">
        <v>464</v>
      </c>
      <c r="G60" s="320" t="s">
        <v>465</v>
      </c>
      <c r="H60" s="375">
        <f>'Deck TakeOff'!H53</f>
        <v>0</v>
      </c>
      <c r="I60" s="145">
        <f>ROUNDUP(H60/2,0)</f>
        <v>0</v>
      </c>
      <c r="J60" s="376">
        <f>10*I60</f>
        <v>0</v>
      </c>
      <c r="K60" s="158"/>
      <c r="L60" t="s">
        <v>635</v>
      </c>
      <c r="M60" s="357">
        <v>4</v>
      </c>
    </row>
    <row r="61" spans="1:13" x14ac:dyDescent="0.2">
      <c r="A61" s="157" t="s">
        <v>416</v>
      </c>
      <c r="B61" s="271">
        <f>C33</f>
        <v>0</v>
      </c>
      <c r="C61">
        <f>E33</f>
        <v>0</v>
      </c>
      <c r="D61">
        <f>11.5*C61/12</f>
        <v>0</v>
      </c>
      <c r="E61">
        <f>ROUNDUP(SQRT(((D61)^2)+(B61^2))*E58,0)</f>
        <v>0</v>
      </c>
      <c r="F61">
        <f>E61*T4</f>
        <v>0</v>
      </c>
      <c r="G61" s="320">
        <f>F61+F62</f>
        <v>0</v>
      </c>
      <c r="H61" s="385" t="s">
        <v>773</v>
      </c>
      <c r="I61" s="386">
        <f>R111</f>
        <v>0</v>
      </c>
      <c r="J61" s="377"/>
      <c r="K61" s="158"/>
      <c r="L61" t="s">
        <v>636</v>
      </c>
      <c r="M61" s="357">
        <v>6</v>
      </c>
    </row>
    <row r="62" spans="1:13" x14ac:dyDescent="0.2">
      <c r="A62" s="157" t="s">
        <v>418</v>
      </c>
      <c r="B62" s="271">
        <f>C34</f>
        <v>0</v>
      </c>
      <c r="C62">
        <f>E34</f>
        <v>0</v>
      </c>
      <c r="D62">
        <f>11.5*C62/12</f>
        <v>0</v>
      </c>
      <c r="E62">
        <f>ROUNDUP(SQRT(((D62)^2)+(B62^2))*E58,0)</f>
        <v>0</v>
      </c>
      <c r="F62">
        <f>E62*T8</f>
        <v>0</v>
      </c>
      <c r="H62" s="385" t="s">
        <v>774</v>
      </c>
      <c r="I62" s="386">
        <f>S111</f>
        <v>0</v>
      </c>
      <c r="J62" s="377"/>
      <c r="K62" s="158"/>
      <c r="L62" t="s">
        <v>638</v>
      </c>
      <c r="M62" s="357">
        <f>'Deck TakeOff'!E52</f>
        <v>0</v>
      </c>
    </row>
    <row r="63" spans="1:13" x14ac:dyDescent="0.2">
      <c r="A63" s="157"/>
      <c r="H63" s="385" t="s">
        <v>825</v>
      </c>
      <c r="I63" s="386">
        <f>T111</f>
        <v>0</v>
      </c>
      <c r="K63" s="158"/>
      <c r="L63" t="s">
        <v>640</v>
      </c>
      <c r="M63" s="357">
        <f>'Deck TakeOff'!E55</f>
        <v>0</v>
      </c>
    </row>
    <row r="64" spans="1:13" ht="17" thickBot="1" x14ac:dyDescent="0.25">
      <c r="A64" s="159"/>
      <c r="B64" s="160"/>
      <c r="C64" s="160"/>
      <c r="D64" s="160"/>
      <c r="E64" s="160"/>
      <c r="F64" s="160"/>
      <c r="G64" s="160"/>
      <c r="H64" s="385" t="s">
        <v>826</v>
      </c>
      <c r="I64" s="386">
        <f>U111</f>
        <v>0</v>
      </c>
      <c r="J64" s="160"/>
      <c r="K64" s="161"/>
      <c r="M64" s="357"/>
    </row>
    <row r="65" spans="1:14" x14ac:dyDescent="0.2">
      <c r="J65" s="357"/>
      <c r="K65" s="285" t="s">
        <v>641</v>
      </c>
      <c r="L65" s="285"/>
      <c r="M65" s="357"/>
    </row>
    <row r="66" spans="1:14" x14ac:dyDescent="0.2">
      <c r="A66" s="791" t="s">
        <v>471</v>
      </c>
      <c r="B66" s="791"/>
      <c r="C66" s="791"/>
      <c r="D66" s="791"/>
      <c r="E66" s="791"/>
      <c r="J66" s="357"/>
      <c r="K66" t="s">
        <v>642</v>
      </c>
      <c r="L66">
        <f>IF(L59='Galv. Strap Fastners Footings'!D30,M59*M62+(M63*4),0)</f>
        <v>0</v>
      </c>
      <c r="M66" s="357"/>
    </row>
    <row r="67" spans="1:14" x14ac:dyDescent="0.2">
      <c r="A67" s="286" t="s">
        <v>472</v>
      </c>
      <c r="B67" s="269" t="s">
        <v>442</v>
      </c>
      <c r="D67" s="269" t="s">
        <v>479</v>
      </c>
      <c r="E67" s="269" t="s">
        <v>480</v>
      </c>
      <c r="F67" s="269"/>
      <c r="G67" s="269" t="s">
        <v>481</v>
      </c>
      <c r="H67" s="269" t="s">
        <v>480</v>
      </c>
      <c r="J67" s="357"/>
      <c r="K67" t="s">
        <v>643</v>
      </c>
      <c r="L67">
        <f>IF(L60='Galv. Strap Fastners Footings'!D30,M60*M62+(M63*4),0)</f>
        <v>0</v>
      </c>
      <c r="M67" s="357"/>
    </row>
    <row r="68" spans="1:14" x14ac:dyDescent="0.2">
      <c r="A68" s="286" t="s">
        <v>477</v>
      </c>
      <c r="B68" s="269">
        <f>G21</f>
        <v>297</v>
      </c>
      <c r="D68" s="286" t="s">
        <v>430</v>
      </c>
      <c r="E68">
        <f t="shared" ref="E68:E76" si="1">Y12</f>
        <v>30</v>
      </c>
      <c r="F68" s="806" t="s">
        <v>455</v>
      </c>
      <c r="G68" s="806"/>
      <c r="J68" s="357"/>
      <c r="K68" t="s">
        <v>644</v>
      </c>
      <c r="L68">
        <f>IF(L61='Galv. Strap Fastners Footings'!D30,M61*M62+(M63*4),0)</f>
        <v>0</v>
      </c>
      <c r="M68" s="357"/>
    </row>
    <row r="69" spans="1:14" x14ac:dyDescent="0.2">
      <c r="A69" s="286" t="s">
        <v>478</v>
      </c>
      <c r="B69" s="269">
        <f>G22</f>
        <v>0</v>
      </c>
      <c r="D69" s="286" t="s">
        <v>431</v>
      </c>
      <c r="E69">
        <f t="shared" si="1"/>
        <v>0</v>
      </c>
      <c r="G69" s="286" t="s">
        <v>456</v>
      </c>
      <c r="J69" s="357"/>
      <c r="K69" s="286" t="s">
        <v>645</v>
      </c>
      <c r="L69">
        <f>L68+L67+L66</f>
        <v>0</v>
      </c>
      <c r="M69" s="357"/>
    </row>
    <row r="70" spans="1:14" ht="17" thickBot="1" x14ac:dyDescent="0.25">
      <c r="A70" s="286" t="s">
        <v>476</v>
      </c>
      <c r="B70" s="269">
        <f>G61</f>
        <v>0</v>
      </c>
      <c r="D70" s="286" t="s">
        <v>366</v>
      </c>
      <c r="E70">
        <f t="shared" si="1"/>
        <v>0</v>
      </c>
      <c r="G70" t="s">
        <v>482</v>
      </c>
      <c r="J70" s="357"/>
      <c r="K70" s="359"/>
      <c r="M70" s="357"/>
    </row>
    <row r="71" spans="1:14" x14ac:dyDescent="0.2">
      <c r="A71" s="286" t="s">
        <v>473</v>
      </c>
      <c r="B71" s="269">
        <f>G55</f>
        <v>0</v>
      </c>
      <c r="D71" s="286" t="s">
        <v>420</v>
      </c>
      <c r="E71">
        <f t="shared" si="1"/>
        <v>4</v>
      </c>
      <c r="H71" s="154"/>
      <c r="I71" s="155"/>
      <c r="J71" s="156"/>
      <c r="K71" s="154" t="s">
        <v>650</v>
      </c>
      <c r="L71" s="155"/>
      <c r="M71" s="156"/>
    </row>
    <row r="72" spans="1:14" x14ac:dyDescent="0.2">
      <c r="A72" s="286" t="s">
        <v>474</v>
      </c>
      <c r="B72" s="269">
        <f>H55</f>
        <v>0</v>
      </c>
      <c r="D72" s="286" t="s">
        <v>451</v>
      </c>
      <c r="E72">
        <f t="shared" si="1"/>
        <v>0</v>
      </c>
      <c r="H72" s="157" t="s">
        <v>766</v>
      </c>
      <c r="J72" s="158" t="s">
        <v>770</v>
      </c>
      <c r="K72" s="157"/>
      <c r="M72" s="158"/>
    </row>
    <row r="73" spans="1:14" x14ac:dyDescent="0.2">
      <c r="A73" s="286" t="s">
        <v>475</v>
      </c>
      <c r="B73" s="269">
        <f>I55</f>
        <v>0</v>
      </c>
      <c r="D73" s="286" t="s">
        <v>450</v>
      </c>
      <c r="E73">
        <f t="shared" si="1"/>
        <v>0</v>
      </c>
      <c r="H73" s="157"/>
      <c r="J73" s="158"/>
      <c r="K73" s="157" t="s">
        <v>330</v>
      </c>
      <c r="L73">
        <f>IF('Deck TakeOff'!E31&gt;1,1,0)</f>
        <v>0</v>
      </c>
      <c r="M73" s="158"/>
    </row>
    <row r="74" spans="1:14" x14ac:dyDescent="0.2">
      <c r="A74" s="387" t="s">
        <v>827</v>
      </c>
      <c r="B74" s="269">
        <f>J60</f>
        <v>0</v>
      </c>
      <c r="D74" s="286" t="s">
        <v>452</v>
      </c>
      <c r="E74">
        <f t="shared" si="1"/>
        <v>0</v>
      </c>
      <c r="H74" s="157" t="s">
        <v>866</v>
      </c>
      <c r="I74" s="269">
        <f>Q111</f>
        <v>10</v>
      </c>
      <c r="J74" s="299">
        <f>I74*13</f>
        <v>130</v>
      </c>
      <c r="K74" s="157" t="s">
        <v>334</v>
      </c>
      <c r="L74">
        <f>IF('Deck TakeOff'!J31&gt;1,1,0)</f>
        <v>0</v>
      </c>
      <c r="M74" s="158"/>
    </row>
    <row r="75" spans="1:14" x14ac:dyDescent="0.2">
      <c r="A75" s="387" t="s">
        <v>828</v>
      </c>
      <c r="B75" s="269">
        <f>(R111+S111)*5</f>
        <v>0</v>
      </c>
      <c r="D75" s="286" t="s">
        <v>453</v>
      </c>
      <c r="E75">
        <f t="shared" si="1"/>
        <v>0</v>
      </c>
      <c r="H75" s="157" t="s">
        <v>867</v>
      </c>
      <c r="I75" s="269">
        <f>Q112</f>
        <v>0</v>
      </c>
      <c r="J75" s="299">
        <f>I75*16</f>
        <v>0</v>
      </c>
      <c r="K75" s="157" t="s">
        <v>640</v>
      </c>
      <c r="L75">
        <f>L74+L73</f>
        <v>0</v>
      </c>
      <c r="M75" s="158"/>
    </row>
    <row r="76" spans="1:14" x14ac:dyDescent="0.2">
      <c r="A76" s="387" t="s">
        <v>829</v>
      </c>
      <c r="B76" s="269">
        <f>(T111+U111)*5</f>
        <v>0</v>
      </c>
      <c r="D76" s="286" t="s">
        <v>454</v>
      </c>
      <c r="E76">
        <f t="shared" si="1"/>
        <v>0</v>
      </c>
      <c r="H76" s="157" t="s">
        <v>868</v>
      </c>
      <c r="I76" s="269">
        <f>Q115</f>
        <v>0</v>
      </c>
      <c r="J76" s="299">
        <f>I76*13</f>
        <v>0</v>
      </c>
      <c r="K76" s="157"/>
      <c r="M76" s="158"/>
    </row>
    <row r="77" spans="1:14" ht="17" thickBot="1" x14ac:dyDescent="0.25">
      <c r="D77" s="286" t="s">
        <v>483</v>
      </c>
      <c r="E77">
        <f>V26+W26+X26+Y26</f>
        <v>2</v>
      </c>
      <c r="H77" s="157" t="s">
        <v>869</v>
      </c>
      <c r="I77" s="269">
        <f>Q116</f>
        <v>0</v>
      </c>
      <c r="J77" s="299">
        <f>I77*16</f>
        <v>0</v>
      </c>
      <c r="K77" s="157"/>
      <c r="M77" s="158"/>
    </row>
    <row r="78" spans="1:14" x14ac:dyDescent="0.2">
      <c r="D78" s="286" t="s">
        <v>484</v>
      </c>
      <c r="E78">
        <f>V28+W28+X28+Y28</f>
        <v>0</v>
      </c>
      <c r="H78" s="157" t="s">
        <v>870</v>
      </c>
      <c r="I78" s="269">
        <f>Q119</f>
        <v>0</v>
      </c>
      <c r="J78" s="299">
        <f>I78*13</f>
        <v>0</v>
      </c>
      <c r="K78" s="154" t="s">
        <v>888</v>
      </c>
      <c r="L78" s="155"/>
      <c r="M78" s="155"/>
      <c r="N78" s="156"/>
    </row>
    <row r="79" spans="1:14" x14ac:dyDescent="0.2">
      <c r="D79" s="286" t="s">
        <v>629</v>
      </c>
      <c r="E79">
        <f>'Deck TakeOff'!F69</f>
        <v>0</v>
      </c>
      <c r="H79" s="157" t="s">
        <v>871</v>
      </c>
      <c r="I79" s="269">
        <f>Q120</f>
        <v>0</v>
      </c>
      <c r="J79" s="299">
        <f>I79*16</f>
        <v>0</v>
      </c>
      <c r="K79" s="157" t="s">
        <v>866</v>
      </c>
      <c r="L79" s="269">
        <f t="shared" ref="L79:L84" si="2">I74</f>
        <v>10</v>
      </c>
      <c r="M79" s="409">
        <f>I74*15</f>
        <v>150</v>
      </c>
      <c r="N79" s="158"/>
    </row>
    <row r="80" spans="1:14" x14ac:dyDescent="0.2">
      <c r="D80" s="286" t="s">
        <v>630</v>
      </c>
      <c r="E80">
        <f>'Deck TakeOff'!F70</f>
        <v>0</v>
      </c>
      <c r="H80" s="157" t="s">
        <v>872</v>
      </c>
      <c r="I80" s="791">
        <f>ROUNDUP(IF(('Deck TakeOff'!E60+'Deck TakeOff'!E61)&gt;('Deck TakeOff'!E62+'Deck TakeOff'!E63),(J74+J75)/18,0),0)</f>
        <v>8</v>
      </c>
      <c r="J80" s="799"/>
      <c r="K80" s="157" t="s">
        <v>867</v>
      </c>
      <c r="L80" s="269">
        <f t="shared" si="2"/>
        <v>0</v>
      </c>
      <c r="M80" s="269">
        <f>I75*19</f>
        <v>0</v>
      </c>
      <c r="N80" s="158"/>
    </row>
    <row r="81" spans="1:14" x14ac:dyDescent="0.2">
      <c r="D81" s="286" t="s">
        <v>1341</v>
      </c>
      <c r="E81" s="271">
        <f>('Deck TakeOff'!E21+'Deck TakeOff'!J21+'Deck TakeOff'!E44+'Deck TakeOff'!J44)/75</f>
        <v>0.26666666666666666</v>
      </c>
      <c r="H81" s="157" t="s">
        <v>873</v>
      </c>
      <c r="I81" s="791">
        <f>ROUNDUP(IF(('Deck TakeOff'!E60+'Deck TakeOff'!E61)&gt;('Deck TakeOff'!E62+'Deck TakeOff'!E63),(J78+J79+J77+J76)/18,0),0)</f>
        <v>0</v>
      </c>
      <c r="J81" s="799"/>
      <c r="K81" s="157" t="s">
        <v>868</v>
      </c>
      <c r="L81" s="269">
        <f t="shared" si="2"/>
        <v>0</v>
      </c>
      <c r="M81" s="269">
        <f>I76*15</f>
        <v>0</v>
      </c>
      <c r="N81" s="158"/>
    </row>
    <row r="82" spans="1:14" x14ac:dyDescent="0.2">
      <c r="H82" s="418" t="s">
        <v>939</v>
      </c>
      <c r="I82" s="791">
        <f>ROUNDUP(IF(('Deck TakeOff'!E60+'Deck TakeOff'!E61)&gt;('Deck TakeOff'!E62+'Deck TakeOff'!E63),(J74+J75)/18,0)+IF(('Deck TakeOff'!E60+'Deck TakeOff'!E61)&gt;('Deck TakeOff'!E62+'Deck TakeOff'!E63),(J78+J79+J77+J76)/18,0),0)</f>
        <v>8</v>
      </c>
      <c r="J82" s="799"/>
      <c r="K82" s="157" t="s">
        <v>869</v>
      </c>
      <c r="L82" s="269">
        <f t="shared" si="2"/>
        <v>0</v>
      </c>
      <c r="M82" s="269">
        <f>I77*19</f>
        <v>0</v>
      </c>
      <c r="N82" s="158"/>
    </row>
    <row r="83" spans="1:14" ht="17" thickBot="1" x14ac:dyDescent="0.25">
      <c r="H83" s="157" t="s">
        <v>865</v>
      </c>
      <c r="J83" s="158"/>
      <c r="K83" s="157" t="s">
        <v>870</v>
      </c>
      <c r="L83" s="269">
        <f t="shared" si="2"/>
        <v>0</v>
      </c>
      <c r="M83" s="269">
        <f>I78*15</f>
        <v>0</v>
      </c>
      <c r="N83" s="158"/>
    </row>
    <row r="84" spans="1:14" x14ac:dyDescent="0.2">
      <c r="A84" s="154"/>
      <c r="B84" s="155" t="s">
        <v>701</v>
      </c>
      <c r="C84" s="155"/>
      <c r="D84" s="156"/>
      <c r="E84" s="793" t="s">
        <v>713</v>
      </c>
      <c r="F84" s="794"/>
      <c r="G84" s="155" t="s">
        <v>708</v>
      </c>
      <c r="H84" s="157"/>
      <c r="J84" s="158"/>
      <c r="K84" s="157" t="s">
        <v>871</v>
      </c>
      <c r="L84" s="269">
        <f t="shared" si="2"/>
        <v>0</v>
      </c>
      <c r="M84" s="269">
        <f>I79*19</f>
        <v>0</v>
      </c>
      <c r="N84" s="158"/>
    </row>
    <row r="85" spans="1:14" x14ac:dyDescent="0.2">
      <c r="A85" s="157" t="s">
        <v>693</v>
      </c>
      <c r="C85">
        <f>'Deck TakeOff'!E60</f>
        <v>10</v>
      </c>
      <c r="D85" s="158"/>
      <c r="E85" s="157" t="s">
        <v>339</v>
      </c>
      <c r="F85" s="363"/>
      <c r="G85">
        <f>(14*P117)+(16*Q118)</f>
        <v>0</v>
      </c>
      <c r="H85" s="157"/>
      <c r="I85" s="269"/>
      <c r="J85" s="158"/>
      <c r="K85" s="157"/>
      <c r="N85" s="158"/>
    </row>
    <row r="86" spans="1:14" x14ac:dyDescent="0.2">
      <c r="A86" s="157" t="s">
        <v>694</v>
      </c>
      <c r="C86">
        <f>'Deck TakeOff'!E61</f>
        <v>0</v>
      </c>
      <c r="D86" s="158"/>
      <c r="E86" s="157" t="s">
        <v>340</v>
      </c>
      <c r="F86" s="363"/>
      <c r="G86">
        <f>(14*P121)+(16*Q122)</f>
        <v>0</v>
      </c>
      <c r="H86" s="157" t="s">
        <v>767</v>
      </c>
      <c r="I86" s="269">
        <f>Q113</f>
        <v>0</v>
      </c>
      <c r="J86" s="158">
        <f>13*I86</f>
        <v>0</v>
      </c>
      <c r="K86" s="157" t="s">
        <v>767</v>
      </c>
      <c r="L86" s="269">
        <f>I86</f>
        <v>0</v>
      </c>
      <c r="M86" s="269">
        <f>15*I86</f>
        <v>0</v>
      </c>
      <c r="N86" s="158"/>
    </row>
    <row r="87" spans="1:14" x14ac:dyDescent="0.2">
      <c r="A87" s="157" t="s">
        <v>695</v>
      </c>
      <c r="C87">
        <f>'Deck TakeOff'!E62</f>
        <v>0</v>
      </c>
      <c r="D87" s="158"/>
      <c r="E87" s="157" t="s">
        <v>711</v>
      </c>
      <c r="G87">
        <f>(14*Q113)+(16*Q114)</f>
        <v>0</v>
      </c>
      <c r="H87" s="157" t="s">
        <v>768</v>
      </c>
      <c r="I87" s="269">
        <f>Q114</f>
        <v>0</v>
      </c>
      <c r="J87" s="158">
        <f>I87*16</f>
        <v>0</v>
      </c>
      <c r="K87" s="157" t="s">
        <v>768</v>
      </c>
      <c r="L87" s="269">
        <f>I87</f>
        <v>0</v>
      </c>
      <c r="M87" s="269">
        <f>I87*19</f>
        <v>0</v>
      </c>
      <c r="N87" s="158"/>
    </row>
    <row r="88" spans="1:14" x14ac:dyDescent="0.2">
      <c r="A88" s="157" t="s">
        <v>696</v>
      </c>
      <c r="C88">
        <f>'Deck TakeOff'!E63</f>
        <v>0</v>
      </c>
      <c r="D88" s="158"/>
      <c r="E88" s="157"/>
      <c r="H88" s="157"/>
      <c r="I88" s="269"/>
      <c r="J88" s="158"/>
      <c r="K88" s="157"/>
      <c r="N88" s="158"/>
    </row>
    <row r="89" spans="1:14" x14ac:dyDescent="0.2">
      <c r="A89" s="157" t="s">
        <v>697</v>
      </c>
      <c r="C89">
        <f>P115</f>
        <v>0</v>
      </c>
      <c r="D89" s="158"/>
      <c r="E89" s="157" t="s">
        <v>712</v>
      </c>
      <c r="G89">
        <f>G87+G86+G85</f>
        <v>0</v>
      </c>
      <c r="H89" s="398" t="s">
        <v>769</v>
      </c>
      <c r="I89" s="269"/>
      <c r="J89" s="158">
        <f>(J86+J87)</f>
        <v>0</v>
      </c>
      <c r="K89" s="157" t="s">
        <v>840</v>
      </c>
      <c r="L89">
        <f>I95</f>
        <v>0</v>
      </c>
      <c r="M89">
        <f>IF(L89&gt;0,(L89-L90)*12/4.35,0)</f>
        <v>0</v>
      </c>
      <c r="N89" s="158"/>
    </row>
    <row r="90" spans="1:14" x14ac:dyDescent="0.2">
      <c r="A90" s="157" t="s">
        <v>698</v>
      </c>
      <c r="C90">
        <f>Q116</f>
        <v>0</v>
      </c>
      <c r="D90" s="158"/>
      <c r="E90" s="157" t="s">
        <v>710</v>
      </c>
      <c r="G90">
        <f>G89/16</f>
        <v>0</v>
      </c>
      <c r="H90" s="157" t="s">
        <v>842</v>
      </c>
      <c r="I90" s="292"/>
      <c r="J90" s="158">
        <f>ROUNDUP(J89/18,0)</f>
        <v>0</v>
      </c>
      <c r="K90" s="157" t="s">
        <v>892</v>
      </c>
      <c r="L90">
        <f>I96</f>
        <v>0</v>
      </c>
      <c r="N90" s="158"/>
    </row>
    <row r="91" spans="1:14" x14ac:dyDescent="0.2">
      <c r="A91" s="157" t="s">
        <v>699</v>
      </c>
      <c r="C91">
        <f>P121</f>
        <v>0</v>
      </c>
      <c r="D91" s="158"/>
      <c r="E91" s="362" t="s">
        <v>709</v>
      </c>
      <c r="F91" s="298"/>
      <c r="G91" s="311">
        <f>ROUNDUP(G90,0)</f>
        <v>0</v>
      </c>
      <c r="H91" s="399" t="s">
        <v>843</v>
      </c>
      <c r="I91" s="269"/>
      <c r="J91" s="315">
        <f>IF(('Deck TakeOff'!E63+'Deck TakeOff'!E62)&gt;('Deck TakeOff'!E61+'Deck TakeOff'!E60),Formulas!J90,0)</f>
        <v>0</v>
      </c>
      <c r="K91" s="157"/>
      <c r="N91" s="158"/>
    </row>
    <row r="92" spans="1:14" x14ac:dyDescent="0.2">
      <c r="A92" s="157" t="s">
        <v>700</v>
      </c>
      <c r="C92">
        <f>Q122</f>
        <v>0</v>
      </c>
      <c r="D92" s="158"/>
      <c r="E92" s="798" t="s">
        <v>714</v>
      </c>
      <c r="F92" s="791"/>
      <c r="G92" t="s">
        <v>708</v>
      </c>
      <c r="H92" s="157"/>
      <c r="I92" s="269"/>
      <c r="J92" s="396"/>
      <c r="K92" s="362" t="s">
        <v>873</v>
      </c>
      <c r="L92" s="311"/>
      <c r="M92" s="311">
        <f>ROUNDUP((M79+M80+M81+M82+M83+M84)/20,0)</f>
        <v>8</v>
      </c>
      <c r="N92" s="158"/>
    </row>
    <row r="93" spans="1:14" x14ac:dyDescent="0.2">
      <c r="A93" s="157"/>
      <c r="D93" s="158"/>
      <c r="E93" s="157" t="s">
        <v>339</v>
      </c>
      <c r="G93">
        <f>(14*P115)+(16*Q116)</f>
        <v>0</v>
      </c>
      <c r="H93" s="362"/>
      <c r="I93" s="311"/>
      <c r="J93" s="397"/>
      <c r="K93" s="362" t="s">
        <v>889</v>
      </c>
      <c r="L93" s="311"/>
      <c r="M93" s="311">
        <f>ROUNDUP((M87+M86+M89)/20,0)</f>
        <v>0</v>
      </c>
      <c r="N93" s="158"/>
    </row>
    <row r="94" spans="1:14" x14ac:dyDescent="0.2">
      <c r="A94" s="157" t="s">
        <v>702</v>
      </c>
      <c r="C94">
        <f>ROUNDUP(((C89+C91)*6)/4,0)</f>
        <v>0</v>
      </c>
      <c r="D94" s="158"/>
      <c r="E94" s="157" t="s">
        <v>340</v>
      </c>
      <c r="G94">
        <f>(14*P119)+(16*Q120)</f>
        <v>0</v>
      </c>
      <c r="H94" s="157"/>
      <c r="J94" s="158"/>
      <c r="K94" s="157"/>
      <c r="N94" s="158"/>
    </row>
    <row r="95" spans="1:14" x14ac:dyDescent="0.2">
      <c r="A95" s="157" t="s">
        <v>706</v>
      </c>
      <c r="C95">
        <f>ROUNDUP(((C90+C92)*8)/6,0)</f>
        <v>0</v>
      </c>
      <c r="D95" s="158"/>
      <c r="E95" s="157" t="s">
        <v>715</v>
      </c>
      <c r="G95">
        <f>(14*Q111)+(16*Q112)</f>
        <v>140</v>
      </c>
      <c r="H95" s="157" t="s">
        <v>840</v>
      </c>
      <c r="I95">
        <f>(Q117*5.6)+(Q118*7.6)+(Q121*5.6)+(Q122*7.6)</f>
        <v>0</v>
      </c>
      <c r="J95" s="158">
        <f>IF(I95&gt;0,(I95-I96)*12/5.5,0)</f>
        <v>0</v>
      </c>
      <c r="K95" s="157" t="s">
        <v>891</v>
      </c>
      <c r="N95" s="158"/>
    </row>
    <row r="96" spans="1:14" x14ac:dyDescent="0.2">
      <c r="A96" s="157" t="s">
        <v>703</v>
      </c>
      <c r="C96">
        <f>ROUNDUP(((C85+C87)*6)/4,0)</f>
        <v>15</v>
      </c>
      <c r="D96" s="158"/>
      <c r="E96" s="157" t="s">
        <v>710</v>
      </c>
      <c r="F96">
        <f>G96/16</f>
        <v>8.75</v>
      </c>
      <c r="G96">
        <f>G93+G94+G95</f>
        <v>140</v>
      </c>
      <c r="H96" s="157" t="s">
        <v>839</v>
      </c>
      <c r="I96">
        <f>(T111+U111)*5.5/12</f>
        <v>0</v>
      </c>
      <c r="J96" s="158"/>
      <c r="K96" s="157" t="s">
        <v>890</v>
      </c>
      <c r="N96" s="158"/>
    </row>
    <row r="97" spans="1:28" x14ac:dyDescent="0.2">
      <c r="A97" s="157" t="s">
        <v>707</v>
      </c>
      <c r="C97">
        <f>ROUNDUP(((C86+C88)*6)/4,0)</f>
        <v>0</v>
      </c>
      <c r="D97" s="158"/>
      <c r="E97" s="362" t="s">
        <v>709</v>
      </c>
      <c r="F97" s="298"/>
      <c r="G97" s="311">
        <f>ROUNDUP(F96,0)</f>
        <v>9</v>
      </c>
      <c r="H97" s="398" t="s">
        <v>841</v>
      </c>
      <c r="J97" s="158">
        <f>J95</f>
        <v>0</v>
      </c>
      <c r="K97" s="157"/>
      <c r="N97" s="158"/>
    </row>
    <row r="98" spans="1:28" x14ac:dyDescent="0.2">
      <c r="A98" s="157"/>
      <c r="D98" s="158"/>
      <c r="E98" s="157"/>
      <c r="H98" s="399" t="s">
        <v>843</v>
      </c>
      <c r="J98" s="315">
        <f>ROUNDUP(J95/18,0)</f>
        <v>0</v>
      </c>
      <c r="K98" s="157"/>
      <c r="N98" s="158"/>
    </row>
    <row r="99" spans="1:28" ht="17" thickBot="1" x14ac:dyDescent="0.25">
      <c r="A99" s="362" t="s">
        <v>704</v>
      </c>
      <c r="B99" s="311"/>
      <c r="C99" s="311">
        <f>C94+C96</f>
        <v>15</v>
      </c>
      <c r="D99" s="158"/>
      <c r="E99" s="157" t="s">
        <v>730</v>
      </c>
      <c r="H99" s="159" t="s">
        <v>838</v>
      </c>
      <c r="I99" s="160"/>
      <c r="J99" s="161"/>
      <c r="K99" s="159"/>
      <c r="L99" s="160"/>
      <c r="M99" s="160"/>
      <c r="N99" s="161"/>
    </row>
    <row r="100" spans="1:28" x14ac:dyDescent="0.2">
      <c r="A100" s="362" t="s">
        <v>705</v>
      </c>
      <c r="B100" s="311"/>
      <c r="C100" s="311">
        <f>C97+C95</f>
        <v>0</v>
      </c>
      <c r="D100" s="158"/>
      <c r="E100" s="157" t="s">
        <v>339</v>
      </c>
      <c r="F100" s="269">
        <f>ROUNDUP(IF('Deck TakeOff'!E38&gt;3,'Deck TakeOff'!E38*13.5/12,0),0)</f>
        <v>0</v>
      </c>
      <c r="H100" s="157"/>
      <c r="I100" s="791" t="s">
        <v>790</v>
      </c>
      <c r="J100" s="791"/>
      <c r="K100" s="794"/>
      <c r="L100" s="794"/>
      <c r="M100" s="794"/>
      <c r="N100" s="155"/>
      <c r="O100" s="793" t="s">
        <v>794</v>
      </c>
      <c r="P100" s="794"/>
      <c r="Q100" s="794"/>
      <c r="R100" s="794"/>
      <c r="S100" s="794"/>
      <c r="T100" s="155"/>
      <c r="U100" s="155"/>
      <c r="V100" s="155"/>
      <c r="W100" s="155"/>
      <c r="X100" s="155"/>
      <c r="Y100" s="155"/>
      <c r="Z100" s="155"/>
      <c r="AA100" s="155"/>
      <c r="AB100" s="156"/>
    </row>
    <row r="101" spans="1:28" ht="17" thickBot="1" x14ac:dyDescent="0.25">
      <c r="A101" s="159"/>
      <c r="B101" s="160"/>
      <c r="C101" s="160"/>
      <c r="D101" s="161"/>
      <c r="E101" s="159" t="s">
        <v>340</v>
      </c>
      <c r="F101" s="296">
        <f>ROUNDUP(IF('Deck TakeOff'!J38&gt;3,'Deck TakeOff'!J38*13.5/12,0),0)</f>
        <v>0</v>
      </c>
      <c r="G101" s="160"/>
      <c r="H101" s="157"/>
      <c r="I101" s="269" t="s">
        <v>778</v>
      </c>
      <c r="J101" s="269" t="s">
        <v>791</v>
      </c>
      <c r="K101" t="s">
        <v>789</v>
      </c>
      <c r="L101" t="s">
        <v>792</v>
      </c>
      <c r="M101" t="s">
        <v>793</v>
      </c>
      <c r="O101" s="157"/>
      <c r="P101" s="284" t="s">
        <v>796</v>
      </c>
      <c r="Q101" s="284" t="s">
        <v>797</v>
      </c>
      <c r="R101" s="284" t="s">
        <v>802</v>
      </c>
      <c r="S101" s="284" t="s">
        <v>803</v>
      </c>
      <c r="T101" s="284" t="s">
        <v>798</v>
      </c>
      <c r="U101" s="284" t="s">
        <v>799</v>
      </c>
      <c r="V101" s="284" t="s">
        <v>804</v>
      </c>
      <c r="W101" s="284" t="s">
        <v>805</v>
      </c>
      <c r="X101" s="284" t="s">
        <v>806</v>
      </c>
      <c r="Y101" s="284" t="s">
        <v>807</v>
      </c>
      <c r="Z101" s="284" t="s">
        <v>808</v>
      </c>
      <c r="AA101" s="284" t="s">
        <v>809</v>
      </c>
      <c r="AB101" s="158"/>
    </row>
    <row r="102" spans="1:28" x14ac:dyDescent="0.2">
      <c r="A102" s="793" t="s">
        <v>744</v>
      </c>
      <c r="B102" s="794"/>
      <c r="C102" s="794"/>
      <c r="D102" s="797"/>
      <c r="E102" s="793" t="s">
        <v>747</v>
      </c>
      <c r="F102" s="794"/>
      <c r="G102" s="380" t="s">
        <v>781</v>
      </c>
      <c r="H102" s="378" t="s">
        <v>775</v>
      </c>
      <c r="I102" s="269">
        <f>VLOOKUP(I104,H109:M126,6,FALSE)</f>
        <v>0</v>
      </c>
      <c r="J102" s="269">
        <f>VLOOKUP(I104,H109:M126,5,FALSE)</f>
        <v>0</v>
      </c>
      <c r="K102" s="269">
        <f>VLOOKUP(I104,H109:M126,4,FALSE)</f>
        <v>0</v>
      </c>
      <c r="L102" s="269">
        <f>VLOOKUP(I104,H109:M126,2,FALSE)</f>
        <v>0</v>
      </c>
      <c r="M102" s="269">
        <f>VLOOKUP(I104,H109:M126,3,FALSE)</f>
        <v>0</v>
      </c>
      <c r="O102" s="157" t="s">
        <v>795</v>
      </c>
      <c r="P102" s="269">
        <f>'Deck TakeOff'!E60</f>
        <v>10</v>
      </c>
      <c r="Q102" s="269">
        <f>'Deck TakeOff'!E61</f>
        <v>0</v>
      </c>
      <c r="R102" s="269">
        <f>IF(P105=O107,K102,0)+IF(P105=O108,K102/2)</f>
        <v>0</v>
      </c>
      <c r="S102" s="269"/>
      <c r="T102" s="269">
        <f>'Deck TakeOff'!E62</f>
        <v>0</v>
      </c>
      <c r="U102" s="269">
        <f>'Deck TakeOff'!E63</f>
        <v>0</v>
      </c>
      <c r="V102" s="269">
        <f>IF(P105=O107,K102,0)+IF(P105=O108,K102/2)</f>
        <v>0</v>
      </c>
      <c r="W102" s="269"/>
      <c r="X102" s="269">
        <f>IF(P106=O107,K103,0)+IF(P106=O108,K103/2)</f>
        <v>0</v>
      </c>
      <c r="Y102" s="269"/>
      <c r="Z102" s="269">
        <f>IF(P106=O107,K103,0)+IF(P106=O108,K103/2)</f>
        <v>0</v>
      </c>
      <c r="AA102" s="269"/>
      <c r="AB102" s="158"/>
    </row>
    <row r="103" spans="1:28" x14ac:dyDescent="0.2">
      <c r="A103" s="795" t="s">
        <v>745</v>
      </c>
      <c r="B103" s="796"/>
      <c r="C103">
        <f>E61</f>
        <v>0</v>
      </c>
      <c r="D103" s="315">
        <f>IF(C103&gt;6,C103,0)</f>
        <v>0</v>
      </c>
      <c r="E103" s="157" t="s">
        <v>749</v>
      </c>
      <c r="F103" t="str">
        <f>'Deck TakeOff'!E56</f>
        <v>No</v>
      </c>
      <c r="G103" s="269" t="s">
        <v>782</v>
      </c>
      <c r="H103" s="378" t="s">
        <v>776</v>
      </c>
      <c r="I103" s="269">
        <f>VLOOKUP(I105,H109:M126,6,FALSE)</f>
        <v>0</v>
      </c>
      <c r="J103" s="269">
        <f>VLOOKUP(I105,H109:M126,5,FALSE)</f>
        <v>0</v>
      </c>
      <c r="K103" s="269">
        <f>VLOOKUP(I105,H109:M126,4,FALSE)</f>
        <v>0</v>
      </c>
      <c r="L103" s="269">
        <f>VLOOKUP(I105,H109:M126,2,FALSE)</f>
        <v>0</v>
      </c>
      <c r="M103" s="269">
        <f>VLOOKUP(I105,H109:M126,3,FALSE)</f>
        <v>0</v>
      </c>
      <c r="O103" s="157" t="s">
        <v>778</v>
      </c>
      <c r="P103" s="269">
        <f>'Deck TakeOff'!E60</f>
        <v>10</v>
      </c>
      <c r="Q103" s="269">
        <f>'Deck TakeOff'!E61</f>
        <v>0</v>
      </c>
      <c r="R103" s="269">
        <f>IF(P105=O107,L102,0)+IF(P105=O108,L102/2)</f>
        <v>0</v>
      </c>
      <c r="S103" s="269">
        <f>IF(P105=O107,M102,0)+IF(P105=O108,M102/2)</f>
        <v>0</v>
      </c>
      <c r="T103" s="269">
        <f>'Deck TakeOff'!E62</f>
        <v>0</v>
      </c>
      <c r="U103" s="269">
        <f>'Deck TakeOff'!E63</f>
        <v>0</v>
      </c>
      <c r="V103" s="269">
        <f>IF(P105=O107,L102,0)+IF(P105=O108,L102/2)</f>
        <v>0</v>
      </c>
      <c r="W103" s="269">
        <f>IF(P105=O107,M102,0)+IF(P105=O108,M102/2)</f>
        <v>0</v>
      </c>
      <c r="X103" s="269">
        <f>IF(P106=O107,L102,0)+IF(P106=O108,L102/2)</f>
        <v>0</v>
      </c>
      <c r="Y103" s="269">
        <f>IF(P106=O107,M103,0)+IF(P106=O108,M103/2)</f>
        <v>0</v>
      </c>
      <c r="Z103" s="269">
        <f>IF(P106=O107,L102,0)+IF(P106=O108,L102/2)</f>
        <v>0</v>
      </c>
      <c r="AA103" s="269">
        <f>IF(P106=O107,M103,0)+IF(P106=O108,M103/2)</f>
        <v>0</v>
      </c>
      <c r="AB103" s="158"/>
    </row>
    <row r="104" spans="1:28" x14ac:dyDescent="0.2">
      <c r="A104" s="795" t="s">
        <v>746</v>
      </c>
      <c r="B104" s="796"/>
      <c r="C104">
        <f>E62</f>
        <v>0</v>
      </c>
      <c r="D104" s="315">
        <f>IF(C104&gt;6,C104,0)</f>
        <v>0</v>
      </c>
      <c r="E104" s="157" t="s">
        <v>750</v>
      </c>
      <c r="F104">
        <f>'Deck TakeOff'!E58</f>
        <v>0</v>
      </c>
      <c r="G104" s="269" t="s">
        <v>800</v>
      </c>
      <c r="H104" s="157" t="s">
        <v>779</v>
      </c>
      <c r="I104" s="269">
        <f>C61</f>
        <v>0</v>
      </c>
      <c r="J104" s="269"/>
      <c r="K104" s="269"/>
      <c r="L104" s="269"/>
      <c r="M104" s="269"/>
      <c r="O104" s="157"/>
      <c r="AB104" s="158"/>
    </row>
    <row r="105" spans="1:28" x14ac:dyDescent="0.2">
      <c r="A105" s="157"/>
      <c r="D105" s="158"/>
      <c r="E105" s="157"/>
      <c r="G105" s="269" t="s">
        <v>801</v>
      </c>
      <c r="H105" s="157" t="s">
        <v>788</v>
      </c>
      <c r="I105" s="269">
        <f>C62</f>
        <v>0</v>
      </c>
      <c r="J105" s="269"/>
      <c r="K105" s="269"/>
      <c r="L105" s="269"/>
      <c r="M105" s="269"/>
      <c r="O105" s="157" t="s">
        <v>339</v>
      </c>
      <c r="P105" s="271" t="str">
        <f>'Deck TakeOff'!E35</f>
        <v>Select…</v>
      </c>
      <c r="AB105" s="158"/>
    </row>
    <row r="106" spans="1:28" x14ac:dyDescent="0.2">
      <c r="A106" s="798" t="s">
        <v>730</v>
      </c>
      <c r="B106" s="791"/>
      <c r="C106" s="791"/>
      <c r="D106" s="799"/>
      <c r="E106" s="157" t="s">
        <v>751</v>
      </c>
      <c r="F106">
        <f>'Deck TakeOff'!E57</f>
        <v>0</v>
      </c>
      <c r="H106" s="157"/>
      <c r="I106" s="269"/>
      <c r="J106" s="269"/>
      <c r="K106" s="269"/>
      <c r="L106" s="269"/>
      <c r="O106" s="157" t="s">
        <v>340</v>
      </c>
      <c r="P106" s="271" t="str">
        <f>'Deck TakeOff'!J35</f>
        <v>Select…</v>
      </c>
      <c r="AB106" s="158"/>
    </row>
    <row r="107" spans="1:28" x14ac:dyDescent="0.2">
      <c r="A107" s="795" t="s">
        <v>745</v>
      </c>
      <c r="B107" s="796"/>
      <c r="C107">
        <f>E61</f>
        <v>0</v>
      </c>
      <c r="D107" s="158">
        <f>IF('Deck TakeOff'!E32&gt;2.5,C107,0)</f>
        <v>0</v>
      </c>
      <c r="E107" s="157" t="s">
        <v>748</v>
      </c>
      <c r="F107">
        <f>'Deck TakeOff'!E59</f>
        <v>0</v>
      </c>
      <c r="H107" s="157"/>
      <c r="I107" s="791" t="s">
        <v>784</v>
      </c>
      <c r="J107" s="791"/>
      <c r="K107" s="791" t="s">
        <v>783</v>
      </c>
      <c r="L107" s="791"/>
      <c r="M107" s="791"/>
      <c r="N107" t="s">
        <v>832</v>
      </c>
      <c r="O107" s="157" t="s">
        <v>800</v>
      </c>
      <c r="AB107" s="158"/>
    </row>
    <row r="108" spans="1:28" x14ac:dyDescent="0.2">
      <c r="A108" s="795" t="s">
        <v>746</v>
      </c>
      <c r="B108" s="796"/>
      <c r="C108">
        <f>E62</f>
        <v>0</v>
      </c>
      <c r="D108" s="158">
        <f>IF('Deck TakeOff'!J32&gt;2.5,C108,0)</f>
        <v>0</v>
      </c>
      <c r="E108" s="157"/>
      <c r="H108" s="157" t="s">
        <v>779</v>
      </c>
      <c r="I108" s="269" t="s">
        <v>792</v>
      </c>
      <c r="J108" s="269" t="s">
        <v>785</v>
      </c>
      <c r="K108" s="269" t="s">
        <v>789</v>
      </c>
      <c r="L108" s="269" t="s">
        <v>786</v>
      </c>
      <c r="M108" s="269" t="s">
        <v>787</v>
      </c>
      <c r="O108" s="309" t="s">
        <v>801</v>
      </c>
      <c r="AB108" s="158"/>
    </row>
    <row r="109" spans="1:28" x14ac:dyDescent="0.2">
      <c r="A109" s="378"/>
      <c r="B109" s="285"/>
      <c r="D109" s="158"/>
      <c r="E109" s="157"/>
      <c r="H109" s="309">
        <v>0</v>
      </c>
      <c r="I109" s="269">
        <v>0</v>
      </c>
      <c r="J109" s="269">
        <v>0</v>
      </c>
      <c r="K109" s="269">
        <v>0</v>
      </c>
      <c r="L109" s="269">
        <v>0</v>
      </c>
      <c r="M109" s="269">
        <v>0</v>
      </c>
      <c r="N109" s="269">
        <v>0</v>
      </c>
      <c r="O109" s="157"/>
      <c r="AB109" s="158"/>
    </row>
    <row r="110" spans="1:28" x14ac:dyDescent="0.2">
      <c r="A110" s="157"/>
      <c r="D110" s="158"/>
      <c r="E110" s="157" t="s">
        <v>752</v>
      </c>
      <c r="F110" t="e">
        <f>F103+(F106*2)</f>
        <v>#VALUE!</v>
      </c>
      <c r="H110" s="309">
        <v>1</v>
      </c>
      <c r="I110" s="269">
        <v>1</v>
      </c>
      <c r="J110" s="269"/>
      <c r="K110">
        <v>1</v>
      </c>
      <c r="L110" s="269">
        <v>2</v>
      </c>
      <c r="M110" s="269">
        <v>2</v>
      </c>
      <c r="N110" s="269">
        <v>0</v>
      </c>
      <c r="O110" s="157"/>
      <c r="P110" s="269" t="s">
        <v>777</v>
      </c>
      <c r="Q110" s="269" t="s">
        <v>778</v>
      </c>
      <c r="R110" s="388" t="s">
        <v>833</v>
      </c>
      <c r="S110" s="389" t="s">
        <v>834</v>
      </c>
      <c r="T110" s="284" t="s">
        <v>835</v>
      </c>
      <c r="U110" s="284" t="s">
        <v>836</v>
      </c>
      <c r="AB110" s="158"/>
    </row>
    <row r="111" spans="1:28" ht="17" thickBot="1" x14ac:dyDescent="0.25">
      <c r="A111" s="159"/>
      <c r="B111" s="160"/>
      <c r="C111" s="160"/>
      <c r="D111" s="161"/>
      <c r="E111" s="159" t="s">
        <v>753</v>
      </c>
      <c r="F111" s="160">
        <f>F104+(F107*2)</f>
        <v>0</v>
      </c>
      <c r="G111" s="160"/>
      <c r="H111" s="309">
        <v>2</v>
      </c>
      <c r="I111" s="269">
        <v>1</v>
      </c>
      <c r="J111" s="269"/>
      <c r="K111">
        <v>1</v>
      </c>
      <c r="L111" s="269">
        <v>2</v>
      </c>
      <c r="M111" s="269">
        <v>2</v>
      </c>
      <c r="N111" s="269">
        <v>0</v>
      </c>
      <c r="O111" s="157" t="s">
        <v>810</v>
      </c>
      <c r="P111" s="269">
        <f>IF(P102+Q102&gt;T102+U102,P102,0)</f>
        <v>10</v>
      </c>
      <c r="Q111" s="269">
        <f>IF(P102+Q102&gt;T102+U102,P103,0)</f>
        <v>10</v>
      </c>
      <c r="R111" s="269">
        <f>IF(P105=O107,J102,0)+IF(P105=O108,J102/2)</f>
        <v>0</v>
      </c>
      <c r="S111" s="269">
        <f>IF(P105=O107,J103,0)+IF(P105=O108,J103/2)</f>
        <v>0</v>
      </c>
      <c r="T111" s="269">
        <f>IF(P105=O107,I102,0)+IF(P105=O108,I102/2)</f>
        <v>0</v>
      </c>
      <c r="U111" s="269">
        <f>IF(P105=O107,I103,0)+IF(P105=O108,I103/2)</f>
        <v>0</v>
      </c>
      <c r="AB111" s="158"/>
    </row>
    <row r="112" spans="1:28" x14ac:dyDescent="0.2">
      <c r="A112" s="154"/>
      <c r="B112" s="155"/>
      <c r="C112" s="794" t="s">
        <v>846</v>
      </c>
      <c r="D112" s="794"/>
      <c r="E112" s="155"/>
      <c r="F112" s="155"/>
      <c r="G112" s="156"/>
      <c r="H112" s="309">
        <v>3</v>
      </c>
      <c r="I112" s="269"/>
      <c r="J112" s="269">
        <v>1</v>
      </c>
      <c r="K112">
        <v>2</v>
      </c>
      <c r="L112" s="269">
        <v>2</v>
      </c>
      <c r="M112" s="269">
        <v>2</v>
      </c>
      <c r="N112" s="269">
        <v>0</v>
      </c>
      <c r="O112" s="157" t="s">
        <v>811</v>
      </c>
      <c r="P112" s="269">
        <f>IF(P102+Q102&gt;T102+U102,Q102,0)</f>
        <v>0</v>
      </c>
      <c r="Q112" s="269">
        <f>IF(P102+Q102&gt;T102+U102,Q102,0)</f>
        <v>0</v>
      </c>
      <c r="AB112" s="158"/>
    </row>
    <row r="113" spans="1:28" x14ac:dyDescent="0.2">
      <c r="A113" s="798" t="s">
        <v>951</v>
      </c>
      <c r="B113" s="791"/>
      <c r="C113">
        <f>ROUNDDOWN((T111/2)+(U111/2),0)</f>
        <v>0</v>
      </c>
      <c r="G113" s="158"/>
      <c r="H113" s="309">
        <v>4</v>
      </c>
      <c r="I113" s="269">
        <v>2</v>
      </c>
      <c r="J113" s="269"/>
      <c r="K113">
        <v>2</v>
      </c>
      <c r="L113" s="269">
        <v>2</v>
      </c>
      <c r="M113" s="269">
        <v>2</v>
      </c>
      <c r="O113" s="393" t="s">
        <v>812</v>
      </c>
      <c r="P113" s="269">
        <f>IF(P102+Q102&gt;T102+U102,0,T102)</f>
        <v>0</v>
      </c>
      <c r="Q113" s="269">
        <f>IF(P102+Q102&gt;T102+U102,0,T103)</f>
        <v>0</v>
      </c>
      <c r="AB113" s="158"/>
    </row>
    <row r="114" spans="1:28" x14ac:dyDescent="0.2">
      <c r="A114" s="798" t="s">
        <v>847</v>
      </c>
      <c r="B114" s="791"/>
      <c r="C114">
        <f>'Deck TakeOff'!H66+C113</f>
        <v>0</v>
      </c>
      <c r="G114" s="158"/>
      <c r="H114" s="309">
        <v>5</v>
      </c>
      <c r="I114" s="269">
        <v>2</v>
      </c>
      <c r="J114" s="269"/>
      <c r="K114">
        <v>2</v>
      </c>
      <c r="L114" s="269">
        <v>2</v>
      </c>
      <c r="M114" s="269">
        <v>2</v>
      </c>
      <c r="O114" s="393" t="s">
        <v>813</v>
      </c>
      <c r="P114" s="269">
        <f>IF(P102+Q102&gt;T102+U102,0,U102)</f>
        <v>0</v>
      </c>
      <c r="Q114" s="269">
        <f>IF(P102+Q102&gt;T102+U102,0,U103)</f>
        <v>0</v>
      </c>
      <c r="AB114" s="158"/>
    </row>
    <row r="115" spans="1:28" x14ac:dyDescent="0.2">
      <c r="A115" s="812" t="s">
        <v>859</v>
      </c>
      <c r="B115" s="813"/>
      <c r="C115">
        <f>'Deck TakeOff'!H62</f>
        <v>0</v>
      </c>
      <c r="D115" s="812" t="s">
        <v>861</v>
      </c>
      <c r="E115" s="813"/>
      <c r="F115">
        <f>'Deck TakeOff'!H60</f>
        <v>0</v>
      </c>
      <c r="G115" s="158"/>
      <c r="H115" s="309">
        <v>6</v>
      </c>
      <c r="I115" s="269"/>
      <c r="J115" s="269">
        <v>2</v>
      </c>
      <c r="K115">
        <v>2</v>
      </c>
      <c r="L115" s="269">
        <v>2</v>
      </c>
      <c r="M115" s="269">
        <v>2</v>
      </c>
      <c r="O115" s="157" t="s">
        <v>814</v>
      </c>
      <c r="P115" s="269">
        <f>IF(P102+Q102&gt;T102+U102,R102,0)</f>
        <v>0</v>
      </c>
      <c r="Q115" s="269">
        <f>IF(P102+Q102&gt;T102+U102,R103,0)</f>
        <v>0</v>
      </c>
      <c r="AB115" s="158"/>
    </row>
    <row r="116" spans="1:28" x14ac:dyDescent="0.2">
      <c r="A116" s="812" t="s">
        <v>860</v>
      </c>
      <c r="B116" s="813"/>
      <c r="C116">
        <f>'Deck TakeOff'!H63</f>
        <v>0</v>
      </c>
      <c r="D116" s="812" t="s">
        <v>862</v>
      </c>
      <c r="E116" s="813"/>
      <c r="F116">
        <f>'Deck TakeOff'!H61</f>
        <v>10</v>
      </c>
      <c r="G116" s="158"/>
      <c r="H116" s="309">
        <v>7</v>
      </c>
      <c r="I116" s="269"/>
      <c r="J116" s="269">
        <v>2</v>
      </c>
      <c r="K116">
        <v>4</v>
      </c>
      <c r="L116" s="269">
        <v>4</v>
      </c>
      <c r="M116" s="269">
        <v>2</v>
      </c>
      <c r="O116" s="157" t="s">
        <v>815</v>
      </c>
      <c r="P116" s="269"/>
      <c r="Q116" s="269">
        <f>IF(P102+Q102&gt;T102+U102,S103,0)</f>
        <v>0</v>
      </c>
      <c r="AB116" s="158"/>
    </row>
    <row r="117" spans="1:28" x14ac:dyDescent="0.2">
      <c r="A117" s="798" t="s">
        <v>848</v>
      </c>
      <c r="B117" s="791"/>
      <c r="C117">
        <f>'Deck TakeOff'!H58</f>
        <v>10</v>
      </c>
      <c r="G117" s="158"/>
      <c r="H117" s="309">
        <v>8</v>
      </c>
      <c r="I117" s="269">
        <v>4</v>
      </c>
      <c r="J117" s="269"/>
      <c r="K117">
        <v>4</v>
      </c>
      <c r="L117" s="269">
        <v>4</v>
      </c>
      <c r="M117" s="269">
        <v>4</v>
      </c>
      <c r="O117" s="393" t="s">
        <v>816</v>
      </c>
      <c r="P117" s="269">
        <f>IF(P102+Q102&gt;T102+U102,0,V102)</f>
        <v>0</v>
      </c>
      <c r="Q117" s="269">
        <f>IF(P102+Q102&gt;T102+U102,0,V103)</f>
        <v>0</v>
      </c>
      <c r="AB117" s="158"/>
    </row>
    <row r="118" spans="1:28" x14ac:dyDescent="0.2">
      <c r="A118" s="798" t="s">
        <v>849</v>
      </c>
      <c r="B118" s="791"/>
      <c r="C118">
        <f>'Deck TakeOff'!H59</f>
        <v>0</v>
      </c>
      <c r="G118" s="158"/>
      <c r="H118" s="309">
        <v>9</v>
      </c>
      <c r="I118" s="269">
        <v>4</v>
      </c>
      <c r="J118" s="269"/>
      <c r="K118">
        <v>4</v>
      </c>
      <c r="L118" s="269">
        <v>4</v>
      </c>
      <c r="M118" s="269">
        <v>4</v>
      </c>
      <c r="O118" s="393" t="s">
        <v>817</v>
      </c>
      <c r="P118" s="269"/>
      <c r="Q118" s="269">
        <f>IF(P102+Q102&gt;T102+U102,0,W103)</f>
        <v>0</v>
      </c>
      <c r="AB118" s="158"/>
    </row>
    <row r="119" spans="1:28" x14ac:dyDescent="0.2">
      <c r="A119" s="798"/>
      <c r="B119" s="791"/>
      <c r="C119" t="s">
        <v>938</v>
      </c>
      <c r="G119" s="158"/>
      <c r="H119" s="309">
        <v>10</v>
      </c>
      <c r="I119" s="269">
        <v>4</v>
      </c>
      <c r="J119" s="269"/>
      <c r="K119">
        <v>4</v>
      </c>
      <c r="L119" s="269">
        <v>4</v>
      </c>
      <c r="M119" s="269">
        <v>4</v>
      </c>
      <c r="O119" s="157" t="s">
        <v>818</v>
      </c>
      <c r="P119" s="269">
        <f>IF(P102+Q102&gt;T102+U102,X102,0)</f>
        <v>0</v>
      </c>
      <c r="Q119" s="269">
        <f>IF(P102+Q102&gt;T102+U102,X103,0)</f>
        <v>0</v>
      </c>
      <c r="AB119" s="158"/>
    </row>
    <row r="120" spans="1:28" x14ac:dyDescent="0.2">
      <c r="A120" s="798" t="s">
        <v>850</v>
      </c>
      <c r="B120" s="791"/>
      <c r="C120">
        <f>(C117*9)+(C118*11)</f>
        <v>90</v>
      </c>
      <c r="G120" s="158"/>
      <c r="H120" s="309">
        <v>11</v>
      </c>
      <c r="I120" s="269"/>
      <c r="J120" s="269">
        <v>4</v>
      </c>
      <c r="K120">
        <v>4</v>
      </c>
      <c r="L120" s="269">
        <v>4</v>
      </c>
      <c r="M120" s="269">
        <v>4</v>
      </c>
      <c r="O120" s="157" t="s">
        <v>819</v>
      </c>
      <c r="P120" s="269"/>
      <c r="Q120" s="269">
        <f>IF(P102+Q102&gt;T102+U102,Y103,0)</f>
        <v>0</v>
      </c>
      <c r="AB120" s="158"/>
    </row>
    <row r="121" spans="1:28" x14ac:dyDescent="0.2">
      <c r="A121" s="798" t="s">
        <v>851</v>
      </c>
      <c r="B121" s="791"/>
      <c r="C121">
        <f>ROUNDUP(((C120/500)-C122)*500/100,0)</f>
        <v>1</v>
      </c>
      <c r="G121" s="158"/>
      <c r="H121" s="309">
        <v>12</v>
      </c>
      <c r="I121" s="269"/>
      <c r="J121" s="269">
        <v>4</v>
      </c>
      <c r="K121">
        <v>4</v>
      </c>
      <c r="L121" s="269">
        <v>4</v>
      </c>
      <c r="M121" s="269">
        <v>4</v>
      </c>
      <c r="O121" s="393" t="s">
        <v>820</v>
      </c>
      <c r="P121" s="269">
        <f>IF(P102+Q102&gt;T102+U102,0,Z102)</f>
        <v>0</v>
      </c>
      <c r="Q121" s="269">
        <f>IF(P102+Q102&gt;T102+U102,0,Z103)</f>
        <v>0</v>
      </c>
      <c r="AB121" s="158"/>
    </row>
    <row r="122" spans="1:28" x14ac:dyDescent="0.2">
      <c r="A122" s="798" t="s">
        <v>852</v>
      </c>
      <c r="B122" s="791"/>
      <c r="C122">
        <f>ROUNDDOWN(IF(C120/500&gt;=1,C120/500,0),0)</f>
        <v>0</v>
      </c>
      <c r="G122" s="158"/>
      <c r="H122" s="309">
        <v>13</v>
      </c>
      <c r="I122" s="269"/>
      <c r="J122" s="269">
        <v>4</v>
      </c>
      <c r="K122">
        <v>6</v>
      </c>
      <c r="L122" s="269">
        <v>6</v>
      </c>
      <c r="M122" s="269">
        <v>4</v>
      </c>
      <c r="O122" s="393" t="s">
        <v>821</v>
      </c>
      <c r="P122" s="269"/>
      <c r="Q122" s="269">
        <f>IF(P102+Q102&gt;T102+U102,0,AA103)</f>
        <v>0</v>
      </c>
      <c r="AB122" s="158"/>
    </row>
    <row r="123" spans="1:28" x14ac:dyDescent="0.2">
      <c r="A123" s="798" t="s">
        <v>854</v>
      </c>
      <c r="B123" s="791"/>
      <c r="C123">
        <f>IF(('Deck TakeOff'!E60+'Deck TakeOff'!E61)&gt;('Deck TakeOff'!E62+'Deck TakeOff'!E63),Formulas!C114*20,Formulas!C114*22)</f>
        <v>0</v>
      </c>
      <c r="G123" s="158"/>
      <c r="H123" s="309">
        <v>14</v>
      </c>
      <c r="I123" s="269"/>
      <c r="J123" s="269">
        <v>4</v>
      </c>
      <c r="K123">
        <v>6</v>
      </c>
      <c r="L123" s="269">
        <v>6</v>
      </c>
      <c r="M123" s="269">
        <v>4</v>
      </c>
      <c r="O123" s="157"/>
      <c r="P123" s="269"/>
      <c r="Q123" s="269"/>
      <c r="AB123" s="158"/>
    </row>
    <row r="124" spans="1:28" x14ac:dyDescent="0.2">
      <c r="A124" s="798" t="s">
        <v>855</v>
      </c>
      <c r="B124" s="791"/>
      <c r="C124">
        <f>(C115*10)+(C116*11)</f>
        <v>0</v>
      </c>
      <c r="G124" s="158"/>
      <c r="H124" s="309">
        <v>15</v>
      </c>
      <c r="I124" s="269">
        <v>6</v>
      </c>
      <c r="J124" s="269"/>
      <c r="K124">
        <v>6</v>
      </c>
      <c r="L124" s="269">
        <v>6</v>
      </c>
      <c r="M124" s="269">
        <v>6</v>
      </c>
      <c r="O124" s="157"/>
      <c r="P124" s="269"/>
      <c r="Q124" s="269"/>
      <c r="AB124" s="158"/>
    </row>
    <row r="125" spans="1:28" x14ac:dyDescent="0.2">
      <c r="A125" s="798" t="s">
        <v>856</v>
      </c>
      <c r="B125" s="791"/>
      <c r="C125">
        <f>C124</f>
        <v>0</v>
      </c>
      <c r="G125" s="158"/>
      <c r="H125" s="309">
        <v>16</v>
      </c>
      <c r="I125" s="269"/>
      <c r="J125" s="269">
        <v>6</v>
      </c>
      <c r="K125">
        <v>6</v>
      </c>
      <c r="L125" s="269">
        <v>6</v>
      </c>
      <c r="M125" s="269">
        <v>6</v>
      </c>
      <c r="O125" s="157"/>
      <c r="P125" s="269"/>
      <c r="Q125" s="269"/>
      <c r="AB125" s="158"/>
    </row>
    <row r="126" spans="1:28" x14ac:dyDescent="0.2">
      <c r="A126" s="814" t="s">
        <v>858</v>
      </c>
      <c r="B126" s="815"/>
      <c r="C126">
        <f>(F115*10)+(F116*11)</f>
        <v>110</v>
      </c>
      <c r="G126" s="158"/>
      <c r="H126" s="309">
        <v>17</v>
      </c>
      <c r="I126" s="269"/>
      <c r="J126" s="269">
        <v>6</v>
      </c>
      <c r="K126">
        <v>6</v>
      </c>
      <c r="L126" s="269">
        <v>6</v>
      </c>
      <c r="M126" s="269">
        <v>6</v>
      </c>
      <c r="O126" s="157"/>
      <c r="P126" s="269"/>
      <c r="Q126" s="269"/>
      <c r="AB126" s="158"/>
    </row>
    <row r="127" spans="1:28" ht="17" thickBot="1" x14ac:dyDescent="0.25">
      <c r="A127" s="820" t="s">
        <v>857</v>
      </c>
      <c r="B127" s="821"/>
      <c r="C127" s="160">
        <f>C126</f>
        <v>110</v>
      </c>
      <c r="D127" s="160"/>
      <c r="E127" s="160"/>
      <c r="F127" s="160"/>
      <c r="G127" s="161"/>
      <c r="H127" s="381">
        <v>18</v>
      </c>
      <c r="I127" s="296"/>
      <c r="J127" s="296">
        <v>6</v>
      </c>
      <c r="K127" s="160">
        <v>6</v>
      </c>
      <c r="L127" s="296">
        <v>6</v>
      </c>
      <c r="M127" s="296">
        <v>6</v>
      </c>
      <c r="N127" s="160"/>
      <c r="O127" s="159"/>
      <c r="P127" s="296"/>
      <c r="Q127" s="296"/>
      <c r="R127" s="160"/>
      <c r="S127" s="160"/>
      <c r="T127" s="160"/>
      <c r="U127" s="160"/>
      <c r="V127" s="160"/>
      <c r="W127" s="160"/>
      <c r="X127" s="160"/>
      <c r="Y127" s="160"/>
      <c r="Z127" s="160"/>
      <c r="AA127" s="160"/>
      <c r="AB127" s="161"/>
    </row>
    <row r="128" spans="1:28" x14ac:dyDescent="0.2">
      <c r="A128" s="154" t="s">
        <v>1183</v>
      </c>
      <c r="B128" s="155"/>
      <c r="C128" s="155"/>
      <c r="D128" s="155"/>
      <c r="E128" s="155"/>
      <c r="F128" s="155"/>
      <c r="G128" s="155" t="s">
        <v>1209</v>
      </c>
      <c r="H128" s="156"/>
    </row>
    <row r="129" spans="1:8" x14ac:dyDescent="0.2">
      <c r="A129" s="157"/>
      <c r="H129" s="158"/>
    </row>
    <row r="130" spans="1:8" x14ac:dyDescent="0.2">
      <c r="A130" s="435"/>
      <c r="B130" s="388"/>
      <c r="C130" s="436" t="s">
        <v>185</v>
      </c>
      <c r="D130" s="269">
        <f>'Deck TakeOff'!L52</f>
        <v>0</v>
      </c>
      <c r="G130" s="286" t="s">
        <v>164</v>
      </c>
      <c r="H130" s="299">
        <f>'Deck TakeOff'!L59</f>
        <v>0</v>
      </c>
    </row>
    <row r="131" spans="1:8" x14ac:dyDescent="0.2">
      <c r="A131" s="435"/>
      <c r="B131" s="388"/>
      <c r="C131" s="436" t="s">
        <v>469</v>
      </c>
      <c r="D131" s="269">
        <f>'Deck TakeOff'!L53</f>
        <v>0</v>
      </c>
      <c r="G131" s="286" t="s">
        <v>1205</v>
      </c>
      <c r="H131" s="299">
        <f>'Deck TakeOff'!L60</f>
        <v>0</v>
      </c>
    </row>
    <row r="132" spans="1:8" x14ac:dyDescent="0.2">
      <c r="A132" s="435"/>
      <c r="B132" s="388"/>
      <c r="C132" s="436" t="s">
        <v>470</v>
      </c>
      <c r="D132" s="269">
        <f>'Deck TakeOff'!L54</f>
        <v>0</v>
      </c>
      <c r="G132" s="286" t="s">
        <v>1206</v>
      </c>
      <c r="H132" s="299">
        <f>'Deck TakeOff'!L61</f>
        <v>0</v>
      </c>
    </row>
    <row r="133" spans="1:8" x14ac:dyDescent="0.2">
      <c r="A133" s="435"/>
      <c r="B133" s="388"/>
      <c r="C133" s="436" t="s">
        <v>273</v>
      </c>
      <c r="D133" s="269">
        <f>'Deck TakeOff'!L55</f>
        <v>0</v>
      </c>
      <c r="G133" s="286" t="s">
        <v>1207</v>
      </c>
      <c r="H133" s="299">
        <f>'Deck TakeOff'!L62</f>
        <v>0</v>
      </c>
    </row>
    <row r="134" spans="1:8" x14ac:dyDescent="0.2">
      <c r="A134" s="435"/>
      <c r="B134" s="388"/>
      <c r="C134" s="436" t="s">
        <v>181</v>
      </c>
      <c r="D134" s="269">
        <f>'Deck TakeOff'!L56</f>
        <v>0</v>
      </c>
      <c r="G134" s="286" t="s">
        <v>166</v>
      </c>
      <c r="H134" s="299">
        <f>'Deck TakeOff'!L63</f>
        <v>0</v>
      </c>
    </row>
    <row r="135" spans="1:8" x14ac:dyDescent="0.2">
      <c r="A135" s="435"/>
      <c r="B135" s="388"/>
      <c r="C135" s="436" t="s">
        <v>1185</v>
      </c>
      <c r="D135" s="269">
        <f>'Deck TakeOff'!L57</f>
        <v>0</v>
      </c>
      <c r="G135" s="286" t="s">
        <v>180</v>
      </c>
      <c r="H135" s="299">
        <f>'Deck TakeOff'!L64</f>
        <v>0</v>
      </c>
    </row>
    <row r="136" spans="1:8" x14ac:dyDescent="0.2">
      <c r="A136" s="435"/>
      <c r="B136" s="388"/>
      <c r="C136" s="436" t="s">
        <v>1184</v>
      </c>
      <c r="D136" s="269">
        <f>'Deck TakeOff'!L58</f>
        <v>0</v>
      </c>
      <c r="G136" s="286" t="s">
        <v>1204</v>
      </c>
      <c r="H136" s="299">
        <f>'Deck TakeOff'!L65</f>
        <v>0</v>
      </c>
    </row>
    <row r="137" spans="1:8" x14ac:dyDescent="0.2">
      <c r="A137" s="157"/>
      <c r="G137" s="286" t="s">
        <v>272</v>
      </c>
      <c r="H137" s="299">
        <f>'Deck TakeOff'!L66</f>
        <v>0</v>
      </c>
    </row>
    <row r="138" spans="1:8" x14ac:dyDescent="0.2">
      <c r="A138" s="795" t="s">
        <v>1195</v>
      </c>
      <c r="B138" s="796"/>
      <c r="C138">
        <f>D132/18</f>
        <v>0</v>
      </c>
      <c r="H138" s="158"/>
    </row>
    <row r="139" spans="1:8" x14ac:dyDescent="0.2">
      <c r="A139" s="795" t="s">
        <v>1197</v>
      </c>
      <c r="B139" s="796"/>
      <c r="C139">
        <f>IF('Deck TakeOff'!E20=Formulas!K10,Formulas!D133/18,0)</f>
        <v>0</v>
      </c>
      <c r="G139" s="286" t="s">
        <v>1214</v>
      </c>
      <c r="H139" s="299">
        <f>ROUNDUP(H130/18,0)</f>
        <v>0</v>
      </c>
    </row>
    <row r="140" spans="1:8" x14ac:dyDescent="0.2">
      <c r="A140" s="795" t="s">
        <v>1196</v>
      </c>
      <c r="B140" s="796"/>
      <c r="C140">
        <f>((B33*C33)+(B34*C34))/18</f>
        <v>0</v>
      </c>
      <c r="G140" s="286" t="s">
        <v>1210</v>
      </c>
      <c r="H140" s="299">
        <f>(H130*2)/18</f>
        <v>0</v>
      </c>
    </row>
    <row r="141" spans="1:8" x14ac:dyDescent="0.2">
      <c r="A141" s="795" t="s">
        <v>1198</v>
      </c>
      <c r="B141" s="796"/>
      <c r="C141">
        <f>IF('Deck TakeOff'!E20=Formulas!K11,Formulas!D133/18,0)</f>
        <v>0</v>
      </c>
      <c r="G141" s="286" t="s">
        <v>1211</v>
      </c>
      <c r="H141" s="299">
        <f>H137/18</f>
        <v>0</v>
      </c>
    </row>
    <row r="142" spans="1:8" x14ac:dyDescent="0.2">
      <c r="A142" s="816" t="s">
        <v>1200</v>
      </c>
      <c r="B142" s="817"/>
      <c r="C142">
        <f>IF(G104='Deck TakeOff'!E35,SQRT(((D61)^2)+(B61^2)), SQRT(((D61)^2)+(B61^2))/2)</f>
        <v>0</v>
      </c>
      <c r="G142" s="286" t="s">
        <v>1212</v>
      </c>
      <c r="H142" s="299">
        <f>H137/18</f>
        <v>0</v>
      </c>
    </row>
    <row r="143" spans="1:8" x14ac:dyDescent="0.2">
      <c r="A143" s="816" t="s">
        <v>1201</v>
      </c>
      <c r="B143" s="817"/>
      <c r="C143">
        <f>IF(G104='Deck TakeOff'!J35,SQRT(((D62)^2)+(B62^2)), SQRT(((D62)^2)+(B62^2))/2)</f>
        <v>0</v>
      </c>
      <c r="G143" s="286" t="s">
        <v>1207</v>
      </c>
      <c r="H143" s="299">
        <f>ROUNDUP(H133/4.8*1.05,0)</f>
        <v>0</v>
      </c>
    </row>
    <row r="144" spans="1:8" x14ac:dyDescent="0.2">
      <c r="A144" s="816" t="s">
        <v>1199</v>
      </c>
      <c r="B144" s="817"/>
      <c r="C144">
        <f>D134/18</f>
        <v>0</v>
      </c>
      <c r="G144" s="286" t="s">
        <v>1369</v>
      </c>
      <c r="H144" s="299">
        <f>ROUNDUP(H134/0.46*1.05,0)</f>
        <v>0</v>
      </c>
    </row>
    <row r="145" spans="1:15" x14ac:dyDescent="0.2">
      <c r="A145" s="795" t="s">
        <v>1186</v>
      </c>
      <c r="B145" s="796"/>
      <c r="C145">
        <f>(D132*0.5*2)+(D133*0.5*2)+(D134*0.5*2)+((C142+C143)*0.5*2)+(C140*18*0.5*2)</f>
        <v>0</v>
      </c>
      <c r="G145" s="286" t="s">
        <v>1186</v>
      </c>
      <c r="H145" s="299">
        <f>(H130*3)+(H136+H137)</f>
        <v>0</v>
      </c>
      <c r="L145">
        <v>30</v>
      </c>
      <c r="M145">
        <v>725</v>
      </c>
      <c r="N145">
        <v>4</v>
      </c>
      <c r="O145">
        <v>130</v>
      </c>
    </row>
    <row r="146" spans="1:15" ht="17" thickBot="1" x14ac:dyDescent="0.25">
      <c r="A146" s="818"/>
      <c r="B146" s="819"/>
      <c r="C146" s="160"/>
      <c r="D146" s="160"/>
      <c r="E146" s="160"/>
      <c r="F146" s="160"/>
      <c r="G146" s="160"/>
      <c r="H146" s="437"/>
      <c r="L146">
        <v>40</v>
      </c>
      <c r="M146">
        <v>885</v>
      </c>
      <c r="N146">
        <v>6</v>
      </c>
    </row>
    <row r="147" spans="1:15" x14ac:dyDescent="0.2">
      <c r="A147" s="154" t="s">
        <v>1253</v>
      </c>
      <c r="B147" s="155"/>
      <c r="C147" s="155"/>
      <c r="D147" s="156"/>
      <c r="F147" s="286" t="s">
        <v>1275</v>
      </c>
      <c r="G147" s="286" t="s">
        <v>1228</v>
      </c>
    </row>
    <row r="148" spans="1:15" x14ac:dyDescent="0.2">
      <c r="A148" s="157"/>
      <c r="D148" s="158"/>
      <c r="F148" t="s">
        <v>1285</v>
      </c>
      <c r="G148" s="128">
        <v>0</v>
      </c>
      <c r="L148">
        <v>15</v>
      </c>
      <c r="M148">
        <v>600</v>
      </c>
      <c r="N148">
        <v>3</v>
      </c>
      <c r="O148">
        <v>135</v>
      </c>
    </row>
    <row r="149" spans="1:15" x14ac:dyDescent="0.2">
      <c r="A149" s="157" t="s">
        <v>1254</v>
      </c>
      <c r="C149">
        <f>D132/16</f>
        <v>0</v>
      </c>
      <c r="D149" s="158"/>
      <c r="F149" t="s">
        <v>1277</v>
      </c>
      <c r="G149" s="128">
        <v>300</v>
      </c>
    </row>
    <row r="150" spans="1:15" x14ac:dyDescent="0.2">
      <c r="A150" s="157" t="s">
        <v>1255</v>
      </c>
      <c r="C150">
        <f>D133/16</f>
        <v>0</v>
      </c>
      <c r="D150" s="158"/>
      <c r="F150" t="s">
        <v>1276</v>
      </c>
      <c r="G150" s="128">
        <v>300</v>
      </c>
    </row>
    <row r="151" spans="1:15" x14ac:dyDescent="0.2">
      <c r="A151" s="157" t="s">
        <v>1256</v>
      </c>
      <c r="C151">
        <f>((B33*C33)+(B34*C34))/16</f>
        <v>0</v>
      </c>
      <c r="D151" s="158"/>
      <c r="F151" t="s">
        <v>1278</v>
      </c>
      <c r="G151" s="128">
        <v>675</v>
      </c>
    </row>
    <row r="152" spans="1:15" x14ac:dyDescent="0.2">
      <c r="A152" s="157" t="s">
        <v>1257</v>
      </c>
      <c r="C152">
        <f>D131</f>
        <v>0</v>
      </c>
      <c r="D152" s="158"/>
      <c r="F152" t="s">
        <v>1279</v>
      </c>
      <c r="G152" s="128">
        <v>675</v>
      </c>
    </row>
    <row r="153" spans="1:15" x14ac:dyDescent="0.2">
      <c r="A153" s="157"/>
      <c r="D153" s="158"/>
      <c r="F153" t="s">
        <v>1280</v>
      </c>
      <c r="G153" s="128">
        <v>750</v>
      </c>
    </row>
    <row r="154" spans="1:15" ht="17" thickBot="1" x14ac:dyDescent="0.25">
      <c r="A154" s="159"/>
      <c r="B154" s="160"/>
      <c r="C154" s="160"/>
      <c r="D154" s="161"/>
      <c r="F154" t="s">
        <v>1281</v>
      </c>
      <c r="G154" s="128">
        <v>910</v>
      </c>
    </row>
  </sheetData>
  <mergeCells count="58">
    <mergeCell ref="A143:B143"/>
    <mergeCell ref="A144:B144"/>
    <mergeCell ref="A145:B145"/>
    <mergeCell ref="A146:B146"/>
    <mergeCell ref="A127:B127"/>
    <mergeCell ref="A138:B138"/>
    <mergeCell ref="A140:B140"/>
    <mergeCell ref="A141:B141"/>
    <mergeCell ref="A142:B142"/>
    <mergeCell ref="A139:B139"/>
    <mergeCell ref="A125:B125"/>
    <mergeCell ref="A126:B126"/>
    <mergeCell ref="A117:B117"/>
    <mergeCell ref="A118:B118"/>
    <mergeCell ref="A119:B119"/>
    <mergeCell ref="A120:B120"/>
    <mergeCell ref="A121:B121"/>
    <mergeCell ref="A122:B122"/>
    <mergeCell ref="A123:B123"/>
    <mergeCell ref="A124:B124"/>
    <mergeCell ref="C112:D112"/>
    <mergeCell ref="A113:B113"/>
    <mergeCell ref="A114:B114"/>
    <mergeCell ref="A115:B115"/>
    <mergeCell ref="A116:B116"/>
    <mergeCell ref="D115:E115"/>
    <mergeCell ref="D116:E116"/>
    <mergeCell ref="E84:F84"/>
    <mergeCell ref="G37:I37"/>
    <mergeCell ref="E102:F102"/>
    <mergeCell ref="I100:M100"/>
    <mergeCell ref="E92:F92"/>
    <mergeCell ref="I80:J80"/>
    <mergeCell ref="I81:J81"/>
    <mergeCell ref="I82:J82"/>
    <mergeCell ref="U22:X22"/>
    <mergeCell ref="F68:G68"/>
    <mergeCell ref="L57:M57"/>
    <mergeCell ref="W23:X23"/>
    <mergeCell ref="J33:K33"/>
    <mergeCell ref="J34:K34"/>
    <mergeCell ref="J30:K30"/>
    <mergeCell ref="J32:K32"/>
    <mergeCell ref="J31:K31"/>
    <mergeCell ref="A2:G2"/>
    <mergeCell ref="A18:C18"/>
    <mergeCell ref="C58:D58"/>
    <mergeCell ref="A66:E66"/>
    <mergeCell ref="A19:C19"/>
    <mergeCell ref="O100:S100"/>
    <mergeCell ref="K107:M107"/>
    <mergeCell ref="A108:B108"/>
    <mergeCell ref="A102:D102"/>
    <mergeCell ref="A103:B103"/>
    <mergeCell ref="A104:B104"/>
    <mergeCell ref="A106:D106"/>
    <mergeCell ref="A107:B107"/>
    <mergeCell ref="I107:J107"/>
  </mergeCells>
  <phoneticPr fontId="80" type="noConversion"/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0B85C-86D3-4C26-8606-753B01232360}">
  <sheetPr codeName="Sheet26">
    <tabColor rgb="FF00B050"/>
    <pageSetUpPr fitToPage="1"/>
  </sheetPr>
  <dimension ref="A1:O67"/>
  <sheetViews>
    <sheetView showGridLines="0" showZeros="0" view="pageBreakPreview" topLeftCell="A29" zoomScaleNormal="100" zoomScaleSheetLayoutView="100" workbookViewId="0">
      <selection activeCell="C20" sqref="C20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1.59765625" style="2" bestFit="1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960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960</v>
      </c>
      <c r="E11" s="679"/>
      <c r="F11" s="679"/>
      <c r="G11" s="679"/>
      <c r="H11" s="679"/>
      <c r="I11" s="679"/>
      <c r="J11" s="680"/>
      <c r="K11" s="152"/>
      <c r="L11" s="668">
        <f t="shared" ref="L11" si="0">K11*C11</f>
        <v>0</v>
      </c>
      <c r="M11" s="669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961</v>
      </c>
      <c r="E12" s="355"/>
      <c r="F12" s="355"/>
      <c r="G12" s="355"/>
      <c r="H12" s="355"/>
      <c r="I12" s="355"/>
      <c r="J12" s="421"/>
      <c r="K12" s="422">
        <f>'Material Price'!J20</f>
        <v>1.5</v>
      </c>
      <c r="L12" s="740">
        <f>K12*C12</f>
        <v>675.75</v>
      </c>
      <c r="M12" s="741"/>
      <c r="N12" s="178"/>
      <c r="O12" s="71"/>
    </row>
    <row r="13" spans="1:15" x14ac:dyDescent="0.3">
      <c r="A13" s="71"/>
      <c r="B13" s="166"/>
      <c r="C13" s="360"/>
      <c r="D13" s="566"/>
      <c r="E13" s="567"/>
      <c r="F13" s="567"/>
      <c r="G13" s="567"/>
      <c r="H13" s="567"/>
      <c r="I13" s="567"/>
      <c r="J13" s="568"/>
      <c r="K13" s="152"/>
      <c r="L13" s="668">
        <f t="shared" ref="L13:L37" si="1">K13*C13</f>
        <v>0</v>
      </c>
      <c r="M13" s="669"/>
      <c r="N13" s="178"/>
      <c r="O13" s="71"/>
    </row>
    <row r="14" spans="1:15" x14ac:dyDescent="0.3">
      <c r="A14" s="71"/>
      <c r="B14" s="166"/>
      <c r="C14" s="360"/>
      <c r="D14" s="566" t="s">
        <v>253</v>
      </c>
      <c r="E14" s="567"/>
      <c r="F14" s="567"/>
      <c r="G14" s="567"/>
      <c r="H14" s="567"/>
      <c r="I14" s="567"/>
      <c r="J14" s="568"/>
      <c r="K14" s="152">
        <f>8*K12</f>
        <v>12</v>
      </c>
      <c r="L14" s="668">
        <f t="shared" si="1"/>
        <v>0</v>
      </c>
      <c r="M14" s="669"/>
      <c r="N14" s="178"/>
      <c r="O14" s="71"/>
    </row>
    <row r="15" spans="1:15" x14ac:dyDescent="0.3">
      <c r="A15" s="71"/>
      <c r="B15" s="166"/>
      <c r="C15" s="360"/>
      <c r="D15" s="217" t="s">
        <v>254</v>
      </c>
      <c r="E15" s="218"/>
      <c r="F15" s="218"/>
      <c r="G15" s="218"/>
      <c r="H15" s="218"/>
      <c r="I15" s="218"/>
      <c r="J15" s="219"/>
      <c r="K15" s="152">
        <f>10*K12</f>
        <v>15</v>
      </c>
      <c r="L15" s="668">
        <f t="shared" si="1"/>
        <v>0</v>
      </c>
      <c r="M15" s="669"/>
      <c r="N15" s="178"/>
      <c r="O15" s="71"/>
    </row>
    <row r="16" spans="1:15" x14ac:dyDescent="0.3">
      <c r="A16" s="71"/>
      <c r="B16" s="166"/>
      <c r="C16" s="394"/>
      <c r="D16" s="217" t="s">
        <v>255</v>
      </c>
      <c r="E16" s="218"/>
      <c r="F16" s="218"/>
      <c r="G16" s="218"/>
      <c r="H16" s="218"/>
      <c r="I16" s="218"/>
      <c r="J16" s="219"/>
      <c r="K16" s="152">
        <f>12*K12</f>
        <v>18</v>
      </c>
      <c r="L16" s="668">
        <f t="shared" si="1"/>
        <v>0</v>
      </c>
      <c r="M16" s="669"/>
      <c r="N16" s="178"/>
      <c r="O16" s="71"/>
    </row>
    <row r="17" spans="1:15" x14ac:dyDescent="0.3">
      <c r="A17" s="71"/>
      <c r="B17" s="166"/>
      <c r="C17" s="394"/>
      <c r="D17" s="217" t="s">
        <v>256</v>
      </c>
      <c r="E17" s="218"/>
      <c r="F17" s="218"/>
      <c r="G17" s="218"/>
      <c r="H17" s="218"/>
      <c r="I17" s="218"/>
      <c r="J17" s="219"/>
      <c r="K17" s="152">
        <f>14*K12</f>
        <v>21</v>
      </c>
      <c r="L17" s="668">
        <f t="shared" si="1"/>
        <v>0</v>
      </c>
      <c r="M17" s="669"/>
      <c r="N17" s="178"/>
      <c r="O17" s="71"/>
    </row>
    <row r="18" spans="1:15" x14ac:dyDescent="0.3">
      <c r="A18" s="71"/>
      <c r="B18" s="166"/>
      <c r="C18" s="394"/>
      <c r="D18" s="217" t="s">
        <v>257</v>
      </c>
      <c r="E18" s="218"/>
      <c r="F18" s="218"/>
      <c r="G18" s="218"/>
      <c r="H18" s="218"/>
      <c r="I18" s="218"/>
      <c r="J18" s="219"/>
      <c r="K18" s="152">
        <f>16*K12</f>
        <v>24</v>
      </c>
      <c r="L18" s="668">
        <f t="shared" si="1"/>
        <v>0</v>
      </c>
      <c r="M18" s="669"/>
      <c r="N18" s="178"/>
      <c r="O18" s="71"/>
    </row>
    <row r="19" spans="1:15" x14ac:dyDescent="0.3">
      <c r="A19" s="71"/>
      <c r="B19" s="166"/>
      <c r="C19" s="394">
        <f>ROUNDUP(Formulas!C140*18/16,0)</f>
        <v>0</v>
      </c>
      <c r="D19" s="217" t="s">
        <v>1202</v>
      </c>
      <c r="E19" s="218"/>
      <c r="F19" s="218"/>
      <c r="G19" s="218"/>
      <c r="H19" s="218"/>
      <c r="I19" s="218"/>
      <c r="J19" s="324"/>
      <c r="K19" s="152">
        <f>'Material Price'!J37</f>
        <v>32</v>
      </c>
      <c r="L19" s="668">
        <f t="shared" si="1"/>
        <v>0</v>
      </c>
      <c r="M19" s="669"/>
      <c r="N19" s="178"/>
      <c r="O19" s="71"/>
    </row>
    <row r="20" spans="1:15" x14ac:dyDescent="0.3">
      <c r="A20" s="71"/>
      <c r="B20" s="166"/>
      <c r="C20" s="394">
        <f>ROUNDUP((Formulas!L32)/110,0)</f>
        <v>6</v>
      </c>
      <c r="D20" s="217" t="s">
        <v>962</v>
      </c>
      <c r="E20" s="345"/>
      <c r="F20" s="345"/>
      <c r="G20" s="345"/>
      <c r="H20" s="345"/>
      <c r="I20" s="345"/>
      <c r="J20" s="353"/>
      <c r="K20" s="152">
        <f>'Material Price'!J118</f>
        <v>12</v>
      </c>
      <c r="L20" s="668">
        <f t="shared" si="1"/>
        <v>72</v>
      </c>
      <c r="M20" s="669"/>
      <c r="N20" s="178"/>
      <c r="O20" s="71"/>
    </row>
    <row r="21" spans="1:15" x14ac:dyDescent="0.3">
      <c r="A21" s="71"/>
      <c r="B21" s="166"/>
      <c r="C21" s="394"/>
      <c r="D21" s="217"/>
      <c r="E21" s="218"/>
      <c r="F21" s="218"/>
      <c r="G21" s="218"/>
      <c r="H21" s="218"/>
      <c r="I21" s="218"/>
      <c r="J21" s="324"/>
      <c r="K21" s="152"/>
      <c r="L21" s="57"/>
      <c r="M21" s="58"/>
      <c r="N21" s="178"/>
      <c r="O21" s="71"/>
    </row>
    <row r="22" spans="1:15" x14ac:dyDescent="0.3">
      <c r="A22" s="71"/>
      <c r="B22" s="166"/>
      <c r="C22" s="394"/>
      <c r="D22" s="217"/>
      <c r="E22" s="218"/>
      <c r="F22" s="218"/>
      <c r="G22" s="218"/>
      <c r="H22" s="218"/>
      <c r="I22" s="218"/>
      <c r="J22" s="324"/>
      <c r="K22" s="152"/>
      <c r="L22" s="668">
        <f t="shared" si="1"/>
        <v>0</v>
      </c>
      <c r="M22" s="669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8">
        <f t="shared" si="1"/>
        <v>0</v>
      </c>
      <c r="M23" s="669"/>
      <c r="N23" s="178"/>
      <c r="O23" s="71"/>
    </row>
    <row r="24" spans="1:15" x14ac:dyDescent="0.3">
      <c r="A24" s="71"/>
      <c r="B24" s="166"/>
      <c r="C24" s="360"/>
      <c r="D24" s="217"/>
      <c r="E24" s="218"/>
      <c r="F24" s="218"/>
      <c r="G24" s="218"/>
      <c r="H24" s="218"/>
      <c r="I24" s="218"/>
      <c r="J24" s="324"/>
      <c r="K24" s="152"/>
      <c r="L24" s="668">
        <f t="shared" si="1"/>
        <v>0</v>
      </c>
      <c r="M24" s="669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8">
        <f t="shared" si="1"/>
        <v>0</v>
      </c>
      <c r="M25" s="669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8">
        <f t="shared" si="1"/>
        <v>0</v>
      </c>
      <c r="M26" s="669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8">
        <f t="shared" si="1"/>
        <v>0</v>
      </c>
      <c r="M28" s="669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8">
        <f t="shared" si="1"/>
        <v>0</v>
      </c>
      <c r="M29" s="669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8">
        <f t="shared" si="1"/>
        <v>0</v>
      </c>
      <c r="M30" s="669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8">
        <f t="shared" si="1"/>
        <v>0</v>
      </c>
      <c r="M31" s="669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8">
        <f t="shared" si="1"/>
        <v>0</v>
      </c>
      <c r="M33" s="669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8">
        <f t="shared" si="1"/>
        <v>0</v>
      </c>
      <c r="M34" s="669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8">
        <f t="shared" si="1"/>
        <v>0</v>
      </c>
      <c r="M35" s="669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8">
        <f t="shared" si="1"/>
        <v>0</v>
      </c>
      <c r="M36" s="669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8">
        <f t="shared" si="1"/>
        <v>0</v>
      </c>
      <c r="M37" s="669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8">
        <f>K38*C38</f>
        <v>0</v>
      </c>
      <c r="M38" s="669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8">
        <f t="shared" ref="L39:L47" si="2">K39*C39</f>
        <v>0</v>
      </c>
      <c r="M39" s="669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8">
        <f t="shared" si="2"/>
        <v>0</v>
      </c>
      <c r="M40" s="669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8">
        <f t="shared" si="2"/>
        <v>0</v>
      </c>
      <c r="M41" s="669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8">
        <f t="shared" si="2"/>
        <v>0</v>
      </c>
      <c r="M42" s="669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8">
        <f t="shared" si="2"/>
        <v>0</v>
      </c>
      <c r="M43" s="669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8">
        <f t="shared" si="2"/>
        <v>0</v>
      </c>
      <c r="M44" s="669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8">
        <f t="shared" si="2"/>
        <v>0</v>
      </c>
      <c r="M45" s="669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8">
        <f t="shared" si="2"/>
        <v>0</v>
      </c>
      <c r="M46" s="669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8">
        <f t="shared" si="2"/>
        <v>0</v>
      </c>
      <c r="M47" s="669"/>
      <c r="N47" s="178"/>
      <c r="O47" s="71"/>
    </row>
    <row r="48" spans="1:15" x14ac:dyDescent="0.3">
      <c r="A48" s="71"/>
      <c r="B48" s="166"/>
      <c r="C48" s="183"/>
      <c r="D48" s="681" t="s">
        <v>10</v>
      </c>
      <c r="E48" s="682"/>
      <c r="F48" s="682"/>
      <c r="G48" s="682"/>
      <c r="H48" s="682"/>
      <c r="I48" s="682"/>
      <c r="J48" s="682"/>
      <c r="K48" s="683"/>
      <c r="L48" s="686">
        <f>(SUM(L10:M47)*0.0625)</f>
        <v>46.734375</v>
      </c>
      <c r="M48" s="686"/>
      <c r="N48" s="178"/>
      <c r="O48" s="71"/>
    </row>
    <row r="49" spans="1:15" x14ac:dyDescent="0.3">
      <c r="A49" s="71"/>
      <c r="B49" s="166"/>
      <c r="C49" s="183"/>
      <c r="D49" s="681" t="s">
        <v>1</v>
      </c>
      <c r="E49" s="682"/>
      <c r="F49" s="682"/>
      <c r="G49" s="682"/>
      <c r="H49" s="682"/>
      <c r="I49" s="682"/>
      <c r="J49" s="682"/>
      <c r="K49" s="683"/>
      <c r="L49" s="822">
        <f>SUM(L10:M48)</f>
        <v>794.484375</v>
      </c>
      <c r="M49" s="823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3">
    <mergeCell ref="L44:M44"/>
    <mergeCell ref="L45:M45"/>
    <mergeCell ref="L46:M46"/>
    <mergeCell ref="L36:M36"/>
    <mergeCell ref="L37:M37"/>
    <mergeCell ref="L39:M39"/>
    <mergeCell ref="L40:M40"/>
    <mergeCell ref="L41:M41"/>
    <mergeCell ref="L42:M42"/>
    <mergeCell ref="L38:M38"/>
    <mergeCell ref="L47:M47"/>
    <mergeCell ref="D48:K48"/>
    <mergeCell ref="L48:M48"/>
    <mergeCell ref="D49:K49"/>
    <mergeCell ref="L49:M49"/>
    <mergeCell ref="L23:M23"/>
    <mergeCell ref="L24:M24"/>
    <mergeCell ref="L25:M25"/>
    <mergeCell ref="L26:M26"/>
    <mergeCell ref="L28:M28"/>
    <mergeCell ref="L29:M29"/>
    <mergeCell ref="L30:M30"/>
    <mergeCell ref="L31:M31"/>
    <mergeCell ref="L33:M33"/>
    <mergeCell ref="L34:M34"/>
    <mergeCell ref="L35:M35"/>
    <mergeCell ref="L43:M43"/>
    <mergeCell ref="L22:M22"/>
    <mergeCell ref="D11:J11"/>
    <mergeCell ref="L11:M11"/>
    <mergeCell ref="L12:M12"/>
    <mergeCell ref="L13:M13"/>
    <mergeCell ref="L14:M14"/>
    <mergeCell ref="L15:M15"/>
    <mergeCell ref="L16:M16"/>
    <mergeCell ref="L17:M17"/>
    <mergeCell ref="L18:M18"/>
    <mergeCell ref="L19:M19"/>
    <mergeCell ref="L20:M20"/>
    <mergeCell ref="D13:J13"/>
    <mergeCell ref="D14:J14"/>
    <mergeCell ref="E7:G7"/>
    <mergeCell ref="C8:M8"/>
    <mergeCell ref="D9:J9"/>
    <mergeCell ref="L9:M9"/>
    <mergeCell ref="D10:J10"/>
    <mergeCell ref="L10:M10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24F25-6336-45DC-96C1-4DCE2023BBF0}">
  <sheetPr codeName="Sheet27">
    <tabColor rgb="FF00B050"/>
    <pageSetUpPr fitToPage="1"/>
  </sheetPr>
  <dimension ref="A1:O67"/>
  <sheetViews>
    <sheetView showGridLines="0" showZeros="0" view="pageBreakPreview" zoomScaleNormal="100" zoomScaleSheetLayoutView="100" workbookViewId="0">
      <selection activeCell="T19" sqref="T19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1.59765625" style="2" bestFit="1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964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8">
        <f t="shared" ref="L11" si="0">K11*C11</f>
        <v>0</v>
      </c>
      <c r="M11" s="669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965</v>
      </c>
      <c r="E12" s="355"/>
      <c r="F12" s="355"/>
      <c r="G12" s="355"/>
      <c r="H12" s="355"/>
      <c r="I12" s="355"/>
      <c r="J12" s="421"/>
      <c r="K12" s="422">
        <f>'Material Price'!J137</f>
        <v>4</v>
      </c>
      <c r="L12" s="740">
        <f>K12*C12</f>
        <v>1802</v>
      </c>
      <c r="M12" s="741"/>
      <c r="N12" s="178"/>
      <c r="O12" s="71"/>
    </row>
    <row r="13" spans="1:15" x14ac:dyDescent="0.3">
      <c r="A13" s="71"/>
      <c r="B13" s="166"/>
      <c r="C13" s="360"/>
      <c r="D13" s="566"/>
      <c r="E13" s="567"/>
      <c r="F13" s="567"/>
      <c r="G13" s="567"/>
      <c r="H13" s="567"/>
      <c r="I13" s="567"/>
      <c r="J13" s="568"/>
      <c r="K13" s="152"/>
      <c r="L13" s="668">
        <f t="shared" ref="L13:L37" si="1">K13*C13</f>
        <v>0</v>
      </c>
      <c r="M13" s="669"/>
      <c r="N13" s="178"/>
      <c r="O13" s="71"/>
    </row>
    <row r="14" spans="1:15" x14ac:dyDescent="0.3">
      <c r="A14" s="71"/>
      <c r="B14" s="166"/>
      <c r="C14" s="423"/>
      <c r="D14" s="566" t="s">
        <v>966</v>
      </c>
      <c r="E14" s="567"/>
      <c r="F14" s="567"/>
      <c r="G14" s="567"/>
      <c r="H14" s="567"/>
      <c r="I14" s="567"/>
      <c r="J14" s="568"/>
      <c r="K14" s="152">
        <f>K12*12</f>
        <v>48</v>
      </c>
      <c r="L14" s="668">
        <f t="shared" si="1"/>
        <v>0</v>
      </c>
      <c r="M14" s="669"/>
      <c r="N14" s="178"/>
      <c r="O14" s="71"/>
    </row>
    <row r="15" spans="1:15" x14ac:dyDescent="0.3">
      <c r="A15" s="71"/>
      <c r="B15" s="166"/>
      <c r="C15" s="423"/>
      <c r="D15" s="217" t="s">
        <v>967</v>
      </c>
      <c r="E15" s="218"/>
      <c r="F15" s="218"/>
      <c r="G15" s="218"/>
      <c r="H15" s="218"/>
      <c r="I15" s="218"/>
      <c r="J15" s="219"/>
      <c r="K15" s="152">
        <f>K12*16</f>
        <v>64</v>
      </c>
      <c r="L15" s="668">
        <f t="shared" si="1"/>
        <v>0</v>
      </c>
      <c r="M15" s="669"/>
      <c r="N15" s="178"/>
      <c r="O15" s="71"/>
    </row>
    <row r="16" spans="1:15" x14ac:dyDescent="0.3">
      <c r="A16" s="71"/>
      <c r="B16" s="166"/>
      <c r="C16" s="423"/>
      <c r="D16" s="217" t="s">
        <v>968</v>
      </c>
      <c r="E16" s="218"/>
      <c r="F16" s="218"/>
      <c r="G16" s="218"/>
      <c r="H16" s="218"/>
      <c r="I16" s="218"/>
      <c r="J16" s="219"/>
      <c r="K16" s="152">
        <f>K12*20</f>
        <v>80</v>
      </c>
      <c r="L16" s="668">
        <f t="shared" si="1"/>
        <v>0</v>
      </c>
      <c r="M16" s="669"/>
      <c r="N16" s="178"/>
      <c r="O16" s="71"/>
    </row>
    <row r="17" spans="1:15" x14ac:dyDescent="0.3">
      <c r="A17" s="71"/>
      <c r="B17" s="166"/>
      <c r="C17" s="423"/>
      <c r="D17" s="566" t="s">
        <v>969</v>
      </c>
      <c r="E17" s="567"/>
      <c r="F17" s="567"/>
      <c r="G17" s="567"/>
      <c r="H17" s="567"/>
      <c r="I17" s="567"/>
      <c r="J17" s="568"/>
      <c r="K17" s="152">
        <f>K12*12</f>
        <v>48</v>
      </c>
      <c r="L17" s="668">
        <f t="shared" si="1"/>
        <v>0</v>
      </c>
      <c r="M17" s="669"/>
      <c r="N17" s="178"/>
      <c r="O17" s="71"/>
    </row>
    <row r="18" spans="1:15" x14ac:dyDescent="0.3">
      <c r="A18" s="71"/>
      <c r="B18" s="166"/>
      <c r="C18" s="423"/>
      <c r="D18" s="217" t="s">
        <v>970</v>
      </c>
      <c r="E18" s="218"/>
      <c r="F18" s="218"/>
      <c r="G18" s="218"/>
      <c r="H18" s="218"/>
      <c r="I18" s="218"/>
      <c r="J18" s="219"/>
      <c r="K18" s="152">
        <f>K12*16</f>
        <v>64</v>
      </c>
      <c r="L18" s="668">
        <f t="shared" si="1"/>
        <v>0</v>
      </c>
      <c r="M18" s="669"/>
      <c r="N18" s="178"/>
      <c r="O18" s="71"/>
    </row>
    <row r="19" spans="1:15" x14ac:dyDescent="0.3">
      <c r="A19" s="71"/>
      <c r="B19" s="166"/>
      <c r="C19" s="423"/>
      <c r="D19" s="217" t="s">
        <v>971</v>
      </c>
      <c r="E19" s="218"/>
      <c r="F19" s="218"/>
      <c r="G19" s="218"/>
      <c r="H19" s="218"/>
      <c r="I19" s="218"/>
      <c r="J19" s="219"/>
      <c r="K19" s="152">
        <f>K12*20</f>
        <v>80</v>
      </c>
      <c r="L19" s="668">
        <f t="shared" si="1"/>
        <v>0</v>
      </c>
      <c r="M19" s="669"/>
      <c r="N19" s="178"/>
      <c r="O19" s="71"/>
    </row>
    <row r="20" spans="1:15" x14ac:dyDescent="0.3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8">
        <f t="shared" si="1"/>
        <v>0</v>
      </c>
      <c r="M20" s="669"/>
      <c r="N20" s="178"/>
      <c r="O20" s="71"/>
    </row>
    <row r="21" spans="1:15" x14ac:dyDescent="0.3">
      <c r="A21" s="71"/>
      <c r="B21" s="166"/>
      <c r="C21" s="394">
        <f>ROUNDUP(Formulas!L33/90,0)</f>
        <v>4</v>
      </c>
      <c r="D21" s="217" t="s">
        <v>972</v>
      </c>
      <c r="E21" s="218"/>
      <c r="F21" s="218"/>
      <c r="G21" s="218"/>
      <c r="H21" s="218"/>
      <c r="I21" s="218"/>
      <c r="J21" s="324"/>
      <c r="K21" s="152">
        <f>'Material Price'!J114</f>
        <v>34</v>
      </c>
      <c r="L21" s="668">
        <f t="shared" ref="L21" si="2">K21*C21</f>
        <v>136</v>
      </c>
      <c r="M21" s="669"/>
      <c r="N21" s="178"/>
      <c r="O21" s="71"/>
    </row>
    <row r="22" spans="1:15" x14ac:dyDescent="0.3">
      <c r="A22" s="71"/>
      <c r="B22" s="166"/>
      <c r="C22" s="425">
        <f>ROUNDUP(Formulas!L34/224,0)</f>
        <v>1</v>
      </c>
      <c r="D22" s="217" t="s">
        <v>977</v>
      </c>
      <c r="E22" s="218"/>
      <c r="F22" s="218"/>
      <c r="G22" s="218"/>
      <c r="H22" s="218"/>
      <c r="I22" s="218"/>
      <c r="J22" s="324"/>
      <c r="K22" s="152">
        <f>'Material Price'!J116</f>
        <v>93</v>
      </c>
      <c r="L22" s="668">
        <f t="shared" si="1"/>
        <v>93</v>
      </c>
      <c r="M22" s="669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8">
        <f t="shared" si="1"/>
        <v>0</v>
      </c>
      <c r="M23" s="669"/>
      <c r="N23" s="178"/>
      <c r="O23" s="71"/>
    </row>
    <row r="24" spans="1:15" x14ac:dyDescent="0.3">
      <c r="A24" s="71"/>
      <c r="B24" s="166"/>
      <c r="C24" s="360"/>
      <c r="D24" s="217"/>
      <c r="E24" s="218"/>
      <c r="F24" s="218"/>
      <c r="G24" s="218"/>
      <c r="H24" s="218"/>
      <c r="I24" s="218"/>
      <c r="J24" s="324"/>
      <c r="K24" s="152"/>
      <c r="L24" s="668">
        <f t="shared" si="1"/>
        <v>0</v>
      </c>
      <c r="M24" s="669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8">
        <f t="shared" si="1"/>
        <v>0</v>
      </c>
      <c r="M25" s="669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8">
        <f t="shared" si="1"/>
        <v>0</v>
      </c>
      <c r="M26" s="669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8">
        <f t="shared" si="1"/>
        <v>0</v>
      </c>
      <c r="M28" s="669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8">
        <f t="shared" si="1"/>
        <v>0</v>
      </c>
      <c r="M29" s="669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8">
        <f t="shared" si="1"/>
        <v>0</v>
      </c>
      <c r="M30" s="669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8">
        <f t="shared" si="1"/>
        <v>0</v>
      </c>
      <c r="M31" s="669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8">
        <f t="shared" si="1"/>
        <v>0</v>
      </c>
      <c r="M33" s="669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8">
        <f t="shared" si="1"/>
        <v>0</v>
      </c>
      <c r="M34" s="669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8">
        <f t="shared" si="1"/>
        <v>0</v>
      </c>
      <c r="M35" s="669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8">
        <f t="shared" si="1"/>
        <v>0</v>
      </c>
      <c r="M36" s="669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8">
        <f t="shared" si="1"/>
        <v>0</v>
      </c>
      <c r="M37" s="669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8">
        <f>K38*C38</f>
        <v>0</v>
      </c>
      <c r="M38" s="669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8">
        <f t="shared" ref="L39:L47" si="3">K39*C39</f>
        <v>0</v>
      </c>
      <c r="M39" s="669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8">
        <f t="shared" si="3"/>
        <v>0</v>
      </c>
      <c r="M40" s="669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8">
        <f t="shared" si="3"/>
        <v>0</v>
      </c>
      <c r="M41" s="669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8">
        <f t="shared" si="3"/>
        <v>0</v>
      </c>
      <c r="M42" s="669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8">
        <f t="shared" si="3"/>
        <v>0</v>
      </c>
      <c r="M43" s="669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8">
        <f t="shared" si="3"/>
        <v>0</v>
      </c>
      <c r="M44" s="669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8">
        <f t="shared" si="3"/>
        <v>0</v>
      </c>
      <c r="M45" s="669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8">
        <f t="shared" si="3"/>
        <v>0</v>
      </c>
      <c r="M46" s="669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8">
        <f t="shared" si="3"/>
        <v>0</v>
      </c>
      <c r="M47" s="669"/>
      <c r="N47" s="178"/>
      <c r="O47" s="71"/>
    </row>
    <row r="48" spans="1:15" x14ac:dyDescent="0.3">
      <c r="A48" s="71"/>
      <c r="B48" s="166"/>
      <c r="C48" s="183"/>
      <c r="D48" s="681" t="s">
        <v>10</v>
      </c>
      <c r="E48" s="682"/>
      <c r="F48" s="682"/>
      <c r="G48" s="682"/>
      <c r="H48" s="682"/>
      <c r="I48" s="682"/>
      <c r="J48" s="682"/>
      <c r="K48" s="683"/>
      <c r="L48" s="686">
        <f>(SUM(L10:M47)*0.0625)</f>
        <v>126.9375</v>
      </c>
      <c r="M48" s="686"/>
      <c r="N48" s="178"/>
      <c r="O48" s="71"/>
    </row>
    <row r="49" spans="1:15" x14ac:dyDescent="0.3">
      <c r="A49" s="71"/>
      <c r="B49" s="166"/>
      <c r="C49" s="183"/>
      <c r="D49" s="681" t="s">
        <v>1</v>
      </c>
      <c r="E49" s="682"/>
      <c r="F49" s="682"/>
      <c r="G49" s="682"/>
      <c r="H49" s="682"/>
      <c r="I49" s="682"/>
      <c r="J49" s="682"/>
      <c r="K49" s="683"/>
      <c r="L49" s="684">
        <f>SUM(L10:M48)</f>
        <v>2157.9375</v>
      </c>
      <c r="M49" s="684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D3:M3"/>
    <mergeCell ref="D4:M4"/>
    <mergeCell ref="E5:G5"/>
    <mergeCell ref="I5:J5"/>
    <mergeCell ref="E6:G6"/>
    <mergeCell ref="I6:J6"/>
    <mergeCell ref="L35:M35"/>
    <mergeCell ref="D14:J14"/>
    <mergeCell ref="L14:M14"/>
    <mergeCell ref="E7:G7"/>
    <mergeCell ref="C8:M8"/>
    <mergeCell ref="D9:J9"/>
    <mergeCell ref="L9:M9"/>
    <mergeCell ref="D10:J10"/>
    <mergeCell ref="L10:M10"/>
    <mergeCell ref="D11:J11"/>
    <mergeCell ref="L11:M11"/>
    <mergeCell ref="L12:M12"/>
    <mergeCell ref="D13:J13"/>
    <mergeCell ref="L13:M13"/>
    <mergeCell ref="L23:M23"/>
    <mergeCell ref="L24:M24"/>
    <mergeCell ref="L25:M25"/>
    <mergeCell ref="L26:M26"/>
    <mergeCell ref="L34:M34"/>
    <mergeCell ref="L15:M15"/>
    <mergeCell ref="L16:M16"/>
    <mergeCell ref="L17:M17"/>
    <mergeCell ref="L18:M18"/>
    <mergeCell ref="L19:M19"/>
    <mergeCell ref="L21:M21"/>
    <mergeCell ref="L36:M36"/>
    <mergeCell ref="L37:M37"/>
    <mergeCell ref="L38:M38"/>
    <mergeCell ref="D17:J17"/>
    <mergeCell ref="D48:K48"/>
    <mergeCell ref="L48:M48"/>
    <mergeCell ref="L41:M41"/>
    <mergeCell ref="L29:M29"/>
    <mergeCell ref="L30:M30"/>
    <mergeCell ref="L31:M31"/>
    <mergeCell ref="L33:M33"/>
    <mergeCell ref="L39:M39"/>
    <mergeCell ref="L40:M40"/>
    <mergeCell ref="L28:M28"/>
    <mergeCell ref="L20:M20"/>
    <mergeCell ref="L22:M22"/>
    <mergeCell ref="D49:K49"/>
    <mergeCell ref="L49:M49"/>
    <mergeCell ref="L42:M42"/>
    <mergeCell ref="L43:M43"/>
    <mergeCell ref="L44:M44"/>
    <mergeCell ref="L45:M45"/>
    <mergeCell ref="L46:M46"/>
    <mergeCell ref="L47:M47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904736-325A-43D0-A97D-7C8E8A861479}">
  <sheetPr codeName="Sheet28">
    <tabColor rgb="FF00B050"/>
    <pageSetUpPr fitToPage="1"/>
  </sheetPr>
  <dimension ref="A1:O67"/>
  <sheetViews>
    <sheetView showGridLines="0" showZeros="0" view="pageBreakPreview" topLeftCell="A5" zoomScaleNormal="100" zoomScaleSheetLayoutView="100" workbookViewId="0">
      <selection activeCell="D12" sqref="D12:K2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3.3984375" style="2" bestFit="1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979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8">
        <f t="shared" ref="L11" si="0">K11*C11</f>
        <v>0</v>
      </c>
      <c r="M11" s="669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980</v>
      </c>
      <c r="E12" s="355"/>
      <c r="F12" s="355"/>
      <c r="G12" s="355"/>
      <c r="H12" s="355"/>
      <c r="I12" s="355"/>
      <c r="J12" s="421"/>
      <c r="K12" s="422">
        <f>'Material Price'!J140</f>
        <v>5.5</v>
      </c>
      <c r="L12" s="740">
        <f>K12*C12</f>
        <v>2477.75</v>
      </c>
      <c r="M12" s="741"/>
      <c r="N12" s="178"/>
      <c r="O12" s="71"/>
    </row>
    <row r="13" spans="1:15" x14ac:dyDescent="0.3">
      <c r="A13" s="71"/>
      <c r="B13" s="166"/>
      <c r="C13" s="360"/>
      <c r="D13" s="566"/>
      <c r="E13" s="567"/>
      <c r="F13" s="567"/>
      <c r="G13" s="567"/>
      <c r="H13" s="567"/>
      <c r="I13" s="567"/>
      <c r="J13" s="568"/>
      <c r="K13" s="152"/>
      <c r="L13" s="668">
        <f t="shared" ref="L13:L37" si="1">K13*C13</f>
        <v>0</v>
      </c>
      <c r="M13" s="669"/>
      <c r="N13" s="178"/>
      <c r="O13" s="71"/>
    </row>
    <row r="14" spans="1:15" x14ac:dyDescent="0.3">
      <c r="A14" s="71"/>
      <c r="B14" s="166"/>
      <c r="C14" s="423"/>
      <c r="D14" s="566" t="s">
        <v>981</v>
      </c>
      <c r="E14" s="567"/>
      <c r="F14" s="567"/>
      <c r="G14" s="567"/>
      <c r="H14" s="567"/>
      <c r="I14" s="567"/>
      <c r="J14" s="568"/>
      <c r="K14" s="152">
        <f>K12*12</f>
        <v>66</v>
      </c>
      <c r="L14" s="668">
        <f t="shared" si="1"/>
        <v>0</v>
      </c>
      <c r="M14" s="669"/>
      <c r="N14" s="178"/>
      <c r="O14" s="71"/>
    </row>
    <row r="15" spans="1:15" x14ac:dyDescent="0.3">
      <c r="A15" s="71"/>
      <c r="B15" s="166"/>
      <c r="C15" s="423"/>
      <c r="D15" s="217" t="s">
        <v>982</v>
      </c>
      <c r="E15" s="218"/>
      <c r="F15" s="218"/>
      <c r="G15" s="218"/>
      <c r="H15" s="218"/>
      <c r="I15" s="218"/>
      <c r="J15" s="219"/>
      <c r="K15" s="152">
        <f>K12*16</f>
        <v>88</v>
      </c>
      <c r="L15" s="668">
        <f t="shared" si="1"/>
        <v>0</v>
      </c>
      <c r="M15" s="669"/>
      <c r="N15" s="178"/>
      <c r="O15" s="71"/>
    </row>
    <row r="16" spans="1:15" x14ac:dyDescent="0.3">
      <c r="A16" s="71"/>
      <c r="B16" s="166"/>
      <c r="C16" s="423"/>
      <c r="D16" s="217" t="s">
        <v>983</v>
      </c>
      <c r="E16" s="218"/>
      <c r="F16" s="218"/>
      <c r="G16" s="218"/>
      <c r="H16" s="218"/>
      <c r="I16" s="218"/>
      <c r="J16" s="219"/>
      <c r="K16" s="152">
        <f>K12*20</f>
        <v>110</v>
      </c>
      <c r="L16" s="668">
        <f t="shared" si="1"/>
        <v>0</v>
      </c>
      <c r="M16" s="669"/>
      <c r="N16" s="178"/>
      <c r="O16" s="71"/>
    </row>
    <row r="17" spans="1:15" x14ac:dyDescent="0.3">
      <c r="A17" s="71"/>
      <c r="B17" s="166"/>
      <c r="C17" s="423"/>
      <c r="D17" s="566" t="s">
        <v>984</v>
      </c>
      <c r="E17" s="567"/>
      <c r="F17" s="567"/>
      <c r="G17" s="567"/>
      <c r="H17" s="567"/>
      <c r="I17" s="567"/>
      <c r="J17" s="568"/>
      <c r="K17" s="152">
        <f>K12*12</f>
        <v>66</v>
      </c>
      <c r="L17" s="668">
        <f t="shared" si="1"/>
        <v>0</v>
      </c>
      <c r="M17" s="669"/>
      <c r="N17" s="178"/>
      <c r="O17" s="71"/>
    </row>
    <row r="18" spans="1:15" x14ac:dyDescent="0.3">
      <c r="A18" s="71"/>
      <c r="B18" s="166"/>
      <c r="C18" s="423"/>
      <c r="D18" s="217" t="s">
        <v>985</v>
      </c>
      <c r="E18" s="218"/>
      <c r="F18" s="218"/>
      <c r="G18" s="218"/>
      <c r="H18" s="218"/>
      <c r="I18" s="218"/>
      <c r="J18" s="219"/>
      <c r="K18" s="152">
        <f>K12*16</f>
        <v>88</v>
      </c>
      <c r="L18" s="668">
        <f t="shared" si="1"/>
        <v>0</v>
      </c>
      <c r="M18" s="669"/>
      <c r="N18" s="178"/>
      <c r="O18" s="71"/>
    </row>
    <row r="19" spans="1:15" x14ac:dyDescent="0.3">
      <c r="A19" s="71"/>
      <c r="B19" s="166"/>
      <c r="C19" s="423"/>
      <c r="D19" s="217" t="s">
        <v>986</v>
      </c>
      <c r="E19" s="218"/>
      <c r="F19" s="218"/>
      <c r="G19" s="218"/>
      <c r="H19" s="218"/>
      <c r="I19" s="218"/>
      <c r="J19" s="219"/>
      <c r="K19" s="152">
        <f>K12*20</f>
        <v>110</v>
      </c>
      <c r="L19" s="668">
        <f t="shared" si="1"/>
        <v>0</v>
      </c>
      <c r="M19" s="669"/>
      <c r="N19" s="178"/>
      <c r="O19" s="71"/>
    </row>
    <row r="20" spans="1:15" x14ac:dyDescent="0.3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8">
        <f t="shared" si="1"/>
        <v>0</v>
      </c>
      <c r="M20" s="669"/>
      <c r="N20" s="178"/>
      <c r="O20" s="71"/>
    </row>
    <row r="21" spans="1:15" x14ac:dyDescent="0.3">
      <c r="A21" s="71"/>
      <c r="B21" s="166"/>
      <c r="C21" s="394">
        <f>ROUNDUP(Formulas!L33/90,0)</f>
        <v>4</v>
      </c>
      <c r="D21" s="217" t="s">
        <v>972</v>
      </c>
      <c r="E21" s="218"/>
      <c r="F21" s="218"/>
      <c r="G21" s="218"/>
      <c r="H21" s="218"/>
      <c r="I21" s="218"/>
      <c r="J21" s="324"/>
      <c r="K21" s="152">
        <f>'Material Price'!J114</f>
        <v>34</v>
      </c>
      <c r="L21" s="668">
        <f t="shared" si="1"/>
        <v>136</v>
      </c>
      <c r="M21" s="669"/>
      <c r="N21" s="178"/>
      <c r="O21" s="71"/>
    </row>
    <row r="22" spans="1:15" x14ac:dyDescent="0.3">
      <c r="A22" s="71"/>
      <c r="B22" s="166"/>
      <c r="C22" s="425">
        <f>ROUNDUP(Formulas!L34/224,0)</f>
        <v>1</v>
      </c>
      <c r="D22" s="217" t="s">
        <v>977</v>
      </c>
      <c r="E22" s="218"/>
      <c r="F22" s="218"/>
      <c r="G22" s="218"/>
      <c r="H22" s="218"/>
      <c r="I22" s="218"/>
      <c r="J22" s="324"/>
      <c r="K22" s="152">
        <f>'Material Price'!J116</f>
        <v>93</v>
      </c>
      <c r="L22" s="668">
        <f t="shared" si="1"/>
        <v>93</v>
      </c>
      <c r="M22" s="669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8">
        <f t="shared" si="1"/>
        <v>0</v>
      </c>
      <c r="M23" s="669"/>
      <c r="N23" s="178"/>
      <c r="O23" s="71"/>
    </row>
    <row r="24" spans="1:15" x14ac:dyDescent="0.3">
      <c r="A24" s="71"/>
      <c r="B24" s="166"/>
      <c r="C24" s="360"/>
      <c r="D24" s="217"/>
      <c r="E24" s="218"/>
      <c r="F24" s="218"/>
      <c r="G24" s="218"/>
      <c r="H24" s="218"/>
      <c r="I24" s="218"/>
      <c r="J24" s="324"/>
      <c r="K24" s="152"/>
      <c r="L24" s="668">
        <f t="shared" si="1"/>
        <v>0</v>
      </c>
      <c r="M24" s="669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8">
        <f t="shared" si="1"/>
        <v>0</v>
      </c>
      <c r="M25" s="669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8">
        <f t="shared" si="1"/>
        <v>0</v>
      </c>
      <c r="M26" s="669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8">
        <f t="shared" si="1"/>
        <v>0</v>
      </c>
      <c r="M28" s="669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8">
        <f t="shared" si="1"/>
        <v>0</v>
      </c>
      <c r="M29" s="669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8">
        <f t="shared" si="1"/>
        <v>0</v>
      </c>
      <c r="M30" s="669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8">
        <f t="shared" si="1"/>
        <v>0</v>
      </c>
      <c r="M31" s="669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8">
        <f t="shared" si="1"/>
        <v>0</v>
      </c>
      <c r="M33" s="669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8">
        <f t="shared" si="1"/>
        <v>0</v>
      </c>
      <c r="M34" s="669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8">
        <f t="shared" si="1"/>
        <v>0</v>
      </c>
      <c r="M35" s="669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8">
        <f t="shared" si="1"/>
        <v>0</v>
      </c>
      <c r="M36" s="669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8">
        <f t="shared" si="1"/>
        <v>0</v>
      </c>
      <c r="M37" s="669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8">
        <f>K38*C38</f>
        <v>0</v>
      </c>
      <c r="M38" s="669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8">
        <f t="shared" ref="L39:L47" si="2">K39*C39</f>
        <v>0</v>
      </c>
      <c r="M39" s="669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8">
        <f t="shared" si="2"/>
        <v>0</v>
      </c>
      <c r="M40" s="669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8">
        <f t="shared" si="2"/>
        <v>0</v>
      </c>
      <c r="M41" s="669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8">
        <f t="shared" si="2"/>
        <v>0</v>
      </c>
      <c r="M42" s="669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8">
        <f t="shared" si="2"/>
        <v>0</v>
      </c>
      <c r="M43" s="669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8">
        <f t="shared" si="2"/>
        <v>0</v>
      </c>
      <c r="M44" s="669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8">
        <f t="shared" si="2"/>
        <v>0</v>
      </c>
      <c r="M45" s="669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8">
        <f t="shared" si="2"/>
        <v>0</v>
      </c>
      <c r="M46" s="669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8">
        <f t="shared" si="2"/>
        <v>0</v>
      </c>
      <c r="M47" s="669"/>
      <c r="N47" s="178"/>
      <c r="O47" s="71"/>
    </row>
    <row r="48" spans="1:15" x14ac:dyDescent="0.3">
      <c r="A48" s="71"/>
      <c r="B48" s="166"/>
      <c r="C48" s="183"/>
      <c r="D48" s="681" t="s">
        <v>10</v>
      </c>
      <c r="E48" s="682"/>
      <c r="F48" s="682"/>
      <c r="G48" s="682"/>
      <c r="H48" s="682"/>
      <c r="I48" s="682"/>
      <c r="J48" s="682"/>
      <c r="K48" s="683"/>
      <c r="L48" s="686">
        <f>(SUM(L10:M47)*0.0625)</f>
        <v>169.171875</v>
      </c>
      <c r="M48" s="686"/>
      <c r="N48" s="178"/>
      <c r="O48" s="71"/>
    </row>
    <row r="49" spans="1:15" x14ac:dyDescent="0.3">
      <c r="A49" s="71"/>
      <c r="B49" s="166"/>
      <c r="C49" s="183"/>
      <c r="D49" s="681" t="s">
        <v>1</v>
      </c>
      <c r="E49" s="682"/>
      <c r="F49" s="682"/>
      <c r="G49" s="682"/>
      <c r="H49" s="682"/>
      <c r="I49" s="682"/>
      <c r="J49" s="682"/>
      <c r="K49" s="683"/>
      <c r="L49" s="684">
        <f>SUM(L10:M48)</f>
        <v>2875.921875</v>
      </c>
      <c r="M49" s="684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D3:M3"/>
    <mergeCell ref="D4:M4"/>
    <mergeCell ref="E5:G5"/>
    <mergeCell ref="I5:J5"/>
    <mergeCell ref="E6:G6"/>
    <mergeCell ref="I6:J6"/>
    <mergeCell ref="E7:G7"/>
    <mergeCell ref="C8:M8"/>
    <mergeCell ref="D9:J9"/>
    <mergeCell ref="L9:M9"/>
    <mergeCell ref="D10:J10"/>
    <mergeCell ref="L10:M10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46:M46"/>
    <mergeCell ref="L47:M47"/>
    <mergeCell ref="D48:K48"/>
    <mergeCell ref="L48:M48"/>
    <mergeCell ref="D49:K49"/>
    <mergeCell ref="L49:M49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2C90F-E517-4DD4-A64F-CBAD048D01FC}">
  <sheetPr codeName="Sheet29">
    <tabColor rgb="FF00B050"/>
    <pageSetUpPr fitToPage="1"/>
  </sheetPr>
  <dimension ref="A1:O67"/>
  <sheetViews>
    <sheetView showGridLines="0" showZeros="0" view="pageBreakPreview" zoomScaleNormal="100" zoomScaleSheetLayoutView="100" workbookViewId="0">
      <selection activeCell="R16" sqref="R16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2.7968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988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8">
        <f t="shared" ref="L11" si="0">K11*C11</f>
        <v>0</v>
      </c>
      <c r="M11" s="669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989</v>
      </c>
      <c r="E12" s="355"/>
      <c r="F12" s="355"/>
      <c r="G12" s="355"/>
      <c r="H12" s="355"/>
      <c r="I12" s="355"/>
      <c r="J12" s="421"/>
      <c r="K12" s="422">
        <f>'Material Price'!J144</f>
        <v>3.13</v>
      </c>
      <c r="L12" s="740">
        <f>K12*C12</f>
        <v>1410.0650000000001</v>
      </c>
      <c r="M12" s="741"/>
      <c r="N12" s="178"/>
      <c r="O12" s="71"/>
    </row>
    <row r="13" spans="1:15" x14ac:dyDescent="0.3">
      <c r="A13" s="71"/>
      <c r="B13" s="166"/>
      <c r="C13" s="360"/>
      <c r="D13" s="566"/>
      <c r="E13" s="567"/>
      <c r="F13" s="567"/>
      <c r="G13" s="567"/>
      <c r="H13" s="567"/>
      <c r="I13" s="567"/>
      <c r="J13" s="568"/>
      <c r="K13" s="152"/>
      <c r="L13" s="668">
        <f t="shared" ref="L13:L37" si="1">K13*C13</f>
        <v>0</v>
      </c>
      <c r="M13" s="669"/>
      <c r="N13" s="178"/>
      <c r="O13" s="71"/>
    </row>
    <row r="14" spans="1:15" x14ac:dyDescent="0.3">
      <c r="A14" s="71"/>
      <c r="B14" s="166"/>
      <c r="C14" s="423"/>
      <c r="D14" s="566" t="s">
        <v>987</v>
      </c>
      <c r="E14" s="567"/>
      <c r="F14" s="567"/>
      <c r="G14" s="567"/>
      <c r="H14" s="567"/>
      <c r="I14" s="567"/>
      <c r="J14" s="568"/>
      <c r="K14" s="152">
        <f>K12*12</f>
        <v>37.56</v>
      </c>
      <c r="L14" s="668">
        <f t="shared" si="1"/>
        <v>0</v>
      </c>
      <c r="M14" s="669"/>
      <c r="N14" s="178"/>
      <c r="O14" s="71"/>
    </row>
    <row r="15" spans="1:15" x14ac:dyDescent="0.3">
      <c r="A15" s="71"/>
      <c r="B15" s="166"/>
      <c r="C15" s="423"/>
      <c r="D15" s="217" t="s">
        <v>990</v>
      </c>
      <c r="E15" s="218"/>
      <c r="F15" s="218"/>
      <c r="G15" s="218"/>
      <c r="H15" s="218"/>
      <c r="I15" s="218"/>
      <c r="J15" s="219"/>
      <c r="K15" s="152">
        <f>K12*16</f>
        <v>50.08</v>
      </c>
      <c r="L15" s="668">
        <f t="shared" si="1"/>
        <v>0</v>
      </c>
      <c r="M15" s="669"/>
      <c r="N15" s="178"/>
      <c r="O15" s="71"/>
    </row>
    <row r="16" spans="1:15" x14ac:dyDescent="0.3">
      <c r="A16" s="71"/>
      <c r="B16" s="166"/>
      <c r="C16" s="423"/>
      <c r="D16" s="217" t="s">
        <v>991</v>
      </c>
      <c r="E16" s="218"/>
      <c r="F16" s="218"/>
      <c r="G16" s="218"/>
      <c r="H16" s="218"/>
      <c r="I16" s="218"/>
      <c r="J16" s="219"/>
      <c r="K16" s="152">
        <f>K12*20</f>
        <v>62.599999999999994</v>
      </c>
      <c r="L16" s="668">
        <f t="shared" si="1"/>
        <v>0</v>
      </c>
      <c r="M16" s="669"/>
      <c r="N16" s="178"/>
      <c r="O16" s="71"/>
    </row>
    <row r="17" spans="1:15" x14ac:dyDescent="0.3">
      <c r="A17" s="71"/>
      <c r="B17" s="166"/>
      <c r="C17" s="423"/>
      <c r="D17" s="566" t="s">
        <v>992</v>
      </c>
      <c r="E17" s="567"/>
      <c r="F17" s="567"/>
      <c r="G17" s="567"/>
      <c r="H17" s="567"/>
      <c r="I17" s="567"/>
      <c r="J17" s="568"/>
      <c r="K17" s="152">
        <f>K12*12</f>
        <v>37.56</v>
      </c>
      <c r="L17" s="668">
        <f t="shared" si="1"/>
        <v>0</v>
      </c>
      <c r="M17" s="669"/>
      <c r="N17" s="178"/>
      <c r="O17" s="71"/>
    </row>
    <row r="18" spans="1:15" x14ac:dyDescent="0.3">
      <c r="A18" s="71"/>
      <c r="B18" s="166"/>
      <c r="C18" s="423"/>
      <c r="D18" s="217" t="s">
        <v>993</v>
      </c>
      <c r="E18" s="218"/>
      <c r="F18" s="218"/>
      <c r="G18" s="218"/>
      <c r="H18" s="218"/>
      <c r="I18" s="218"/>
      <c r="J18" s="219"/>
      <c r="K18" s="152">
        <f>K12*16</f>
        <v>50.08</v>
      </c>
      <c r="L18" s="668">
        <f t="shared" si="1"/>
        <v>0</v>
      </c>
      <c r="M18" s="669"/>
      <c r="N18" s="178"/>
      <c r="O18" s="71"/>
    </row>
    <row r="19" spans="1:15" x14ac:dyDescent="0.3">
      <c r="A19" s="71"/>
      <c r="B19" s="166"/>
      <c r="C19" s="423"/>
      <c r="D19" s="217" t="s">
        <v>994</v>
      </c>
      <c r="E19" s="218"/>
      <c r="F19" s="218"/>
      <c r="G19" s="218"/>
      <c r="H19" s="218"/>
      <c r="I19" s="218"/>
      <c r="J19" s="219"/>
      <c r="K19" s="152">
        <f>K12*20</f>
        <v>62.599999999999994</v>
      </c>
      <c r="L19" s="668">
        <f t="shared" si="1"/>
        <v>0</v>
      </c>
      <c r="M19" s="669"/>
      <c r="N19" s="178"/>
      <c r="O19" s="71"/>
    </row>
    <row r="20" spans="1:15" x14ac:dyDescent="0.3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8">
        <f t="shared" si="1"/>
        <v>0</v>
      </c>
      <c r="M20" s="669"/>
      <c r="N20" s="178"/>
      <c r="O20" s="71"/>
    </row>
    <row r="21" spans="1:15" x14ac:dyDescent="0.3">
      <c r="A21" s="71"/>
      <c r="B21" s="166"/>
      <c r="C21" s="394">
        <f>ROUNDUP(Formulas!L33/90,0)</f>
        <v>4</v>
      </c>
      <c r="D21" s="217" t="s">
        <v>972</v>
      </c>
      <c r="E21" s="218"/>
      <c r="F21" s="218"/>
      <c r="G21" s="218"/>
      <c r="H21" s="218"/>
      <c r="I21" s="218"/>
      <c r="J21" s="324"/>
      <c r="K21" s="152">
        <f>'Material Price'!J114</f>
        <v>34</v>
      </c>
      <c r="L21" s="668">
        <f t="shared" si="1"/>
        <v>136</v>
      </c>
      <c r="M21" s="669"/>
      <c r="N21" s="178"/>
      <c r="O21" s="71"/>
    </row>
    <row r="22" spans="1:15" x14ac:dyDescent="0.3">
      <c r="A22" s="71"/>
      <c r="B22" s="166"/>
      <c r="C22" s="425">
        <f>ROUNDUP(Formulas!L34/224,0)</f>
        <v>1</v>
      </c>
      <c r="D22" s="217" t="s">
        <v>977</v>
      </c>
      <c r="E22" s="218"/>
      <c r="F22" s="218"/>
      <c r="G22" s="218"/>
      <c r="H22" s="218"/>
      <c r="I22" s="218"/>
      <c r="J22" s="324"/>
      <c r="K22" s="152">
        <f>'Material Price'!J116</f>
        <v>93</v>
      </c>
      <c r="L22" s="668">
        <f t="shared" si="1"/>
        <v>93</v>
      </c>
      <c r="M22" s="669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8">
        <f t="shared" si="1"/>
        <v>0</v>
      </c>
      <c r="M23" s="669"/>
      <c r="N23" s="178"/>
      <c r="O23" s="71"/>
    </row>
    <row r="24" spans="1:15" x14ac:dyDescent="0.3">
      <c r="A24" s="71"/>
      <c r="B24" s="166"/>
      <c r="C24" s="360"/>
      <c r="D24" s="217"/>
      <c r="E24" s="218"/>
      <c r="F24" s="218"/>
      <c r="G24" s="218"/>
      <c r="H24" s="218"/>
      <c r="I24" s="218"/>
      <c r="J24" s="324"/>
      <c r="K24" s="152"/>
      <c r="L24" s="668">
        <f t="shared" si="1"/>
        <v>0</v>
      </c>
      <c r="M24" s="669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8">
        <f t="shared" si="1"/>
        <v>0</v>
      </c>
      <c r="M25" s="669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8">
        <f t="shared" si="1"/>
        <v>0</v>
      </c>
      <c r="M26" s="669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8">
        <f t="shared" si="1"/>
        <v>0</v>
      </c>
      <c r="M28" s="669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8">
        <f t="shared" si="1"/>
        <v>0</v>
      </c>
      <c r="M29" s="669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8">
        <f t="shared" si="1"/>
        <v>0</v>
      </c>
      <c r="M30" s="669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8">
        <f t="shared" si="1"/>
        <v>0</v>
      </c>
      <c r="M31" s="669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8">
        <f t="shared" si="1"/>
        <v>0</v>
      </c>
      <c r="M33" s="669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8">
        <f t="shared" si="1"/>
        <v>0</v>
      </c>
      <c r="M34" s="669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8">
        <f t="shared" si="1"/>
        <v>0</v>
      </c>
      <c r="M35" s="669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8">
        <f t="shared" si="1"/>
        <v>0</v>
      </c>
      <c r="M36" s="669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8">
        <f t="shared" si="1"/>
        <v>0</v>
      </c>
      <c r="M37" s="669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8">
        <f>K38*C38</f>
        <v>0</v>
      </c>
      <c r="M38" s="669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8">
        <f t="shared" ref="L39:L47" si="2">K39*C39</f>
        <v>0</v>
      </c>
      <c r="M39" s="669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8">
        <f t="shared" si="2"/>
        <v>0</v>
      </c>
      <c r="M40" s="669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8">
        <f t="shared" si="2"/>
        <v>0</v>
      </c>
      <c r="M41" s="669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8">
        <f t="shared" si="2"/>
        <v>0</v>
      </c>
      <c r="M42" s="669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8">
        <f t="shared" si="2"/>
        <v>0</v>
      </c>
      <c r="M43" s="669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8">
        <f t="shared" si="2"/>
        <v>0</v>
      </c>
      <c r="M44" s="669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8">
        <f t="shared" si="2"/>
        <v>0</v>
      </c>
      <c r="M45" s="669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8">
        <f t="shared" si="2"/>
        <v>0</v>
      </c>
      <c r="M46" s="669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8">
        <f t="shared" si="2"/>
        <v>0</v>
      </c>
      <c r="M47" s="669"/>
      <c r="N47" s="178"/>
      <c r="O47" s="71"/>
    </row>
    <row r="48" spans="1:15" x14ac:dyDescent="0.3">
      <c r="A48" s="71"/>
      <c r="B48" s="166"/>
      <c r="C48" s="183"/>
      <c r="D48" s="681" t="s">
        <v>10</v>
      </c>
      <c r="E48" s="682"/>
      <c r="F48" s="682"/>
      <c r="G48" s="682"/>
      <c r="H48" s="682"/>
      <c r="I48" s="682"/>
      <c r="J48" s="682"/>
      <c r="K48" s="683"/>
      <c r="L48" s="686">
        <f>(SUM(L10:M47)*0.0625)</f>
        <v>102.4415625</v>
      </c>
      <c r="M48" s="686"/>
      <c r="N48" s="178"/>
      <c r="O48" s="71"/>
    </row>
    <row r="49" spans="1:15" x14ac:dyDescent="0.3">
      <c r="A49" s="71"/>
      <c r="B49" s="166"/>
      <c r="C49" s="183"/>
      <c r="D49" s="681" t="s">
        <v>1</v>
      </c>
      <c r="E49" s="682"/>
      <c r="F49" s="682"/>
      <c r="G49" s="682"/>
      <c r="H49" s="682"/>
      <c r="I49" s="682"/>
      <c r="J49" s="682"/>
      <c r="K49" s="683"/>
      <c r="L49" s="684">
        <f>SUM(L10:M48)</f>
        <v>1741.5065625</v>
      </c>
      <c r="M49" s="684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D3:M3"/>
    <mergeCell ref="D4:M4"/>
    <mergeCell ref="E5:G5"/>
    <mergeCell ref="I5:J5"/>
    <mergeCell ref="E6:G6"/>
    <mergeCell ref="I6:J6"/>
    <mergeCell ref="E7:G7"/>
    <mergeCell ref="C8:M8"/>
    <mergeCell ref="D9:J9"/>
    <mergeCell ref="L9:M9"/>
    <mergeCell ref="D10:J10"/>
    <mergeCell ref="L10:M10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46:M46"/>
    <mergeCell ref="L47:M47"/>
    <mergeCell ref="D48:K48"/>
    <mergeCell ref="L48:M48"/>
    <mergeCell ref="D49:K49"/>
    <mergeCell ref="L49:M49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4305E3-AFB2-47E3-9E76-957F39FF5A8E}">
  <sheetPr codeName="Sheet56">
    <tabColor rgb="FFFFFF00"/>
    <pageSetUpPr fitToPage="1"/>
  </sheetPr>
  <dimension ref="A1:O68"/>
  <sheetViews>
    <sheetView showGridLines="0" showZeros="0" view="pageBreakPreview" topLeftCell="A6" zoomScaleNormal="100" zoomScaleSheetLayoutView="100" workbookViewId="0">
      <selection activeCell="R24" sqref="R24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1.59765625" style="2" bestFit="1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1387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ht="25" thickBot="1" x14ac:dyDescent="0.35">
      <c r="A11" s="71"/>
      <c r="B11" s="166"/>
      <c r="C11" s="360"/>
      <c r="D11" s="678" t="s">
        <v>1387</v>
      </c>
      <c r="E11" s="679"/>
      <c r="F11" s="679"/>
      <c r="G11" s="679"/>
      <c r="H11" s="679"/>
      <c r="I11" s="679"/>
      <c r="J11" s="825"/>
      <c r="K11" s="152"/>
      <c r="L11" s="668">
        <f t="shared" ref="L11" si="0">K11*C11</f>
        <v>0</v>
      </c>
      <c r="M11" s="669"/>
      <c r="N11" s="178"/>
      <c r="O11" s="71"/>
    </row>
    <row r="12" spans="1:15" x14ac:dyDescent="0.3">
      <c r="A12" s="71"/>
      <c r="B12" s="166"/>
      <c r="C12" s="360">
        <f>ROUNDUP(('Deck TakeOff'!H55+Formulas!T111+Formulas!U111)/2,1)</f>
        <v>0</v>
      </c>
      <c r="D12" s="335" t="s">
        <v>1377</v>
      </c>
      <c r="E12" s="218"/>
      <c r="F12" s="218"/>
      <c r="G12" s="218"/>
      <c r="H12" s="218"/>
      <c r="I12" s="218"/>
      <c r="J12" s="551">
        <v>616581</v>
      </c>
      <c r="K12" s="152">
        <v>26</v>
      </c>
      <c r="L12" s="668">
        <f>K12*C12</f>
        <v>0</v>
      </c>
      <c r="M12" s="669"/>
      <c r="N12" s="178"/>
      <c r="O12" s="71"/>
    </row>
    <row r="13" spans="1:15" x14ac:dyDescent="0.3">
      <c r="A13" s="71"/>
      <c r="B13" s="166"/>
      <c r="C13" s="360">
        <f>'Deck TakeOff'!H54</f>
        <v>0</v>
      </c>
      <c r="D13" s="335" t="s">
        <v>1378</v>
      </c>
      <c r="E13" s="218"/>
      <c r="F13" s="218"/>
      <c r="G13" s="218"/>
      <c r="H13" s="218"/>
      <c r="I13" s="218"/>
      <c r="J13" s="547">
        <v>312387</v>
      </c>
      <c r="K13" s="152">
        <v>13</v>
      </c>
      <c r="L13" s="668">
        <f t="shared" ref="L13:L36" si="1">K13*C13</f>
        <v>0</v>
      </c>
      <c r="M13" s="669"/>
      <c r="N13" s="178"/>
      <c r="O13" s="71"/>
    </row>
    <row r="14" spans="1:15" x14ac:dyDescent="0.3">
      <c r="A14" s="71"/>
      <c r="B14" s="166"/>
      <c r="C14" s="360">
        <f>(C12*2)+C13</f>
        <v>0</v>
      </c>
      <c r="D14" s="335" t="s">
        <v>1380</v>
      </c>
      <c r="E14" s="218"/>
      <c r="F14" s="218"/>
      <c r="G14" s="218"/>
      <c r="H14" s="218"/>
      <c r="I14" s="218"/>
      <c r="J14" s="552">
        <v>386668</v>
      </c>
      <c r="K14" s="152">
        <v>8</v>
      </c>
      <c r="L14" s="668">
        <f t="shared" si="1"/>
        <v>0</v>
      </c>
      <c r="M14" s="669"/>
      <c r="N14" s="178"/>
      <c r="O14" s="71"/>
    </row>
    <row r="15" spans="1:15" x14ac:dyDescent="0.3">
      <c r="A15" s="71"/>
      <c r="B15" s="166"/>
      <c r="C15" s="360">
        <f>C14</f>
        <v>0</v>
      </c>
      <c r="D15" s="335" t="s">
        <v>1379</v>
      </c>
      <c r="E15" s="218"/>
      <c r="F15" s="218"/>
      <c r="G15" s="218"/>
      <c r="H15" s="218"/>
      <c r="I15" s="218"/>
      <c r="J15" s="552">
        <v>401434</v>
      </c>
      <c r="K15" s="152">
        <v>5</v>
      </c>
      <c r="L15" s="668">
        <f>K15*C15</f>
        <v>0</v>
      </c>
      <c r="M15" s="669"/>
      <c r="N15" s="178"/>
      <c r="O15" s="71"/>
    </row>
    <row r="16" spans="1:15" x14ac:dyDescent="0.3">
      <c r="A16" s="71"/>
      <c r="B16" s="166"/>
      <c r="C16" s="394">
        <f>'Deck TakeOff'!H51</f>
        <v>0</v>
      </c>
      <c r="D16" s="335" t="s">
        <v>1383</v>
      </c>
      <c r="E16" s="218"/>
      <c r="F16" s="218"/>
      <c r="G16" s="218"/>
      <c r="H16" s="218"/>
      <c r="I16" s="218"/>
      <c r="J16" s="552"/>
      <c r="K16" s="356">
        <f>'Material Price'!J304</f>
        <v>110</v>
      </c>
      <c r="L16" s="668">
        <f t="shared" si="1"/>
        <v>0</v>
      </c>
      <c r="M16" s="669"/>
      <c r="N16" s="178"/>
      <c r="O16" s="71"/>
    </row>
    <row r="17" spans="1:15" x14ac:dyDescent="0.3">
      <c r="A17" s="71"/>
      <c r="B17" s="166"/>
      <c r="C17" s="394">
        <f>'Deck TakeOff'!H52</f>
        <v>0</v>
      </c>
      <c r="D17" s="335"/>
      <c r="E17" s="218"/>
      <c r="F17" s="218"/>
      <c r="G17" s="218"/>
      <c r="H17" s="218"/>
      <c r="I17" s="218"/>
      <c r="J17" s="552"/>
      <c r="K17" s="356"/>
      <c r="L17" s="668">
        <f t="shared" si="1"/>
        <v>0</v>
      </c>
      <c r="M17" s="669"/>
      <c r="N17" s="178"/>
      <c r="O17" s="71"/>
    </row>
    <row r="18" spans="1:15" x14ac:dyDescent="0.3">
      <c r="A18" s="71"/>
      <c r="B18" s="166"/>
      <c r="C18" s="394">
        <f>Formulas!Q111</f>
        <v>10</v>
      </c>
      <c r="D18" s="555" t="s">
        <v>1381</v>
      </c>
      <c r="E18" s="405"/>
      <c r="F18" s="405"/>
      <c r="G18" s="405"/>
      <c r="H18" s="405"/>
      <c r="I18" s="405"/>
      <c r="J18" s="553">
        <v>724146</v>
      </c>
      <c r="K18" s="356">
        <v>55</v>
      </c>
      <c r="L18" s="668">
        <f t="shared" si="1"/>
        <v>550</v>
      </c>
      <c r="M18" s="669"/>
      <c r="N18" s="178"/>
      <c r="O18" s="71"/>
    </row>
    <row r="19" spans="1:15" x14ac:dyDescent="0.3">
      <c r="A19" s="71"/>
      <c r="B19" s="166"/>
      <c r="C19" s="394">
        <f>Formulas!Q112</f>
        <v>0</v>
      </c>
      <c r="D19" s="549" t="s">
        <v>1382</v>
      </c>
      <c r="E19" s="405"/>
      <c r="F19" s="405"/>
      <c r="G19" s="405"/>
      <c r="H19" s="405"/>
      <c r="I19" s="405"/>
      <c r="J19" s="553">
        <v>725268</v>
      </c>
      <c r="K19" s="356">
        <v>80</v>
      </c>
      <c r="L19" s="668">
        <f t="shared" si="1"/>
        <v>0</v>
      </c>
      <c r="M19" s="669"/>
      <c r="N19" s="178"/>
      <c r="O19" s="71"/>
    </row>
    <row r="20" spans="1:15" x14ac:dyDescent="0.3">
      <c r="A20" s="71"/>
      <c r="B20" s="166"/>
      <c r="C20" s="394">
        <f>Formulas!Q113</f>
        <v>0</v>
      </c>
      <c r="D20" s="550"/>
      <c r="E20" s="411"/>
      <c r="F20" s="411"/>
      <c r="G20" s="411"/>
      <c r="H20" s="411"/>
      <c r="I20" s="411"/>
      <c r="J20" s="553"/>
      <c r="K20" s="356"/>
      <c r="L20" s="668">
        <f t="shared" si="1"/>
        <v>0</v>
      </c>
      <c r="M20" s="669"/>
      <c r="N20" s="178"/>
      <c r="O20" s="71"/>
    </row>
    <row r="21" spans="1:15" x14ac:dyDescent="0.3">
      <c r="A21" s="71"/>
      <c r="B21" s="166"/>
      <c r="C21" s="394">
        <f>Formulas!Q114</f>
        <v>0</v>
      </c>
      <c r="D21" s="550"/>
      <c r="E21" s="411"/>
      <c r="F21" s="411"/>
      <c r="G21" s="411"/>
      <c r="H21" s="411"/>
      <c r="I21" s="411"/>
      <c r="J21" s="553"/>
      <c r="K21" s="356"/>
      <c r="L21" s="668">
        <f t="shared" si="1"/>
        <v>0</v>
      </c>
      <c r="M21" s="669"/>
      <c r="N21" s="178"/>
      <c r="O21" s="71"/>
    </row>
    <row r="22" spans="1:15" x14ac:dyDescent="0.3">
      <c r="A22" s="71"/>
      <c r="B22" s="166"/>
      <c r="C22" s="394">
        <f>Formulas!Q115</f>
        <v>0</v>
      </c>
      <c r="D22" s="556" t="s">
        <v>1384</v>
      </c>
      <c r="E22" s="411"/>
      <c r="F22" s="411"/>
      <c r="G22" s="411"/>
      <c r="H22" s="411"/>
      <c r="I22" s="411"/>
      <c r="J22" s="553">
        <v>829436</v>
      </c>
      <c r="K22" s="356">
        <v>60</v>
      </c>
      <c r="L22" s="668">
        <f t="shared" si="1"/>
        <v>0</v>
      </c>
      <c r="M22" s="669"/>
      <c r="N22" s="178"/>
      <c r="O22" s="71"/>
    </row>
    <row r="23" spans="1:15" x14ac:dyDescent="0.3">
      <c r="A23" s="71"/>
      <c r="B23" s="166"/>
      <c r="C23" s="394">
        <f>Formulas!Q116</f>
        <v>0</v>
      </c>
      <c r="D23" s="550" t="s">
        <v>1385</v>
      </c>
      <c r="E23" s="411"/>
      <c r="F23" s="411"/>
      <c r="G23" s="411"/>
      <c r="H23" s="411"/>
      <c r="I23" s="411"/>
      <c r="J23" s="553">
        <v>73025682</v>
      </c>
      <c r="K23" s="356">
        <v>148</v>
      </c>
      <c r="L23" s="668">
        <f t="shared" si="1"/>
        <v>0</v>
      </c>
      <c r="M23" s="669"/>
      <c r="N23" s="178"/>
      <c r="O23" s="71"/>
    </row>
    <row r="24" spans="1:15" x14ac:dyDescent="0.3">
      <c r="A24" s="71"/>
      <c r="B24" s="166"/>
      <c r="C24" s="394">
        <f>Formulas!Q117</f>
        <v>0</v>
      </c>
      <c r="D24" s="550"/>
      <c r="E24" s="411"/>
      <c r="F24" s="411"/>
      <c r="G24" s="411"/>
      <c r="H24" s="411"/>
      <c r="I24" s="411"/>
      <c r="J24" s="553"/>
      <c r="K24" s="356"/>
      <c r="L24" s="668">
        <f t="shared" si="1"/>
        <v>0</v>
      </c>
      <c r="M24" s="669"/>
      <c r="N24" s="178"/>
      <c r="O24" s="71"/>
    </row>
    <row r="25" spans="1:15" x14ac:dyDescent="0.3">
      <c r="A25" s="71"/>
      <c r="B25" s="166"/>
      <c r="C25" s="394">
        <f>'Deck TakeOff'!E64</f>
        <v>10</v>
      </c>
      <c r="D25" s="550" t="s">
        <v>1386</v>
      </c>
      <c r="E25" s="411"/>
      <c r="F25" s="411"/>
      <c r="G25" s="411"/>
      <c r="H25" s="411"/>
      <c r="I25" s="411"/>
      <c r="J25" s="553"/>
      <c r="K25" s="356"/>
      <c r="L25" s="668">
        <f t="shared" si="1"/>
        <v>0</v>
      </c>
      <c r="M25" s="669"/>
      <c r="N25" s="178"/>
      <c r="O25" s="71"/>
    </row>
    <row r="26" spans="1:15" x14ac:dyDescent="0.3">
      <c r="A26" s="71"/>
      <c r="B26" s="166"/>
      <c r="C26" s="394">
        <f>C19+C18</f>
        <v>10</v>
      </c>
      <c r="D26" s="550" t="s">
        <v>1376</v>
      </c>
      <c r="E26" s="411"/>
      <c r="F26" s="411"/>
      <c r="G26" s="411"/>
      <c r="H26" s="411"/>
      <c r="I26" s="411"/>
      <c r="J26" s="553">
        <v>1001303912</v>
      </c>
      <c r="K26" s="356">
        <v>12.98</v>
      </c>
      <c r="L26" s="668">
        <f t="shared" si="1"/>
        <v>129.80000000000001</v>
      </c>
      <c r="M26" s="669"/>
      <c r="N26" s="178"/>
      <c r="O26" s="71"/>
    </row>
    <row r="27" spans="1:15" x14ac:dyDescent="0.3">
      <c r="A27" s="71"/>
      <c r="B27" s="166"/>
      <c r="C27" s="394">
        <f>C22+C23</f>
        <v>0</v>
      </c>
      <c r="D27" s="550" t="s">
        <v>1375</v>
      </c>
      <c r="E27" s="411"/>
      <c r="F27" s="411"/>
      <c r="G27" s="411"/>
      <c r="H27" s="411"/>
      <c r="I27" s="411"/>
      <c r="J27" s="553">
        <v>513390</v>
      </c>
      <c r="K27" s="356">
        <v>18.5</v>
      </c>
      <c r="L27" s="668">
        <f t="shared" si="1"/>
        <v>0</v>
      </c>
      <c r="M27" s="669"/>
      <c r="N27" s="178"/>
      <c r="O27" s="71"/>
    </row>
    <row r="28" spans="1:15" x14ac:dyDescent="0.3">
      <c r="A28" s="71"/>
      <c r="B28" s="166"/>
      <c r="C28" s="394"/>
      <c r="D28" s="550"/>
      <c r="E28" s="411"/>
      <c r="F28" s="411"/>
      <c r="G28" s="411"/>
      <c r="H28" s="411"/>
      <c r="I28" s="411"/>
      <c r="J28" s="553"/>
      <c r="K28" s="152"/>
      <c r="L28" s="668">
        <f t="shared" si="1"/>
        <v>0</v>
      </c>
      <c r="M28" s="669"/>
      <c r="N28" s="178"/>
      <c r="O28" s="71"/>
    </row>
    <row r="29" spans="1:15" x14ac:dyDescent="0.3">
      <c r="A29" s="71"/>
      <c r="B29" s="166"/>
      <c r="C29" s="394">
        <f>IF(C28&gt;0,1,0)</f>
        <v>0</v>
      </c>
      <c r="D29" s="550"/>
      <c r="E29" s="411"/>
      <c r="F29" s="411"/>
      <c r="G29" s="411"/>
      <c r="H29" s="411"/>
      <c r="I29" s="411"/>
      <c r="J29" s="553"/>
      <c r="K29" s="152"/>
      <c r="L29" s="668">
        <f t="shared" si="1"/>
        <v>0</v>
      </c>
      <c r="M29" s="669"/>
      <c r="N29" s="178"/>
      <c r="O29" s="71"/>
    </row>
    <row r="30" spans="1:15" x14ac:dyDescent="0.3">
      <c r="A30" s="71"/>
      <c r="B30" s="166"/>
      <c r="C30" s="394">
        <f>Formulas!H131</f>
        <v>0</v>
      </c>
      <c r="D30" s="335" t="s">
        <v>1205</v>
      </c>
      <c r="E30" s="411"/>
      <c r="F30" s="411"/>
      <c r="G30" s="411"/>
      <c r="H30" s="411"/>
      <c r="I30" s="411"/>
      <c r="J30" s="553"/>
      <c r="K30" s="356">
        <f>'Material Price'!J342</f>
        <v>225</v>
      </c>
      <c r="L30" s="668">
        <f t="shared" si="1"/>
        <v>0</v>
      </c>
      <c r="M30" s="669"/>
      <c r="N30" s="178"/>
      <c r="O30" s="71"/>
    </row>
    <row r="31" spans="1:15" ht="25" thickBot="1" x14ac:dyDescent="0.35">
      <c r="A31" s="71"/>
      <c r="B31" s="166"/>
      <c r="C31" s="360">
        <f>Formulas!H132</f>
        <v>0</v>
      </c>
      <c r="D31" s="335" t="s">
        <v>1206</v>
      </c>
      <c r="E31" s="345"/>
      <c r="F31" s="345"/>
      <c r="G31" s="345"/>
      <c r="H31" s="345"/>
      <c r="I31" s="345"/>
      <c r="J31" s="554"/>
      <c r="K31" s="356">
        <f>'Material Price'!J343</f>
        <v>225</v>
      </c>
      <c r="L31" s="668">
        <f t="shared" si="1"/>
        <v>0</v>
      </c>
      <c r="M31" s="669"/>
      <c r="N31" s="178"/>
      <c r="O31" s="71"/>
    </row>
    <row r="32" spans="1:15" x14ac:dyDescent="0.3">
      <c r="A32" s="71"/>
      <c r="B32" s="166"/>
      <c r="C32" s="360"/>
      <c r="D32" s="678" t="s">
        <v>763</v>
      </c>
      <c r="E32" s="679"/>
      <c r="F32" s="679"/>
      <c r="G32" s="679"/>
      <c r="H32" s="679"/>
      <c r="I32" s="679"/>
      <c r="J32" s="824"/>
      <c r="K32" s="152"/>
      <c r="L32" s="668">
        <f t="shared" si="1"/>
        <v>0</v>
      </c>
      <c r="M32" s="669"/>
      <c r="N32" s="178"/>
      <c r="O32" s="71"/>
    </row>
    <row r="33" spans="1:15" x14ac:dyDescent="0.3">
      <c r="A33" s="71"/>
      <c r="B33" s="166"/>
      <c r="C33" s="360">
        <f>'Deck TakeOff'!E58</f>
        <v>0</v>
      </c>
      <c r="D33" s="217" t="s">
        <v>764</v>
      </c>
      <c r="E33" s="345"/>
      <c r="F33" s="345"/>
      <c r="G33" s="345"/>
      <c r="H33" s="345"/>
      <c r="I33" s="345"/>
      <c r="J33" s="346"/>
      <c r="K33" s="356">
        <f>'Material Price'!J227</f>
        <v>380</v>
      </c>
      <c r="L33" s="668">
        <f t="shared" si="1"/>
        <v>0</v>
      </c>
      <c r="M33" s="669"/>
      <c r="N33" s="178"/>
      <c r="O33" s="71"/>
    </row>
    <row r="34" spans="1:15" x14ac:dyDescent="0.3">
      <c r="A34" s="71"/>
      <c r="B34" s="166"/>
      <c r="C34" s="360">
        <f>'Deck TakeOff'!E59</f>
        <v>0</v>
      </c>
      <c r="D34" s="217" t="s">
        <v>765</v>
      </c>
      <c r="E34" s="345"/>
      <c r="F34" s="345"/>
      <c r="G34" s="345"/>
      <c r="H34" s="345"/>
      <c r="I34" s="345"/>
      <c r="J34" s="346"/>
      <c r="K34" s="356">
        <f>'Material Price'!J228</f>
        <v>420</v>
      </c>
      <c r="L34" s="668">
        <f t="shared" si="1"/>
        <v>0</v>
      </c>
      <c r="M34" s="669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152"/>
      <c r="L35" s="668">
        <f t="shared" si="1"/>
        <v>0</v>
      </c>
      <c r="M35" s="669"/>
      <c r="N35" s="178"/>
      <c r="O35" s="71"/>
    </row>
    <row r="36" spans="1:15" x14ac:dyDescent="0.3">
      <c r="A36" s="71"/>
      <c r="B36" s="166"/>
      <c r="C36" s="360"/>
      <c r="D36" s="678" t="s">
        <v>601</v>
      </c>
      <c r="E36" s="679"/>
      <c r="F36" s="679"/>
      <c r="G36" s="679"/>
      <c r="H36" s="679"/>
      <c r="I36" s="679"/>
      <c r="J36" s="680"/>
      <c r="K36" s="152"/>
      <c r="L36" s="668">
        <f t="shared" si="1"/>
        <v>0</v>
      </c>
      <c r="M36" s="669"/>
      <c r="N36" s="178"/>
      <c r="O36" s="71"/>
    </row>
    <row r="37" spans="1:15" x14ac:dyDescent="0.3">
      <c r="A37" s="71"/>
      <c r="B37" s="166"/>
      <c r="C37" s="360">
        <f>(Formulas!D107+Formulas!D108)/1.1</f>
        <v>0</v>
      </c>
      <c r="D37" s="217" t="s">
        <v>741</v>
      </c>
      <c r="E37" s="345"/>
      <c r="F37" s="345"/>
      <c r="G37" s="345"/>
      <c r="H37" s="345"/>
      <c r="I37" s="345"/>
      <c r="J37" s="346"/>
      <c r="K37" s="152">
        <f>'Material Price'!J232</f>
        <v>10</v>
      </c>
      <c r="L37" s="668">
        <f>K37*C37</f>
        <v>0</v>
      </c>
      <c r="M37" s="669"/>
      <c r="N37" s="178"/>
      <c r="O37" s="71"/>
    </row>
    <row r="38" spans="1:15" x14ac:dyDescent="0.3">
      <c r="A38" s="71"/>
      <c r="B38" s="166"/>
      <c r="C38" s="360"/>
      <c r="D38" s="217" t="s">
        <v>580</v>
      </c>
      <c r="E38" s="345"/>
      <c r="F38" s="345"/>
      <c r="G38" s="345"/>
      <c r="H38" s="345"/>
      <c r="I38" s="345"/>
      <c r="J38" s="346"/>
      <c r="K38" s="152">
        <f>'Material Price'!J233</f>
        <v>75</v>
      </c>
      <c r="L38" s="668">
        <f t="shared" ref="L38:L47" si="2">K38*C38</f>
        <v>0</v>
      </c>
      <c r="M38" s="669"/>
      <c r="N38" s="178"/>
      <c r="O38" s="71"/>
    </row>
    <row r="39" spans="1:15" x14ac:dyDescent="0.3">
      <c r="A39" s="71"/>
      <c r="B39" s="166"/>
      <c r="C39" s="360"/>
      <c r="D39" s="217" t="s">
        <v>581</v>
      </c>
      <c r="E39" s="345"/>
      <c r="F39" s="345"/>
      <c r="G39" s="345"/>
      <c r="H39" s="345"/>
      <c r="I39" s="345"/>
      <c r="J39" s="346"/>
      <c r="K39" s="152">
        <f>'Material Price'!J234</f>
        <v>65</v>
      </c>
      <c r="L39" s="668">
        <f t="shared" si="2"/>
        <v>0</v>
      </c>
      <c r="M39" s="669"/>
      <c r="N39" s="178"/>
      <c r="O39" s="71"/>
    </row>
    <row r="40" spans="1:15" x14ac:dyDescent="0.3">
      <c r="A40" s="71"/>
      <c r="B40" s="166"/>
      <c r="C40" s="360"/>
      <c r="D40" s="217" t="s">
        <v>582</v>
      </c>
      <c r="E40" s="345"/>
      <c r="F40" s="345"/>
      <c r="G40" s="345"/>
      <c r="H40" s="345"/>
      <c r="I40" s="345"/>
      <c r="J40" s="346"/>
      <c r="K40" s="152">
        <f>'Material Price'!J235</f>
        <v>50</v>
      </c>
      <c r="L40" s="668">
        <f t="shared" si="2"/>
        <v>0</v>
      </c>
      <c r="M40" s="669"/>
      <c r="N40" s="178"/>
      <c r="O40" s="71"/>
    </row>
    <row r="41" spans="1:15" x14ac:dyDescent="0.3">
      <c r="A41" s="71"/>
      <c r="B41" s="166"/>
      <c r="C41" s="360"/>
      <c r="D41" s="347" t="s">
        <v>600</v>
      </c>
      <c r="E41" s="345"/>
      <c r="F41" s="345"/>
      <c r="G41" s="345"/>
      <c r="H41" s="345"/>
      <c r="I41" s="345"/>
      <c r="J41" s="346"/>
      <c r="K41" s="152">
        <f>'Material Price'!J236</f>
        <v>13</v>
      </c>
      <c r="L41" s="668">
        <f t="shared" si="2"/>
        <v>0</v>
      </c>
      <c r="M41" s="669"/>
      <c r="N41" s="178"/>
      <c r="O41" s="71"/>
    </row>
    <row r="42" spans="1:15" x14ac:dyDescent="0.3">
      <c r="A42" s="71"/>
      <c r="B42" s="166"/>
      <c r="C42" s="360"/>
      <c r="D42" s="347" t="s">
        <v>583</v>
      </c>
      <c r="E42" s="345"/>
      <c r="F42" s="345"/>
      <c r="G42" s="345"/>
      <c r="H42" s="345"/>
      <c r="I42" s="345"/>
      <c r="J42" s="346"/>
      <c r="K42" s="152">
        <f>'Material Price'!J237</f>
        <v>25</v>
      </c>
      <c r="L42" s="668">
        <f t="shared" si="2"/>
        <v>0</v>
      </c>
      <c r="M42" s="669"/>
      <c r="N42" s="178"/>
      <c r="O42" s="71"/>
    </row>
    <row r="43" spans="1:15" x14ac:dyDescent="0.3">
      <c r="A43" s="71"/>
      <c r="B43" s="166"/>
      <c r="C43" s="360"/>
      <c r="D43" s="347" t="s">
        <v>584</v>
      </c>
      <c r="E43" s="345"/>
      <c r="F43" s="345"/>
      <c r="G43" s="345"/>
      <c r="H43" s="345"/>
      <c r="I43" s="345"/>
      <c r="J43" s="346"/>
      <c r="K43" s="152">
        <f>'Material Price'!J238</f>
        <v>18</v>
      </c>
      <c r="L43" s="668">
        <f t="shared" si="2"/>
        <v>0</v>
      </c>
      <c r="M43" s="669"/>
      <c r="N43" s="178"/>
      <c r="O43" s="71"/>
    </row>
    <row r="44" spans="1:15" x14ac:dyDescent="0.3">
      <c r="A44" s="71"/>
      <c r="B44" s="166"/>
      <c r="C44" s="360"/>
      <c r="D44" s="347" t="s">
        <v>585</v>
      </c>
      <c r="E44" s="345"/>
      <c r="F44" s="345"/>
      <c r="G44" s="345"/>
      <c r="H44" s="345"/>
      <c r="I44" s="345"/>
      <c r="J44" s="346"/>
      <c r="K44" s="152">
        <f>'Material Price'!J239</f>
        <v>2</v>
      </c>
      <c r="L44" s="668">
        <f t="shared" si="2"/>
        <v>0</v>
      </c>
      <c r="M44" s="669"/>
      <c r="N44" s="178"/>
      <c r="O44" s="71"/>
    </row>
    <row r="45" spans="1:15" x14ac:dyDescent="0.3">
      <c r="A45" s="71"/>
      <c r="B45" s="166"/>
      <c r="C45" s="360"/>
      <c r="D45" s="347" t="s">
        <v>586</v>
      </c>
      <c r="E45" s="345"/>
      <c r="F45" s="345"/>
      <c r="G45" s="345"/>
      <c r="H45" s="345"/>
      <c r="I45" s="345"/>
      <c r="J45" s="346"/>
      <c r="K45" s="152">
        <f>'Material Price'!J240</f>
        <v>5</v>
      </c>
      <c r="L45" s="668">
        <f t="shared" si="2"/>
        <v>0</v>
      </c>
      <c r="M45" s="669"/>
      <c r="N45" s="178"/>
      <c r="O45" s="71"/>
    </row>
    <row r="46" spans="1:15" x14ac:dyDescent="0.3">
      <c r="A46" s="71"/>
      <c r="B46" s="166"/>
      <c r="C46" s="360"/>
      <c r="D46" s="347" t="s">
        <v>740</v>
      </c>
      <c r="E46" s="345"/>
      <c r="F46" s="345"/>
      <c r="G46" s="345"/>
      <c r="H46" s="345"/>
      <c r="I46" s="345"/>
      <c r="J46" s="346"/>
      <c r="K46" s="152">
        <f>'Material Price'!J241</f>
        <v>5</v>
      </c>
      <c r="L46" s="668">
        <f t="shared" si="2"/>
        <v>0</v>
      </c>
      <c r="M46" s="669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8">
        <f t="shared" si="2"/>
        <v>0</v>
      </c>
      <c r="M47" s="669"/>
      <c r="N47" s="178"/>
      <c r="O47" s="71"/>
    </row>
    <row r="48" spans="1:15" x14ac:dyDescent="0.3">
      <c r="A48" s="71"/>
      <c r="B48" s="166"/>
      <c r="C48" s="360"/>
      <c r="D48" s="347"/>
      <c r="E48" s="345"/>
      <c r="F48" s="345"/>
      <c r="G48" s="345"/>
      <c r="H48" s="345"/>
      <c r="I48" s="345"/>
      <c r="J48" s="346"/>
      <c r="K48" s="152"/>
      <c r="L48" s="668">
        <f>K48*C48</f>
        <v>0</v>
      </c>
      <c r="M48" s="669"/>
      <c r="N48" s="178"/>
      <c r="O48" s="71"/>
    </row>
    <row r="49" spans="1:15" x14ac:dyDescent="0.3">
      <c r="A49" s="71"/>
      <c r="B49" s="166"/>
      <c r="C49" s="183"/>
      <c r="D49" s="681" t="s">
        <v>10</v>
      </c>
      <c r="E49" s="682"/>
      <c r="F49" s="682"/>
      <c r="G49" s="682"/>
      <c r="H49" s="682"/>
      <c r="I49" s="682"/>
      <c r="J49" s="682"/>
      <c r="K49" s="683"/>
      <c r="L49" s="686">
        <f>(SUM(L10:M48)*0.0625)</f>
        <v>42.487499999999997</v>
      </c>
      <c r="M49" s="686"/>
      <c r="N49" s="178"/>
      <c r="O49" s="71"/>
    </row>
    <row r="50" spans="1:15" x14ac:dyDescent="0.3">
      <c r="A50" s="71"/>
      <c r="B50" s="166"/>
      <c r="C50" s="183"/>
      <c r="D50" s="681" t="s">
        <v>1</v>
      </c>
      <c r="E50" s="682"/>
      <c r="F50" s="682"/>
      <c r="G50" s="682"/>
      <c r="H50" s="682"/>
      <c r="I50" s="682"/>
      <c r="J50" s="682"/>
      <c r="K50" s="683"/>
      <c r="L50" s="684">
        <f>SUM(L10:M49)</f>
        <v>722.28749999999991</v>
      </c>
      <c r="M50" s="684"/>
      <c r="N50" s="178"/>
      <c r="O50" s="71"/>
    </row>
    <row r="51" spans="1:15" ht="6" customHeight="1" x14ac:dyDescent="0.3">
      <c r="A51" s="71"/>
      <c r="B51" s="166"/>
      <c r="C51" s="184"/>
      <c r="D51" s="185"/>
      <c r="E51" s="185"/>
      <c r="F51" s="185"/>
      <c r="G51" s="185"/>
      <c r="H51" s="186"/>
      <c r="I51" s="186"/>
      <c r="J51" s="186"/>
      <c r="K51" s="185"/>
      <c r="L51" s="187"/>
      <c r="M51" s="187"/>
      <c r="N51" s="178"/>
      <c r="O51" s="71"/>
    </row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  <row r="68" ht="25" customHeight="1" x14ac:dyDescent="0.3"/>
  </sheetData>
  <sheetProtection selectLockedCells="1" selectUnlockedCells="1"/>
  <mergeCells count="57">
    <mergeCell ref="D3:M3"/>
    <mergeCell ref="D4:M4"/>
    <mergeCell ref="E5:G5"/>
    <mergeCell ref="I5:J5"/>
    <mergeCell ref="E6:G6"/>
    <mergeCell ref="I6:J6"/>
    <mergeCell ref="L15:M15"/>
    <mergeCell ref="E7:G7"/>
    <mergeCell ref="C8:M8"/>
    <mergeCell ref="D9:J9"/>
    <mergeCell ref="L9:M9"/>
    <mergeCell ref="D10:J10"/>
    <mergeCell ref="L10:M10"/>
    <mergeCell ref="D11:J11"/>
    <mergeCell ref="L11:M11"/>
    <mergeCell ref="L12:M12"/>
    <mergeCell ref="L13:M13"/>
    <mergeCell ref="L14:M14"/>
    <mergeCell ref="L27:M27"/>
    <mergeCell ref="L16:M16"/>
    <mergeCell ref="L17:M17"/>
    <mergeCell ref="L18:M18"/>
    <mergeCell ref="L19:M19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D32:J32"/>
    <mergeCell ref="L32:M32"/>
    <mergeCell ref="L43:M43"/>
    <mergeCell ref="L33:M33"/>
    <mergeCell ref="L34:M34"/>
    <mergeCell ref="L35:M35"/>
    <mergeCell ref="D36:J36"/>
    <mergeCell ref="L36:M36"/>
    <mergeCell ref="L37:M37"/>
    <mergeCell ref="L38:M38"/>
    <mergeCell ref="L39:M39"/>
    <mergeCell ref="L40:M40"/>
    <mergeCell ref="L41:M41"/>
    <mergeCell ref="L42:M42"/>
    <mergeCell ref="D50:K50"/>
    <mergeCell ref="L50:M50"/>
    <mergeCell ref="L44:M44"/>
    <mergeCell ref="L45:M45"/>
    <mergeCell ref="L46:M46"/>
    <mergeCell ref="L47:M47"/>
    <mergeCell ref="L48:M48"/>
    <mergeCell ref="D49:K49"/>
    <mergeCell ref="L49:M49"/>
  </mergeCells>
  <printOptions horizontalCentered="1" verticalCentered="1"/>
  <pageMargins left="0" right="0" top="0" bottom="0" header="0" footer="0"/>
  <pageSetup scale="66" orientation="portrait" r:id="rId1"/>
  <headerFooter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89C8D-E644-4420-8684-C8D0578E377B}">
  <sheetPr codeName="Sheet12">
    <tabColor rgb="FFFFFF00"/>
    <pageSetUpPr fitToPage="1"/>
  </sheetPr>
  <dimension ref="A1:O69"/>
  <sheetViews>
    <sheetView showGridLines="0" showZeros="0" view="pageBreakPreview" topLeftCell="C7" zoomScaleNormal="100" zoomScaleSheetLayoutView="100" workbookViewId="0">
      <selection activeCell="D12" sqref="D12:K19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734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734</v>
      </c>
      <c r="E11" s="679"/>
      <c r="F11" s="679"/>
      <c r="G11" s="679"/>
      <c r="H11" s="679"/>
      <c r="I11" s="680"/>
      <c r="J11" s="546" t="s">
        <v>1346</v>
      </c>
      <c r="K11" s="152"/>
      <c r="L11" s="668">
        <f t="shared" ref="L11" si="0">K11*C11</f>
        <v>0</v>
      </c>
      <c r="M11" s="669"/>
      <c r="N11" s="178"/>
      <c r="O11" s="71"/>
    </row>
    <row r="12" spans="1:15" x14ac:dyDescent="0.3">
      <c r="A12" s="71"/>
      <c r="B12" s="166"/>
      <c r="C12" s="360">
        <f>'Deck TakeOff'!H51</f>
        <v>0</v>
      </c>
      <c r="D12" s="347" t="s">
        <v>569</v>
      </c>
      <c r="E12" s="345"/>
      <c r="F12" s="345"/>
      <c r="G12" s="345"/>
      <c r="H12" s="345"/>
      <c r="I12" s="345"/>
      <c r="J12" s="547">
        <v>73019022</v>
      </c>
      <c r="K12" s="152">
        <f>'Material Price'!J210</f>
        <v>42</v>
      </c>
      <c r="L12" s="668">
        <f>K12*C12</f>
        <v>0</v>
      </c>
      <c r="M12" s="669"/>
      <c r="N12" s="178"/>
      <c r="O12" s="71"/>
    </row>
    <row r="13" spans="1:15" x14ac:dyDescent="0.3">
      <c r="A13" s="71"/>
      <c r="B13" s="166"/>
      <c r="C13" s="360">
        <f>'Deck TakeOff'!H52</f>
        <v>0</v>
      </c>
      <c r="D13" s="347" t="s">
        <v>563</v>
      </c>
      <c r="E13" s="345"/>
      <c r="F13" s="345"/>
      <c r="G13" s="345"/>
      <c r="H13" s="345"/>
      <c r="I13" s="345"/>
      <c r="J13" s="547">
        <v>73019024</v>
      </c>
      <c r="K13" s="152">
        <f>'Material Price'!J211</f>
        <v>45</v>
      </c>
      <c r="L13" s="668">
        <f t="shared" ref="L13:L18" si="1">K13*C13</f>
        <v>0</v>
      </c>
      <c r="M13" s="669"/>
      <c r="N13" s="178"/>
      <c r="O13" s="71"/>
    </row>
    <row r="14" spans="1:15" x14ac:dyDescent="0.3">
      <c r="A14" s="71"/>
      <c r="B14" s="166"/>
      <c r="C14" s="360">
        <f>'Deck TakeOff'!H54</f>
        <v>0</v>
      </c>
      <c r="D14" s="347" t="s">
        <v>564</v>
      </c>
      <c r="E14" s="345"/>
      <c r="F14" s="345"/>
      <c r="G14" s="345"/>
      <c r="H14" s="345"/>
      <c r="I14" s="345"/>
      <c r="J14" s="547">
        <v>73014245</v>
      </c>
      <c r="K14" s="152">
        <f>'Material Price'!J212</f>
        <v>62</v>
      </c>
      <c r="L14" s="668">
        <f t="shared" si="1"/>
        <v>0</v>
      </c>
      <c r="M14" s="669"/>
      <c r="N14" s="178"/>
      <c r="O14" s="71"/>
    </row>
    <row r="15" spans="1:15" x14ac:dyDescent="0.3">
      <c r="A15" s="71"/>
      <c r="B15" s="166"/>
      <c r="C15" s="360">
        <f>'Deck TakeOff'!H55+Formulas!R111+Formulas!S111</f>
        <v>0</v>
      </c>
      <c r="D15" s="347" t="s">
        <v>565</v>
      </c>
      <c r="E15" s="345"/>
      <c r="F15" s="345"/>
      <c r="G15" s="345"/>
      <c r="H15" s="345"/>
      <c r="I15" s="345"/>
      <c r="J15" s="547">
        <v>73014244</v>
      </c>
      <c r="K15" s="152">
        <f>'Material Price'!J213</f>
        <v>87</v>
      </c>
      <c r="L15" s="668">
        <f t="shared" si="1"/>
        <v>0</v>
      </c>
      <c r="M15" s="669"/>
      <c r="N15" s="178"/>
      <c r="O15" s="71"/>
    </row>
    <row r="16" spans="1:15" x14ac:dyDescent="0.3">
      <c r="A16" s="71"/>
      <c r="B16" s="166"/>
      <c r="C16" s="360"/>
      <c r="D16" s="347" t="s">
        <v>566</v>
      </c>
      <c r="E16" s="345"/>
      <c r="F16" s="345"/>
      <c r="G16" s="345"/>
      <c r="H16" s="345"/>
      <c r="I16" s="345"/>
      <c r="J16" s="547">
        <v>73014246</v>
      </c>
      <c r="K16" s="356">
        <f>'Material Price'!J214</f>
        <v>240</v>
      </c>
      <c r="L16" s="668">
        <f t="shared" si="1"/>
        <v>0</v>
      </c>
      <c r="M16" s="669"/>
      <c r="N16" s="178"/>
      <c r="O16" s="71"/>
    </row>
    <row r="17" spans="1:15" x14ac:dyDescent="0.3">
      <c r="A17" s="71"/>
      <c r="B17" s="166"/>
      <c r="C17" s="360">
        <f>C15+C14</f>
        <v>0</v>
      </c>
      <c r="D17" s="347" t="s">
        <v>568</v>
      </c>
      <c r="E17" s="345"/>
      <c r="F17" s="345"/>
      <c r="G17" s="345"/>
      <c r="H17" s="345"/>
      <c r="I17" s="345"/>
      <c r="J17" s="547">
        <v>73019038</v>
      </c>
      <c r="K17" s="152">
        <f>'Material Price'!J215</f>
        <v>21</v>
      </c>
      <c r="L17" s="668">
        <f t="shared" si="1"/>
        <v>0</v>
      </c>
      <c r="M17" s="669"/>
      <c r="N17" s="178"/>
      <c r="O17" s="71"/>
    </row>
    <row r="18" spans="1:15" x14ac:dyDescent="0.3">
      <c r="A18" s="71"/>
      <c r="B18" s="166"/>
      <c r="C18" s="360">
        <f>C17</f>
        <v>0</v>
      </c>
      <c r="D18" s="347" t="s">
        <v>567</v>
      </c>
      <c r="E18" s="345"/>
      <c r="F18" s="345"/>
      <c r="G18" s="345"/>
      <c r="H18" s="345"/>
      <c r="I18" s="345"/>
      <c r="J18" s="547">
        <v>73004495</v>
      </c>
      <c r="K18" s="152">
        <f>'Material Price'!J216</f>
        <v>27</v>
      </c>
      <c r="L18" s="668">
        <f t="shared" si="1"/>
        <v>0</v>
      </c>
      <c r="M18" s="669"/>
      <c r="N18" s="178"/>
      <c r="O18" s="71"/>
    </row>
    <row r="19" spans="1:15" x14ac:dyDescent="0.3">
      <c r="A19" s="71"/>
      <c r="B19" s="166"/>
      <c r="C19" s="360">
        <f>Formulas!P111</f>
        <v>10</v>
      </c>
      <c r="D19" s="347" t="s">
        <v>570</v>
      </c>
      <c r="E19" s="345"/>
      <c r="F19" s="345"/>
      <c r="G19" s="345"/>
      <c r="H19" s="345"/>
      <c r="I19" s="345"/>
      <c r="J19" s="547">
        <v>73019032</v>
      </c>
      <c r="K19" s="356">
        <f>'Material Price'!J217</f>
        <v>153</v>
      </c>
      <c r="L19" s="668">
        <f t="shared" ref="L19:L24" si="2">K19*C19</f>
        <v>1530</v>
      </c>
      <c r="M19" s="669"/>
      <c r="N19" s="178"/>
      <c r="O19" s="71"/>
    </row>
    <row r="20" spans="1:15" x14ac:dyDescent="0.3">
      <c r="A20" s="71"/>
      <c r="B20" s="166"/>
      <c r="C20" s="360">
        <f>Formulas!P112</f>
        <v>0</v>
      </c>
      <c r="D20" s="347" t="s">
        <v>571</v>
      </c>
      <c r="E20" s="345"/>
      <c r="F20" s="345"/>
      <c r="G20" s="345"/>
      <c r="H20" s="345"/>
      <c r="I20" s="345"/>
      <c r="J20" s="547">
        <v>73019033</v>
      </c>
      <c r="K20" s="356">
        <f>'Material Price'!J218</f>
        <v>210</v>
      </c>
      <c r="L20" s="668">
        <f t="shared" si="2"/>
        <v>0</v>
      </c>
      <c r="M20" s="669"/>
      <c r="N20" s="178"/>
      <c r="O20" s="71"/>
    </row>
    <row r="21" spans="1:15" x14ac:dyDescent="0.3">
      <c r="A21" s="71"/>
      <c r="B21" s="166"/>
      <c r="C21" s="360">
        <f>Formulas!P113</f>
        <v>0</v>
      </c>
      <c r="D21" s="347" t="s">
        <v>572</v>
      </c>
      <c r="E21" s="345"/>
      <c r="F21" s="345"/>
      <c r="G21" s="345"/>
      <c r="H21" s="345"/>
      <c r="I21" s="345"/>
      <c r="J21" s="547">
        <v>73019035</v>
      </c>
      <c r="K21" s="356">
        <f>'Material Price'!J219</f>
        <v>165</v>
      </c>
      <c r="L21" s="668">
        <f t="shared" si="2"/>
        <v>0</v>
      </c>
      <c r="M21" s="669"/>
      <c r="N21" s="178"/>
      <c r="O21" s="71"/>
    </row>
    <row r="22" spans="1:15" x14ac:dyDescent="0.3">
      <c r="A22" s="71"/>
      <c r="B22" s="166"/>
      <c r="C22" s="360">
        <f>Formulas!P114</f>
        <v>0</v>
      </c>
      <c r="D22" s="347" t="s">
        <v>573</v>
      </c>
      <c r="E22" s="345"/>
      <c r="F22" s="345"/>
      <c r="G22" s="345"/>
      <c r="H22" s="345"/>
      <c r="I22" s="345"/>
      <c r="J22" s="547">
        <v>73019036</v>
      </c>
      <c r="K22" s="356">
        <f>'Material Price'!J220</f>
        <v>215</v>
      </c>
      <c r="L22" s="668">
        <f t="shared" si="2"/>
        <v>0</v>
      </c>
      <c r="M22" s="669"/>
      <c r="N22" s="178"/>
      <c r="O22" s="71"/>
    </row>
    <row r="23" spans="1:15" x14ac:dyDescent="0.3">
      <c r="A23" s="71"/>
      <c r="B23" s="166"/>
      <c r="C23" s="360">
        <f>Formulas!P115</f>
        <v>0</v>
      </c>
      <c r="D23" s="347" t="s">
        <v>574</v>
      </c>
      <c r="E23" s="345"/>
      <c r="F23" s="345"/>
      <c r="G23" s="345"/>
      <c r="H23" s="345"/>
      <c r="I23" s="345"/>
      <c r="J23" s="547">
        <v>73019034</v>
      </c>
      <c r="K23" s="356">
        <f>'Material Price'!J221</f>
        <v>153</v>
      </c>
      <c r="L23" s="668">
        <f t="shared" si="2"/>
        <v>0</v>
      </c>
      <c r="M23" s="669"/>
      <c r="N23" s="178"/>
      <c r="O23" s="71"/>
    </row>
    <row r="24" spans="1:15" x14ac:dyDescent="0.3">
      <c r="A24" s="71"/>
      <c r="B24" s="166"/>
      <c r="C24" s="360">
        <f>Formulas!P117</f>
        <v>0</v>
      </c>
      <c r="D24" s="347" t="s">
        <v>575</v>
      </c>
      <c r="E24" s="345"/>
      <c r="F24" s="345"/>
      <c r="G24" s="345"/>
      <c r="H24" s="345"/>
      <c r="I24" s="345"/>
      <c r="J24" s="547">
        <v>73019037</v>
      </c>
      <c r="K24" s="356">
        <f>'Material Price'!J222</f>
        <v>165</v>
      </c>
      <c r="L24" s="668">
        <f t="shared" si="2"/>
        <v>0</v>
      </c>
      <c r="M24" s="669"/>
      <c r="N24" s="178"/>
      <c r="O24" s="71"/>
    </row>
    <row r="25" spans="1:15" x14ac:dyDescent="0.3">
      <c r="A25" s="71"/>
      <c r="B25" s="166"/>
      <c r="C25" s="360">
        <f>C21+C19+C23+C24</f>
        <v>10</v>
      </c>
      <c r="D25" s="347" t="s">
        <v>576</v>
      </c>
      <c r="E25" s="345"/>
      <c r="F25" s="345"/>
      <c r="G25" s="345"/>
      <c r="H25" s="345"/>
      <c r="I25" s="345"/>
      <c r="J25" s="547">
        <v>73019069</v>
      </c>
      <c r="K25" s="152">
        <f>'Material Price'!J223</f>
        <v>45</v>
      </c>
      <c r="L25" s="668">
        <f t="shared" ref="L25:L28" si="3">K25*C25</f>
        <v>450</v>
      </c>
      <c r="M25" s="669"/>
      <c r="N25" s="178"/>
      <c r="O25" s="71"/>
    </row>
    <row r="26" spans="1:15" x14ac:dyDescent="0.3">
      <c r="A26" s="71"/>
      <c r="B26" s="166"/>
      <c r="C26" s="360">
        <f>C20+C22</f>
        <v>0</v>
      </c>
      <c r="D26" s="347" t="s">
        <v>577</v>
      </c>
      <c r="E26" s="345"/>
      <c r="F26" s="345"/>
      <c r="G26" s="345"/>
      <c r="H26" s="345"/>
      <c r="I26" s="345"/>
      <c r="J26" s="547">
        <v>73019070</v>
      </c>
      <c r="K26" s="152">
        <f>'Material Price'!J224</f>
        <v>60</v>
      </c>
      <c r="L26" s="668">
        <f t="shared" si="3"/>
        <v>0</v>
      </c>
      <c r="M26" s="669"/>
      <c r="N26" s="178"/>
      <c r="O26" s="71"/>
    </row>
    <row r="27" spans="1:15" x14ac:dyDescent="0.3">
      <c r="A27" s="71"/>
      <c r="B27" s="166"/>
      <c r="C27" s="360"/>
      <c r="D27" s="347" t="s">
        <v>578</v>
      </c>
      <c r="E27" s="345"/>
      <c r="F27" s="345"/>
      <c r="G27" s="345"/>
      <c r="H27" s="345"/>
      <c r="I27" s="345"/>
      <c r="J27" s="547">
        <v>73019009</v>
      </c>
      <c r="K27" s="152">
        <f>'Material Price'!J225</f>
        <v>49</v>
      </c>
      <c r="L27" s="668">
        <f t="shared" si="3"/>
        <v>0</v>
      </c>
      <c r="M27" s="669"/>
      <c r="N27" s="178"/>
      <c r="O27" s="71"/>
    </row>
    <row r="28" spans="1:15" x14ac:dyDescent="0.3">
      <c r="A28" s="71"/>
      <c r="B28" s="166"/>
      <c r="C28" s="360">
        <f>'Deck TakeOff'!E64</f>
        <v>10</v>
      </c>
      <c r="D28" s="347" t="s">
        <v>735</v>
      </c>
      <c r="E28" s="345"/>
      <c r="F28" s="345"/>
      <c r="G28" s="345"/>
      <c r="H28" s="345"/>
      <c r="I28" s="345"/>
      <c r="J28" s="547">
        <v>73019126</v>
      </c>
      <c r="K28" s="152">
        <f>'Material Price'!J226</f>
        <v>38</v>
      </c>
      <c r="L28" s="668">
        <f t="shared" si="3"/>
        <v>380</v>
      </c>
      <c r="M28" s="669"/>
      <c r="N28" s="178"/>
      <c r="O28" s="71"/>
    </row>
    <row r="29" spans="1:15" x14ac:dyDescent="0.3">
      <c r="A29" s="71"/>
      <c r="B29" s="166"/>
      <c r="C29" s="360">
        <f>Formulas!H131</f>
        <v>0</v>
      </c>
      <c r="D29" s="217" t="s">
        <v>1205</v>
      </c>
      <c r="E29" s="345"/>
      <c r="F29" s="345"/>
      <c r="G29" s="345"/>
      <c r="H29" s="345"/>
      <c r="I29" s="345"/>
      <c r="J29" s="547"/>
      <c r="K29" s="356">
        <f>'Material Price'!J342</f>
        <v>225</v>
      </c>
      <c r="L29" s="668">
        <f t="shared" ref="L29" si="4">K29*C29</f>
        <v>0</v>
      </c>
      <c r="M29" s="669"/>
      <c r="N29" s="178"/>
      <c r="O29" s="71"/>
    </row>
    <row r="30" spans="1:15" x14ac:dyDescent="0.3">
      <c r="A30" s="71"/>
      <c r="B30" s="166"/>
      <c r="C30" s="360">
        <f>Formulas!H132</f>
        <v>0</v>
      </c>
      <c r="D30" s="217" t="s">
        <v>1206</v>
      </c>
      <c r="E30" s="345"/>
      <c r="F30" s="345"/>
      <c r="G30" s="345"/>
      <c r="H30" s="345"/>
      <c r="I30" s="345"/>
      <c r="J30" s="547"/>
      <c r="K30" s="356">
        <f>'Material Price'!J343</f>
        <v>225</v>
      </c>
      <c r="L30" s="668">
        <f t="shared" ref="L30:L34" si="5">K30*C30</f>
        <v>0</v>
      </c>
      <c r="M30" s="669"/>
      <c r="N30" s="178"/>
      <c r="O30" s="71"/>
    </row>
    <row r="31" spans="1:15" x14ac:dyDescent="0.3">
      <c r="A31" s="71"/>
      <c r="B31" s="166"/>
      <c r="C31" s="360"/>
      <c r="D31" s="217" t="s">
        <v>1347</v>
      </c>
      <c r="E31" s="345"/>
      <c r="F31" s="345"/>
      <c r="G31" s="345"/>
      <c r="H31" s="345"/>
      <c r="I31" s="345"/>
      <c r="J31" s="547">
        <v>73019062</v>
      </c>
      <c r="K31" s="356">
        <v>152</v>
      </c>
      <c r="L31" s="668">
        <f t="shared" ref="L31:L32" si="6">K31*C31</f>
        <v>0</v>
      </c>
      <c r="M31" s="669"/>
      <c r="N31" s="178"/>
      <c r="O31" s="71"/>
    </row>
    <row r="32" spans="1:15" x14ac:dyDescent="0.3">
      <c r="A32" s="71"/>
      <c r="B32" s="166"/>
      <c r="C32" s="360"/>
      <c r="D32" s="217" t="s">
        <v>1374</v>
      </c>
      <c r="E32" s="345"/>
      <c r="F32" s="345"/>
      <c r="G32" s="345"/>
      <c r="H32" s="345"/>
      <c r="I32" s="345"/>
      <c r="J32" s="547">
        <v>73019047</v>
      </c>
      <c r="K32" s="356">
        <v>86</v>
      </c>
      <c r="L32" s="668">
        <f t="shared" si="6"/>
        <v>0</v>
      </c>
      <c r="M32" s="669"/>
      <c r="N32" s="178"/>
      <c r="O32" s="71"/>
    </row>
    <row r="33" spans="1:15" x14ac:dyDescent="0.3">
      <c r="A33" s="71"/>
      <c r="B33" s="166"/>
      <c r="C33" s="360"/>
      <c r="D33" s="678" t="s">
        <v>737</v>
      </c>
      <c r="E33" s="679"/>
      <c r="F33" s="679"/>
      <c r="G33" s="679"/>
      <c r="H33" s="679"/>
      <c r="I33" s="679"/>
      <c r="J33" s="680"/>
      <c r="K33" s="356"/>
      <c r="L33" s="668">
        <f t="shared" si="5"/>
        <v>0</v>
      </c>
      <c r="M33" s="669"/>
      <c r="N33" s="178"/>
      <c r="O33" s="71"/>
    </row>
    <row r="34" spans="1:15" x14ac:dyDescent="0.3">
      <c r="A34" s="71"/>
      <c r="B34" s="166"/>
      <c r="C34" s="360">
        <f>'Deck TakeOff'!E58</f>
        <v>0</v>
      </c>
      <c r="D34" s="217" t="s">
        <v>738</v>
      </c>
      <c r="E34" s="345"/>
      <c r="F34" s="345"/>
      <c r="G34" s="345"/>
      <c r="H34" s="345"/>
      <c r="I34" s="345"/>
      <c r="J34" s="547">
        <v>73019237</v>
      </c>
      <c r="K34" s="356">
        <f>'Material Price'!J227</f>
        <v>380</v>
      </c>
      <c r="L34" s="668">
        <f t="shared" si="5"/>
        <v>0</v>
      </c>
      <c r="M34" s="669"/>
      <c r="N34" s="178"/>
      <c r="O34" s="71"/>
    </row>
    <row r="35" spans="1:15" x14ac:dyDescent="0.3">
      <c r="A35" s="71"/>
      <c r="B35" s="166"/>
      <c r="C35" s="360">
        <f>'Deck TakeOff'!E59</f>
        <v>0</v>
      </c>
      <c r="D35" s="217" t="s">
        <v>739</v>
      </c>
      <c r="E35" s="345"/>
      <c r="F35" s="345"/>
      <c r="G35" s="345"/>
      <c r="H35" s="345"/>
      <c r="I35" s="345"/>
      <c r="J35" s="547">
        <v>73019241</v>
      </c>
      <c r="K35" s="356">
        <f>'Material Price'!J228</f>
        <v>420</v>
      </c>
      <c r="L35" s="668">
        <f t="shared" ref="L35" si="7">K35*C35</f>
        <v>0</v>
      </c>
      <c r="M35" s="669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545"/>
      <c r="K36" s="152"/>
      <c r="L36" s="668">
        <f t="shared" ref="L36:L37" si="8">K36*C36</f>
        <v>0</v>
      </c>
      <c r="M36" s="669"/>
      <c r="N36" s="178"/>
      <c r="O36" s="71"/>
    </row>
    <row r="37" spans="1:15" x14ac:dyDescent="0.3">
      <c r="A37" s="71"/>
      <c r="B37" s="166"/>
      <c r="C37" s="360"/>
      <c r="D37" s="678" t="s">
        <v>736</v>
      </c>
      <c r="E37" s="679"/>
      <c r="F37" s="679"/>
      <c r="G37" s="679"/>
      <c r="H37" s="679"/>
      <c r="I37" s="679"/>
      <c r="J37" s="680"/>
      <c r="K37" s="152"/>
      <c r="L37" s="668">
        <f t="shared" si="8"/>
        <v>0</v>
      </c>
      <c r="M37" s="669"/>
      <c r="N37" s="178"/>
      <c r="O37" s="71"/>
    </row>
    <row r="38" spans="1:15" x14ac:dyDescent="0.3">
      <c r="A38" s="71"/>
      <c r="B38" s="166"/>
      <c r="C38" s="360">
        <f>ROUNDUP('Deck TakeOff'!E36+'Deck TakeOff'!J36,0)</f>
        <v>0</v>
      </c>
      <c r="D38" s="217" t="s">
        <v>741</v>
      </c>
      <c r="E38" s="345"/>
      <c r="F38" s="345"/>
      <c r="G38" s="345"/>
      <c r="H38" s="345"/>
      <c r="I38" s="345"/>
      <c r="J38" s="346"/>
      <c r="K38" s="152">
        <f>'Material Price'!J232</f>
        <v>10</v>
      </c>
      <c r="L38" s="668">
        <f>K38*C38</f>
        <v>0</v>
      </c>
      <c r="M38" s="669"/>
      <c r="N38" s="178"/>
      <c r="O38" s="71"/>
    </row>
    <row r="39" spans="1:15" x14ac:dyDescent="0.3">
      <c r="A39" s="71"/>
      <c r="B39" s="166"/>
      <c r="C39" s="360"/>
      <c r="D39" s="217" t="s">
        <v>580</v>
      </c>
      <c r="E39" s="345"/>
      <c r="F39" s="345"/>
      <c r="G39" s="345"/>
      <c r="H39" s="345"/>
      <c r="I39" s="345"/>
      <c r="J39" s="346"/>
      <c r="K39" s="152">
        <f>'Material Price'!J233</f>
        <v>75</v>
      </c>
      <c r="L39" s="668">
        <f t="shared" ref="L39:L43" si="9">K39*C39</f>
        <v>0</v>
      </c>
      <c r="M39" s="669"/>
      <c r="N39" s="178"/>
      <c r="O39" s="71"/>
    </row>
    <row r="40" spans="1:15" x14ac:dyDescent="0.3">
      <c r="A40" s="71"/>
      <c r="B40" s="166"/>
      <c r="C40" s="360"/>
      <c r="D40" s="217" t="s">
        <v>581</v>
      </c>
      <c r="E40" s="345"/>
      <c r="F40" s="345"/>
      <c r="G40" s="345"/>
      <c r="H40" s="345"/>
      <c r="I40" s="345"/>
      <c r="J40" s="346"/>
      <c r="K40" s="152">
        <f>'Material Price'!J234</f>
        <v>65</v>
      </c>
      <c r="L40" s="668">
        <f t="shared" si="9"/>
        <v>0</v>
      </c>
      <c r="M40" s="669"/>
      <c r="N40" s="178"/>
      <c r="O40" s="71"/>
    </row>
    <row r="41" spans="1:15" x14ac:dyDescent="0.3">
      <c r="A41" s="71"/>
      <c r="B41" s="166"/>
      <c r="C41" s="360"/>
      <c r="D41" s="217" t="s">
        <v>582</v>
      </c>
      <c r="E41" s="345"/>
      <c r="F41" s="345"/>
      <c r="G41" s="345"/>
      <c r="H41" s="345"/>
      <c r="I41" s="345"/>
      <c r="J41" s="346"/>
      <c r="K41" s="152">
        <f>'Material Price'!J235</f>
        <v>50</v>
      </c>
      <c r="L41" s="668">
        <f t="shared" si="9"/>
        <v>0</v>
      </c>
      <c r="M41" s="669"/>
      <c r="N41" s="178"/>
      <c r="O41" s="71"/>
    </row>
    <row r="42" spans="1:15" x14ac:dyDescent="0.3">
      <c r="A42" s="71"/>
      <c r="B42" s="166"/>
      <c r="C42" s="360"/>
      <c r="D42" s="347" t="s">
        <v>600</v>
      </c>
      <c r="E42" s="345"/>
      <c r="F42" s="345"/>
      <c r="G42" s="345"/>
      <c r="H42" s="345"/>
      <c r="I42" s="345"/>
      <c r="J42" s="346"/>
      <c r="K42" s="152">
        <f>'Material Price'!J236</f>
        <v>13</v>
      </c>
      <c r="L42" s="668">
        <f t="shared" si="9"/>
        <v>0</v>
      </c>
      <c r="M42" s="669"/>
      <c r="N42" s="178"/>
      <c r="O42" s="71"/>
    </row>
    <row r="43" spans="1:15" x14ac:dyDescent="0.3">
      <c r="A43" s="71"/>
      <c r="B43" s="166"/>
      <c r="C43" s="360"/>
      <c r="D43" s="347" t="s">
        <v>583</v>
      </c>
      <c r="E43" s="345"/>
      <c r="F43" s="345"/>
      <c r="G43" s="345"/>
      <c r="H43" s="345"/>
      <c r="I43" s="345"/>
      <c r="J43" s="346"/>
      <c r="K43" s="152">
        <f>'Material Price'!J237</f>
        <v>25</v>
      </c>
      <c r="L43" s="668">
        <f t="shared" si="9"/>
        <v>0</v>
      </c>
      <c r="M43" s="669"/>
      <c r="N43" s="178"/>
      <c r="O43" s="71"/>
    </row>
    <row r="44" spans="1:15" x14ac:dyDescent="0.3">
      <c r="A44" s="71"/>
      <c r="B44" s="166"/>
      <c r="C44" s="360"/>
      <c r="D44" s="347" t="s">
        <v>584</v>
      </c>
      <c r="E44" s="345"/>
      <c r="F44" s="345"/>
      <c r="G44" s="345"/>
      <c r="H44" s="345"/>
      <c r="I44" s="345"/>
      <c r="J44" s="346"/>
      <c r="K44" s="152">
        <f>'Material Price'!J238</f>
        <v>18</v>
      </c>
      <c r="L44" s="668">
        <f t="shared" ref="L44:L48" si="10">K44*C44</f>
        <v>0</v>
      </c>
      <c r="M44" s="669"/>
      <c r="N44" s="178"/>
      <c r="O44" s="71"/>
    </row>
    <row r="45" spans="1:15" x14ac:dyDescent="0.3">
      <c r="A45" s="71"/>
      <c r="B45" s="166"/>
      <c r="C45" s="360"/>
      <c r="D45" s="347" t="s">
        <v>585</v>
      </c>
      <c r="E45" s="345"/>
      <c r="F45" s="345"/>
      <c r="G45" s="345"/>
      <c r="H45" s="345"/>
      <c r="I45" s="345"/>
      <c r="J45" s="346"/>
      <c r="K45" s="152">
        <f>'Material Price'!J239</f>
        <v>2</v>
      </c>
      <c r="L45" s="668">
        <f t="shared" si="10"/>
        <v>0</v>
      </c>
      <c r="M45" s="669"/>
      <c r="N45" s="178"/>
      <c r="O45" s="71"/>
    </row>
    <row r="46" spans="1:15" x14ac:dyDescent="0.3">
      <c r="A46" s="71"/>
      <c r="B46" s="166"/>
      <c r="C46" s="360"/>
      <c r="D46" s="347" t="s">
        <v>586</v>
      </c>
      <c r="E46" s="345"/>
      <c r="F46" s="345"/>
      <c r="G46" s="345"/>
      <c r="H46" s="345"/>
      <c r="I46" s="345"/>
      <c r="J46" s="346"/>
      <c r="K46" s="152">
        <f>'Material Price'!J240</f>
        <v>5</v>
      </c>
      <c r="L46" s="668">
        <f t="shared" si="10"/>
        <v>0</v>
      </c>
      <c r="M46" s="669"/>
      <c r="N46" s="178"/>
      <c r="O46" s="71"/>
    </row>
    <row r="47" spans="1:15" x14ac:dyDescent="0.3">
      <c r="A47" s="71"/>
      <c r="B47" s="166"/>
      <c r="C47" s="360"/>
      <c r="D47" s="347" t="s">
        <v>740</v>
      </c>
      <c r="E47" s="345"/>
      <c r="F47" s="345"/>
      <c r="G47" s="345"/>
      <c r="H47" s="345"/>
      <c r="I47" s="345"/>
      <c r="J47" s="346"/>
      <c r="K47" s="152">
        <f>'Material Price'!J241</f>
        <v>5</v>
      </c>
      <c r="L47" s="668">
        <f t="shared" si="10"/>
        <v>0</v>
      </c>
      <c r="M47" s="669"/>
      <c r="N47" s="178"/>
      <c r="O47" s="71"/>
    </row>
    <row r="48" spans="1:15" x14ac:dyDescent="0.3">
      <c r="A48" s="71"/>
      <c r="B48" s="166"/>
      <c r="C48" s="360"/>
      <c r="D48" s="347"/>
      <c r="E48" s="345"/>
      <c r="F48" s="345"/>
      <c r="G48" s="345"/>
      <c r="H48" s="345"/>
      <c r="I48" s="345"/>
      <c r="J48" s="346"/>
      <c r="K48" s="152"/>
      <c r="L48" s="668">
        <f t="shared" si="10"/>
        <v>0</v>
      </c>
      <c r="M48" s="669"/>
      <c r="N48" s="178"/>
      <c r="O48" s="71"/>
    </row>
    <row r="49" spans="1:15" x14ac:dyDescent="0.3">
      <c r="A49" s="71"/>
      <c r="B49" s="166"/>
      <c r="C49" s="360"/>
      <c r="D49" s="347"/>
      <c r="E49" s="345"/>
      <c r="F49" s="345"/>
      <c r="G49" s="345"/>
      <c r="H49" s="345"/>
      <c r="I49" s="345"/>
      <c r="J49" s="346"/>
      <c r="K49" s="152"/>
      <c r="L49" s="668">
        <f>K49*C49</f>
        <v>0</v>
      </c>
      <c r="M49" s="669"/>
      <c r="N49" s="178"/>
      <c r="O49" s="71"/>
    </row>
    <row r="50" spans="1:15" x14ac:dyDescent="0.3">
      <c r="A50" s="71"/>
      <c r="B50" s="166"/>
      <c r="C50" s="183"/>
      <c r="D50" s="681" t="s">
        <v>10</v>
      </c>
      <c r="E50" s="682"/>
      <c r="F50" s="682"/>
      <c r="G50" s="682"/>
      <c r="H50" s="682"/>
      <c r="I50" s="682"/>
      <c r="J50" s="682"/>
      <c r="K50" s="683"/>
      <c r="L50" s="686">
        <f>(SUM(L10:M49)*0.0625)</f>
        <v>147.5</v>
      </c>
      <c r="M50" s="686"/>
      <c r="N50" s="178"/>
      <c r="O50" s="71"/>
    </row>
    <row r="51" spans="1:15" x14ac:dyDescent="0.3">
      <c r="A51" s="71"/>
      <c r="B51" s="166"/>
      <c r="C51" s="183"/>
      <c r="D51" s="681" t="s">
        <v>1</v>
      </c>
      <c r="E51" s="682"/>
      <c r="F51" s="682"/>
      <c r="G51" s="682"/>
      <c r="H51" s="682"/>
      <c r="I51" s="682"/>
      <c r="J51" s="682"/>
      <c r="K51" s="683"/>
      <c r="L51" s="684">
        <f>SUM(L10:M50)</f>
        <v>2507.5</v>
      </c>
      <c r="M51" s="684"/>
      <c r="N51" s="178"/>
      <c r="O51" s="71"/>
    </row>
    <row r="52" spans="1:15" ht="6" customHeight="1" x14ac:dyDescent="0.3">
      <c r="A52" s="71"/>
      <c r="B52" s="166"/>
      <c r="C52" s="184"/>
      <c r="D52" s="185"/>
      <c r="E52" s="185"/>
      <c r="F52" s="185"/>
      <c r="G52" s="185"/>
      <c r="H52" s="186"/>
      <c r="I52" s="186"/>
      <c r="J52" s="186"/>
      <c r="K52" s="185"/>
      <c r="L52" s="187"/>
      <c r="M52" s="187"/>
      <c r="N52" s="178"/>
      <c r="O52" s="71"/>
    </row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  <row r="68" ht="25" customHeight="1" x14ac:dyDescent="0.3"/>
    <row r="69" ht="25" customHeight="1" x14ac:dyDescent="0.3"/>
  </sheetData>
  <sheetProtection selectLockedCells="1" selectUnlockedCells="1"/>
  <mergeCells count="58">
    <mergeCell ref="D3:M3"/>
    <mergeCell ref="D4:M4"/>
    <mergeCell ref="E5:G5"/>
    <mergeCell ref="I5:J5"/>
    <mergeCell ref="E6:G6"/>
    <mergeCell ref="I6:J6"/>
    <mergeCell ref="L11:M11"/>
    <mergeCell ref="L12:M12"/>
    <mergeCell ref="L13:M13"/>
    <mergeCell ref="E7:G7"/>
    <mergeCell ref="C8:M8"/>
    <mergeCell ref="D9:J9"/>
    <mergeCell ref="L9:M9"/>
    <mergeCell ref="D10:J10"/>
    <mergeCell ref="L10:M10"/>
    <mergeCell ref="D11:I11"/>
    <mergeCell ref="L17:M17"/>
    <mergeCell ref="L18:M18"/>
    <mergeCell ref="L19:M19"/>
    <mergeCell ref="L20:M20"/>
    <mergeCell ref="L14:M14"/>
    <mergeCell ref="L15:M15"/>
    <mergeCell ref="L16:M16"/>
    <mergeCell ref="L21:M21"/>
    <mergeCell ref="L22:M22"/>
    <mergeCell ref="L23:M23"/>
    <mergeCell ref="L24:M24"/>
    <mergeCell ref="L28:M28"/>
    <mergeCell ref="D51:K51"/>
    <mergeCell ref="L51:M51"/>
    <mergeCell ref="D33:J33"/>
    <mergeCell ref="D37:J37"/>
    <mergeCell ref="L38:M38"/>
    <mergeCell ref="L39:M39"/>
    <mergeCell ref="L40:M40"/>
    <mergeCell ref="L41:M41"/>
    <mergeCell ref="L42:M42"/>
    <mergeCell ref="L43:M43"/>
    <mergeCell ref="L33:M33"/>
    <mergeCell ref="L34:M34"/>
    <mergeCell ref="L35:M35"/>
    <mergeCell ref="L49:M49"/>
    <mergeCell ref="D50:K50"/>
    <mergeCell ref="L50:M50"/>
    <mergeCell ref="L47:M47"/>
    <mergeCell ref="L48:M48"/>
    <mergeCell ref="L25:M25"/>
    <mergeCell ref="L26:M26"/>
    <mergeCell ref="L27:M27"/>
    <mergeCell ref="L36:M36"/>
    <mergeCell ref="L37:M37"/>
    <mergeCell ref="L30:M30"/>
    <mergeCell ref="L44:M44"/>
    <mergeCell ref="L45:M45"/>
    <mergeCell ref="L46:M46"/>
    <mergeCell ref="L29:M29"/>
    <mergeCell ref="L31:M31"/>
    <mergeCell ref="L32:M32"/>
  </mergeCells>
  <printOptions horizontalCentered="1" verticalCentered="1"/>
  <pageMargins left="0" right="0" top="0" bottom="0" header="0" footer="0"/>
  <pageSetup scale="65" orientation="portrait" r:id="rId1"/>
  <headerFooter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02907-D5F5-4777-B0DD-AED84E149213}">
  <sheetPr codeName="Sheet11">
    <tabColor rgb="FFFFFF00"/>
    <pageSetUpPr fitToPage="1"/>
  </sheetPr>
  <dimension ref="A1:O67"/>
  <sheetViews>
    <sheetView showGridLines="0" showZeros="0" view="pageBreakPreview" zoomScaleNormal="100" zoomScaleSheetLayoutView="100" workbookViewId="0">
      <selection activeCell="D12" sqref="D12:K16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685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727</v>
      </c>
      <c r="E11" s="679"/>
      <c r="F11" s="679"/>
      <c r="G11" s="679"/>
      <c r="H11" s="679"/>
      <c r="I11" s="679"/>
      <c r="J11" s="680"/>
      <c r="K11" s="152"/>
      <c r="L11" s="668">
        <f t="shared" ref="L11:L47" si="0">K11*C11</f>
        <v>0</v>
      </c>
      <c r="M11" s="669"/>
      <c r="N11" s="178"/>
      <c r="O11" s="71"/>
    </row>
    <row r="12" spans="1:15" x14ac:dyDescent="0.3">
      <c r="A12" s="71"/>
      <c r="B12" s="166"/>
      <c r="C12" s="360"/>
      <c r="D12" s="566" t="s">
        <v>187</v>
      </c>
      <c r="E12" s="567"/>
      <c r="F12" s="567"/>
      <c r="G12" s="567"/>
      <c r="H12" s="567"/>
      <c r="I12" s="567"/>
      <c r="J12" s="575"/>
      <c r="K12" s="152">
        <f>'Material Price'!J19*8</f>
        <v>10.4</v>
      </c>
      <c r="L12" s="668">
        <f t="shared" si="0"/>
        <v>0</v>
      </c>
      <c r="M12" s="669"/>
      <c r="N12" s="178"/>
      <c r="O12" s="71"/>
    </row>
    <row r="13" spans="1:15" x14ac:dyDescent="0.3">
      <c r="A13" s="71"/>
      <c r="B13" s="166"/>
      <c r="C13" s="360"/>
      <c r="D13" s="566" t="s">
        <v>188</v>
      </c>
      <c r="E13" s="567"/>
      <c r="F13" s="567"/>
      <c r="G13" s="567"/>
      <c r="H13" s="567"/>
      <c r="I13" s="567"/>
      <c r="J13" s="575"/>
      <c r="K13" s="152">
        <f>'Material Price'!J19*10</f>
        <v>13</v>
      </c>
      <c r="L13" s="668">
        <f t="shared" si="0"/>
        <v>0</v>
      </c>
      <c r="M13" s="669"/>
      <c r="N13" s="178"/>
      <c r="O13" s="71"/>
    </row>
    <row r="14" spans="1:15" x14ac:dyDescent="0.3">
      <c r="A14" s="71"/>
      <c r="B14" s="166"/>
      <c r="C14" s="360">
        <f>Formulas!C99</f>
        <v>15</v>
      </c>
      <c r="D14" s="566" t="s">
        <v>189</v>
      </c>
      <c r="E14" s="567"/>
      <c r="F14" s="567"/>
      <c r="G14" s="567"/>
      <c r="H14" s="567"/>
      <c r="I14" s="567"/>
      <c r="J14" s="575"/>
      <c r="K14" s="152">
        <f>'Material Price'!J19*12</f>
        <v>15.600000000000001</v>
      </c>
      <c r="L14" s="668">
        <f t="shared" si="0"/>
        <v>234.00000000000003</v>
      </c>
      <c r="M14" s="669"/>
      <c r="N14" s="178"/>
      <c r="O14" s="71"/>
    </row>
    <row r="15" spans="1:15" x14ac:dyDescent="0.3">
      <c r="A15" s="71"/>
      <c r="B15" s="166"/>
      <c r="C15" s="360"/>
      <c r="D15" s="566" t="s">
        <v>190</v>
      </c>
      <c r="E15" s="567"/>
      <c r="F15" s="567"/>
      <c r="G15" s="567"/>
      <c r="H15" s="567"/>
      <c r="I15" s="567"/>
      <c r="J15" s="575"/>
      <c r="K15" s="152">
        <f>'Material Price'!J19*14</f>
        <v>18.2</v>
      </c>
      <c r="L15" s="668">
        <f t="shared" si="0"/>
        <v>0</v>
      </c>
      <c r="M15" s="669"/>
      <c r="N15" s="178"/>
      <c r="O15" s="71"/>
    </row>
    <row r="16" spans="1:15" x14ac:dyDescent="0.3">
      <c r="A16" s="71"/>
      <c r="B16" s="166"/>
      <c r="C16" s="360">
        <f>Formulas!C100</f>
        <v>0</v>
      </c>
      <c r="D16" s="566" t="s">
        <v>191</v>
      </c>
      <c r="E16" s="567"/>
      <c r="F16" s="567"/>
      <c r="G16" s="567"/>
      <c r="H16" s="567"/>
      <c r="I16" s="567"/>
      <c r="J16" s="575"/>
      <c r="K16" s="152">
        <f>'Material Price'!J19*16</f>
        <v>20.8</v>
      </c>
      <c r="L16" s="668">
        <f t="shared" si="0"/>
        <v>0</v>
      </c>
      <c r="M16" s="669"/>
      <c r="N16" s="178"/>
      <c r="O16" s="71"/>
    </row>
    <row r="17" spans="1:15" x14ac:dyDescent="0.3">
      <c r="A17" s="71"/>
      <c r="B17" s="166"/>
      <c r="C17" s="360">
        <f>Formulas!G97</f>
        <v>9</v>
      </c>
      <c r="D17" s="217" t="s">
        <v>500</v>
      </c>
      <c r="E17" s="218"/>
      <c r="F17" s="218"/>
      <c r="G17" s="218"/>
      <c r="H17" s="218"/>
      <c r="I17" s="218"/>
      <c r="J17" s="219"/>
      <c r="K17" s="152">
        <f>'Material Price'!J84</f>
        <v>60</v>
      </c>
      <c r="L17" s="668">
        <f t="shared" si="0"/>
        <v>540</v>
      </c>
      <c r="M17" s="669"/>
      <c r="N17" s="178"/>
      <c r="O17" s="71"/>
    </row>
    <row r="18" spans="1:15" x14ac:dyDescent="0.3">
      <c r="A18" s="71"/>
      <c r="B18" s="166"/>
      <c r="C18" s="360">
        <f>Formulas!G91</f>
        <v>0</v>
      </c>
      <c r="D18" s="566" t="s">
        <v>499</v>
      </c>
      <c r="E18" s="567"/>
      <c r="F18" s="567"/>
      <c r="G18" s="567"/>
      <c r="H18" s="567"/>
      <c r="I18" s="567"/>
      <c r="J18" s="575"/>
      <c r="K18" s="152">
        <f>'Material Price'!J85</f>
        <v>60</v>
      </c>
      <c r="L18" s="668">
        <f t="shared" si="0"/>
        <v>0</v>
      </c>
      <c r="M18" s="669"/>
      <c r="N18" s="178"/>
      <c r="O18" s="71"/>
    </row>
    <row r="19" spans="1:15" x14ac:dyDescent="0.3">
      <c r="A19" s="71"/>
      <c r="B19" s="166"/>
      <c r="C19" s="360">
        <f>ROUNDUP(Formulas!L35/110,0)</f>
        <v>3</v>
      </c>
      <c r="D19" s="566" t="s">
        <v>729</v>
      </c>
      <c r="E19" s="567"/>
      <c r="F19" s="567"/>
      <c r="G19" s="567"/>
      <c r="H19" s="567"/>
      <c r="I19" s="567"/>
      <c r="J19" s="575"/>
      <c r="K19" s="152">
        <f>'Material Price'!J118</f>
        <v>12</v>
      </c>
      <c r="L19" s="668">
        <f t="shared" si="0"/>
        <v>36</v>
      </c>
      <c r="M19" s="669"/>
      <c r="N19" s="178"/>
      <c r="O19" s="71"/>
    </row>
    <row r="20" spans="1:15" x14ac:dyDescent="0.3">
      <c r="A20" s="71"/>
      <c r="B20" s="166"/>
      <c r="C20" s="360">
        <f>Formulas!F100+Formulas!F101</f>
        <v>0</v>
      </c>
      <c r="D20" s="217" t="s">
        <v>733</v>
      </c>
      <c r="E20" s="345"/>
      <c r="F20" s="345"/>
      <c r="G20" s="345"/>
      <c r="H20" s="345"/>
      <c r="I20" s="345"/>
      <c r="J20" s="346"/>
      <c r="K20" s="152">
        <f>'Material Price'!J86</f>
        <v>4</v>
      </c>
      <c r="L20" s="668">
        <f t="shared" si="0"/>
        <v>0</v>
      </c>
      <c r="M20" s="669"/>
      <c r="N20" s="178"/>
      <c r="O20" s="71"/>
    </row>
    <row r="21" spans="1:15" x14ac:dyDescent="0.3">
      <c r="A21" s="71"/>
      <c r="B21" s="166"/>
      <c r="C21" s="360">
        <f>ROUNDUP((Formulas!J102+Formulas!J103)/2*1.05,0)</f>
        <v>0</v>
      </c>
      <c r="D21" s="347" t="s">
        <v>731</v>
      </c>
      <c r="E21" s="345"/>
      <c r="F21" s="345"/>
      <c r="G21" s="345"/>
      <c r="H21" s="345"/>
      <c r="I21" s="345"/>
      <c r="J21" s="346"/>
      <c r="K21" s="152">
        <f>'Material Price'!J87</f>
        <v>3</v>
      </c>
      <c r="L21" s="668">
        <f t="shared" si="0"/>
        <v>0</v>
      </c>
      <c r="M21" s="669"/>
      <c r="N21" s="178"/>
      <c r="O21" s="71"/>
    </row>
    <row r="22" spans="1:15" x14ac:dyDescent="0.3">
      <c r="A22" s="71"/>
      <c r="B22" s="166"/>
      <c r="C22" s="360">
        <f>'Deck TakeOff'!E58+'Deck TakeOff'!E59</f>
        <v>0</v>
      </c>
      <c r="D22" s="217" t="s">
        <v>1188</v>
      </c>
      <c r="E22" s="345"/>
      <c r="F22" s="345"/>
      <c r="G22" s="345"/>
      <c r="H22" s="345"/>
      <c r="I22" s="345"/>
      <c r="J22" s="346"/>
      <c r="K22" s="152">
        <f>'Material Price'!J229</f>
        <v>60</v>
      </c>
      <c r="L22" s="668">
        <f t="shared" si="0"/>
        <v>0</v>
      </c>
      <c r="M22" s="669"/>
      <c r="N22" s="178"/>
      <c r="O22" s="71"/>
    </row>
    <row r="23" spans="1:15" x14ac:dyDescent="0.3">
      <c r="A23" s="71"/>
      <c r="B23" s="166"/>
      <c r="C23" s="360">
        <f>C22</f>
        <v>0</v>
      </c>
      <c r="D23" s="217" t="s">
        <v>1189</v>
      </c>
      <c r="E23" s="345"/>
      <c r="F23" s="345"/>
      <c r="G23" s="345"/>
      <c r="H23" s="345"/>
      <c r="I23" s="345"/>
      <c r="J23" s="346"/>
      <c r="K23" s="152">
        <f>'Material Price'!J230</f>
        <v>32</v>
      </c>
      <c r="L23" s="668">
        <f t="shared" si="0"/>
        <v>0</v>
      </c>
      <c r="M23" s="669"/>
      <c r="N23" s="178"/>
      <c r="O23" s="71"/>
    </row>
    <row r="24" spans="1:15" x14ac:dyDescent="0.3">
      <c r="A24" s="71"/>
      <c r="B24" s="166"/>
      <c r="C24" s="360">
        <f>Formulas!H131</f>
        <v>0</v>
      </c>
      <c r="D24" s="217" t="s">
        <v>1205</v>
      </c>
      <c r="E24" s="218"/>
      <c r="F24" s="218"/>
      <c r="G24" s="218"/>
      <c r="H24" s="218"/>
      <c r="I24" s="218"/>
      <c r="J24" s="324"/>
      <c r="K24" s="356">
        <f>'Material Price'!J342</f>
        <v>225</v>
      </c>
      <c r="L24" s="668">
        <f t="shared" si="0"/>
        <v>0</v>
      </c>
      <c r="M24" s="669"/>
      <c r="N24" s="178"/>
      <c r="O24" s="71"/>
    </row>
    <row r="25" spans="1:15" x14ac:dyDescent="0.3">
      <c r="A25" s="71"/>
      <c r="B25" s="166"/>
      <c r="C25" s="360">
        <f>Formulas!H132</f>
        <v>0</v>
      </c>
      <c r="D25" s="217" t="s">
        <v>1206</v>
      </c>
      <c r="E25" s="218"/>
      <c r="F25" s="218"/>
      <c r="G25" s="218"/>
      <c r="H25" s="218"/>
      <c r="I25" s="218"/>
      <c r="J25" s="324"/>
      <c r="K25" s="356">
        <f>'Material Price'!J343</f>
        <v>225</v>
      </c>
      <c r="L25" s="668">
        <f t="shared" ref="L25" si="1">K25*C25</f>
        <v>0</v>
      </c>
      <c r="M25" s="669"/>
      <c r="N25" s="178"/>
      <c r="O25" s="71"/>
    </row>
    <row r="26" spans="1:15" x14ac:dyDescent="0.3">
      <c r="A26" s="71"/>
      <c r="B26" s="166"/>
      <c r="C26" s="360"/>
      <c r="D26" s="347"/>
      <c r="E26" s="345"/>
      <c r="F26" s="345"/>
      <c r="G26" s="345"/>
      <c r="H26" s="345"/>
      <c r="I26" s="345"/>
      <c r="J26" s="346"/>
      <c r="K26" s="152"/>
      <c r="L26" s="57"/>
      <c r="M26" s="58"/>
      <c r="N26" s="178"/>
      <c r="O26" s="71"/>
    </row>
    <row r="27" spans="1:15" x14ac:dyDescent="0.3">
      <c r="A27" s="71"/>
      <c r="B27" s="166"/>
      <c r="C27" s="360"/>
      <c r="D27" s="347"/>
      <c r="E27" s="345"/>
      <c r="F27" s="345"/>
      <c r="G27" s="345"/>
      <c r="H27" s="345"/>
      <c r="I27" s="345"/>
      <c r="J27" s="346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347"/>
      <c r="E28" s="345"/>
      <c r="F28" s="345"/>
      <c r="G28" s="345"/>
      <c r="H28" s="345"/>
      <c r="I28" s="345"/>
      <c r="J28" s="346"/>
      <c r="K28" s="152"/>
      <c r="L28" s="668">
        <f t="shared" si="0"/>
        <v>0</v>
      </c>
      <c r="M28" s="669"/>
      <c r="N28" s="178"/>
      <c r="O28" s="71"/>
    </row>
    <row r="29" spans="1:15" x14ac:dyDescent="0.3">
      <c r="A29" s="71"/>
      <c r="B29" s="166"/>
      <c r="C29" s="360"/>
      <c r="D29" s="347"/>
      <c r="E29" s="345"/>
      <c r="F29" s="345"/>
      <c r="G29" s="345"/>
      <c r="H29" s="345"/>
      <c r="I29" s="345"/>
      <c r="J29" s="346"/>
      <c r="K29" s="152"/>
      <c r="L29" s="668">
        <f t="shared" si="0"/>
        <v>0</v>
      </c>
      <c r="M29" s="669"/>
      <c r="N29" s="178"/>
      <c r="O29" s="71"/>
    </row>
    <row r="30" spans="1:15" x14ac:dyDescent="0.3">
      <c r="A30" s="71"/>
      <c r="B30" s="166"/>
      <c r="C30" s="360"/>
      <c r="D30" s="347"/>
      <c r="E30" s="345"/>
      <c r="F30" s="345"/>
      <c r="G30" s="350"/>
      <c r="H30" s="350"/>
      <c r="I30" s="350"/>
      <c r="J30" s="351"/>
      <c r="K30" s="152"/>
      <c r="L30" s="668">
        <f t="shared" si="0"/>
        <v>0</v>
      </c>
      <c r="M30" s="669"/>
      <c r="N30" s="178"/>
      <c r="O30" s="71"/>
    </row>
    <row r="31" spans="1:15" x14ac:dyDescent="0.3">
      <c r="A31" s="71"/>
      <c r="B31" s="166"/>
      <c r="C31" s="360"/>
      <c r="D31" s="217"/>
      <c r="E31" s="345"/>
      <c r="F31" s="345"/>
      <c r="G31" s="345"/>
      <c r="H31" s="345"/>
      <c r="I31" s="345"/>
      <c r="J31" s="346"/>
      <c r="K31" s="356"/>
      <c r="L31" s="668">
        <f t="shared" si="0"/>
        <v>0</v>
      </c>
      <c r="M31" s="669"/>
      <c r="N31" s="178"/>
      <c r="O31" s="71"/>
    </row>
    <row r="32" spans="1:15" x14ac:dyDescent="0.3">
      <c r="A32" s="71"/>
      <c r="B32" s="166"/>
      <c r="C32" s="360"/>
      <c r="D32" s="217"/>
      <c r="E32" s="345"/>
      <c r="F32" s="345"/>
      <c r="G32" s="345"/>
      <c r="H32" s="345"/>
      <c r="I32" s="345"/>
      <c r="J32" s="346"/>
      <c r="K32" s="152"/>
      <c r="L32" s="668">
        <f t="shared" si="0"/>
        <v>0</v>
      </c>
      <c r="M32" s="669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8">
        <f>K33*C33</f>
        <v>0</v>
      </c>
      <c r="M33" s="669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57"/>
      <c r="M34" s="58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152"/>
      <c r="L35" s="57"/>
      <c r="M35" s="58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152"/>
      <c r="L36" s="57"/>
      <c r="M36" s="58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57"/>
      <c r="M37" s="58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57"/>
      <c r="M38" s="58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57"/>
      <c r="M39" s="58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57"/>
      <c r="M40" s="58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57"/>
      <c r="M41" s="58"/>
      <c r="N41" s="178"/>
      <c r="O41" s="71"/>
    </row>
    <row r="42" spans="1:15" x14ac:dyDescent="0.3">
      <c r="A42" s="71"/>
      <c r="B42" s="166"/>
      <c r="C42" s="360"/>
      <c r="D42" s="217"/>
      <c r="E42" s="345"/>
      <c r="F42" s="345"/>
      <c r="G42" s="345"/>
      <c r="H42" s="345"/>
      <c r="I42" s="345"/>
      <c r="J42" s="346"/>
      <c r="K42" s="152"/>
      <c r="L42" s="57"/>
      <c r="M42" s="58"/>
      <c r="N42" s="178"/>
      <c r="O42" s="71"/>
    </row>
    <row r="43" spans="1:15" x14ac:dyDescent="0.3">
      <c r="A43" s="71"/>
      <c r="B43" s="166"/>
      <c r="C43" s="360"/>
      <c r="D43" s="217"/>
      <c r="E43" s="345"/>
      <c r="F43" s="345"/>
      <c r="G43" s="345"/>
      <c r="H43" s="345"/>
      <c r="I43" s="345"/>
      <c r="J43" s="346"/>
      <c r="K43" s="152"/>
      <c r="L43" s="57"/>
      <c r="M43" s="58"/>
      <c r="N43" s="178"/>
      <c r="O43" s="71"/>
    </row>
    <row r="44" spans="1:15" x14ac:dyDescent="0.3">
      <c r="A44" s="71"/>
      <c r="B44" s="166"/>
      <c r="C44" s="360"/>
      <c r="D44" s="217"/>
      <c r="E44" s="345"/>
      <c r="F44" s="345"/>
      <c r="G44" s="345"/>
      <c r="H44" s="345"/>
      <c r="I44" s="345"/>
      <c r="J44" s="346"/>
      <c r="K44" s="152"/>
      <c r="L44" s="57"/>
      <c r="M44" s="58"/>
      <c r="N44" s="178"/>
      <c r="O44" s="71"/>
    </row>
    <row r="45" spans="1:15" x14ac:dyDescent="0.3">
      <c r="A45" s="71"/>
      <c r="B45" s="166"/>
      <c r="C45" s="360"/>
      <c r="D45" s="217"/>
      <c r="E45" s="345"/>
      <c r="F45" s="345"/>
      <c r="G45" s="345"/>
      <c r="H45" s="345"/>
      <c r="I45" s="345"/>
      <c r="J45" s="346"/>
      <c r="K45" s="152"/>
      <c r="L45" s="57"/>
      <c r="M45" s="58"/>
      <c r="N45" s="178"/>
      <c r="O45" s="71"/>
    </row>
    <row r="46" spans="1:15" x14ac:dyDescent="0.3">
      <c r="A46" s="71"/>
      <c r="B46" s="166"/>
      <c r="C46" s="360"/>
      <c r="D46" s="217"/>
      <c r="E46" s="345"/>
      <c r="F46" s="345"/>
      <c r="G46" s="345"/>
      <c r="H46" s="345"/>
      <c r="I46" s="345"/>
      <c r="J46" s="346"/>
      <c r="K46" s="152"/>
      <c r="L46" s="57"/>
      <c r="M46" s="58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8">
        <f t="shared" si="0"/>
        <v>0</v>
      </c>
      <c r="M47" s="669"/>
      <c r="N47" s="178"/>
      <c r="O47" s="71"/>
    </row>
    <row r="48" spans="1:15" x14ac:dyDescent="0.3">
      <c r="A48" s="71"/>
      <c r="B48" s="166"/>
      <c r="C48" s="183"/>
      <c r="D48" s="681" t="s">
        <v>10</v>
      </c>
      <c r="E48" s="682"/>
      <c r="F48" s="682"/>
      <c r="G48" s="682"/>
      <c r="H48" s="682"/>
      <c r="I48" s="682"/>
      <c r="J48" s="682"/>
      <c r="K48" s="683"/>
      <c r="L48" s="686">
        <f>(SUM(L10:M47)*0.0625)</f>
        <v>50.625</v>
      </c>
      <c r="M48" s="686"/>
      <c r="N48" s="178"/>
      <c r="O48" s="71"/>
    </row>
    <row r="49" spans="1:15" x14ac:dyDescent="0.3">
      <c r="A49" s="71"/>
      <c r="B49" s="166"/>
      <c r="C49" s="183"/>
      <c r="D49" s="681" t="s">
        <v>1</v>
      </c>
      <c r="E49" s="682"/>
      <c r="F49" s="682"/>
      <c r="G49" s="682"/>
      <c r="H49" s="682"/>
      <c r="I49" s="682"/>
      <c r="J49" s="682"/>
      <c r="K49" s="683"/>
      <c r="L49" s="684">
        <f>SUM(L10:M48)</f>
        <v>860.625</v>
      </c>
      <c r="M49" s="684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46">
    <mergeCell ref="D3:M3"/>
    <mergeCell ref="D4:M4"/>
    <mergeCell ref="E5:G5"/>
    <mergeCell ref="I5:J5"/>
    <mergeCell ref="E6:G6"/>
    <mergeCell ref="I6:J6"/>
    <mergeCell ref="L11:M11"/>
    <mergeCell ref="D10:J10"/>
    <mergeCell ref="D11:J11"/>
    <mergeCell ref="L12:M12"/>
    <mergeCell ref="L13:M13"/>
    <mergeCell ref="D12:J12"/>
    <mergeCell ref="D13:J13"/>
    <mergeCell ref="E7:G7"/>
    <mergeCell ref="C8:M8"/>
    <mergeCell ref="D9:J9"/>
    <mergeCell ref="L9:M9"/>
    <mergeCell ref="L10:M10"/>
    <mergeCell ref="D49:K49"/>
    <mergeCell ref="L49:M49"/>
    <mergeCell ref="L24:M24"/>
    <mergeCell ref="L28:M28"/>
    <mergeCell ref="L29:M29"/>
    <mergeCell ref="L30:M30"/>
    <mergeCell ref="L31:M31"/>
    <mergeCell ref="L33:M33"/>
    <mergeCell ref="L47:M47"/>
    <mergeCell ref="D48:K48"/>
    <mergeCell ref="L48:M48"/>
    <mergeCell ref="L32:M32"/>
    <mergeCell ref="L25:M25"/>
    <mergeCell ref="L23:M23"/>
    <mergeCell ref="D19:J19"/>
    <mergeCell ref="D14:J14"/>
    <mergeCell ref="D15:J15"/>
    <mergeCell ref="D16:J16"/>
    <mergeCell ref="D18:J18"/>
    <mergeCell ref="L17:M17"/>
    <mergeCell ref="L14:M14"/>
    <mergeCell ref="L15:M15"/>
    <mergeCell ref="L16:M16"/>
    <mergeCell ref="L18:M18"/>
    <mergeCell ref="L19:M19"/>
    <mergeCell ref="L20:M20"/>
    <mergeCell ref="L21:M21"/>
    <mergeCell ref="L22:M22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34C036-1B0F-417A-9694-A55A16903D40}">
  <sheetPr codeName="Sheet22">
    <tabColor rgb="FFFFFF00"/>
    <pageSetUpPr fitToPage="1"/>
  </sheetPr>
  <dimension ref="A1:O68"/>
  <sheetViews>
    <sheetView showGridLines="0" showZeros="0" view="pageBreakPreview" topLeftCell="A3" zoomScaleNormal="100" zoomScaleSheetLayoutView="100" workbookViewId="0">
      <selection activeCell="I16" sqref="I16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957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957</v>
      </c>
      <c r="E11" s="679"/>
      <c r="F11" s="679"/>
      <c r="G11" s="679"/>
      <c r="H11" s="679"/>
      <c r="I11" s="679"/>
      <c r="J11" s="680"/>
      <c r="K11" s="152"/>
      <c r="L11" s="668">
        <f t="shared" ref="L11" si="0">K11*C11</f>
        <v>0</v>
      </c>
      <c r="M11" s="669"/>
      <c r="N11" s="178"/>
      <c r="O11" s="71"/>
    </row>
    <row r="12" spans="1:15" x14ac:dyDescent="0.3">
      <c r="A12" s="71"/>
      <c r="B12" s="166"/>
      <c r="C12" s="360">
        <f>'Deck TakeOff'!H55+Formulas!T111+Formulas!U111</f>
        <v>0</v>
      </c>
      <c r="D12" s="217" t="s">
        <v>910</v>
      </c>
      <c r="E12" s="218"/>
      <c r="F12" s="218"/>
      <c r="G12" s="218"/>
      <c r="H12" s="218"/>
      <c r="I12" s="218"/>
      <c r="J12" s="324"/>
      <c r="K12" s="152">
        <f>'Material Price'!J301</f>
        <v>70</v>
      </c>
      <c r="L12" s="668">
        <f>K12*C12</f>
        <v>0</v>
      </c>
      <c r="M12" s="669"/>
      <c r="N12" s="178"/>
      <c r="O12" s="71"/>
    </row>
    <row r="13" spans="1:15" x14ac:dyDescent="0.3">
      <c r="A13" s="71"/>
      <c r="B13" s="166"/>
      <c r="C13" s="360">
        <f>'Deck TakeOff'!H54</f>
        <v>0</v>
      </c>
      <c r="D13" s="217" t="s">
        <v>911</v>
      </c>
      <c r="E13" s="218"/>
      <c r="F13" s="218"/>
      <c r="G13" s="218"/>
      <c r="H13" s="218"/>
      <c r="I13" s="218"/>
      <c r="J13" s="324"/>
      <c r="K13" s="152">
        <f>'Material Price'!J300</f>
        <v>41</v>
      </c>
      <c r="L13" s="668">
        <f t="shared" ref="L13:L36" si="1">K13*C13</f>
        <v>0</v>
      </c>
      <c r="M13" s="669"/>
      <c r="N13" s="178"/>
      <c r="O13" s="71"/>
    </row>
    <row r="14" spans="1:15" x14ac:dyDescent="0.3">
      <c r="A14" s="71"/>
      <c r="B14" s="166"/>
      <c r="C14" s="360">
        <f>C12+C13</f>
        <v>0</v>
      </c>
      <c r="D14" s="217" t="s">
        <v>912</v>
      </c>
      <c r="E14" s="218"/>
      <c r="F14" s="218"/>
      <c r="G14" s="218"/>
      <c r="H14" s="218"/>
      <c r="I14" s="218"/>
      <c r="J14" s="324"/>
      <c r="K14" s="152">
        <f>'Material Price'!J303</f>
        <v>14</v>
      </c>
      <c r="L14" s="668">
        <f t="shared" si="1"/>
        <v>0</v>
      </c>
      <c r="M14" s="669"/>
      <c r="N14" s="178"/>
      <c r="O14" s="71"/>
    </row>
    <row r="15" spans="1:15" x14ac:dyDescent="0.3">
      <c r="A15" s="71"/>
      <c r="B15" s="166"/>
      <c r="C15" s="360">
        <f>C14</f>
        <v>0</v>
      </c>
      <c r="D15" s="217" t="s">
        <v>900</v>
      </c>
      <c r="E15" s="218"/>
      <c r="F15" s="218"/>
      <c r="G15" s="218"/>
      <c r="H15" s="218"/>
      <c r="I15" s="218"/>
      <c r="J15" s="324"/>
      <c r="K15" s="152">
        <f>'Material Price'!J302</f>
        <v>10</v>
      </c>
      <c r="L15" s="668">
        <f t="shared" si="1"/>
        <v>0</v>
      </c>
      <c r="M15" s="669"/>
      <c r="N15" s="178"/>
      <c r="O15" s="71"/>
    </row>
    <row r="16" spans="1:15" x14ac:dyDescent="0.3">
      <c r="A16" s="71"/>
      <c r="B16" s="166"/>
      <c r="C16" s="394">
        <f>'Deck TakeOff'!H51</f>
        <v>0</v>
      </c>
      <c r="D16" s="217" t="s">
        <v>894</v>
      </c>
      <c r="E16" s="218"/>
      <c r="F16" s="218"/>
      <c r="G16" s="218"/>
      <c r="H16" s="218"/>
      <c r="I16" s="218"/>
      <c r="J16" s="324"/>
      <c r="K16" s="356">
        <f>'Material Price'!J304</f>
        <v>110</v>
      </c>
      <c r="L16" s="668">
        <f t="shared" si="1"/>
        <v>0</v>
      </c>
      <c r="M16" s="669"/>
      <c r="N16" s="178"/>
      <c r="O16" s="71"/>
    </row>
    <row r="17" spans="1:15" x14ac:dyDescent="0.3">
      <c r="A17" s="71"/>
      <c r="B17" s="166"/>
      <c r="C17" s="394">
        <f>'Deck TakeOff'!H52</f>
        <v>0</v>
      </c>
      <c r="D17" s="217" t="s">
        <v>895</v>
      </c>
      <c r="E17" s="218"/>
      <c r="F17" s="218"/>
      <c r="G17" s="218"/>
      <c r="H17" s="218"/>
      <c r="I17" s="218"/>
      <c r="J17" s="324"/>
      <c r="K17" s="152">
        <f>'Material Price'!J305</f>
        <v>120</v>
      </c>
      <c r="L17" s="668">
        <f t="shared" si="1"/>
        <v>0</v>
      </c>
      <c r="M17" s="669"/>
      <c r="N17" s="178"/>
      <c r="O17" s="71"/>
    </row>
    <row r="18" spans="1:15" x14ac:dyDescent="0.3">
      <c r="A18" s="71"/>
      <c r="B18" s="166"/>
      <c r="C18" s="394">
        <f>Formulas!Q111</f>
        <v>10</v>
      </c>
      <c r="D18" s="364" t="s">
        <v>902</v>
      </c>
      <c r="E18" s="405"/>
      <c r="F18" s="405"/>
      <c r="G18" s="405"/>
      <c r="H18" s="405"/>
      <c r="I18" s="405"/>
      <c r="J18" s="406"/>
      <c r="K18" s="356">
        <f>'Material Price'!J306</f>
        <v>110.87</v>
      </c>
      <c r="L18" s="668">
        <f t="shared" si="1"/>
        <v>1108.7</v>
      </c>
      <c r="M18" s="669"/>
      <c r="N18" s="178"/>
      <c r="O18" s="71"/>
    </row>
    <row r="19" spans="1:15" x14ac:dyDescent="0.3">
      <c r="A19" s="71"/>
      <c r="B19" s="166"/>
      <c r="C19" s="394">
        <f>Formulas!Q112</f>
        <v>0</v>
      </c>
      <c r="D19" s="364" t="s">
        <v>904</v>
      </c>
      <c r="E19" s="405"/>
      <c r="F19" s="405"/>
      <c r="G19" s="405"/>
      <c r="H19" s="405"/>
      <c r="I19" s="405"/>
      <c r="J19" s="406"/>
      <c r="K19" s="356">
        <f>'Material Price'!J307</f>
        <v>158</v>
      </c>
      <c r="L19" s="668">
        <f t="shared" si="1"/>
        <v>0</v>
      </c>
      <c r="M19" s="669"/>
      <c r="N19" s="178"/>
      <c r="O19" s="71"/>
    </row>
    <row r="20" spans="1:15" x14ac:dyDescent="0.3">
      <c r="A20" s="71"/>
      <c r="B20" s="166"/>
      <c r="C20" s="394">
        <f>Formulas!Q113</f>
        <v>0</v>
      </c>
      <c r="D20" s="410" t="s">
        <v>905</v>
      </c>
      <c r="E20" s="411"/>
      <c r="F20" s="411"/>
      <c r="G20" s="411"/>
      <c r="H20" s="411"/>
      <c r="I20" s="411"/>
      <c r="J20" s="412"/>
      <c r="K20" s="356">
        <f>'Material Price'!J308</f>
        <v>130</v>
      </c>
      <c r="L20" s="668">
        <f t="shared" si="1"/>
        <v>0</v>
      </c>
      <c r="M20" s="669"/>
      <c r="N20" s="178"/>
      <c r="O20" s="71"/>
    </row>
    <row r="21" spans="1:15" x14ac:dyDescent="0.3">
      <c r="A21" s="71"/>
      <c r="B21" s="166"/>
      <c r="C21" s="394">
        <f>Formulas!Q114</f>
        <v>0</v>
      </c>
      <c r="D21" s="410" t="s">
        <v>906</v>
      </c>
      <c r="E21" s="411"/>
      <c r="F21" s="411"/>
      <c r="G21" s="411"/>
      <c r="H21" s="411"/>
      <c r="I21" s="411"/>
      <c r="J21" s="412"/>
      <c r="K21" s="356">
        <f>'Material Price'!J309</f>
        <v>176</v>
      </c>
      <c r="L21" s="668">
        <f t="shared" si="1"/>
        <v>0</v>
      </c>
      <c r="M21" s="669"/>
      <c r="N21" s="178"/>
      <c r="O21" s="71"/>
    </row>
    <row r="22" spans="1:15" x14ac:dyDescent="0.3">
      <c r="A22" s="71"/>
      <c r="B22" s="166"/>
      <c r="C22" s="394">
        <f>Formulas!Q115</f>
        <v>0</v>
      </c>
      <c r="D22" s="410" t="s">
        <v>903</v>
      </c>
      <c r="E22" s="411"/>
      <c r="F22" s="411"/>
      <c r="G22" s="411"/>
      <c r="H22" s="411"/>
      <c r="I22" s="411"/>
      <c r="J22" s="412"/>
      <c r="K22" s="356">
        <f>'Material Price'!J310</f>
        <v>110.87</v>
      </c>
      <c r="L22" s="668">
        <f t="shared" si="1"/>
        <v>0</v>
      </c>
      <c r="M22" s="669"/>
      <c r="N22" s="178"/>
      <c r="O22" s="71"/>
    </row>
    <row r="23" spans="1:15" x14ac:dyDescent="0.3">
      <c r="A23" s="71"/>
      <c r="B23" s="166"/>
      <c r="C23" s="394">
        <f>Formulas!Q116</f>
        <v>0</v>
      </c>
      <c r="D23" s="410" t="s">
        <v>907</v>
      </c>
      <c r="E23" s="411"/>
      <c r="F23" s="411"/>
      <c r="G23" s="411"/>
      <c r="H23" s="411"/>
      <c r="I23" s="411"/>
      <c r="J23" s="412"/>
      <c r="K23" s="356">
        <f>'Material Price'!J311</f>
        <v>158</v>
      </c>
      <c r="L23" s="668">
        <f t="shared" si="1"/>
        <v>0</v>
      </c>
      <c r="M23" s="669"/>
      <c r="N23" s="178"/>
      <c r="O23" s="71"/>
    </row>
    <row r="24" spans="1:15" x14ac:dyDescent="0.3">
      <c r="A24" s="71"/>
      <c r="B24" s="166"/>
      <c r="C24" s="394">
        <f>Formulas!Q117</f>
        <v>0</v>
      </c>
      <c r="D24" s="410" t="s">
        <v>908</v>
      </c>
      <c r="E24" s="411"/>
      <c r="F24" s="411"/>
      <c r="G24" s="411"/>
      <c r="H24" s="411"/>
      <c r="I24" s="411"/>
      <c r="J24" s="412"/>
      <c r="K24" s="356">
        <f>'Material Price'!J312</f>
        <v>130</v>
      </c>
      <c r="L24" s="668">
        <f t="shared" si="1"/>
        <v>0</v>
      </c>
      <c r="M24" s="669"/>
      <c r="N24" s="178"/>
      <c r="O24" s="71"/>
    </row>
    <row r="25" spans="1:15" x14ac:dyDescent="0.3">
      <c r="A25" s="71"/>
      <c r="B25" s="166"/>
      <c r="C25" s="394">
        <f>Formulas!Q118</f>
        <v>0</v>
      </c>
      <c r="D25" s="410" t="s">
        <v>909</v>
      </c>
      <c r="E25" s="411"/>
      <c r="F25" s="411"/>
      <c r="G25" s="411"/>
      <c r="H25" s="411"/>
      <c r="I25" s="411"/>
      <c r="J25" s="412"/>
      <c r="K25" s="356">
        <f>'Material Price'!J313</f>
        <v>176</v>
      </c>
      <c r="L25" s="668">
        <f t="shared" si="1"/>
        <v>0</v>
      </c>
      <c r="M25" s="669"/>
      <c r="N25" s="178"/>
      <c r="O25" s="71"/>
    </row>
    <row r="26" spans="1:15" x14ac:dyDescent="0.3">
      <c r="A26" s="71"/>
      <c r="B26" s="166"/>
      <c r="C26" s="394">
        <f>'Deck TakeOff'!E64</f>
        <v>10</v>
      </c>
      <c r="D26" s="410" t="s">
        <v>915</v>
      </c>
      <c r="E26" s="411"/>
      <c r="F26" s="411"/>
      <c r="G26" s="411"/>
      <c r="H26" s="411"/>
      <c r="I26" s="411"/>
      <c r="J26" s="412"/>
      <c r="K26" s="356">
        <f>'Material Price'!J314</f>
        <v>19</v>
      </c>
      <c r="L26" s="668">
        <f t="shared" si="1"/>
        <v>190</v>
      </c>
      <c r="M26" s="669"/>
      <c r="N26" s="178"/>
      <c r="O26" s="71"/>
    </row>
    <row r="27" spans="1:15" x14ac:dyDescent="0.3">
      <c r="A27" s="71"/>
      <c r="B27" s="166"/>
      <c r="C27" s="394"/>
      <c r="D27" s="410" t="s">
        <v>914</v>
      </c>
      <c r="E27" s="411"/>
      <c r="F27" s="411"/>
      <c r="G27" s="411"/>
      <c r="H27" s="411"/>
      <c r="I27" s="411"/>
      <c r="J27" s="412"/>
      <c r="K27" s="356">
        <f>'Material Price'!J314</f>
        <v>19</v>
      </c>
      <c r="L27" s="668">
        <f t="shared" si="1"/>
        <v>0</v>
      </c>
      <c r="M27" s="669"/>
      <c r="N27" s="178"/>
      <c r="O27" s="71"/>
    </row>
    <row r="28" spans="1:15" x14ac:dyDescent="0.3">
      <c r="A28" s="71"/>
      <c r="B28" s="166"/>
      <c r="C28" s="394">
        <f>ROUNDUP((((C18+C20+C22+C24)*5.6)+((C19+C21+C23+C25)*7.6))/12,0)</f>
        <v>5</v>
      </c>
      <c r="D28" s="410" t="s">
        <v>916</v>
      </c>
      <c r="E28" s="411"/>
      <c r="F28" s="411"/>
      <c r="G28" s="411"/>
      <c r="H28" s="411"/>
      <c r="I28" s="411"/>
      <c r="J28" s="412"/>
      <c r="K28" s="152">
        <v>70</v>
      </c>
      <c r="L28" s="668">
        <f t="shared" si="1"/>
        <v>350</v>
      </c>
      <c r="M28" s="669"/>
      <c r="N28" s="178"/>
      <c r="O28" s="71"/>
    </row>
    <row r="29" spans="1:15" x14ac:dyDescent="0.3">
      <c r="A29" s="71"/>
      <c r="B29" s="166"/>
      <c r="C29" s="394">
        <f>IF(C28&gt;0,1,0)</f>
        <v>1</v>
      </c>
      <c r="D29" s="410" t="s">
        <v>917</v>
      </c>
      <c r="E29" s="411"/>
      <c r="F29" s="411"/>
      <c r="G29" s="411"/>
      <c r="H29" s="411"/>
      <c r="I29" s="411"/>
      <c r="J29" s="412"/>
      <c r="K29" s="152">
        <f>'Material Price'!J116</f>
        <v>93</v>
      </c>
      <c r="L29" s="668">
        <f t="shared" si="1"/>
        <v>93</v>
      </c>
      <c r="M29" s="669"/>
      <c r="N29" s="178"/>
      <c r="O29" s="71"/>
    </row>
    <row r="30" spans="1:15" x14ac:dyDescent="0.3">
      <c r="A30" s="71"/>
      <c r="B30" s="166"/>
      <c r="C30" s="394">
        <f>Formulas!H131</f>
        <v>0</v>
      </c>
      <c r="D30" s="217" t="s">
        <v>1205</v>
      </c>
      <c r="E30" s="411"/>
      <c r="F30" s="411"/>
      <c r="G30" s="411"/>
      <c r="H30" s="411"/>
      <c r="I30" s="411"/>
      <c r="J30" s="412"/>
      <c r="K30" s="356">
        <f>'Material Price'!J342</f>
        <v>225</v>
      </c>
      <c r="L30" s="668">
        <f t="shared" ref="L30" si="2">K30*C30</f>
        <v>0</v>
      </c>
      <c r="M30" s="669"/>
      <c r="N30" s="178"/>
      <c r="O30" s="71"/>
    </row>
    <row r="31" spans="1:15" x14ac:dyDescent="0.3">
      <c r="A31" s="71"/>
      <c r="B31" s="166"/>
      <c r="C31" s="360">
        <f>Formulas!H132</f>
        <v>0</v>
      </c>
      <c r="D31" s="217" t="s">
        <v>1206</v>
      </c>
      <c r="E31" s="345"/>
      <c r="F31" s="345"/>
      <c r="G31" s="345"/>
      <c r="H31" s="345"/>
      <c r="I31" s="345"/>
      <c r="J31" s="353"/>
      <c r="K31" s="356">
        <f>'Material Price'!J343</f>
        <v>225</v>
      </c>
      <c r="L31" s="668">
        <f t="shared" si="1"/>
        <v>0</v>
      </c>
      <c r="M31" s="669"/>
      <c r="N31" s="178"/>
      <c r="O31" s="71"/>
    </row>
    <row r="32" spans="1:15" x14ac:dyDescent="0.3">
      <c r="A32" s="71"/>
      <c r="B32" s="166"/>
      <c r="C32" s="360"/>
      <c r="D32" s="678" t="s">
        <v>763</v>
      </c>
      <c r="E32" s="679"/>
      <c r="F32" s="679"/>
      <c r="G32" s="679"/>
      <c r="H32" s="679"/>
      <c r="I32" s="679"/>
      <c r="J32" s="680"/>
      <c r="K32" s="152"/>
      <c r="L32" s="668">
        <f t="shared" si="1"/>
        <v>0</v>
      </c>
      <c r="M32" s="669"/>
      <c r="N32" s="178"/>
      <c r="O32" s="71"/>
    </row>
    <row r="33" spans="1:15" x14ac:dyDescent="0.3">
      <c r="A33" s="71"/>
      <c r="B33" s="166"/>
      <c r="C33" s="360">
        <f>'Deck TakeOff'!E58</f>
        <v>0</v>
      </c>
      <c r="D33" s="217" t="s">
        <v>764</v>
      </c>
      <c r="E33" s="345"/>
      <c r="F33" s="345"/>
      <c r="G33" s="345"/>
      <c r="H33" s="345"/>
      <c r="I33" s="345"/>
      <c r="J33" s="346"/>
      <c r="K33" s="356">
        <f>'Material Price'!J227</f>
        <v>380</v>
      </c>
      <c r="L33" s="668">
        <f t="shared" si="1"/>
        <v>0</v>
      </c>
      <c r="M33" s="669"/>
      <c r="N33" s="178"/>
      <c r="O33" s="71"/>
    </row>
    <row r="34" spans="1:15" x14ac:dyDescent="0.3">
      <c r="A34" s="71"/>
      <c r="B34" s="166"/>
      <c r="C34" s="360">
        <f>'Deck TakeOff'!E59</f>
        <v>0</v>
      </c>
      <c r="D34" s="217" t="s">
        <v>765</v>
      </c>
      <c r="E34" s="345"/>
      <c r="F34" s="345"/>
      <c r="G34" s="345"/>
      <c r="H34" s="345"/>
      <c r="I34" s="345"/>
      <c r="J34" s="346"/>
      <c r="K34" s="356">
        <f>'Material Price'!J228</f>
        <v>420</v>
      </c>
      <c r="L34" s="668">
        <f t="shared" si="1"/>
        <v>0</v>
      </c>
      <c r="M34" s="669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152"/>
      <c r="L35" s="668">
        <f t="shared" si="1"/>
        <v>0</v>
      </c>
      <c r="M35" s="669"/>
      <c r="N35" s="178"/>
      <c r="O35" s="71"/>
    </row>
    <row r="36" spans="1:15" x14ac:dyDescent="0.3">
      <c r="A36" s="71"/>
      <c r="B36" s="166"/>
      <c r="C36" s="360"/>
      <c r="D36" s="678" t="s">
        <v>601</v>
      </c>
      <c r="E36" s="679"/>
      <c r="F36" s="679"/>
      <c r="G36" s="679"/>
      <c r="H36" s="679"/>
      <c r="I36" s="679"/>
      <c r="J36" s="680"/>
      <c r="K36" s="152"/>
      <c r="L36" s="668">
        <f t="shared" si="1"/>
        <v>0</v>
      </c>
      <c r="M36" s="669"/>
      <c r="N36" s="178"/>
      <c r="O36" s="71"/>
    </row>
    <row r="37" spans="1:15" x14ac:dyDescent="0.3">
      <c r="A37" s="71"/>
      <c r="B37" s="166"/>
      <c r="C37" s="360">
        <f>(Formulas!D107+Formulas!D108)/1.1</f>
        <v>0</v>
      </c>
      <c r="D37" s="217" t="s">
        <v>741</v>
      </c>
      <c r="E37" s="345"/>
      <c r="F37" s="345"/>
      <c r="G37" s="345"/>
      <c r="H37" s="345"/>
      <c r="I37" s="345"/>
      <c r="J37" s="346"/>
      <c r="K37" s="152">
        <f>'Material Price'!J232</f>
        <v>10</v>
      </c>
      <c r="L37" s="668">
        <f>K37*C37</f>
        <v>0</v>
      </c>
      <c r="M37" s="669"/>
      <c r="N37" s="178"/>
      <c r="O37" s="71"/>
    </row>
    <row r="38" spans="1:15" x14ac:dyDescent="0.3">
      <c r="A38" s="71"/>
      <c r="B38" s="166"/>
      <c r="C38" s="360"/>
      <c r="D38" s="217" t="s">
        <v>580</v>
      </c>
      <c r="E38" s="345"/>
      <c r="F38" s="345"/>
      <c r="G38" s="345"/>
      <c r="H38" s="345"/>
      <c r="I38" s="345"/>
      <c r="J38" s="346"/>
      <c r="K38" s="152">
        <f>'Material Price'!J233</f>
        <v>75</v>
      </c>
      <c r="L38" s="668">
        <f t="shared" ref="L38:L47" si="3">K38*C38</f>
        <v>0</v>
      </c>
      <c r="M38" s="669"/>
      <c r="N38" s="178"/>
      <c r="O38" s="71"/>
    </row>
    <row r="39" spans="1:15" x14ac:dyDescent="0.3">
      <c r="A39" s="71"/>
      <c r="B39" s="166"/>
      <c r="C39" s="360"/>
      <c r="D39" s="217" t="s">
        <v>581</v>
      </c>
      <c r="E39" s="345"/>
      <c r="F39" s="345"/>
      <c r="G39" s="345"/>
      <c r="H39" s="345"/>
      <c r="I39" s="345"/>
      <c r="J39" s="346"/>
      <c r="K39" s="152">
        <f>'Material Price'!J234</f>
        <v>65</v>
      </c>
      <c r="L39" s="668">
        <f t="shared" si="3"/>
        <v>0</v>
      </c>
      <c r="M39" s="669"/>
      <c r="N39" s="178"/>
      <c r="O39" s="71"/>
    </row>
    <row r="40" spans="1:15" x14ac:dyDescent="0.3">
      <c r="A40" s="71"/>
      <c r="B40" s="166"/>
      <c r="C40" s="360"/>
      <c r="D40" s="217" t="s">
        <v>582</v>
      </c>
      <c r="E40" s="345"/>
      <c r="F40" s="345"/>
      <c r="G40" s="345"/>
      <c r="H40" s="345"/>
      <c r="I40" s="345"/>
      <c r="J40" s="346"/>
      <c r="K40" s="152">
        <f>'Material Price'!J235</f>
        <v>50</v>
      </c>
      <c r="L40" s="668">
        <f t="shared" si="3"/>
        <v>0</v>
      </c>
      <c r="M40" s="669"/>
      <c r="N40" s="178"/>
      <c r="O40" s="71"/>
    </row>
    <row r="41" spans="1:15" x14ac:dyDescent="0.3">
      <c r="A41" s="71"/>
      <c r="B41" s="166"/>
      <c r="C41" s="360"/>
      <c r="D41" s="347" t="s">
        <v>600</v>
      </c>
      <c r="E41" s="345"/>
      <c r="F41" s="345"/>
      <c r="G41" s="345"/>
      <c r="H41" s="345"/>
      <c r="I41" s="345"/>
      <c r="J41" s="346"/>
      <c r="K41" s="152">
        <f>'Material Price'!J236</f>
        <v>13</v>
      </c>
      <c r="L41" s="668">
        <f t="shared" si="3"/>
        <v>0</v>
      </c>
      <c r="M41" s="669"/>
      <c r="N41" s="178"/>
      <c r="O41" s="71"/>
    </row>
    <row r="42" spans="1:15" x14ac:dyDescent="0.3">
      <c r="A42" s="71"/>
      <c r="B42" s="166"/>
      <c r="C42" s="360"/>
      <c r="D42" s="347" t="s">
        <v>583</v>
      </c>
      <c r="E42" s="345"/>
      <c r="F42" s="345"/>
      <c r="G42" s="345"/>
      <c r="H42" s="345"/>
      <c r="I42" s="345"/>
      <c r="J42" s="346"/>
      <c r="K42" s="152">
        <f>'Material Price'!J237</f>
        <v>25</v>
      </c>
      <c r="L42" s="668">
        <f t="shared" si="3"/>
        <v>0</v>
      </c>
      <c r="M42" s="669"/>
      <c r="N42" s="178"/>
      <c r="O42" s="71"/>
    </row>
    <row r="43" spans="1:15" x14ac:dyDescent="0.3">
      <c r="A43" s="71"/>
      <c r="B43" s="166"/>
      <c r="C43" s="360"/>
      <c r="D43" s="347" t="s">
        <v>584</v>
      </c>
      <c r="E43" s="345"/>
      <c r="F43" s="345"/>
      <c r="G43" s="345"/>
      <c r="H43" s="345"/>
      <c r="I43" s="345"/>
      <c r="J43" s="346"/>
      <c r="K43" s="152">
        <f>'Material Price'!J238</f>
        <v>18</v>
      </c>
      <c r="L43" s="668">
        <f t="shared" si="3"/>
        <v>0</v>
      </c>
      <c r="M43" s="669"/>
      <c r="N43" s="178"/>
      <c r="O43" s="71"/>
    </row>
    <row r="44" spans="1:15" x14ac:dyDescent="0.3">
      <c r="A44" s="71"/>
      <c r="B44" s="166"/>
      <c r="C44" s="360"/>
      <c r="D44" s="347" t="s">
        <v>585</v>
      </c>
      <c r="E44" s="345"/>
      <c r="F44" s="345"/>
      <c r="G44" s="345"/>
      <c r="H44" s="345"/>
      <c r="I44" s="345"/>
      <c r="J44" s="346"/>
      <c r="K44" s="152">
        <f>'Material Price'!J239</f>
        <v>2</v>
      </c>
      <c r="L44" s="668">
        <f t="shared" si="3"/>
        <v>0</v>
      </c>
      <c r="M44" s="669"/>
      <c r="N44" s="178"/>
      <c r="O44" s="71"/>
    </row>
    <row r="45" spans="1:15" x14ac:dyDescent="0.3">
      <c r="A45" s="71"/>
      <c r="B45" s="166"/>
      <c r="C45" s="360"/>
      <c r="D45" s="347" t="s">
        <v>586</v>
      </c>
      <c r="E45" s="345"/>
      <c r="F45" s="345"/>
      <c r="G45" s="345"/>
      <c r="H45" s="345"/>
      <c r="I45" s="345"/>
      <c r="J45" s="346"/>
      <c r="K45" s="152">
        <f>'Material Price'!J240</f>
        <v>5</v>
      </c>
      <c r="L45" s="668">
        <f t="shared" si="3"/>
        <v>0</v>
      </c>
      <c r="M45" s="669"/>
      <c r="N45" s="178"/>
      <c r="O45" s="71"/>
    </row>
    <row r="46" spans="1:15" x14ac:dyDescent="0.3">
      <c r="A46" s="71"/>
      <c r="B46" s="166"/>
      <c r="C46" s="360"/>
      <c r="D46" s="347" t="s">
        <v>740</v>
      </c>
      <c r="E46" s="345"/>
      <c r="F46" s="345"/>
      <c r="G46" s="345"/>
      <c r="H46" s="345"/>
      <c r="I46" s="345"/>
      <c r="J46" s="346"/>
      <c r="K46" s="152">
        <f>'Material Price'!J241</f>
        <v>5</v>
      </c>
      <c r="L46" s="668">
        <f t="shared" si="3"/>
        <v>0</v>
      </c>
      <c r="M46" s="669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8">
        <f t="shared" si="3"/>
        <v>0</v>
      </c>
      <c r="M47" s="669"/>
      <c r="N47" s="178"/>
      <c r="O47" s="71"/>
    </row>
    <row r="48" spans="1:15" x14ac:dyDescent="0.3">
      <c r="A48" s="71"/>
      <c r="B48" s="166"/>
      <c r="C48" s="360"/>
      <c r="D48" s="347"/>
      <c r="E48" s="345"/>
      <c r="F48" s="345"/>
      <c r="G48" s="345"/>
      <c r="H48" s="345"/>
      <c r="I48" s="345"/>
      <c r="J48" s="346"/>
      <c r="K48" s="152"/>
      <c r="L48" s="668">
        <f>K48*C48</f>
        <v>0</v>
      </c>
      <c r="M48" s="669"/>
      <c r="N48" s="178"/>
      <c r="O48" s="71"/>
    </row>
    <row r="49" spans="1:15" x14ac:dyDescent="0.3">
      <c r="A49" s="71"/>
      <c r="B49" s="166"/>
      <c r="C49" s="183"/>
      <c r="D49" s="681" t="s">
        <v>10</v>
      </c>
      <c r="E49" s="682"/>
      <c r="F49" s="682"/>
      <c r="G49" s="682"/>
      <c r="H49" s="682"/>
      <c r="I49" s="682"/>
      <c r="J49" s="682"/>
      <c r="K49" s="683"/>
      <c r="L49" s="686">
        <f>(SUM(L10:M48)*0.0625)</f>
        <v>108.85625</v>
      </c>
      <c r="M49" s="686"/>
      <c r="N49" s="178"/>
      <c r="O49" s="71"/>
    </row>
    <row r="50" spans="1:15" x14ac:dyDescent="0.3">
      <c r="A50" s="71"/>
      <c r="B50" s="166"/>
      <c r="C50" s="183"/>
      <c r="D50" s="681" t="s">
        <v>1</v>
      </c>
      <c r="E50" s="682"/>
      <c r="F50" s="682"/>
      <c r="G50" s="682"/>
      <c r="H50" s="682"/>
      <c r="I50" s="682"/>
      <c r="J50" s="682"/>
      <c r="K50" s="683"/>
      <c r="L50" s="684">
        <f>SUM(L10:M49)</f>
        <v>1850.5562500000001</v>
      </c>
      <c r="M50" s="684"/>
      <c r="N50" s="178"/>
      <c r="O50" s="71"/>
    </row>
    <row r="51" spans="1:15" ht="6" customHeight="1" x14ac:dyDescent="0.3">
      <c r="A51" s="71"/>
      <c r="B51" s="166"/>
      <c r="C51" s="184"/>
      <c r="D51" s="185"/>
      <c r="E51" s="185"/>
      <c r="F51" s="185"/>
      <c r="G51" s="185"/>
      <c r="H51" s="186"/>
      <c r="I51" s="186"/>
      <c r="J51" s="186"/>
      <c r="K51" s="185"/>
      <c r="L51" s="187"/>
      <c r="M51" s="187"/>
      <c r="N51" s="178"/>
      <c r="O51" s="71"/>
    </row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  <row r="68" ht="25" customHeight="1" x14ac:dyDescent="0.3"/>
  </sheetData>
  <sheetProtection selectLockedCells="1" selectUnlockedCells="1"/>
  <mergeCells count="57">
    <mergeCell ref="L39:M39"/>
    <mergeCell ref="L31:M31"/>
    <mergeCell ref="D50:K50"/>
    <mergeCell ref="L50:M50"/>
    <mergeCell ref="L40:M40"/>
    <mergeCell ref="L41:M41"/>
    <mergeCell ref="L42:M42"/>
    <mergeCell ref="L43:M43"/>
    <mergeCell ref="L44:M44"/>
    <mergeCell ref="L45:M45"/>
    <mergeCell ref="L46:M46"/>
    <mergeCell ref="L47:M47"/>
    <mergeCell ref="L48:M48"/>
    <mergeCell ref="D49:K49"/>
    <mergeCell ref="L49:M49"/>
    <mergeCell ref="D36:J36"/>
    <mergeCell ref="L36:M36"/>
    <mergeCell ref="L37:M37"/>
    <mergeCell ref="L38:M38"/>
    <mergeCell ref="L27:M27"/>
    <mergeCell ref="L28:M28"/>
    <mergeCell ref="L29:M29"/>
    <mergeCell ref="L30:M30"/>
    <mergeCell ref="D32:J32"/>
    <mergeCell ref="L32:M32"/>
    <mergeCell ref="L33:M33"/>
    <mergeCell ref="L34:M34"/>
    <mergeCell ref="L35:M35"/>
    <mergeCell ref="L24:M24"/>
    <mergeCell ref="L25:M25"/>
    <mergeCell ref="L26:M26"/>
    <mergeCell ref="L21:M21"/>
    <mergeCell ref="L22:M22"/>
    <mergeCell ref="L23:M23"/>
    <mergeCell ref="L16:M16"/>
    <mergeCell ref="L17:M17"/>
    <mergeCell ref="L18:M18"/>
    <mergeCell ref="L19:M19"/>
    <mergeCell ref="L20:M20"/>
    <mergeCell ref="L15:M15"/>
    <mergeCell ref="E7:G7"/>
    <mergeCell ref="C8:M8"/>
    <mergeCell ref="D9:J9"/>
    <mergeCell ref="L9:M9"/>
    <mergeCell ref="D10:J10"/>
    <mergeCell ref="L10:M10"/>
    <mergeCell ref="D11:J11"/>
    <mergeCell ref="L11:M11"/>
    <mergeCell ref="L12:M12"/>
    <mergeCell ref="L13:M13"/>
    <mergeCell ref="L14:M14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7" orientation="portrait" r:id="rId1"/>
  <headerFooter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D98DC-A61A-4D2D-8682-93CC567AB7F3}">
  <sheetPr codeName="Sheet30">
    <tabColor rgb="FF00B050"/>
    <pageSetUpPr fitToPage="1"/>
  </sheetPr>
  <dimension ref="A1:O67"/>
  <sheetViews>
    <sheetView showGridLines="0" showZeros="0" view="pageBreakPreview" topLeftCell="A10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995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8">
        <f t="shared" ref="L11" si="0">K11*C11</f>
        <v>0</v>
      </c>
      <c r="M11" s="669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996</v>
      </c>
      <c r="E12" s="355"/>
      <c r="F12" s="355"/>
      <c r="G12" s="355"/>
      <c r="H12" s="355"/>
      <c r="I12" s="355"/>
      <c r="J12" s="421"/>
      <c r="K12" s="422">
        <f>'Material Price'!J148</f>
        <v>5.68</v>
      </c>
      <c r="L12" s="740">
        <f>K12*C12</f>
        <v>2558.8399999999997</v>
      </c>
      <c r="M12" s="741"/>
      <c r="N12" s="178"/>
      <c r="O12" s="71"/>
    </row>
    <row r="13" spans="1:15" x14ac:dyDescent="0.3">
      <c r="A13" s="71"/>
      <c r="B13" s="166"/>
      <c r="C13" s="360"/>
      <c r="D13" s="566"/>
      <c r="E13" s="567"/>
      <c r="F13" s="567"/>
      <c r="G13" s="567"/>
      <c r="H13" s="567"/>
      <c r="I13" s="567"/>
      <c r="J13" s="568"/>
      <c r="K13" s="152"/>
      <c r="L13" s="668">
        <f t="shared" ref="L13:L37" si="1">K13*C13</f>
        <v>0</v>
      </c>
      <c r="M13" s="669"/>
      <c r="N13" s="178"/>
      <c r="O13" s="71"/>
    </row>
    <row r="14" spans="1:15" x14ac:dyDescent="0.3">
      <c r="A14" s="71"/>
      <c r="B14" s="166"/>
      <c r="C14" s="423"/>
      <c r="D14" s="566" t="s">
        <v>997</v>
      </c>
      <c r="E14" s="567"/>
      <c r="F14" s="567"/>
      <c r="G14" s="567"/>
      <c r="H14" s="567"/>
      <c r="I14" s="567"/>
      <c r="J14" s="568"/>
      <c r="K14" s="152">
        <f>K12*12</f>
        <v>68.16</v>
      </c>
      <c r="L14" s="668">
        <f t="shared" si="1"/>
        <v>0</v>
      </c>
      <c r="M14" s="669"/>
      <c r="N14" s="178"/>
      <c r="O14" s="71"/>
    </row>
    <row r="15" spans="1:15" x14ac:dyDescent="0.3">
      <c r="A15" s="71"/>
      <c r="B15" s="166"/>
      <c r="C15" s="423"/>
      <c r="D15" s="217" t="s">
        <v>998</v>
      </c>
      <c r="E15" s="218"/>
      <c r="F15" s="218"/>
      <c r="G15" s="218"/>
      <c r="H15" s="218"/>
      <c r="I15" s="218"/>
      <c r="J15" s="219"/>
      <c r="K15" s="152">
        <f>K12*16</f>
        <v>90.88</v>
      </c>
      <c r="L15" s="668">
        <f t="shared" si="1"/>
        <v>0</v>
      </c>
      <c r="M15" s="669"/>
      <c r="N15" s="178"/>
      <c r="O15" s="71"/>
    </row>
    <row r="16" spans="1:15" x14ac:dyDescent="0.3">
      <c r="A16" s="71"/>
      <c r="B16" s="166"/>
      <c r="C16" s="423"/>
      <c r="D16" s="217" t="s">
        <v>999</v>
      </c>
      <c r="E16" s="218"/>
      <c r="F16" s="218"/>
      <c r="G16" s="218"/>
      <c r="H16" s="218"/>
      <c r="I16" s="218"/>
      <c r="J16" s="219"/>
      <c r="K16" s="356">
        <f>K12*20</f>
        <v>113.6</v>
      </c>
      <c r="L16" s="668">
        <f t="shared" si="1"/>
        <v>0</v>
      </c>
      <c r="M16" s="669"/>
      <c r="N16" s="178"/>
      <c r="O16" s="71"/>
    </row>
    <row r="17" spans="1:15" x14ac:dyDescent="0.3">
      <c r="A17" s="71"/>
      <c r="B17" s="166"/>
      <c r="C17" s="423"/>
      <c r="D17" s="566" t="s">
        <v>1000</v>
      </c>
      <c r="E17" s="567"/>
      <c r="F17" s="567"/>
      <c r="G17" s="567"/>
      <c r="H17" s="567"/>
      <c r="I17" s="567"/>
      <c r="J17" s="568"/>
      <c r="K17" s="152">
        <f>K12*12</f>
        <v>68.16</v>
      </c>
      <c r="L17" s="668">
        <f t="shared" si="1"/>
        <v>0</v>
      </c>
      <c r="M17" s="669"/>
      <c r="N17" s="178"/>
      <c r="O17" s="71"/>
    </row>
    <row r="18" spans="1:15" x14ac:dyDescent="0.3">
      <c r="A18" s="71"/>
      <c r="B18" s="166"/>
      <c r="C18" s="423"/>
      <c r="D18" s="217" t="s">
        <v>1001</v>
      </c>
      <c r="E18" s="218"/>
      <c r="F18" s="218"/>
      <c r="G18" s="218"/>
      <c r="H18" s="218"/>
      <c r="I18" s="218"/>
      <c r="J18" s="219"/>
      <c r="K18" s="152">
        <f>K12*16</f>
        <v>90.88</v>
      </c>
      <c r="L18" s="668">
        <f t="shared" si="1"/>
        <v>0</v>
      </c>
      <c r="M18" s="669"/>
      <c r="N18" s="178"/>
      <c r="O18" s="71"/>
    </row>
    <row r="19" spans="1:15" x14ac:dyDescent="0.3">
      <c r="A19" s="71"/>
      <c r="B19" s="166"/>
      <c r="C19" s="423"/>
      <c r="D19" s="217" t="s">
        <v>1002</v>
      </c>
      <c r="E19" s="218"/>
      <c r="F19" s="218"/>
      <c r="G19" s="218"/>
      <c r="H19" s="218"/>
      <c r="I19" s="218"/>
      <c r="J19" s="219"/>
      <c r="K19" s="356">
        <f>K12*20</f>
        <v>113.6</v>
      </c>
      <c r="L19" s="668">
        <f t="shared" si="1"/>
        <v>0</v>
      </c>
      <c r="M19" s="669"/>
      <c r="N19" s="178"/>
      <c r="O19" s="71"/>
    </row>
    <row r="20" spans="1:15" x14ac:dyDescent="0.3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8">
        <f t="shared" si="1"/>
        <v>0</v>
      </c>
      <c r="M20" s="669"/>
      <c r="N20" s="178"/>
      <c r="O20" s="71"/>
    </row>
    <row r="21" spans="1:15" x14ac:dyDescent="0.3">
      <c r="A21" s="71"/>
      <c r="B21" s="166"/>
      <c r="C21" s="394">
        <f>ROUNDUP(Formulas!L33/175,0)</f>
        <v>3</v>
      </c>
      <c r="D21" s="217" t="s">
        <v>1004</v>
      </c>
      <c r="E21" s="218"/>
      <c r="F21" s="218"/>
      <c r="G21" s="218"/>
      <c r="H21" s="218"/>
      <c r="I21" s="218"/>
      <c r="J21" s="324"/>
      <c r="K21" s="356">
        <f>'Material Price'!J115</f>
        <v>108</v>
      </c>
      <c r="L21" s="668">
        <f t="shared" si="1"/>
        <v>324</v>
      </c>
      <c r="M21" s="669"/>
      <c r="N21" s="178"/>
      <c r="O21" s="71"/>
    </row>
    <row r="22" spans="1:15" x14ac:dyDescent="0.3">
      <c r="A22" s="71"/>
      <c r="B22" s="166"/>
      <c r="C22" s="425">
        <f>ROUNDUP(Formulas!L34/350,0)</f>
        <v>1</v>
      </c>
      <c r="D22" s="289" t="s">
        <v>1003</v>
      </c>
      <c r="E22" s="218"/>
      <c r="F22" s="218"/>
      <c r="G22" s="218"/>
      <c r="H22" s="218"/>
      <c r="I22" s="218"/>
      <c r="J22" s="324"/>
      <c r="K22" s="356">
        <f>'Material Price'!J117</f>
        <v>135</v>
      </c>
      <c r="L22" s="668">
        <f t="shared" si="1"/>
        <v>135</v>
      </c>
      <c r="M22" s="669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8">
        <f t="shared" si="1"/>
        <v>0</v>
      </c>
      <c r="M23" s="669"/>
      <c r="N23" s="178"/>
      <c r="O23" s="71"/>
    </row>
    <row r="24" spans="1:15" x14ac:dyDescent="0.3">
      <c r="A24" s="71"/>
      <c r="B24" s="166"/>
      <c r="C24" s="360"/>
      <c r="D24" s="217"/>
      <c r="E24" s="218"/>
      <c r="F24" s="218"/>
      <c r="G24" s="218"/>
      <c r="H24" s="218"/>
      <c r="I24" s="218"/>
      <c r="J24" s="324"/>
      <c r="K24" s="152"/>
      <c r="L24" s="668">
        <f t="shared" si="1"/>
        <v>0</v>
      </c>
      <c r="M24" s="669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8">
        <f t="shared" si="1"/>
        <v>0</v>
      </c>
      <c r="M25" s="669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8">
        <f t="shared" si="1"/>
        <v>0</v>
      </c>
      <c r="M26" s="669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8">
        <f t="shared" si="1"/>
        <v>0</v>
      </c>
      <c r="M28" s="669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8">
        <f t="shared" si="1"/>
        <v>0</v>
      </c>
      <c r="M29" s="669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8">
        <f t="shared" si="1"/>
        <v>0</v>
      </c>
      <c r="M30" s="669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8">
        <f t="shared" si="1"/>
        <v>0</v>
      </c>
      <c r="M31" s="669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8">
        <f t="shared" si="1"/>
        <v>0</v>
      </c>
      <c r="M33" s="669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8">
        <f t="shared" si="1"/>
        <v>0</v>
      </c>
      <c r="M34" s="669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8">
        <f t="shared" si="1"/>
        <v>0</v>
      </c>
      <c r="M35" s="669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8">
        <f t="shared" si="1"/>
        <v>0</v>
      </c>
      <c r="M36" s="669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8">
        <f t="shared" si="1"/>
        <v>0</v>
      </c>
      <c r="M37" s="669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8">
        <f>K38*C38</f>
        <v>0</v>
      </c>
      <c r="M38" s="669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8">
        <f t="shared" ref="L39:L47" si="2">K39*C39</f>
        <v>0</v>
      </c>
      <c r="M39" s="669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8">
        <f t="shared" si="2"/>
        <v>0</v>
      </c>
      <c r="M40" s="669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8">
        <f t="shared" si="2"/>
        <v>0</v>
      </c>
      <c r="M41" s="669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8">
        <f t="shared" si="2"/>
        <v>0</v>
      </c>
      <c r="M42" s="669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8">
        <f t="shared" si="2"/>
        <v>0</v>
      </c>
      <c r="M43" s="669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8">
        <f t="shared" si="2"/>
        <v>0</v>
      </c>
      <c r="M44" s="669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8">
        <f t="shared" si="2"/>
        <v>0</v>
      </c>
      <c r="M45" s="669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8">
        <f t="shared" si="2"/>
        <v>0</v>
      </c>
      <c r="M46" s="669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8">
        <f t="shared" si="2"/>
        <v>0</v>
      </c>
      <c r="M47" s="669"/>
      <c r="N47" s="178"/>
      <c r="O47" s="71"/>
    </row>
    <row r="48" spans="1:15" x14ac:dyDescent="0.3">
      <c r="A48" s="71"/>
      <c r="B48" s="166"/>
      <c r="C48" s="183"/>
      <c r="D48" s="681" t="s">
        <v>10</v>
      </c>
      <c r="E48" s="682"/>
      <c r="F48" s="682"/>
      <c r="G48" s="682"/>
      <c r="H48" s="682"/>
      <c r="I48" s="682"/>
      <c r="J48" s="682"/>
      <c r="K48" s="683"/>
      <c r="L48" s="686">
        <f>(SUM(L10:M47)*0.0625)</f>
        <v>188.61499999999998</v>
      </c>
      <c r="M48" s="686"/>
      <c r="N48" s="178"/>
      <c r="O48" s="71"/>
    </row>
    <row r="49" spans="1:15" x14ac:dyDescent="0.3">
      <c r="A49" s="71"/>
      <c r="B49" s="166"/>
      <c r="C49" s="183"/>
      <c r="D49" s="681" t="s">
        <v>1</v>
      </c>
      <c r="E49" s="682"/>
      <c r="F49" s="682"/>
      <c r="G49" s="682"/>
      <c r="H49" s="682"/>
      <c r="I49" s="682"/>
      <c r="J49" s="682"/>
      <c r="K49" s="683"/>
      <c r="L49" s="684">
        <f>SUM(L10:M48)</f>
        <v>3206.4549999999995</v>
      </c>
      <c r="M49" s="684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D3:M3"/>
    <mergeCell ref="D4:M4"/>
    <mergeCell ref="E5:G5"/>
    <mergeCell ref="I5:J5"/>
    <mergeCell ref="E6:G6"/>
    <mergeCell ref="I6:J6"/>
    <mergeCell ref="E7:G7"/>
    <mergeCell ref="C8:M8"/>
    <mergeCell ref="D9:J9"/>
    <mergeCell ref="L9:M9"/>
    <mergeCell ref="D10:J10"/>
    <mergeCell ref="L10:M10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46:M46"/>
    <mergeCell ref="L47:M47"/>
    <mergeCell ref="D48:K48"/>
    <mergeCell ref="L48:M48"/>
    <mergeCell ref="D49:K49"/>
    <mergeCell ref="L49:M49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23549-69B5-4C83-A574-9AA263226607}">
  <sheetPr codeName="Sheet31">
    <tabColor rgb="FF00B050"/>
    <pageSetUpPr fitToPage="1"/>
  </sheetPr>
  <dimension ref="A1:O67"/>
  <sheetViews>
    <sheetView showGridLines="0" showZeros="0" view="pageBreakPreview" topLeftCell="C10" zoomScaleNormal="100" zoomScaleSheetLayoutView="100" workbookViewId="0">
      <selection activeCell="C13" sqref="C13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1005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8">
        <f t="shared" ref="L11" si="0">K11*C11</f>
        <v>0</v>
      </c>
      <c r="M11" s="669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1006</v>
      </c>
      <c r="E12" s="355"/>
      <c r="F12" s="355"/>
      <c r="G12" s="355"/>
      <c r="H12" s="355"/>
      <c r="I12" s="355"/>
      <c r="J12" s="421"/>
      <c r="K12" s="422">
        <f>'Material Price'!J151</f>
        <v>4.87</v>
      </c>
      <c r="L12" s="740">
        <f>K12*C12</f>
        <v>2193.9349999999999</v>
      </c>
      <c r="M12" s="741"/>
      <c r="N12" s="178"/>
      <c r="O12" s="71"/>
    </row>
    <row r="13" spans="1:15" x14ac:dyDescent="0.3">
      <c r="A13" s="71"/>
      <c r="B13" s="166"/>
      <c r="C13" s="360"/>
      <c r="D13" s="566"/>
      <c r="E13" s="567"/>
      <c r="F13" s="567"/>
      <c r="G13" s="567"/>
      <c r="H13" s="567"/>
      <c r="I13" s="567"/>
      <c r="J13" s="568"/>
      <c r="K13" s="152"/>
      <c r="L13" s="668">
        <f t="shared" ref="L13:L37" si="1">K13*C13</f>
        <v>0</v>
      </c>
      <c r="M13" s="669"/>
      <c r="N13" s="178"/>
      <c r="O13" s="71"/>
    </row>
    <row r="14" spans="1:15" x14ac:dyDescent="0.3">
      <c r="A14" s="71"/>
      <c r="B14" s="166"/>
      <c r="C14" s="423"/>
      <c r="D14" s="566" t="s">
        <v>1007</v>
      </c>
      <c r="E14" s="567"/>
      <c r="F14" s="567"/>
      <c r="G14" s="567"/>
      <c r="H14" s="567"/>
      <c r="I14" s="567"/>
      <c r="J14" s="568"/>
      <c r="K14" s="152">
        <f>K12*12</f>
        <v>58.44</v>
      </c>
      <c r="L14" s="668">
        <f t="shared" si="1"/>
        <v>0</v>
      </c>
      <c r="M14" s="669"/>
      <c r="N14" s="178"/>
      <c r="O14" s="71"/>
    </row>
    <row r="15" spans="1:15" x14ac:dyDescent="0.3">
      <c r="A15" s="71"/>
      <c r="B15" s="166"/>
      <c r="C15" s="423"/>
      <c r="D15" s="217" t="s">
        <v>1008</v>
      </c>
      <c r="E15" s="218"/>
      <c r="F15" s="218"/>
      <c r="G15" s="218"/>
      <c r="H15" s="218"/>
      <c r="I15" s="218"/>
      <c r="J15" s="219"/>
      <c r="K15" s="152">
        <f>K12*16</f>
        <v>77.92</v>
      </c>
      <c r="L15" s="668">
        <f t="shared" si="1"/>
        <v>0</v>
      </c>
      <c r="M15" s="669"/>
      <c r="N15" s="178"/>
      <c r="O15" s="71"/>
    </row>
    <row r="16" spans="1:15" x14ac:dyDescent="0.3">
      <c r="A16" s="71"/>
      <c r="B16" s="166"/>
      <c r="C16" s="423"/>
      <c r="D16" s="217" t="s">
        <v>1009</v>
      </c>
      <c r="E16" s="218"/>
      <c r="F16" s="218"/>
      <c r="G16" s="218"/>
      <c r="H16" s="218"/>
      <c r="I16" s="218"/>
      <c r="J16" s="219"/>
      <c r="K16" s="356">
        <f>K12*20</f>
        <v>97.4</v>
      </c>
      <c r="L16" s="668">
        <f t="shared" si="1"/>
        <v>0</v>
      </c>
      <c r="M16" s="669"/>
      <c r="N16" s="178"/>
      <c r="O16" s="71"/>
    </row>
    <row r="17" spans="1:15" x14ac:dyDescent="0.3">
      <c r="A17" s="71"/>
      <c r="B17" s="166"/>
      <c r="C17" s="423"/>
      <c r="D17" s="566" t="s">
        <v>1010</v>
      </c>
      <c r="E17" s="567"/>
      <c r="F17" s="567"/>
      <c r="G17" s="567"/>
      <c r="H17" s="567"/>
      <c r="I17" s="567"/>
      <c r="J17" s="568"/>
      <c r="K17" s="152">
        <f>K12*12</f>
        <v>58.44</v>
      </c>
      <c r="L17" s="668">
        <f t="shared" si="1"/>
        <v>0</v>
      </c>
      <c r="M17" s="669"/>
      <c r="N17" s="178"/>
      <c r="O17" s="71"/>
    </row>
    <row r="18" spans="1:15" x14ac:dyDescent="0.3">
      <c r="A18" s="71"/>
      <c r="B18" s="166"/>
      <c r="C18" s="423"/>
      <c r="D18" s="217" t="s">
        <v>1011</v>
      </c>
      <c r="E18" s="218"/>
      <c r="F18" s="218"/>
      <c r="G18" s="218"/>
      <c r="H18" s="218"/>
      <c r="I18" s="218"/>
      <c r="J18" s="219"/>
      <c r="K18" s="152">
        <f>K12*16</f>
        <v>77.92</v>
      </c>
      <c r="L18" s="668">
        <f t="shared" si="1"/>
        <v>0</v>
      </c>
      <c r="M18" s="669"/>
      <c r="N18" s="178"/>
      <c r="O18" s="71"/>
    </row>
    <row r="19" spans="1:15" x14ac:dyDescent="0.3">
      <c r="A19" s="71"/>
      <c r="B19" s="166"/>
      <c r="C19" s="423"/>
      <c r="D19" s="217" t="s">
        <v>1012</v>
      </c>
      <c r="E19" s="218"/>
      <c r="F19" s="218"/>
      <c r="G19" s="218"/>
      <c r="H19" s="218"/>
      <c r="I19" s="218"/>
      <c r="J19" s="219"/>
      <c r="K19" s="356">
        <f>K12*20</f>
        <v>97.4</v>
      </c>
      <c r="L19" s="668">
        <f t="shared" si="1"/>
        <v>0</v>
      </c>
      <c r="M19" s="669"/>
      <c r="N19" s="178"/>
      <c r="O19" s="71"/>
    </row>
    <row r="20" spans="1:15" x14ac:dyDescent="0.3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8">
        <f t="shared" si="1"/>
        <v>0</v>
      </c>
      <c r="M20" s="669"/>
      <c r="N20" s="178"/>
      <c r="O20" s="71"/>
    </row>
    <row r="21" spans="1:15" x14ac:dyDescent="0.3">
      <c r="A21" s="71"/>
      <c r="B21" s="166"/>
      <c r="C21" s="394">
        <f>ROUNDUP(Formulas!L33/175,0)</f>
        <v>3</v>
      </c>
      <c r="D21" s="217" t="s">
        <v>1004</v>
      </c>
      <c r="E21" s="218"/>
      <c r="F21" s="218"/>
      <c r="G21" s="218"/>
      <c r="H21" s="218"/>
      <c r="I21" s="218"/>
      <c r="J21" s="324"/>
      <c r="K21" s="356">
        <f>'Material Price'!J115</f>
        <v>108</v>
      </c>
      <c r="L21" s="668">
        <f t="shared" si="1"/>
        <v>324</v>
      </c>
      <c r="M21" s="669"/>
      <c r="N21" s="178"/>
      <c r="O21" s="71"/>
    </row>
    <row r="22" spans="1:15" x14ac:dyDescent="0.3">
      <c r="A22" s="71"/>
      <c r="B22" s="166"/>
      <c r="C22" s="425">
        <f>ROUNDUP(Formulas!L34/350,0)</f>
        <v>1</v>
      </c>
      <c r="D22" s="289" t="s">
        <v>1003</v>
      </c>
      <c r="E22" s="218"/>
      <c r="F22" s="218"/>
      <c r="G22" s="218"/>
      <c r="H22" s="218"/>
      <c r="I22" s="218"/>
      <c r="J22" s="324"/>
      <c r="K22" s="356">
        <f>'Material Price'!J117</f>
        <v>135</v>
      </c>
      <c r="L22" s="668">
        <f t="shared" si="1"/>
        <v>135</v>
      </c>
      <c r="M22" s="669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8">
        <f t="shared" si="1"/>
        <v>0</v>
      </c>
      <c r="M23" s="669"/>
      <c r="N23" s="178"/>
      <c r="O23" s="71"/>
    </row>
    <row r="24" spans="1:15" x14ac:dyDescent="0.3">
      <c r="A24" s="71"/>
      <c r="B24" s="166"/>
      <c r="C24" s="360"/>
      <c r="D24" s="217"/>
      <c r="E24" s="218"/>
      <c r="F24" s="218"/>
      <c r="G24" s="218"/>
      <c r="H24" s="218"/>
      <c r="I24" s="218"/>
      <c r="J24" s="324"/>
      <c r="K24" s="152"/>
      <c r="L24" s="668">
        <f t="shared" si="1"/>
        <v>0</v>
      </c>
      <c r="M24" s="669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8">
        <f t="shared" si="1"/>
        <v>0</v>
      </c>
      <c r="M25" s="669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8">
        <f t="shared" si="1"/>
        <v>0</v>
      </c>
      <c r="M26" s="669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8">
        <f t="shared" si="1"/>
        <v>0</v>
      </c>
      <c r="M28" s="669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8">
        <f t="shared" si="1"/>
        <v>0</v>
      </c>
      <c r="M29" s="669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8">
        <f t="shared" si="1"/>
        <v>0</v>
      </c>
      <c r="M30" s="669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8">
        <f t="shared" si="1"/>
        <v>0</v>
      </c>
      <c r="M31" s="669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8">
        <f t="shared" si="1"/>
        <v>0</v>
      </c>
      <c r="M33" s="669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8">
        <f t="shared" si="1"/>
        <v>0</v>
      </c>
      <c r="M34" s="669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8">
        <f t="shared" si="1"/>
        <v>0</v>
      </c>
      <c r="M35" s="669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8">
        <f t="shared" si="1"/>
        <v>0</v>
      </c>
      <c r="M36" s="669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8">
        <f t="shared" si="1"/>
        <v>0</v>
      </c>
      <c r="M37" s="669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8">
        <f>K38*C38</f>
        <v>0</v>
      </c>
      <c r="M38" s="669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8">
        <f t="shared" ref="L39:L47" si="2">K39*C39</f>
        <v>0</v>
      </c>
      <c r="M39" s="669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8">
        <f t="shared" si="2"/>
        <v>0</v>
      </c>
      <c r="M40" s="669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8">
        <f t="shared" si="2"/>
        <v>0</v>
      </c>
      <c r="M41" s="669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8">
        <f t="shared" si="2"/>
        <v>0</v>
      </c>
      <c r="M42" s="669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8">
        <f t="shared" si="2"/>
        <v>0</v>
      </c>
      <c r="M43" s="669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8">
        <f t="shared" si="2"/>
        <v>0</v>
      </c>
      <c r="M44" s="669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8">
        <f t="shared" si="2"/>
        <v>0</v>
      </c>
      <c r="M45" s="669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8">
        <f t="shared" si="2"/>
        <v>0</v>
      </c>
      <c r="M46" s="669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8">
        <f t="shared" si="2"/>
        <v>0</v>
      </c>
      <c r="M47" s="669"/>
      <c r="N47" s="178"/>
      <c r="O47" s="71"/>
    </row>
    <row r="48" spans="1:15" x14ac:dyDescent="0.3">
      <c r="A48" s="71"/>
      <c r="B48" s="166"/>
      <c r="C48" s="183"/>
      <c r="D48" s="681" t="s">
        <v>10</v>
      </c>
      <c r="E48" s="682"/>
      <c r="F48" s="682"/>
      <c r="G48" s="682"/>
      <c r="H48" s="682"/>
      <c r="I48" s="682"/>
      <c r="J48" s="682"/>
      <c r="K48" s="683"/>
      <c r="L48" s="686">
        <f>(SUM(L10:M47)*0.0625)</f>
        <v>165.8084375</v>
      </c>
      <c r="M48" s="686"/>
      <c r="N48" s="178"/>
      <c r="O48" s="71"/>
    </row>
    <row r="49" spans="1:15" x14ac:dyDescent="0.3">
      <c r="A49" s="71"/>
      <c r="B49" s="166"/>
      <c r="C49" s="183"/>
      <c r="D49" s="681" t="s">
        <v>1</v>
      </c>
      <c r="E49" s="682"/>
      <c r="F49" s="682"/>
      <c r="G49" s="682"/>
      <c r="H49" s="682"/>
      <c r="I49" s="682"/>
      <c r="J49" s="682"/>
      <c r="K49" s="683"/>
      <c r="L49" s="684">
        <f>SUM(L10:M48)</f>
        <v>2818.7434374999998</v>
      </c>
      <c r="M49" s="684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D3:M3"/>
    <mergeCell ref="D4:M4"/>
    <mergeCell ref="E5:G5"/>
    <mergeCell ref="I5:J5"/>
    <mergeCell ref="E6:G6"/>
    <mergeCell ref="I6:J6"/>
    <mergeCell ref="E7:G7"/>
    <mergeCell ref="C8:M8"/>
    <mergeCell ref="D9:J9"/>
    <mergeCell ref="L9:M9"/>
    <mergeCell ref="D10:J10"/>
    <mergeCell ref="L10:M10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46:M46"/>
    <mergeCell ref="L47:M47"/>
    <mergeCell ref="D48:K48"/>
    <mergeCell ref="L48:M48"/>
    <mergeCell ref="D49:K49"/>
    <mergeCell ref="L49:M49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9FB66D-E5DF-469E-8292-D1E8008B0832}">
  <sheetPr codeName="Sheet32">
    <tabColor rgb="FF00B050"/>
    <pageSetUpPr fitToPage="1"/>
  </sheetPr>
  <dimension ref="A1:O67"/>
  <sheetViews>
    <sheetView showGridLines="0" showZeros="0" view="pageBreakPreview" zoomScaleNormal="100" zoomScaleSheetLayoutView="100" workbookViewId="0">
      <selection activeCell="C12" sqref="C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1013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8">
        <f t="shared" ref="L11" si="0">K11*C11</f>
        <v>0</v>
      </c>
      <c r="M11" s="669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1014</v>
      </c>
      <c r="E12" s="355"/>
      <c r="F12" s="355"/>
      <c r="G12" s="355"/>
      <c r="H12" s="355"/>
      <c r="I12" s="355"/>
      <c r="J12" s="421"/>
      <c r="K12" s="422">
        <f>'Material Price'!J154</f>
        <v>3.84</v>
      </c>
      <c r="L12" s="740">
        <f>K12*C12</f>
        <v>1729.9199999999998</v>
      </c>
      <c r="M12" s="741"/>
      <c r="N12" s="178"/>
      <c r="O12" s="71"/>
    </row>
    <row r="13" spans="1:15" x14ac:dyDescent="0.3">
      <c r="A13" s="71"/>
      <c r="B13" s="166"/>
      <c r="C13" s="360"/>
      <c r="D13" s="566"/>
      <c r="E13" s="567"/>
      <c r="F13" s="567"/>
      <c r="G13" s="567"/>
      <c r="H13" s="567"/>
      <c r="I13" s="567"/>
      <c r="J13" s="568"/>
      <c r="K13" s="152"/>
      <c r="L13" s="668">
        <f t="shared" ref="L13:L37" si="1">K13*C13</f>
        <v>0</v>
      </c>
      <c r="M13" s="669"/>
      <c r="N13" s="178"/>
      <c r="O13" s="71"/>
    </row>
    <row r="14" spans="1:15" x14ac:dyDescent="0.3">
      <c r="A14" s="71"/>
      <c r="B14" s="166"/>
      <c r="C14" s="423"/>
      <c r="D14" s="566" t="s">
        <v>1015</v>
      </c>
      <c r="E14" s="567"/>
      <c r="F14" s="567"/>
      <c r="G14" s="567"/>
      <c r="H14" s="567"/>
      <c r="I14" s="567"/>
      <c r="J14" s="568"/>
      <c r="K14" s="152">
        <f>K12*12</f>
        <v>46.08</v>
      </c>
      <c r="L14" s="668">
        <f t="shared" si="1"/>
        <v>0</v>
      </c>
      <c r="M14" s="669"/>
      <c r="N14" s="178"/>
      <c r="O14" s="71"/>
    </row>
    <row r="15" spans="1:15" x14ac:dyDescent="0.3">
      <c r="A15" s="71"/>
      <c r="B15" s="166"/>
      <c r="C15" s="423"/>
      <c r="D15" s="217" t="s">
        <v>1016</v>
      </c>
      <c r="E15" s="218"/>
      <c r="F15" s="218"/>
      <c r="G15" s="218"/>
      <c r="H15" s="218"/>
      <c r="I15" s="218"/>
      <c r="J15" s="219"/>
      <c r="K15" s="152">
        <f>K12*16</f>
        <v>61.44</v>
      </c>
      <c r="L15" s="668">
        <f t="shared" si="1"/>
        <v>0</v>
      </c>
      <c r="M15" s="669"/>
      <c r="N15" s="178"/>
      <c r="O15" s="71"/>
    </row>
    <row r="16" spans="1:15" x14ac:dyDescent="0.3">
      <c r="A16" s="71"/>
      <c r="B16" s="166"/>
      <c r="C16" s="423"/>
      <c r="D16" s="217" t="s">
        <v>1017</v>
      </c>
      <c r="E16" s="218"/>
      <c r="F16" s="218"/>
      <c r="G16" s="218"/>
      <c r="H16" s="218"/>
      <c r="I16" s="218"/>
      <c r="J16" s="219"/>
      <c r="K16" s="356">
        <f>K12*20</f>
        <v>76.8</v>
      </c>
      <c r="L16" s="668">
        <f t="shared" si="1"/>
        <v>0</v>
      </c>
      <c r="M16" s="669"/>
      <c r="N16" s="178"/>
      <c r="O16" s="71"/>
    </row>
    <row r="17" spans="1:15" x14ac:dyDescent="0.3">
      <c r="A17" s="71"/>
      <c r="B17" s="166"/>
      <c r="C17" s="423"/>
      <c r="D17" s="566" t="s">
        <v>1018</v>
      </c>
      <c r="E17" s="567"/>
      <c r="F17" s="567"/>
      <c r="G17" s="567"/>
      <c r="H17" s="567"/>
      <c r="I17" s="567"/>
      <c r="J17" s="568"/>
      <c r="K17" s="152">
        <f>K12*12</f>
        <v>46.08</v>
      </c>
      <c r="L17" s="668">
        <f t="shared" si="1"/>
        <v>0</v>
      </c>
      <c r="M17" s="669"/>
      <c r="N17" s="178"/>
      <c r="O17" s="71"/>
    </row>
    <row r="18" spans="1:15" x14ac:dyDescent="0.3">
      <c r="A18" s="71"/>
      <c r="B18" s="166"/>
      <c r="C18" s="423"/>
      <c r="D18" s="217" t="s">
        <v>1019</v>
      </c>
      <c r="E18" s="218"/>
      <c r="F18" s="218"/>
      <c r="G18" s="218"/>
      <c r="H18" s="218"/>
      <c r="I18" s="218"/>
      <c r="J18" s="219"/>
      <c r="K18" s="152">
        <f>K12*16</f>
        <v>61.44</v>
      </c>
      <c r="L18" s="668">
        <f t="shared" si="1"/>
        <v>0</v>
      </c>
      <c r="M18" s="669"/>
      <c r="N18" s="178"/>
      <c r="O18" s="71"/>
    </row>
    <row r="19" spans="1:15" x14ac:dyDescent="0.3">
      <c r="A19" s="71"/>
      <c r="B19" s="166"/>
      <c r="C19" s="423"/>
      <c r="D19" s="217" t="s">
        <v>1020</v>
      </c>
      <c r="E19" s="218"/>
      <c r="F19" s="218"/>
      <c r="G19" s="218"/>
      <c r="H19" s="218"/>
      <c r="I19" s="218"/>
      <c r="J19" s="219"/>
      <c r="K19" s="356">
        <f>K12*20</f>
        <v>76.8</v>
      </c>
      <c r="L19" s="668">
        <f t="shared" si="1"/>
        <v>0</v>
      </c>
      <c r="M19" s="669"/>
      <c r="N19" s="178"/>
      <c r="O19" s="71"/>
    </row>
    <row r="20" spans="1:15" x14ac:dyDescent="0.3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8">
        <f t="shared" si="1"/>
        <v>0</v>
      </c>
      <c r="M20" s="669"/>
      <c r="N20" s="178"/>
      <c r="O20" s="71"/>
    </row>
    <row r="21" spans="1:15" x14ac:dyDescent="0.3">
      <c r="A21" s="71"/>
      <c r="B21" s="166"/>
      <c r="C21" s="394">
        <f>ROUNDUP(Formulas!L33/175,0)</f>
        <v>3</v>
      </c>
      <c r="D21" s="217" t="s">
        <v>1004</v>
      </c>
      <c r="E21" s="218"/>
      <c r="F21" s="218"/>
      <c r="G21" s="218"/>
      <c r="H21" s="218"/>
      <c r="I21" s="218"/>
      <c r="J21" s="324"/>
      <c r="K21" s="356">
        <f>'Material Price'!J115</f>
        <v>108</v>
      </c>
      <c r="L21" s="668">
        <f t="shared" si="1"/>
        <v>324</v>
      </c>
      <c r="M21" s="669"/>
      <c r="N21" s="178"/>
      <c r="O21" s="71"/>
    </row>
    <row r="22" spans="1:15" x14ac:dyDescent="0.3">
      <c r="A22" s="71"/>
      <c r="B22" s="166"/>
      <c r="C22" s="425">
        <f>ROUNDUP(Formulas!L34/350,0)</f>
        <v>1</v>
      </c>
      <c r="D22" s="289" t="s">
        <v>1003</v>
      </c>
      <c r="E22" s="218"/>
      <c r="F22" s="218"/>
      <c r="G22" s="218"/>
      <c r="H22" s="218"/>
      <c r="I22" s="218"/>
      <c r="J22" s="324"/>
      <c r="K22" s="356">
        <f>'Material Price'!J117</f>
        <v>135</v>
      </c>
      <c r="L22" s="668">
        <f t="shared" si="1"/>
        <v>135</v>
      </c>
      <c r="M22" s="669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8">
        <f t="shared" si="1"/>
        <v>0</v>
      </c>
      <c r="M23" s="669"/>
      <c r="N23" s="178"/>
      <c r="O23" s="71"/>
    </row>
    <row r="24" spans="1:15" x14ac:dyDescent="0.3">
      <c r="A24" s="71"/>
      <c r="B24" s="166"/>
      <c r="C24" s="360"/>
      <c r="D24" s="341" t="s">
        <v>1021</v>
      </c>
      <c r="E24" s="218"/>
      <c r="F24" s="218"/>
      <c r="G24" s="218"/>
      <c r="H24" s="218"/>
      <c r="I24" s="218"/>
      <c r="J24" s="324"/>
      <c r="K24" s="152"/>
      <c r="L24" s="668">
        <f t="shared" si="1"/>
        <v>0</v>
      </c>
      <c r="M24" s="669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8">
        <f t="shared" si="1"/>
        <v>0</v>
      </c>
      <c r="M25" s="669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8">
        <f t="shared" si="1"/>
        <v>0</v>
      </c>
      <c r="M26" s="669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8">
        <f t="shared" si="1"/>
        <v>0</v>
      </c>
      <c r="M28" s="669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8">
        <f t="shared" si="1"/>
        <v>0</v>
      </c>
      <c r="M29" s="669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8">
        <f t="shared" si="1"/>
        <v>0</v>
      </c>
      <c r="M30" s="669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8">
        <f t="shared" si="1"/>
        <v>0</v>
      </c>
      <c r="M31" s="669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8">
        <f t="shared" si="1"/>
        <v>0</v>
      </c>
      <c r="M33" s="669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8">
        <f t="shared" si="1"/>
        <v>0</v>
      </c>
      <c r="M34" s="669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8">
        <f t="shared" si="1"/>
        <v>0</v>
      </c>
      <c r="M35" s="669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8">
        <f t="shared" si="1"/>
        <v>0</v>
      </c>
      <c r="M36" s="669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8">
        <f t="shared" si="1"/>
        <v>0</v>
      </c>
      <c r="M37" s="669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8">
        <f>K38*C38</f>
        <v>0</v>
      </c>
      <c r="M38" s="669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8">
        <f t="shared" ref="L39:L47" si="2">K39*C39</f>
        <v>0</v>
      </c>
      <c r="M39" s="669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8">
        <f t="shared" si="2"/>
        <v>0</v>
      </c>
      <c r="M40" s="669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8">
        <f t="shared" si="2"/>
        <v>0</v>
      </c>
      <c r="M41" s="669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8">
        <f t="shared" si="2"/>
        <v>0</v>
      </c>
      <c r="M42" s="669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8">
        <f t="shared" si="2"/>
        <v>0</v>
      </c>
      <c r="M43" s="669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8">
        <f t="shared" si="2"/>
        <v>0</v>
      </c>
      <c r="M44" s="669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8">
        <f t="shared" si="2"/>
        <v>0</v>
      </c>
      <c r="M45" s="669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8">
        <f t="shared" si="2"/>
        <v>0</v>
      </c>
      <c r="M46" s="669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8">
        <f t="shared" si="2"/>
        <v>0</v>
      </c>
      <c r="M47" s="669"/>
      <c r="N47" s="178"/>
      <c r="O47" s="71"/>
    </row>
    <row r="48" spans="1:15" x14ac:dyDescent="0.3">
      <c r="A48" s="71"/>
      <c r="B48" s="166"/>
      <c r="C48" s="183"/>
      <c r="D48" s="681" t="s">
        <v>10</v>
      </c>
      <c r="E48" s="682"/>
      <c r="F48" s="682"/>
      <c r="G48" s="682"/>
      <c r="H48" s="682"/>
      <c r="I48" s="682"/>
      <c r="J48" s="682"/>
      <c r="K48" s="683"/>
      <c r="L48" s="686">
        <f>(SUM(L10:M47)*0.0625)</f>
        <v>136.8075</v>
      </c>
      <c r="M48" s="686"/>
      <c r="N48" s="178"/>
      <c r="O48" s="71"/>
    </row>
    <row r="49" spans="1:15" x14ac:dyDescent="0.3">
      <c r="A49" s="71"/>
      <c r="B49" s="166"/>
      <c r="C49" s="183"/>
      <c r="D49" s="681" t="s">
        <v>1</v>
      </c>
      <c r="E49" s="682"/>
      <c r="F49" s="682"/>
      <c r="G49" s="682"/>
      <c r="H49" s="682"/>
      <c r="I49" s="682"/>
      <c r="J49" s="682"/>
      <c r="K49" s="683"/>
      <c r="L49" s="684">
        <f>SUM(L10:M48)</f>
        <v>2325.7275</v>
      </c>
      <c r="M49" s="684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D3:M3"/>
    <mergeCell ref="D4:M4"/>
    <mergeCell ref="E5:G5"/>
    <mergeCell ref="I5:J5"/>
    <mergeCell ref="E6:G6"/>
    <mergeCell ref="I6:J6"/>
    <mergeCell ref="E7:G7"/>
    <mergeCell ref="C8:M8"/>
    <mergeCell ref="D9:J9"/>
    <mergeCell ref="L9:M9"/>
    <mergeCell ref="D10:J10"/>
    <mergeCell ref="L10:M10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46:M46"/>
    <mergeCell ref="L47:M47"/>
    <mergeCell ref="D48:K48"/>
    <mergeCell ref="L48:M48"/>
    <mergeCell ref="D49:K49"/>
    <mergeCell ref="L49:M49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99CE4-3B69-4771-AFF5-D9D66EFD1A93}">
  <sheetPr codeName="Sheet33">
    <tabColor rgb="FF00B050"/>
    <pageSetUpPr fitToPage="1"/>
  </sheetPr>
  <dimension ref="A1:O67"/>
  <sheetViews>
    <sheetView showGridLines="0" showZeros="0" view="pageBreakPreview" topLeftCell="C4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1022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8">
        <f t="shared" ref="L11" si="0">K11*C11</f>
        <v>0</v>
      </c>
      <c r="M11" s="669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1023</v>
      </c>
      <c r="E12" s="355"/>
      <c r="F12" s="355"/>
      <c r="G12" s="355"/>
      <c r="H12" s="355"/>
      <c r="I12" s="355"/>
      <c r="J12" s="421"/>
      <c r="K12" s="422">
        <f>'Material Price'!J158</f>
        <v>6</v>
      </c>
      <c r="L12" s="740">
        <f>K12*C12</f>
        <v>2703</v>
      </c>
      <c r="M12" s="741"/>
      <c r="N12" s="178"/>
      <c r="O12" s="71"/>
    </row>
    <row r="13" spans="1:15" x14ac:dyDescent="0.3">
      <c r="A13" s="71"/>
      <c r="B13" s="166"/>
      <c r="C13" s="360"/>
      <c r="D13" s="566"/>
      <c r="E13" s="567"/>
      <c r="F13" s="567"/>
      <c r="G13" s="567"/>
      <c r="H13" s="567"/>
      <c r="I13" s="567"/>
      <c r="J13" s="568"/>
      <c r="K13" s="152"/>
      <c r="L13" s="668">
        <f t="shared" ref="L13:L37" si="1">K13*C13</f>
        <v>0</v>
      </c>
      <c r="M13" s="669"/>
      <c r="N13" s="178"/>
      <c r="O13" s="71"/>
    </row>
    <row r="14" spans="1:15" x14ac:dyDescent="0.3">
      <c r="A14" s="71"/>
      <c r="B14" s="166"/>
      <c r="C14" s="423"/>
      <c r="D14" s="566" t="s">
        <v>1024</v>
      </c>
      <c r="E14" s="567"/>
      <c r="F14" s="567"/>
      <c r="G14" s="567"/>
      <c r="H14" s="567"/>
      <c r="I14" s="567"/>
      <c r="J14" s="568"/>
      <c r="K14" s="152">
        <f>K12*12</f>
        <v>72</v>
      </c>
      <c r="L14" s="668">
        <f t="shared" si="1"/>
        <v>0</v>
      </c>
      <c r="M14" s="669"/>
      <c r="N14" s="178"/>
      <c r="O14" s="71"/>
    </row>
    <row r="15" spans="1:15" x14ac:dyDescent="0.3">
      <c r="A15" s="71"/>
      <c r="B15" s="166"/>
      <c r="C15" s="423"/>
      <c r="D15" s="217" t="s">
        <v>1025</v>
      </c>
      <c r="E15" s="218"/>
      <c r="F15" s="218"/>
      <c r="G15" s="218"/>
      <c r="H15" s="218"/>
      <c r="I15" s="218"/>
      <c r="J15" s="219"/>
      <c r="K15" s="152">
        <f>K12*16</f>
        <v>96</v>
      </c>
      <c r="L15" s="668">
        <f t="shared" si="1"/>
        <v>0</v>
      </c>
      <c r="M15" s="669"/>
      <c r="N15" s="178"/>
      <c r="O15" s="71"/>
    </row>
    <row r="16" spans="1:15" x14ac:dyDescent="0.3">
      <c r="A16" s="71"/>
      <c r="B16" s="166"/>
      <c r="C16" s="423"/>
      <c r="D16" s="217" t="s">
        <v>1026</v>
      </c>
      <c r="E16" s="218"/>
      <c r="F16" s="218"/>
      <c r="G16" s="218"/>
      <c r="H16" s="218"/>
      <c r="I16" s="218"/>
      <c r="J16" s="219"/>
      <c r="K16" s="356">
        <f>K12*20</f>
        <v>120</v>
      </c>
      <c r="L16" s="668">
        <f t="shared" si="1"/>
        <v>0</v>
      </c>
      <c r="M16" s="669"/>
      <c r="N16" s="178"/>
      <c r="O16" s="71"/>
    </row>
    <row r="17" spans="1:15" x14ac:dyDescent="0.3">
      <c r="A17" s="71"/>
      <c r="B17" s="166"/>
      <c r="C17" s="423"/>
      <c r="D17" s="566" t="s">
        <v>1028</v>
      </c>
      <c r="E17" s="567"/>
      <c r="F17" s="567"/>
      <c r="G17" s="567"/>
      <c r="H17" s="567"/>
      <c r="I17" s="567"/>
      <c r="J17" s="568"/>
      <c r="K17" s="152">
        <f>K12*16</f>
        <v>96</v>
      </c>
      <c r="L17" s="668">
        <f t="shared" si="1"/>
        <v>0</v>
      </c>
      <c r="M17" s="669"/>
      <c r="N17" s="178"/>
      <c r="O17" s="71"/>
    </row>
    <row r="18" spans="1:15" x14ac:dyDescent="0.3">
      <c r="A18" s="71"/>
      <c r="B18" s="166"/>
      <c r="C18" s="423"/>
      <c r="D18" s="364" t="s">
        <v>1029</v>
      </c>
      <c r="E18" s="218"/>
      <c r="F18" s="218"/>
      <c r="G18" s="218"/>
      <c r="H18" s="218"/>
      <c r="I18" s="218"/>
      <c r="J18" s="219"/>
      <c r="K18" s="356">
        <f>K12*20</f>
        <v>120</v>
      </c>
      <c r="L18" s="668">
        <f t="shared" si="1"/>
        <v>0</v>
      </c>
      <c r="M18" s="669"/>
      <c r="N18" s="178"/>
      <c r="O18" s="71"/>
    </row>
    <row r="19" spans="1:15" x14ac:dyDescent="0.3">
      <c r="A19" s="71"/>
      <c r="B19" s="166"/>
      <c r="C19" s="423"/>
      <c r="D19" s="341" t="s">
        <v>1027</v>
      </c>
      <c r="E19" s="218"/>
      <c r="F19" s="218"/>
      <c r="G19" s="218"/>
      <c r="H19" s="218"/>
      <c r="I19" s="218"/>
      <c r="J19" s="219"/>
      <c r="K19" s="356"/>
      <c r="L19" s="668">
        <f t="shared" si="1"/>
        <v>0</v>
      </c>
      <c r="M19" s="669"/>
      <c r="N19" s="178"/>
      <c r="O19" s="71"/>
    </row>
    <row r="20" spans="1:15" x14ac:dyDescent="0.3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8">
        <f t="shared" si="1"/>
        <v>0</v>
      </c>
      <c r="M20" s="669"/>
      <c r="N20" s="178"/>
      <c r="O20" s="71"/>
    </row>
    <row r="21" spans="1:15" x14ac:dyDescent="0.3">
      <c r="A21" s="71"/>
      <c r="B21" s="166"/>
      <c r="C21" s="394">
        <f>ROUNDUP(Formulas!L33/175,0)</f>
        <v>3</v>
      </c>
      <c r="D21" s="217" t="s">
        <v>1004</v>
      </c>
      <c r="E21" s="218"/>
      <c r="F21" s="218"/>
      <c r="G21" s="218"/>
      <c r="H21" s="218"/>
      <c r="I21" s="218"/>
      <c r="J21" s="324"/>
      <c r="K21" s="356">
        <f>'Material Price'!J115</f>
        <v>108</v>
      </c>
      <c r="L21" s="668">
        <f t="shared" si="1"/>
        <v>324</v>
      </c>
      <c r="M21" s="669"/>
      <c r="N21" s="178"/>
      <c r="O21" s="71"/>
    </row>
    <row r="22" spans="1:15" x14ac:dyDescent="0.3">
      <c r="A22" s="71"/>
      <c r="B22" s="166"/>
      <c r="C22" s="425">
        <f>ROUNDUP(Formulas!L34/350,0)</f>
        <v>1</v>
      </c>
      <c r="D22" s="289" t="s">
        <v>1003</v>
      </c>
      <c r="E22" s="218"/>
      <c r="F22" s="218"/>
      <c r="G22" s="218"/>
      <c r="H22" s="218"/>
      <c r="I22" s="218"/>
      <c r="J22" s="324"/>
      <c r="K22" s="356">
        <f>'Material Price'!J117</f>
        <v>135</v>
      </c>
      <c r="L22" s="668">
        <f t="shared" si="1"/>
        <v>135</v>
      </c>
      <c r="M22" s="669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8">
        <f t="shared" si="1"/>
        <v>0</v>
      </c>
      <c r="M23" s="669"/>
      <c r="N23" s="178"/>
      <c r="O23" s="71"/>
    </row>
    <row r="24" spans="1:15" x14ac:dyDescent="0.3">
      <c r="A24" s="71"/>
      <c r="B24" s="166"/>
      <c r="C24" s="360"/>
      <c r="D24" s="341"/>
      <c r="E24" s="218"/>
      <c r="F24" s="218"/>
      <c r="G24" s="218"/>
      <c r="H24" s="218"/>
      <c r="I24" s="218"/>
      <c r="J24" s="324"/>
      <c r="K24" s="152"/>
      <c r="L24" s="668">
        <f t="shared" si="1"/>
        <v>0</v>
      </c>
      <c r="M24" s="669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8">
        <f t="shared" si="1"/>
        <v>0</v>
      </c>
      <c r="M25" s="669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8">
        <f t="shared" si="1"/>
        <v>0</v>
      </c>
      <c r="M26" s="669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8">
        <f t="shared" si="1"/>
        <v>0</v>
      </c>
      <c r="M28" s="669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8">
        <f t="shared" si="1"/>
        <v>0</v>
      </c>
      <c r="M29" s="669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8">
        <f t="shared" si="1"/>
        <v>0</v>
      </c>
      <c r="M30" s="669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8">
        <f t="shared" si="1"/>
        <v>0</v>
      </c>
      <c r="M31" s="669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8">
        <f t="shared" si="1"/>
        <v>0</v>
      </c>
      <c r="M33" s="669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8">
        <f t="shared" si="1"/>
        <v>0</v>
      </c>
      <c r="M34" s="669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8">
        <f t="shared" si="1"/>
        <v>0</v>
      </c>
      <c r="M35" s="669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8">
        <f t="shared" si="1"/>
        <v>0</v>
      </c>
      <c r="M36" s="669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8">
        <f t="shared" si="1"/>
        <v>0</v>
      </c>
      <c r="M37" s="669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8">
        <f>K38*C38</f>
        <v>0</v>
      </c>
      <c r="M38" s="669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8">
        <f t="shared" ref="L39:L47" si="2">K39*C39</f>
        <v>0</v>
      </c>
      <c r="M39" s="669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8">
        <f t="shared" si="2"/>
        <v>0</v>
      </c>
      <c r="M40" s="669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8">
        <f t="shared" si="2"/>
        <v>0</v>
      </c>
      <c r="M41" s="669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8">
        <f t="shared" si="2"/>
        <v>0</v>
      </c>
      <c r="M42" s="669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8">
        <f t="shared" si="2"/>
        <v>0</v>
      </c>
      <c r="M43" s="669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8">
        <f t="shared" si="2"/>
        <v>0</v>
      </c>
      <c r="M44" s="669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8">
        <f t="shared" si="2"/>
        <v>0</v>
      </c>
      <c r="M45" s="669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8">
        <f t="shared" si="2"/>
        <v>0</v>
      </c>
      <c r="M46" s="669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8">
        <f t="shared" si="2"/>
        <v>0</v>
      </c>
      <c r="M47" s="669"/>
      <c r="N47" s="178"/>
      <c r="O47" s="71"/>
    </row>
    <row r="48" spans="1:15" x14ac:dyDescent="0.3">
      <c r="A48" s="71"/>
      <c r="B48" s="166"/>
      <c r="C48" s="183"/>
      <c r="D48" s="681" t="s">
        <v>10</v>
      </c>
      <c r="E48" s="682"/>
      <c r="F48" s="682"/>
      <c r="G48" s="682"/>
      <c r="H48" s="682"/>
      <c r="I48" s="682"/>
      <c r="J48" s="682"/>
      <c r="K48" s="683"/>
      <c r="L48" s="686">
        <f>(SUM(L10:M47)*0.0625)</f>
        <v>197.625</v>
      </c>
      <c r="M48" s="686"/>
      <c r="N48" s="178"/>
      <c r="O48" s="71"/>
    </row>
    <row r="49" spans="1:15" x14ac:dyDescent="0.3">
      <c r="A49" s="71"/>
      <c r="B49" s="166"/>
      <c r="C49" s="183"/>
      <c r="D49" s="681" t="s">
        <v>1</v>
      </c>
      <c r="E49" s="682"/>
      <c r="F49" s="682"/>
      <c r="G49" s="682"/>
      <c r="H49" s="682"/>
      <c r="I49" s="682"/>
      <c r="J49" s="682"/>
      <c r="K49" s="683"/>
      <c r="L49" s="684">
        <f>SUM(L10:M48)</f>
        <v>3359.625</v>
      </c>
      <c r="M49" s="684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D3:M3"/>
    <mergeCell ref="D4:M4"/>
    <mergeCell ref="E5:G5"/>
    <mergeCell ref="I5:J5"/>
    <mergeCell ref="E6:G6"/>
    <mergeCell ref="I6:J6"/>
    <mergeCell ref="E7:G7"/>
    <mergeCell ref="C8:M8"/>
    <mergeCell ref="D9:J9"/>
    <mergeCell ref="L9:M9"/>
    <mergeCell ref="D10:J10"/>
    <mergeCell ref="L10:M10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46:M46"/>
    <mergeCell ref="L47:M47"/>
    <mergeCell ref="D48:K48"/>
    <mergeCell ref="L48:M48"/>
    <mergeCell ref="D49:K49"/>
    <mergeCell ref="L49:M49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01E0D-D735-47D0-9F30-D9B04EEABE19}">
  <sheetPr codeName="Sheet34">
    <tabColor rgb="FF00B050"/>
    <pageSetUpPr fitToPage="1"/>
  </sheetPr>
  <dimension ref="A1:O67"/>
  <sheetViews>
    <sheetView showGridLines="0" showZeros="0" view="pageBreakPreview" topLeftCell="C7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1031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8">
        <f t="shared" ref="L11" si="0">K11*C11</f>
        <v>0</v>
      </c>
      <c r="M11" s="669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1030</v>
      </c>
      <c r="E12" s="355"/>
      <c r="F12" s="355"/>
      <c r="G12" s="355"/>
      <c r="H12" s="355"/>
      <c r="I12" s="355"/>
      <c r="J12" s="421"/>
      <c r="K12" s="422">
        <f>'Material Price'!J161</f>
        <v>5.19</v>
      </c>
      <c r="L12" s="740">
        <f>K12*C12</f>
        <v>2338.0950000000003</v>
      </c>
      <c r="M12" s="741"/>
      <c r="N12" s="178"/>
      <c r="O12" s="71"/>
    </row>
    <row r="13" spans="1:15" x14ac:dyDescent="0.3">
      <c r="A13" s="71"/>
      <c r="B13" s="166"/>
      <c r="C13" s="360"/>
      <c r="D13" s="566"/>
      <c r="E13" s="567"/>
      <c r="F13" s="567"/>
      <c r="G13" s="567"/>
      <c r="H13" s="567"/>
      <c r="I13" s="567"/>
      <c r="J13" s="568"/>
      <c r="K13" s="152"/>
      <c r="L13" s="668">
        <f t="shared" ref="L13:L37" si="1">K13*C13</f>
        <v>0</v>
      </c>
      <c r="M13" s="669"/>
      <c r="N13" s="178"/>
      <c r="O13" s="71"/>
    </row>
    <row r="14" spans="1:15" x14ac:dyDescent="0.3">
      <c r="A14" s="71"/>
      <c r="B14" s="166"/>
      <c r="C14" s="423"/>
      <c r="D14" s="566" t="s">
        <v>1032</v>
      </c>
      <c r="E14" s="567"/>
      <c r="F14" s="567"/>
      <c r="G14" s="567"/>
      <c r="H14" s="567"/>
      <c r="I14" s="567"/>
      <c r="J14" s="568"/>
      <c r="K14" s="152">
        <f>K12*12</f>
        <v>62.28</v>
      </c>
      <c r="L14" s="668">
        <f t="shared" si="1"/>
        <v>0</v>
      </c>
      <c r="M14" s="669"/>
      <c r="N14" s="178"/>
      <c r="O14" s="71"/>
    </row>
    <row r="15" spans="1:15" x14ac:dyDescent="0.3">
      <c r="A15" s="71"/>
      <c r="B15" s="166"/>
      <c r="C15" s="423"/>
      <c r="D15" s="217" t="s">
        <v>1033</v>
      </c>
      <c r="E15" s="218"/>
      <c r="F15" s="218"/>
      <c r="G15" s="218"/>
      <c r="H15" s="218"/>
      <c r="I15" s="218"/>
      <c r="J15" s="219"/>
      <c r="K15" s="152">
        <f>K12*16</f>
        <v>83.04</v>
      </c>
      <c r="L15" s="668">
        <f t="shared" si="1"/>
        <v>0</v>
      </c>
      <c r="M15" s="669"/>
      <c r="N15" s="178"/>
      <c r="O15" s="71"/>
    </row>
    <row r="16" spans="1:15" x14ac:dyDescent="0.3">
      <c r="A16" s="71"/>
      <c r="B16" s="166"/>
      <c r="C16" s="423"/>
      <c r="D16" s="217" t="s">
        <v>1034</v>
      </c>
      <c r="E16" s="218"/>
      <c r="F16" s="218"/>
      <c r="G16" s="218"/>
      <c r="H16" s="218"/>
      <c r="I16" s="218"/>
      <c r="J16" s="219"/>
      <c r="K16" s="356">
        <f>K12*20</f>
        <v>103.80000000000001</v>
      </c>
      <c r="L16" s="668">
        <f t="shared" si="1"/>
        <v>0</v>
      </c>
      <c r="M16" s="669"/>
      <c r="N16" s="178"/>
      <c r="O16" s="71"/>
    </row>
    <row r="17" spans="1:15" x14ac:dyDescent="0.3">
      <c r="A17" s="71"/>
      <c r="B17" s="166"/>
      <c r="C17" s="423"/>
      <c r="D17" s="566" t="s">
        <v>1035</v>
      </c>
      <c r="E17" s="567"/>
      <c r="F17" s="567"/>
      <c r="G17" s="567"/>
      <c r="H17" s="567"/>
      <c r="I17" s="567"/>
      <c r="J17" s="568"/>
      <c r="K17" s="152">
        <f>K12*16</f>
        <v>83.04</v>
      </c>
      <c r="L17" s="668">
        <f t="shared" si="1"/>
        <v>0</v>
      </c>
      <c r="M17" s="669"/>
      <c r="N17" s="178"/>
      <c r="O17" s="71"/>
    </row>
    <row r="18" spans="1:15" x14ac:dyDescent="0.3">
      <c r="A18" s="71"/>
      <c r="B18" s="166"/>
      <c r="C18" s="423"/>
      <c r="D18" s="364" t="s">
        <v>1036</v>
      </c>
      <c r="E18" s="218"/>
      <c r="F18" s="218"/>
      <c r="G18" s="218"/>
      <c r="H18" s="218"/>
      <c r="I18" s="218"/>
      <c r="J18" s="219"/>
      <c r="K18" s="356">
        <f>K12*20</f>
        <v>103.80000000000001</v>
      </c>
      <c r="L18" s="668">
        <f t="shared" si="1"/>
        <v>0</v>
      </c>
      <c r="M18" s="669"/>
      <c r="N18" s="178"/>
      <c r="O18" s="71"/>
    </row>
    <row r="19" spans="1:15" x14ac:dyDescent="0.3">
      <c r="A19" s="71"/>
      <c r="B19" s="166"/>
      <c r="C19" s="423"/>
      <c r="D19" s="341" t="s">
        <v>1027</v>
      </c>
      <c r="E19" s="218"/>
      <c r="F19" s="218"/>
      <c r="G19" s="218"/>
      <c r="H19" s="218"/>
      <c r="I19" s="218"/>
      <c r="J19" s="219"/>
      <c r="K19" s="356"/>
      <c r="L19" s="668">
        <f t="shared" si="1"/>
        <v>0</v>
      </c>
      <c r="M19" s="669"/>
      <c r="N19" s="178"/>
      <c r="O19" s="71"/>
    </row>
    <row r="20" spans="1:15" x14ac:dyDescent="0.3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8">
        <f t="shared" si="1"/>
        <v>0</v>
      </c>
      <c r="M20" s="669"/>
      <c r="N20" s="178"/>
      <c r="O20" s="71"/>
    </row>
    <row r="21" spans="1:15" x14ac:dyDescent="0.3">
      <c r="A21" s="71"/>
      <c r="B21" s="166"/>
      <c r="C21" s="394">
        <f>ROUNDUP(Formulas!L33/175,0)</f>
        <v>3</v>
      </c>
      <c r="D21" s="217" t="s">
        <v>1004</v>
      </c>
      <c r="E21" s="218"/>
      <c r="F21" s="218"/>
      <c r="G21" s="218"/>
      <c r="H21" s="218"/>
      <c r="I21" s="218"/>
      <c r="J21" s="324"/>
      <c r="K21" s="356">
        <f>'Material Price'!J115</f>
        <v>108</v>
      </c>
      <c r="L21" s="668">
        <f t="shared" si="1"/>
        <v>324</v>
      </c>
      <c r="M21" s="669"/>
      <c r="N21" s="178"/>
      <c r="O21" s="71"/>
    </row>
    <row r="22" spans="1:15" x14ac:dyDescent="0.3">
      <c r="A22" s="71"/>
      <c r="B22" s="166"/>
      <c r="C22" s="425">
        <f>ROUNDUP(Formulas!L34/350,0)</f>
        <v>1</v>
      </c>
      <c r="D22" s="289" t="s">
        <v>1003</v>
      </c>
      <c r="E22" s="218"/>
      <c r="F22" s="218"/>
      <c r="G22" s="218"/>
      <c r="H22" s="218"/>
      <c r="I22" s="218"/>
      <c r="J22" s="324"/>
      <c r="K22" s="356">
        <f>'Material Price'!J117</f>
        <v>135</v>
      </c>
      <c r="L22" s="668">
        <f t="shared" si="1"/>
        <v>135</v>
      </c>
      <c r="M22" s="669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8">
        <f t="shared" si="1"/>
        <v>0</v>
      </c>
      <c r="M23" s="669"/>
      <c r="N23" s="178"/>
      <c r="O23" s="71"/>
    </row>
    <row r="24" spans="1:15" x14ac:dyDescent="0.3">
      <c r="A24" s="71"/>
      <c r="B24" s="166"/>
      <c r="C24" s="360"/>
      <c r="D24" s="341"/>
      <c r="E24" s="218"/>
      <c r="F24" s="218"/>
      <c r="G24" s="218"/>
      <c r="H24" s="218"/>
      <c r="I24" s="218"/>
      <c r="J24" s="324"/>
      <c r="K24" s="152"/>
      <c r="L24" s="668">
        <f t="shared" si="1"/>
        <v>0</v>
      </c>
      <c r="M24" s="669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8">
        <f t="shared" si="1"/>
        <v>0</v>
      </c>
      <c r="M25" s="669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8">
        <f t="shared" si="1"/>
        <v>0</v>
      </c>
      <c r="M26" s="669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8">
        <f t="shared" si="1"/>
        <v>0</v>
      </c>
      <c r="M28" s="669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8">
        <f t="shared" si="1"/>
        <v>0</v>
      </c>
      <c r="M29" s="669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8">
        <f t="shared" si="1"/>
        <v>0</v>
      </c>
      <c r="M30" s="669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8">
        <f t="shared" si="1"/>
        <v>0</v>
      </c>
      <c r="M31" s="669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8">
        <f t="shared" si="1"/>
        <v>0</v>
      </c>
      <c r="M33" s="669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8">
        <f t="shared" si="1"/>
        <v>0</v>
      </c>
      <c r="M34" s="669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8">
        <f t="shared" si="1"/>
        <v>0</v>
      </c>
      <c r="M35" s="669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8">
        <f t="shared" si="1"/>
        <v>0</v>
      </c>
      <c r="M36" s="669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8">
        <f t="shared" si="1"/>
        <v>0</v>
      </c>
      <c r="M37" s="669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8">
        <f>K38*C38</f>
        <v>0</v>
      </c>
      <c r="M38" s="669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8">
        <f t="shared" ref="L39:L47" si="2">K39*C39</f>
        <v>0</v>
      </c>
      <c r="M39" s="669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8">
        <f t="shared" si="2"/>
        <v>0</v>
      </c>
      <c r="M40" s="669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8">
        <f t="shared" si="2"/>
        <v>0</v>
      </c>
      <c r="M41" s="669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8">
        <f t="shared" si="2"/>
        <v>0</v>
      </c>
      <c r="M42" s="669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8">
        <f t="shared" si="2"/>
        <v>0</v>
      </c>
      <c r="M43" s="669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8">
        <f t="shared" si="2"/>
        <v>0</v>
      </c>
      <c r="M44" s="669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8">
        <f t="shared" si="2"/>
        <v>0</v>
      </c>
      <c r="M45" s="669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8">
        <f t="shared" si="2"/>
        <v>0</v>
      </c>
      <c r="M46" s="669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8">
        <f t="shared" si="2"/>
        <v>0</v>
      </c>
      <c r="M47" s="669"/>
      <c r="N47" s="178"/>
      <c r="O47" s="71"/>
    </row>
    <row r="48" spans="1:15" x14ac:dyDescent="0.3">
      <c r="A48" s="71"/>
      <c r="B48" s="166"/>
      <c r="C48" s="183"/>
      <c r="D48" s="681" t="s">
        <v>10</v>
      </c>
      <c r="E48" s="682"/>
      <c r="F48" s="682"/>
      <c r="G48" s="682"/>
      <c r="H48" s="682"/>
      <c r="I48" s="682"/>
      <c r="J48" s="682"/>
      <c r="K48" s="683"/>
      <c r="L48" s="686">
        <f>(SUM(L10:M47)*0.0625)</f>
        <v>174.81843750000002</v>
      </c>
      <c r="M48" s="686"/>
      <c r="N48" s="178"/>
      <c r="O48" s="71"/>
    </row>
    <row r="49" spans="1:15" x14ac:dyDescent="0.3">
      <c r="A49" s="71"/>
      <c r="B49" s="166"/>
      <c r="C49" s="183"/>
      <c r="D49" s="681" t="s">
        <v>1</v>
      </c>
      <c r="E49" s="682"/>
      <c r="F49" s="682"/>
      <c r="G49" s="682"/>
      <c r="H49" s="682"/>
      <c r="I49" s="682"/>
      <c r="J49" s="682"/>
      <c r="K49" s="683"/>
      <c r="L49" s="684">
        <f>SUM(L10:M48)</f>
        <v>2971.9134375000003</v>
      </c>
      <c r="M49" s="684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D3:M3"/>
    <mergeCell ref="D4:M4"/>
    <mergeCell ref="E5:G5"/>
    <mergeCell ref="I5:J5"/>
    <mergeCell ref="E6:G6"/>
    <mergeCell ref="I6:J6"/>
    <mergeCell ref="E7:G7"/>
    <mergeCell ref="C8:M8"/>
    <mergeCell ref="D9:J9"/>
    <mergeCell ref="L9:M9"/>
    <mergeCell ref="D10:J10"/>
    <mergeCell ref="L10:M10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46:M46"/>
    <mergeCell ref="L47:M47"/>
    <mergeCell ref="D48:K48"/>
    <mergeCell ref="L48:M48"/>
    <mergeCell ref="D49:K49"/>
    <mergeCell ref="L49:M49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0195E2-41AF-46B4-83B9-49953DE82A9B}">
  <sheetPr codeName="Sheet35">
    <tabColor rgb="FF00B050"/>
    <pageSetUpPr fitToPage="1"/>
  </sheetPr>
  <dimension ref="A1:O67"/>
  <sheetViews>
    <sheetView showGridLines="0" showZeros="0" view="pageBreakPreview" topLeftCell="C1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1040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8">
        <f t="shared" ref="L11" si="0">K11*C11</f>
        <v>0</v>
      </c>
      <c r="M11" s="669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1041</v>
      </c>
      <c r="E12" s="355"/>
      <c r="F12" s="355"/>
      <c r="G12" s="355"/>
      <c r="H12" s="355"/>
      <c r="I12" s="355"/>
      <c r="J12" s="421"/>
      <c r="K12" s="422">
        <f>'Material Price'!J164</f>
        <v>3.75</v>
      </c>
      <c r="L12" s="740">
        <f>K12*C12</f>
        <v>1689.375</v>
      </c>
      <c r="M12" s="741"/>
      <c r="N12" s="178"/>
      <c r="O12" s="71"/>
    </row>
    <row r="13" spans="1:15" x14ac:dyDescent="0.3">
      <c r="A13" s="71"/>
      <c r="B13" s="166"/>
      <c r="C13" s="360"/>
      <c r="D13" s="566"/>
      <c r="E13" s="567"/>
      <c r="F13" s="567"/>
      <c r="G13" s="567"/>
      <c r="H13" s="567"/>
      <c r="I13" s="567"/>
      <c r="J13" s="568"/>
      <c r="K13" s="152"/>
      <c r="L13" s="668">
        <f t="shared" ref="L13:L37" si="1">K13*C13</f>
        <v>0</v>
      </c>
      <c r="M13" s="669"/>
      <c r="N13" s="178"/>
      <c r="O13" s="71"/>
    </row>
    <row r="14" spans="1:15" x14ac:dyDescent="0.3">
      <c r="A14" s="71"/>
      <c r="B14" s="166"/>
      <c r="C14" s="423"/>
      <c r="D14" s="566" t="s">
        <v>1042</v>
      </c>
      <c r="E14" s="567"/>
      <c r="F14" s="567"/>
      <c r="G14" s="567"/>
      <c r="H14" s="567"/>
      <c r="I14" s="567"/>
      <c r="J14" s="568"/>
      <c r="K14" s="152">
        <f>K12*12</f>
        <v>45</v>
      </c>
      <c r="L14" s="668">
        <f t="shared" si="1"/>
        <v>0</v>
      </c>
      <c r="M14" s="669"/>
      <c r="N14" s="178"/>
      <c r="O14" s="71"/>
    </row>
    <row r="15" spans="1:15" x14ac:dyDescent="0.3">
      <c r="A15" s="71"/>
      <c r="B15" s="166"/>
      <c r="C15" s="423"/>
      <c r="D15" s="217" t="s">
        <v>1043</v>
      </c>
      <c r="E15" s="218"/>
      <c r="F15" s="218"/>
      <c r="G15" s="218"/>
      <c r="H15" s="218"/>
      <c r="I15" s="218"/>
      <c r="J15" s="219"/>
      <c r="K15" s="152">
        <f>K12*16</f>
        <v>60</v>
      </c>
      <c r="L15" s="668">
        <f t="shared" si="1"/>
        <v>0</v>
      </c>
      <c r="M15" s="669"/>
      <c r="N15" s="178"/>
      <c r="O15" s="71"/>
    </row>
    <row r="16" spans="1:15" x14ac:dyDescent="0.3">
      <c r="A16" s="71"/>
      <c r="B16" s="166"/>
      <c r="C16" s="423"/>
      <c r="D16" s="217" t="s">
        <v>1044</v>
      </c>
      <c r="E16" s="218"/>
      <c r="F16" s="218"/>
      <c r="G16" s="218"/>
      <c r="H16" s="218"/>
      <c r="I16" s="218"/>
      <c r="J16" s="219"/>
      <c r="K16" s="356">
        <f>K12*20</f>
        <v>75</v>
      </c>
      <c r="L16" s="668">
        <f t="shared" si="1"/>
        <v>0</v>
      </c>
      <c r="M16" s="669"/>
      <c r="N16" s="178"/>
      <c r="O16" s="71"/>
    </row>
    <row r="17" spans="1:15" x14ac:dyDescent="0.3">
      <c r="A17" s="71"/>
      <c r="B17" s="166"/>
      <c r="C17" s="423"/>
      <c r="D17" s="566" t="s">
        <v>1045</v>
      </c>
      <c r="E17" s="567"/>
      <c r="F17" s="567"/>
      <c r="G17" s="567"/>
      <c r="H17" s="567"/>
      <c r="I17" s="567"/>
      <c r="J17" s="568"/>
      <c r="K17" s="152">
        <f>K12*16</f>
        <v>60</v>
      </c>
      <c r="L17" s="668">
        <f t="shared" si="1"/>
        <v>0</v>
      </c>
      <c r="M17" s="669"/>
      <c r="N17" s="178"/>
      <c r="O17" s="71"/>
    </row>
    <row r="18" spans="1:15" x14ac:dyDescent="0.3">
      <c r="A18" s="71"/>
      <c r="B18" s="166"/>
      <c r="C18" s="423"/>
      <c r="D18" s="364" t="s">
        <v>1046</v>
      </c>
      <c r="E18" s="218"/>
      <c r="F18" s="218"/>
      <c r="G18" s="218"/>
      <c r="H18" s="218"/>
      <c r="I18" s="218"/>
      <c r="J18" s="219"/>
      <c r="K18" s="356">
        <f>K12*20</f>
        <v>75</v>
      </c>
      <c r="L18" s="668">
        <f t="shared" si="1"/>
        <v>0</v>
      </c>
      <c r="M18" s="669"/>
      <c r="N18" s="178"/>
      <c r="O18" s="71"/>
    </row>
    <row r="19" spans="1:15" x14ac:dyDescent="0.3">
      <c r="A19" s="71"/>
      <c r="B19" s="166"/>
      <c r="C19" s="423"/>
      <c r="D19" s="341" t="s">
        <v>1027</v>
      </c>
      <c r="E19" s="218"/>
      <c r="F19" s="218"/>
      <c r="G19" s="218"/>
      <c r="H19" s="218"/>
      <c r="I19" s="218"/>
      <c r="J19" s="219"/>
      <c r="K19" s="356"/>
      <c r="L19" s="668">
        <f t="shared" si="1"/>
        <v>0</v>
      </c>
      <c r="M19" s="669"/>
      <c r="N19" s="178"/>
      <c r="O19" s="71"/>
    </row>
    <row r="20" spans="1:15" x14ac:dyDescent="0.3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8">
        <f t="shared" si="1"/>
        <v>0</v>
      </c>
      <c r="M20" s="669"/>
      <c r="N20" s="178"/>
      <c r="O20" s="71"/>
    </row>
    <row r="21" spans="1:15" x14ac:dyDescent="0.3">
      <c r="A21" s="71"/>
      <c r="B21" s="166"/>
      <c r="C21" s="394">
        <f>ROUNDUP(Formulas!L33/175,0)</f>
        <v>3</v>
      </c>
      <c r="D21" s="217" t="s">
        <v>1004</v>
      </c>
      <c r="E21" s="218"/>
      <c r="F21" s="218"/>
      <c r="G21" s="218"/>
      <c r="H21" s="218"/>
      <c r="I21" s="218"/>
      <c r="J21" s="324"/>
      <c r="K21" s="356">
        <f>'Material Price'!J115</f>
        <v>108</v>
      </c>
      <c r="L21" s="668">
        <f t="shared" si="1"/>
        <v>324</v>
      </c>
      <c r="M21" s="669"/>
      <c r="N21" s="178"/>
      <c r="O21" s="71"/>
    </row>
    <row r="22" spans="1:15" x14ac:dyDescent="0.3">
      <c r="A22" s="71"/>
      <c r="B22" s="166"/>
      <c r="C22" s="425">
        <f>ROUNDUP(Formulas!L34/350,0)</f>
        <v>1</v>
      </c>
      <c r="D22" s="289" t="s">
        <v>1003</v>
      </c>
      <c r="E22" s="218"/>
      <c r="F22" s="218"/>
      <c r="G22" s="218"/>
      <c r="H22" s="218"/>
      <c r="I22" s="218"/>
      <c r="J22" s="324"/>
      <c r="K22" s="356">
        <f>'Material Price'!J117</f>
        <v>135</v>
      </c>
      <c r="L22" s="668">
        <f t="shared" si="1"/>
        <v>135</v>
      </c>
      <c r="M22" s="669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8">
        <f t="shared" si="1"/>
        <v>0</v>
      </c>
      <c r="M23" s="669"/>
      <c r="N23" s="178"/>
      <c r="O23" s="71"/>
    </row>
    <row r="24" spans="1:15" x14ac:dyDescent="0.3">
      <c r="A24" s="71"/>
      <c r="B24" s="166"/>
      <c r="C24" s="360"/>
      <c r="D24" s="341"/>
      <c r="E24" s="218"/>
      <c r="F24" s="218"/>
      <c r="G24" s="218"/>
      <c r="H24" s="218"/>
      <c r="I24" s="218"/>
      <c r="J24" s="324"/>
      <c r="K24" s="152"/>
      <c r="L24" s="668">
        <f t="shared" si="1"/>
        <v>0</v>
      </c>
      <c r="M24" s="669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8">
        <f t="shared" si="1"/>
        <v>0</v>
      </c>
      <c r="M25" s="669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8">
        <f t="shared" si="1"/>
        <v>0</v>
      </c>
      <c r="M26" s="669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8">
        <f t="shared" si="1"/>
        <v>0</v>
      </c>
      <c r="M28" s="669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8">
        <f t="shared" si="1"/>
        <v>0</v>
      </c>
      <c r="M29" s="669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8">
        <f t="shared" si="1"/>
        <v>0</v>
      </c>
      <c r="M30" s="669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8">
        <f t="shared" si="1"/>
        <v>0</v>
      </c>
      <c r="M31" s="669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8">
        <f t="shared" si="1"/>
        <v>0</v>
      </c>
      <c r="M33" s="669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8">
        <f t="shared" si="1"/>
        <v>0</v>
      </c>
      <c r="M34" s="669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8">
        <f t="shared" si="1"/>
        <v>0</v>
      </c>
      <c r="M35" s="669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8">
        <f t="shared" si="1"/>
        <v>0</v>
      </c>
      <c r="M36" s="669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8">
        <f t="shared" si="1"/>
        <v>0</v>
      </c>
      <c r="M37" s="669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8">
        <f>K38*C38</f>
        <v>0</v>
      </c>
      <c r="M38" s="669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8">
        <f t="shared" ref="L39:L47" si="2">K39*C39</f>
        <v>0</v>
      </c>
      <c r="M39" s="669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8">
        <f t="shared" si="2"/>
        <v>0</v>
      </c>
      <c r="M40" s="669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8">
        <f t="shared" si="2"/>
        <v>0</v>
      </c>
      <c r="M41" s="669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8">
        <f t="shared" si="2"/>
        <v>0</v>
      </c>
      <c r="M42" s="669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8">
        <f t="shared" si="2"/>
        <v>0</v>
      </c>
      <c r="M43" s="669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8">
        <f t="shared" si="2"/>
        <v>0</v>
      </c>
      <c r="M44" s="669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8">
        <f t="shared" si="2"/>
        <v>0</v>
      </c>
      <c r="M45" s="669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8">
        <f t="shared" si="2"/>
        <v>0</v>
      </c>
      <c r="M46" s="669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8">
        <f t="shared" si="2"/>
        <v>0</v>
      </c>
      <c r="M47" s="669"/>
      <c r="N47" s="178"/>
      <c r="O47" s="71"/>
    </row>
    <row r="48" spans="1:15" x14ac:dyDescent="0.3">
      <c r="A48" s="71"/>
      <c r="B48" s="166"/>
      <c r="C48" s="183"/>
      <c r="D48" s="681" t="s">
        <v>10</v>
      </c>
      <c r="E48" s="682"/>
      <c r="F48" s="682"/>
      <c r="G48" s="682"/>
      <c r="H48" s="682"/>
      <c r="I48" s="682"/>
      <c r="J48" s="682"/>
      <c r="K48" s="683"/>
      <c r="L48" s="686">
        <f>(SUM(L10:M47)*0.0625)</f>
        <v>134.2734375</v>
      </c>
      <c r="M48" s="686"/>
      <c r="N48" s="178"/>
      <c r="O48" s="71"/>
    </row>
    <row r="49" spans="1:15" x14ac:dyDescent="0.3">
      <c r="A49" s="71"/>
      <c r="B49" s="166"/>
      <c r="C49" s="183"/>
      <c r="D49" s="681" t="s">
        <v>1</v>
      </c>
      <c r="E49" s="682"/>
      <c r="F49" s="682"/>
      <c r="G49" s="682"/>
      <c r="H49" s="682"/>
      <c r="I49" s="682"/>
      <c r="J49" s="682"/>
      <c r="K49" s="683"/>
      <c r="L49" s="684">
        <f>SUM(L10:M48)</f>
        <v>2282.6484375</v>
      </c>
      <c r="M49" s="684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D3:M3"/>
    <mergeCell ref="D4:M4"/>
    <mergeCell ref="E5:G5"/>
    <mergeCell ref="I5:J5"/>
    <mergeCell ref="E6:G6"/>
    <mergeCell ref="I6:J6"/>
    <mergeCell ref="E7:G7"/>
    <mergeCell ref="C8:M8"/>
    <mergeCell ref="D9:J9"/>
    <mergeCell ref="L9:M9"/>
    <mergeCell ref="D10:J10"/>
    <mergeCell ref="L10:M10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46:M46"/>
    <mergeCell ref="L47:M47"/>
    <mergeCell ref="D48:K48"/>
    <mergeCell ref="L48:M48"/>
    <mergeCell ref="D49:K49"/>
    <mergeCell ref="L49:M49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9F8B8D-D75C-4B8C-91CA-ED5BDA7F27AB}">
  <sheetPr codeName="Sheet36">
    <tabColor rgb="FF00B050"/>
    <pageSetUpPr fitToPage="1"/>
  </sheetPr>
  <dimension ref="A1:O67"/>
  <sheetViews>
    <sheetView showGridLines="0" showZeros="0" view="pageBreakPreview" topLeftCell="C7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1047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8">
        <f t="shared" ref="L11" si="0">K11*C11</f>
        <v>0</v>
      </c>
      <c r="M11" s="669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1048</v>
      </c>
      <c r="E12" s="355"/>
      <c r="F12" s="355"/>
      <c r="G12" s="355"/>
      <c r="H12" s="355"/>
      <c r="I12" s="355"/>
      <c r="J12" s="421"/>
      <c r="K12" s="422">
        <f>'Material Price'!J168</f>
        <v>4.0999999999999996</v>
      </c>
      <c r="L12" s="740">
        <f>K12*C12</f>
        <v>1847.0499999999997</v>
      </c>
      <c r="M12" s="741"/>
      <c r="N12" s="178"/>
      <c r="O12" s="71"/>
    </row>
    <row r="13" spans="1:15" x14ac:dyDescent="0.3">
      <c r="A13" s="71"/>
      <c r="B13" s="166"/>
      <c r="C13" s="360"/>
      <c r="D13" s="566"/>
      <c r="E13" s="567"/>
      <c r="F13" s="567"/>
      <c r="G13" s="567"/>
      <c r="H13" s="567"/>
      <c r="I13" s="567"/>
      <c r="J13" s="568"/>
      <c r="K13" s="152"/>
      <c r="L13" s="668">
        <f t="shared" ref="L13:L37" si="1">K13*C13</f>
        <v>0</v>
      </c>
      <c r="M13" s="669"/>
      <c r="N13" s="178"/>
      <c r="O13" s="71"/>
    </row>
    <row r="14" spans="1:15" x14ac:dyDescent="0.3">
      <c r="A14" s="71"/>
      <c r="B14" s="166"/>
      <c r="C14" s="423"/>
      <c r="D14" s="566" t="s">
        <v>1049</v>
      </c>
      <c r="E14" s="567"/>
      <c r="F14" s="567"/>
      <c r="G14" s="567"/>
      <c r="H14" s="567"/>
      <c r="I14" s="567"/>
      <c r="J14" s="568"/>
      <c r="K14" s="152">
        <f>K12*12</f>
        <v>49.199999999999996</v>
      </c>
      <c r="L14" s="668">
        <f t="shared" si="1"/>
        <v>0</v>
      </c>
      <c r="M14" s="669"/>
      <c r="N14" s="178"/>
      <c r="O14" s="71"/>
    </row>
    <row r="15" spans="1:15" x14ac:dyDescent="0.3">
      <c r="A15" s="71"/>
      <c r="B15" s="166"/>
      <c r="C15" s="423"/>
      <c r="D15" s="217" t="s">
        <v>1050</v>
      </c>
      <c r="E15" s="218"/>
      <c r="F15" s="218"/>
      <c r="G15" s="218"/>
      <c r="H15" s="218"/>
      <c r="I15" s="218"/>
      <c r="J15" s="219"/>
      <c r="K15" s="152">
        <f>K12*16</f>
        <v>65.599999999999994</v>
      </c>
      <c r="L15" s="668">
        <f t="shared" si="1"/>
        <v>0</v>
      </c>
      <c r="M15" s="669"/>
      <c r="N15" s="178"/>
      <c r="O15" s="71"/>
    </row>
    <row r="16" spans="1:15" x14ac:dyDescent="0.3">
      <c r="A16" s="71"/>
      <c r="B16" s="166"/>
      <c r="C16" s="423"/>
      <c r="D16" s="217" t="s">
        <v>1051</v>
      </c>
      <c r="E16" s="218"/>
      <c r="F16" s="218"/>
      <c r="G16" s="218"/>
      <c r="H16" s="218"/>
      <c r="I16" s="218"/>
      <c r="J16" s="219"/>
      <c r="K16" s="356">
        <f>K12*20</f>
        <v>82</v>
      </c>
      <c r="L16" s="668">
        <f t="shared" si="1"/>
        <v>0</v>
      </c>
      <c r="M16" s="669"/>
      <c r="N16" s="178"/>
      <c r="O16" s="71"/>
    </row>
    <row r="17" spans="1:15" x14ac:dyDescent="0.3">
      <c r="A17" s="71"/>
      <c r="B17" s="166"/>
      <c r="C17" s="423"/>
      <c r="D17" s="566" t="s">
        <v>1052</v>
      </c>
      <c r="E17" s="567"/>
      <c r="F17" s="567"/>
      <c r="G17" s="567"/>
      <c r="H17" s="567"/>
      <c r="I17" s="567"/>
      <c r="J17" s="568"/>
      <c r="K17" s="152">
        <f>K12*16</f>
        <v>65.599999999999994</v>
      </c>
      <c r="L17" s="668">
        <f t="shared" si="1"/>
        <v>0</v>
      </c>
      <c r="M17" s="669"/>
      <c r="N17" s="178"/>
      <c r="O17" s="71"/>
    </row>
    <row r="18" spans="1:15" x14ac:dyDescent="0.3">
      <c r="A18" s="71"/>
      <c r="B18" s="166"/>
      <c r="C18" s="423"/>
      <c r="D18" s="364" t="s">
        <v>1053</v>
      </c>
      <c r="E18" s="218"/>
      <c r="F18" s="218"/>
      <c r="G18" s="218"/>
      <c r="H18" s="218"/>
      <c r="I18" s="218"/>
      <c r="J18" s="219"/>
      <c r="K18" s="356">
        <f>K12*20</f>
        <v>82</v>
      </c>
      <c r="L18" s="668">
        <f t="shared" si="1"/>
        <v>0</v>
      </c>
      <c r="M18" s="669"/>
      <c r="N18" s="178"/>
      <c r="O18" s="71"/>
    </row>
    <row r="19" spans="1:15" x14ac:dyDescent="0.3">
      <c r="A19" s="71"/>
      <c r="B19" s="166"/>
      <c r="C19" s="423"/>
      <c r="D19" s="341" t="s">
        <v>1027</v>
      </c>
      <c r="E19" s="218"/>
      <c r="F19" s="218"/>
      <c r="G19" s="218"/>
      <c r="H19" s="218"/>
      <c r="I19" s="218"/>
      <c r="J19" s="219"/>
      <c r="K19" s="356"/>
      <c r="L19" s="668">
        <f t="shared" si="1"/>
        <v>0</v>
      </c>
      <c r="M19" s="669"/>
      <c r="N19" s="178"/>
      <c r="O19" s="71"/>
    </row>
    <row r="20" spans="1:15" x14ac:dyDescent="0.3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8">
        <f t="shared" si="1"/>
        <v>0</v>
      </c>
      <c r="M20" s="669"/>
      <c r="N20" s="178"/>
      <c r="O20" s="71"/>
    </row>
    <row r="21" spans="1:15" x14ac:dyDescent="0.3">
      <c r="A21" s="71"/>
      <c r="B21" s="166"/>
      <c r="C21" s="394">
        <f>ROUNDUP(Formulas!L33/175,0)</f>
        <v>3</v>
      </c>
      <c r="D21" s="217" t="s">
        <v>1004</v>
      </c>
      <c r="E21" s="218"/>
      <c r="F21" s="218"/>
      <c r="G21" s="218"/>
      <c r="H21" s="218"/>
      <c r="I21" s="218"/>
      <c r="J21" s="324"/>
      <c r="K21" s="356">
        <f>'Material Price'!J115</f>
        <v>108</v>
      </c>
      <c r="L21" s="668">
        <f t="shared" si="1"/>
        <v>324</v>
      </c>
      <c r="M21" s="669"/>
      <c r="N21" s="178"/>
      <c r="O21" s="71"/>
    </row>
    <row r="22" spans="1:15" x14ac:dyDescent="0.3">
      <c r="A22" s="71"/>
      <c r="B22" s="166"/>
      <c r="C22" s="425">
        <f>ROUNDUP(Formulas!L34/350,0)</f>
        <v>1</v>
      </c>
      <c r="D22" s="289" t="s">
        <v>1003</v>
      </c>
      <c r="E22" s="218"/>
      <c r="F22" s="218"/>
      <c r="G22" s="218"/>
      <c r="H22" s="218"/>
      <c r="I22" s="218"/>
      <c r="J22" s="324"/>
      <c r="K22" s="356">
        <f>'Material Price'!J117</f>
        <v>135</v>
      </c>
      <c r="L22" s="668">
        <f t="shared" si="1"/>
        <v>135</v>
      </c>
      <c r="M22" s="669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8">
        <f t="shared" si="1"/>
        <v>0</v>
      </c>
      <c r="M23" s="669"/>
      <c r="N23" s="178"/>
      <c r="O23" s="71"/>
    </row>
    <row r="24" spans="1:15" x14ac:dyDescent="0.3">
      <c r="A24" s="71"/>
      <c r="B24" s="166"/>
      <c r="C24" s="360"/>
      <c r="D24" s="341"/>
      <c r="E24" s="218"/>
      <c r="F24" s="218"/>
      <c r="G24" s="218"/>
      <c r="H24" s="218"/>
      <c r="I24" s="218"/>
      <c r="J24" s="324"/>
      <c r="K24" s="152"/>
      <c r="L24" s="668">
        <f t="shared" si="1"/>
        <v>0</v>
      </c>
      <c r="M24" s="669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8">
        <f t="shared" si="1"/>
        <v>0</v>
      </c>
      <c r="M25" s="669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8">
        <f t="shared" si="1"/>
        <v>0</v>
      </c>
      <c r="M26" s="669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8">
        <f t="shared" si="1"/>
        <v>0</v>
      </c>
      <c r="M28" s="669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8">
        <f t="shared" si="1"/>
        <v>0</v>
      </c>
      <c r="M29" s="669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8">
        <f t="shared" si="1"/>
        <v>0</v>
      </c>
      <c r="M30" s="669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8">
        <f t="shared" si="1"/>
        <v>0</v>
      </c>
      <c r="M31" s="669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8">
        <f t="shared" si="1"/>
        <v>0</v>
      </c>
      <c r="M33" s="669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8">
        <f t="shared" si="1"/>
        <v>0</v>
      </c>
      <c r="M34" s="669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8">
        <f t="shared" si="1"/>
        <v>0</v>
      </c>
      <c r="M35" s="669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8">
        <f t="shared" si="1"/>
        <v>0</v>
      </c>
      <c r="M36" s="669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8">
        <f t="shared" si="1"/>
        <v>0</v>
      </c>
      <c r="M37" s="669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8">
        <f>K38*C38</f>
        <v>0</v>
      </c>
      <c r="M38" s="669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8">
        <f t="shared" ref="L39:L47" si="2">K39*C39</f>
        <v>0</v>
      </c>
      <c r="M39" s="669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8">
        <f t="shared" si="2"/>
        <v>0</v>
      </c>
      <c r="M40" s="669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8">
        <f t="shared" si="2"/>
        <v>0</v>
      </c>
      <c r="M41" s="669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8">
        <f t="shared" si="2"/>
        <v>0</v>
      </c>
      <c r="M42" s="669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8">
        <f t="shared" si="2"/>
        <v>0</v>
      </c>
      <c r="M43" s="669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8">
        <f t="shared" si="2"/>
        <v>0</v>
      </c>
      <c r="M44" s="669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8">
        <f t="shared" si="2"/>
        <v>0</v>
      </c>
      <c r="M45" s="669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8">
        <f t="shared" si="2"/>
        <v>0</v>
      </c>
      <c r="M46" s="669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8">
        <f t="shared" si="2"/>
        <v>0</v>
      </c>
      <c r="M47" s="669"/>
      <c r="N47" s="178"/>
      <c r="O47" s="71"/>
    </row>
    <row r="48" spans="1:15" x14ac:dyDescent="0.3">
      <c r="A48" s="71"/>
      <c r="B48" s="166"/>
      <c r="C48" s="183"/>
      <c r="D48" s="681" t="s">
        <v>10</v>
      </c>
      <c r="E48" s="682"/>
      <c r="F48" s="682"/>
      <c r="G48" s="682"/>
      <c r="H48" s="682"/>
      <c r="I48" s="682"/>
      <c r="J48" s="682"/>
      <c r="K48" s="683"/>
      <c r="L48" s="686">
        <f>(SUM(L10:M47)*0.0625)</f>
        <v>144.12812499999998</v>
      </c>
      <c r="M48" s="686"/>
      <c r="N48" s="178"/>
      <c r="O48" s="71"/>
    </row>
    <row r="49" spans="1:15" x14ac:dyDescent="0.3">
      <c r="A49" s="71"/>
      <c r="B49" s="166"/>
      <c r="C49" s="183"/>
      <c r="D49" s="681" t="s">
        <v>1</v>
      </c>
      <c r="E49" s="682"/>
      <c r="F49" s="682"/>
      <c r="G49" s="682"/>
      <c r="H49" s="682"/>
      <c r="I49" s="682"/>
      <c r="J49" s="682"/>
      <c r="K49" s="683"/>
      <c r="L49" s="684">
        <f>SUM(L10:M48)</f>
        <v>2450.1781249999999</v>
      </c>
      <c r="M49" s="684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D3:M3"/>
    <mergeCell ref="D4:M4"/>
    <mergeCell ref="E5:G5"/>
    <mergeCell ref="I5:J5"/>
    <mergeCell ref="E6:G6"/>
    <mergeCell ref="I6:J6"/>
    <mergeCell ref="E7:G7"/>
    <mergeCell ref="C8:M8"/>
    <mergeCell ref="D9:J9"/>
    <mergeCell ref="L9:M9"/>
    <mergeCell ref="D10:J10"/>
    <mergeCell ref="L10:M10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46:M46"/>
    <mergeCell ref="L47:M47"/>
    <mergeCell ref="D48:K48"/>
    <mergeCell ref="L48:M48"/>
    <mergeCell ref="D49:K49"/>
    <mergeCell ref="L49:M49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06C87-AFB4-4527-A43C-EEEB18459338}">
  <sheetPr codeName="Sheet37">
    <tabColor rgb="FF00B050"/>
    <pageSetUpPr fitToPage="1"/>
  </sheetPr>
  <dimension ref="A1:O67"/>
  <sheetViews>
    <sheetView showGridLines="0" showZeros="0" view="pageBreakPreview" topLeftCell="C10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1057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8">
        <f t="shared" ref="L11" si="0">K11*C11</f>
        <v>0</v>
      </c>
      <c r="M11" s="669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1058</v>
      </c>
      <c r="E12" s="355"/>
      <c r="F12" s="355"/>
      <c r="G12" s="355"/>
      <c r="H12" s="355"/>
      <c r="I12" s="355"/>
      <c r="J12" s="421"/>
      <c r="K12" s="422">
        <f>'Material Price'!J171</f>
        <v>3.35</v>
      </c>
      <c r="L12" s="740">
        <f>K12*C12</f>
        <v>1509.175</v>
      </c>
      <c r="M12" s="741"/>
      <c r="N12" s="178"/>
      <c r="O12" s="71"/>
    </row>
    <row r="13" spans="1:15" x14ac:dyDescent="0.3">
      <c r="A13" s="71"/>
      <c r="B13" s="166"/>
      <c r="C13" s="360"/>
      <c r="D13" s="566"/>
      <c r="E13" s="567"/>
      <c r="F13" s="567"/>
      <c r="G13" s="567"/>
      <c r="H13" s="567"/>
      <c r="I13" s="567"/>
      <c r="J13" s="568"/>
      <c r="K13" s="152"/>
      <c r="L13" s="668">
        <f t="shared" ref="L13:L37" si="1">K13*C13</f>
        <v>0</v>
      </c>
      <c r="M13" s="669"/>
      <c r="N13" s="178"/>
      <c r="O13" s="71"/>
    </row>
    <row r="14" spans="1:15" x14ac:dyDescent="0.3">
      <c r="A14" s="71"/>
      <c r="B14" s="166"/>
      <c r="C14" s="423"/>
      <c r="D14" s="566" t="s">
        <v>1059</v>
      </c>
      <c r="E14" s="567"/>
      <c r="F14" s="567"/>
      <c r="G14" s="567"/>
      <c r="H14" s="567"/>
      <c r="I14" s="567"/>
      <c r="J14" s="568"/>
      <c r="K14" s="152">
        <f>K12*12</f>
        <v>40.200000000000003</v>
      </c>
      <c r="L14" s="668">
        <f t="shared" si="1"/>
        <v>0</v>
      </c>
      <c r="M14" s="669"/>
      <c r="N14" s="178"/>
      <c r="O14" s="71"/>
    </row>
    <row r="15" spans="1:15" x14ac:dyDescent="0.3">
      <c r="A15" s="71"/>
      <c r="B15" s="166"/>
      <c r="C15" s="423"/>
      <c r="D15" s="217" t="s">
        <v>1060</v>
      </c>
      <c r="E15" s="218"/>
      <c r="F15" s="218"/>
      <c r="G15" s="218"/>
      <c r="H15" s="218"/>
      <c r="I15" s="218"/>
      <c r="J15" s="219"/>
      <c r="K15" s="152">
        <f>K12*16</f>
        <v>53.6</v>
      </c>
      <c r="L15" s="668">
        <f t="shared" si="1"/>
        <v>0</v>
      </c>
      <c r="M15" s="669"/>
      <c r="N15" s="178"/>
      <c r="O15" s="71"/>
    </row>
    <row r="16" spans="1:15" x14ac:dyDescent="0.3">
      <c r="A16" s="71"/>
      <c r="B16" s="166"/>
      <c r="C16" s="423"/>
      <c r="D16" s="217" t="s">
        <v>1061</v>
      </c>
      <c r="E16" s="218"/>
      <c r="F16" s="218"/>
      <c r="G16" s="218"/>
      <c r="H16" s="218"/>
      <c r="I16" s="218"/>
      <c r="J16" s="219"/>
      <c r="K16" s="356">
        <f>K12*20</f>
        <v>67</v>
      </c>
      <c r="L16" s="668">
        <f t="shared" si="1"/>
        <v>0</v>
      </c>
      <c r="M16" s="669"/>
      <c r="N16" s="178"/>
      <c r="O16" s="71"/>
    </row>
    <row r="17" spans="1:15" x14ac:dyDescent="0.3">
      <c r="A17" s="71"/>
      <c r="B17" s="166"/>
      <c r="C17" s="423"/>
      <c r="D17" s="566" t="s">
        <v>1062</v>
      </c>
      <c r="E17" s="567"/>
      <c r="F17" s="567"/>
      <c r="G17" s="567"/>
      <c r="H17" s="567"/>
      <c r="I17" s="567"/>
      <c r="J17" s="568"/>
      <c r="K17" s="152">
        <f>K12*16</f>
        <v>53.6</v>
      </c>
      <c r="L17" s="668">
        <f t="shared" si="1"/>
        <v>0</v>
      </c>
      <c r="M17" s="669"/>
      <c r="N17" s="178"/>
      <c r="O17" s="71"/>
    </row>
    <row r="18" spans="1:15" x14ac:dyDescent="0.3">
      <c r="A18" s="71"/>
      <c r="B18" s="166"/>
      <c r="C18" s="423"/>
      <c r="D18" s="364" t="s">
        <v>1063</v>
      </c>
      <c r="E18" s="218"/>
      <c r="F18" s="218"/>
      <c r="G18" s="218"/>
      <c r="H18" s="218"/>
      <c r="I18" s="218"/>
      <c r="J18" s="219"/>
      <c r="K18" s="356">
        <f>K12*20</f>
        <v>67</v>
      </c>
      <c r="L18" s="668">
        <f t="shared" si="1"/>
        <v>0</v>
      </c>
      <c r="M18" s="669"/>
      <c r="N18" s="178"/>
      <c r="O18" s="71"/>
    </row>
    <row r="19" spans="1:15" x14ac:dyDescent="0.3">
      <c r="A19" s="71"/>
      <c r="B19" s="166"/>
      <c r="C19" s="423"/>
      <c r="D19" s="341" t="s">
        <v>1027</v>
      </c>
      <c r="E19" s="218"/>
      <c r="F19" s="218"/>
      <c r="G19" s="218"/>
      <c r="H19" s="218"/>
      <c r="I19" s="218"/>
      <c r="J19" s="219"/>
      <c r="K19" s="356"/>
      <c r="L19" s="668">
        <f t="shared" si="1"/>
        <v>0</v>
      </c>
      <c r="M19" s="669"/>
      <c r="N19" s="178"/>
      <c r="O19" s="71"/>
    </row>
    <row r="20" spans="1:15" x14ac:dyDescent="0.3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8">
        <f t="shared" si="1"/>
        <v>0</v>
      </c>
      <c r="M20" s="669"/>
      <c r="N20" s="178"/>
      <c r="O20" s="71"/>
    </row>
    <row r="21" spans="1:15" x14ac:dyDescent="0.3">
      <c r="A21" s="71"/>
      <c r="B21" s="166"/>
      <c r="C21" s="394">
        <f>ROUNDUP(Formulas!L33/175,0)</f>
        <v>3</v>
      </c>
      <c r="D21" s="217" t="s">
        <v>1004</v>
      </c>
      <c r="E21" s="218"/>
      <c r="F21" s="218"/>
      <c r="G21" s="218"/>
      <c r="H21" s="218"/>
      <c r="I21" s="218"/>
      <c r="J21" s="324"/>
      <c r="K21" s="356">
        <f>'Material Price'!J115</f>
        <v>108</v>
      </c>
      <c r="L21" s="668">
        <f t="shared" si="1"/>
        <v>324</v>
      </c>
      <c r="M21" s="669"/>
      <c r="N21" s="178"/>
      <c r="O21" s="71"/>
    </row>
    <row r="22" spans="1:15" x14ac:dyDescent="0.3">
      <c r="A22" s="71"/>
      <c r="B22" s="166"/>
      <c r="C22" s="425">
        <f>ROUNDUP(Formulas!L34/350,0)</f>
        <v>1</v>
      </c>
      <c r="D22" s="289" t="s">
        <v>1003</v>
      </c>
      <c r="E22" s="218"/>
      <c r="F22" s="218"/>
      <c r="G22" s="218"/>
      <c r="H22" s="218"/>
      <c r="I22" s="218"/>
      <c r="J22" s="324"/>
      <c r="K22" s="356">
        <f>'Material Price'!J117</f>
        <v>135</v>
      </c>
      <c r="L22" s="668">
        <f t="shared" si="1"/>
        <v>135</v>
      </c>
      <c r="M22" s="669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8">
        <f t="shared" si="1"/>
        <v>0</v>
      </c>
      <c r="M23" s="669"/>
      <c r="N23" s="178"/>
      <c r="O23" s="71"/>
    </row>
    <row r="24" spans="1:15" x14ac:dyDescent="0.3">
      <c r="A24" s="71"/>
      <c r="B24" s="166"/>
      <c r="C24" s="360"/>
      <c r="D24" s="341"/>
      <c r="E24" s="218"/>
      <c r="F24" s="218"/>
      <c r="G24" s="218"/>
      <c r="H24" s="218"/>
      <c r="I24" s="218"/>
      <c r="J24" s="324"/>
      <c r="K24" s="152"/>
      <c r="L24" s="668">
        <f t="shared" si="1"/>
        <v>0</v>
      </c>
      <c r="M24" s="669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8">
        <f t="shared" si="1"/>
        <v>0</v>
      </c>
      <c r="M25" s="669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8">
        <f t="shared" si="1"/>
        <v>0</v>
      </c>
      <c r="M26" s="669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8">
        <f t="shared" si="1"/>
        <v>0</v>
      </c>
      <c r="M28" s="669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8">
        <f t="shared" si="1"/>
        <v>0</v>
      </c>
      <c r="M29" s="669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8">
        <f t="shared" si="1"/>
        <v>0</v>
      </c>
      <c r="M30" s="669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8">
        <f t="shared" si="1"/>
        <v>0</v>
      </c>
      <c r="M31" s="669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8">
        <f t="shared" si="1"/>
        <v>0</v>
      </c>
      <c r="M33" s="669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8">
        <f t="shared" si="1"/>
        <v>0</v>
      </c>
      <c r="M34" s="669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8">
        <f t="shared" si="1"/>
        <v>0</v>
      </c>
      <c r="M35" s="669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8">
        <f t="shared" si="1"/>
        <v>0</v>
      </c>
      <c r="M36" s="669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8">
        <f t="shared" si="1"/>
        <v>0</v>
      </c>
      <c r="M37" s="669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8">
        <f>K38*C38</f>
        <v>0</v>
      </c>
      <c r="M38" s="669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8">
        <f t="shared" ref="L39:L47" si="2">K39*C39</f>
        <v>0</v>
      </c>
      <c r="M39" s="669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8">
        <f t="shared" si="2"/>
        <v>0</v>
      </c>
      <c r="M40" s="669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8">
        <f t="shared" si="2"/>
        <v>0</v>
      </c>
      <c r="M41" s="669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8">
        <f t="shared" si="2"/>
        <v>0</v>
      </c>
      <c r="M42" s="669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8">
        <f t="shared" si="2"/>
        <v>0</v>
      </c>
      <c r="M43" s="669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8">
        <f t="shared" si="2"/>
        <v>0</v>
      </c>
      <c r="M44" s="669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8">
        <f t="shared" si="2"/>
        <v>0</v>
      </c>
      <c r="M45" s="669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8">
        <f t="shared" si="2"/>
        <v>0</v>
      </c>
      <c r="M46" s="669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8">
        <f t="shared" si="2"/>
        <v>0</v>
      </c>
      <c r="M47" s="669"/>
      <c r="N47" s="178"/>
      <c r="O47" s="71"/>
    </row>
    <row r="48" spans="1:15" x14ac:dyDescent="0.3">
      <c r="A48" s="71"/>
      <c r="B48" s="166"/>
      <c r="C48" s="183"/>
      <c r="D48" s="681" t="s">
        <v>10</v>
      </c>
      <c r="E48" s="682"/>
      <c r="F48" s="682"/>
      <c r="G48" s="682"/>
      <c r="H48" s="682"/>
      <c r="I48" s="682"/>
      <c r="J48" s="682"/>
      <c r="K48" s="683"/>
      <c r="L48" s="686">
        <f>(SUM(L10:M47)*0.0625)</f>
        <v>123.0109375</v>
      </c>
      <c r="M48" s="686"/>
      <c r="N48" s="178"/>
      <c r="O48" s="71"/>
    </row>
    <row r="49" spans="1:15" x14ac:dyDescent="0.3">
      <c r="A49" s="71"/>
      <c r="B49" s="166"/>
      <c r="C49" s="183"/>
      <c r="D49" s="681" t="s">
        <v>1</v>
      </c>
      <c r="E49" s="682"/>
      <c r="F49" s="682"/>
      <c r="G49" s="682"/>
      <c r="H49" s="682"/>
      <c r="I49" s="682"/>
      <c r="J49" s="682"/>
      <c r="K49" s="683"/>
      <c r="L49" s="684">
        <f>SUM(L10:M48)</f>
        <v>2091.1859374999999</v>
      </c>
      <c r="M49" s="684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D3:M3"/>
    <mergeCell ref="D4:M4"/>
    <mergeCell ref="E5:G5"/>
    <mergeCell ref="I5:J5"/>
    <mergeCell ref="E6:G6"/>
    <mergeCell ref="I6:J6"/>
    <mergeCell ref="E7:G7"/>
    <mergeCell ref="C8:M8"/>
    <mergeCell ref="D9:J9"/>
    <mergeCell ref="L9:M9"/>
    <mergeCell ref="D10:J10"/>
    <mergeCell ref="L10:M10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46:M46"/>
    <mergeCell ref="L47:M47"/>
    <mergeCell ref="D48:K48"/>
    <mergeCell ref="L48:M48"/>
    <mergeCell ref="D49:K49"/>
    <mergeCell ref="L49:M49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C0E88-9939-4681-B491-8713A2515DC7}">
  <sheetPr codeName="Sheet38">
    <tabColor rgb="FF00B050"/>
    <pageSetUpPr fitToPage="1"/>
  </sheetPr>
  <dimension ref="A1:O67"/>
  <sheetViews>
    <sheetView showGridLines="0" showZeros="0" view="pageBreakPreview" topLeftCell="C10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1064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8">
        <f t="shared" ref="L11" si="0">K11*C11</f>
        <v>0</v>
      </c>
      <c r="M11" s="669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1065</v>
      </c>
      <c r="E12" s="355"/>
      <c r="F12" s="355"/>
      <c r="G12" s="355"/>
      <c r="H12" s="355"/>
      <c r="I12" s="355"/>
      <c r="J12" s="421"/>
      <c r="K12" s="422">
        <f>'Material Price'!J174</f>
        <v>3.35</v>
      </c>
      <c r="L12" s="740">
        <f>K12*C12</f>
        <v>1509.175</v>
      </c>
      <c r="M12" s="741"/>
      <c r="N12" s="178"/>
      <c r="O12" s="71"/>
    </row>
    <row r="13" spans="1:15" x14ac:dyDescent="0.3">
      <c r="A13" s="71"/>
      <c r="B13" s="166"/>
      <c r="C13" s="360"/>
      <c r="D13" s="566"/>
      <c r="E13" s="567"/>
      <c r="F13" s="567"/>
      <c r="G13" s="567"/>
      <c r="H13" s="567"/>
      <c r="I13" s="567"/>
      <c r="J13" s="568"/>
      <c r="K13" s="152"/>
      <c r="L13" s="668">
        <f t="shared" ref="L13:L37" si="1">K13*C13</f>
        <v>0</v>
      </c>
      <c r="M13" s="669"/>
      <c r="N13" s="178"/>
      <c r="O13" s="71"/>
    </row>
    <row r="14" spans="1:15" x14ac:dyDescent="0.3">
      <c r="A14" s="71"/>
      <c r="B14" s="166"/>
      <c r="C14" s="423"/>
      <c r="D14" s="566" t="s">
        <v>1066</v>
      </c>
      <c r="E14" s="567"/>
      <c r="F14" s="567"/>
      <c r="G14" s="567"/>
      <c r="H14" s="567"/>
      <c r="I14" s="567"/>
      <c r="J14" s="568"/>
      <c r="K14" s="152">
        <f>K12*12</f>
        <v>40.200000000000003</v>
      </c>
      <c r="L14" s="668">
        <f t="shared" si="1"/>
        <v>0</v>
      </c>
      <c r="M14" s="669"/>
      <c r="N14" s="178"/>
      <c r="O14" s="71"/>
    </row>
    <row r="15" spans="1:15" x14ac:dyDescent="0.3">
      <c r="A15" s="71"/>
      <c r="B15" s="166"/>
      <c r="C15" s="423"/>
      <c r="D15" s="217" t="s">
        <v>1067</v>
      </c>
      <c r="E15" s="218"/>
      <c r="F15" s="218"/>
      <c r="G15" s="218"/>
      <c r="H15" s="218"/>
      <c r="I15" s="218"/>
      <c r="J15" s="219"/>
      <c r="K15" s="152">
        <f>K12*16</f>
        <v>53.6</v>
      </c>
      <c r="L15" s="668">
        <f t="shared" si="1"/>
        <v>0</v>
      </c>
      <c r="M15" s="669"/>
      <c r="N15" s="178"/>
      <c r="O15" s="71"/>
    </row>
    <row r="16" spans="1:15" x14ac:dyDescent="0.3">
      <c r="A16" s="71"/>
      <c r="B16" s="166"/>
      <c r="C16" s="423"/>
      <c r="D16" s="217" t="s">
        <v>1068</v>
      </c>
      <c r="E16" s="218"/>
      <c r="F16" s="218"/>
      <c r="G16" s="218"/>
      <c r="H16" s="218"/>
      <c r="I16" s="218"/>
      <c r="J16" s="219"/>
      <c r="K16" s="356">
        <f>K12*20</f>
        <v>67</v>
      </c>
      <c r="L16" s="668">
        <f t="shared" si="1"/>
        <v>0</v>
      </c>
      <c r="M16" s="669"/>
      <c r="N16" s="178"/>
      <c r="O16" s="71"/>
    </row>
    <row r="17" spans="1:15" x14ac:dyDescent="0.3">
      <c r="A17" s="71"/>
      <c r="B17" s="166"/>
      <c r="C17" s="423"/>
      <c r="D17" s="566" t="s">
        <v>1069</v>
      </c>
      <c r="E17" s="567"/>
      <c r="F17" s="567"/>
      <c r="G17" s="567"/>
      <c r="H17" s="567"/>
      <c r="I17" s="567"/>
      <c r="J17" s="568"/>
      <c r="K17" s="152">
        <f>K12*16</f>
        <v>53.6</v>
      </c>
      <c r="L17" s="668">
        <f t="shared" si="1"/>
        <v>0</v>
      </c>
      <c r="M17" s="669"/>
      <c r="N17" s="178"/>
      <c r="O17" s="71"/>
    </row>
    <row r="18" spans="1:15" x14ac:dyDescent="0.3">
      <c r="A18" s="71"/>
      <c r="B18" s="166"/>
      <c r="C18" s="423"/>
      <c r="D18" s="364" t="s">
        <v>1070</v>
      </c>
      <c r="E18" s="218"/>
      <c r="F18" s="218"/>
      <c r="G18" s="218"/>
      <c r="H18" s="218"/>
      <c r="I18" s="218"/>
      <c r="J18" s="219"/>
      <c r="K18" s="356">
        <f>K12*20</f>
        <v>67</v>
      </c>
      <c r="L18" s="668">
        <f t="shared" si="1"/>
        <v>0</v>
      </c>
      <c r="M18" s="669"/>
      <c r="N18" s="178"/>
      <c r="O18" s="71"/>
    </row>
    <row r="19" spans="1:15" x14ac:dyDescent="0.3">
      <c r="A19" s="71"/>
      <c r="B19" s="166"/>
      <c r="C19" s="423"/>
      <c r="D19" s="341" t="s">
        <v>1027</v>
      </c>
      <c r="E19" s="218"/>
      <c r="F19" s="218"/>
      <c r="G19" s="218"/>
      <c r="H19" s="218"/>
      <c r="I19" s="218"/>
      <c r="J19" s="219"/>
      <c r="K19" s="356"/>
      <c r="L19" s="668">
        <f t="shared" si="1"/>
        <v>0</v>
      </c>
      <c r="M19" s="669"/>
      <c r="N19" s="178"/>
      <c r="O19" s="71"/>
    </row>
    <row r="20" spans="1:15" x14ac:dyDescent="0.3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8">
        <f t="shared" si="1"/>
        <v>0</v>
      </c>
      <c r="M20" s="669"/>
      <c r="N20" s="178"/>
      <c r="O20" s="71"/>
    </row>
    <row r="21" spans="1:15" x14ac:dyDescent="0.3">
      <c r="A21" s="71"/>
      <c r="B21" s="166"/>
      <c r="C21" s="394">
        <f>ROUNDUP(Formulas!L33/175,0)</f>
        <v>3</v>
      </c>
      <c r="D21" s="217" t="s">
        <v>1004</v>
      </c>
      <c r="E21" s="218"/>
      <c r="F21" s="218"/>
      <c r="G21" s="218"/>
      <c r="H21" s="218"/>
      <c r="I21" s="218"/>
      <c r="J21" s="324"/>
      <c r="K21" s="356">
        <f>'Material Price'!J115</f>
        <v>108</v>
      </c>
      <c r="L21" s="668">
        <f t="shared" si="1"/>
        <v>324</v>
      </c>
      <c r="M21" s="669"/>
      <c r="N21" s="178"/>
      <c r="O21" s="71"/>
    </row>
    <row r="22" spans="1:15" x14ac:dyDescent="0.3">
      <c r="A22" s="71"/>
      <c r="B22" s="166"/>
      <c r="C22" s="425">
        <f>ROUNDUP(Formulas!L34/350,0)</f>
        <v>1</v>
      </c>
      <c r="D22" s="289" t="s">
        <v>1003</v>
      </c>
      <c r="E22" s="218"/>
      <c r="F22" s="218"/>
      <c r="G22" s="218"/>
      <c r="H22" s="218"/>
      <c r="I22" s="218"/>
      <c r="J22" s="324"/>
      <c r="K22" s="356">
        <f>'Material Price'!J117</f>
        <v>135</v>
      </c>
      <c r="L22" s="668">
        <f t="shared" si="1"/>
        <v>135</v>
      </c>
      <c r="M22" s="669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8">
        <f t="shared" si="1"/>
        <v>0</v>
      </c>
      <c r="M23" s="669"/>
      <c r="N23" s="178"/>
      <c r="O23" s="71"/>
    </row>
    <row r="24" spans="1:15" x14ac:dyDescent="0.3">
      <c r="A24" s="71"/>
      <c r="B24" s="166"/>
      <c r="C24" s="360"/>
      <c r="D24" s="341"/>
      <c r="E24" s="218"/>
      <c r="F24" s="218"/>
      <c r="G24" s="218"/>
      <c r="H24" s="218"/>
      <c r="I24" s="218"/>
      <c r="J24" s="324"/>
      <c r="K24" s="152"/>
      <c r="L24" s="668">
        <f t="shared" si="1"/>
        <v>0</v>
      </c>
      <c r="M24" s="669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8">
        <f t="shared" si="1"/>
        <v>0</v>
      </c>
      <c r="M25" s="669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8">
        <f t="shared" si="1"/>
        <v>0</v>
      </c>
      <c r="M26" s="669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8">
        <f t="shared" si="1"/>
        <v>0</v>
      </c>
      <c r="M28" s="669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8">
        <f t="shared" si="1"/>
        <v>0</v>
      </c>
      <c r="M29" s="669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8">
        <f t="shared" si="1"/>
        <v>0</v>
      </c>
      <c r="M30" s="669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8">
        <f t="shared" si="1"/>
        <v>0</v>
      </c>
      <c r="M31" s="669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8">
        <f t="shared" si="1"/>
        <v>0</v>
      </c>
      <c r="M33" s="669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8">
        <f t="shared" si="1"/>
        <v>0</v>
      </c>
      <c r="M34" s="669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8">
        <f t="shared" si="1"/>
        <v>0</v>
      </c>
      <c r="M35" s="669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8">
        <f t="shared" si="1"/>
        <v>0</v>
      </c>
      <c r="M36" s="669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8">
        <f t="shared" si="1"/>
        <v>0</v>
      </c>
      <c r="M37" s="669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8">
        <f>K38*C38</f>
        <v>0</v>
      </c>
      <c r="M38" s="669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8">
        <f t="shared" ref="L39:L47" si="2">K39*C39</f>
        <v>0</v>
      </c>
      <c r="M39" s="669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8">
        <f t="shared" si="2"/>
        <v>0</v>
      </c>
      <c r="M40" s="669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8">
        <f t="shared" si="2"/>
        <v>0</v>
      </c>
      <c r="M41" s="669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8">
        <f t="shared" si="2"/>
        <v>0</v>
      </c>
      <c r="M42" s="669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8">
        <f t="shared" si="2"/>
        <v>0</v>
      </c>
      <c r="M43" s="669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8">
        <f t="shared" si="2"/>
        <v>0</v>
      </c>
      <c r="M44" s="669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8">
        <f t="shared" si="2"/>
        <v>0</v>
      </c>
      <c r="M45" s="669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8">
        <f t="shared" si="2"/>
        <v>0</v>
      </c>
      <c r="M46" s="669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8">
        <f t="shared" si="2"/>
        <v>0</v>
      </c>
      <c r="M47" s="669"/>
      <c r="N47" s="178"/>
      <c r="O47" s="71"/>
    </row>
    <row r="48" spans="1:15" x14ac:dyDescent="0.3">
      <c r="A48" s="71"/>
      <c r="B48" s="166"/>
      <c r="C48" s="183"/>
      <c r="D48" s="681" t="s">
        <v>10</v>
      </c>
      <c r="E48" s="682"/>
      <c r="F48" s="682"/>
      <c r="G48" s="682"/>
      <c r="H48" s="682"/>
      <c r="I48" s="682"/>
      <c r="J48" s="682"/>
      <c r="K48" s="683"/>
      <c r="L48" s="686">
        <f>(SUM(L10:M47)*0.0625)</f>
        <v>123.0109375</v>
      </c>
      <c r="M48" s="686"/>
      <c r="N48" s="178"/>
      <c r="O48" s="71"/>
    </row>
    <row r="49" spans="1:15" x14ac:dyDescent="0.3">
      <c r="A49" s="71"/>
      <c r="B49" s="166"/>
      <c r="C49" s="183"/>
      <c r="D49" s="681" t="s">
        <v>1</v>
      </c>
      <c r="E49" s="682"/>
      <c r="F49" s="682"/>
      <c r="G49" s="682"/>
      <c r="H49" s="682"/>
      <c r="I49" s="682"/>
      <c r="J49" s="682"/>
      <c r="K49" s="683"/>
      <c r="L49" s="684">
        <f>SUM(L10:M48)</f>
        <v>2091.1859374999999</v>
      </c>
      <c r="M49" s="684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D3:M3"/>
    <mergeCell ref="D4:M4"/>
    <mergeCell ref="E5:G5"/>
    <mergeCell ref="I5:J5"/>
    <mergeCell ref="E6:G6"/>
    <mergeCell ref="I6:J6"/>
    <mergeCell ref="E7:G7"/>
    <mergeCell ref="C8:M8"/>
    <mergeCell ref="D9:J9"/>
    <mergeCell ref="L9:M9"/>
    <mergeCell ref="D10:J10"/>
    <mergeCell ref="L10:M10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46:M46"/>
    <mergeCell ref="L47:M47"/>
    <mergeCell ref="D48:K48"/>
    <mergeCell ref="L48:M48"/>
    <mergeCell ref="D49:K49"/>
    <mergeCell ref="L49:M49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62EDCF-B74F-4D7C-A382-6F039D1A7C4F}">
  <sheetPr codeName="Sheet39">
    <tabColor rgb="FF00B050"/>
    <pageSetUpPr fitToPage="1"/>
  </sheetPr>
  <dimension ref="A1:O67"/>
  <sheetViews>
    <sheetView showGridLines="0" showZeros="0" view="pageBreakPreview" topLeftCell="C10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1072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8">
        <f t="shared" ref="L11" si="0">K11*C11</f>
        <v>0</v>
      </c>
      <c r="M11" s="669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1071</v>
      </c>
      <c r="E12" s="355"/>
      <c r="F12" s="355"/>
      <c r="G12" s="355"/>
      <c r="H12" s="355"/>
      <c r="I12" s="355"/>
      <c r="J12" s="421"/>
      <c r="K12" s="422">
        <f>'Material Price'!J180</f>
        <v>3.4</v>
      </c>
      <c r="L12" s="740">
        <f>K12*C12</f>
        <v>1531.7</v>
      </c>
      <c r="M12" s="741"/>
      <c r="N12" s="178"/>
      <c r="O12" s="71"/>
    </row>
    <row r="13" spans="1:15" x14ac:dyDescent="0.3">
      <c r="A13" s="71"/>
      <c r="B13" s="166"/>
      <c r="C13" s="360"/>
      <c r="D13" s="566"/>
      <c r="E13" s="567"/>
      <c r="F13" s="567"/>
      <c r="G13" s="567"/>
      <c r="H13" s="567"/>
      <c r="I13" s="567"/>
      <c r="J13" s="568"/>
      <c r="K13" s="152"/>
      <c r="L13" s="668">
        <f t="shared" ref="L13:L37" si="1">K13*C13</f>
        <v>0</v>
      </c>
      <c r="M13" s="669"/>
      <c r="N13" s="178"/>
      <c r="O13" s="71"/>
    </row>
    <row r="14" spans="1:15" x14ac:dyDescent="0.3">
      <c r="A14" s="71"/>
      <c r="B14" s="166"/>
      <c r="C14" s="423"/>
      <c r="D14" s="566" t="s">
        <v>1073</v>
      </c>
      <c r="E14" s="567"/>
      <c r="F14" s="567"/>
      <c r="G14" s="567"/>
      <c r="H14" s="567"/>
      <c r="I14" s="567"/>
      <c r="J14" s="568"/>
      <c r="K14" s="152">
        <f>K12*12</f>
        <v>40.799999999999997</v>
      </c>
      <c r="L14" s="668">
        <f t="shared" si="1"/>
        <v>0</v>
      </c>
      <c r="M14" s="669"/>
      <c r="N14" s="178"/>
      <c r="O14" s="71"/>
    </row>
    <row r="15" spans="1:15" x14ac:dyDescent="0.3">
      <c r="A15" s="71"/>
      <c r="B15" s="166"/>
      <c r="C15" s="423"/>
      <c r="D15" s="217" t="s">
        <v>1074</v>
      </c>
      <c r="E15" s="218"/>
      <c r="F15" s="218"/>
      <c r="G15" s="218"/>
      <c r="H15" s="218"/>
      <c r="I15" s="218"/>
      <c r="J15" s="219"/>
      <c r="K15" s="152">
        <f>K12*16</f>
        <v>54.4</v>
      </c>
      <c r="L15" s="668">
        <f t="shared" si="1"/>
        <v>0</v>
      </c>
      <c r="M15" s="669"/>
      <c r="N15" s="178"/>
      <c r="O15" s="71"/>
    </row>
    <row r="16" spans="1:15" x14ac:dyDescent="0.3">
      <c r="A16" s="71"/>
      <c r="B16" s="166"/>
      <c r="C16" s="423"/>
      <c r="D16" s="217" t="s">
        <v>1075</v>
      </c>
      <c r="E16" s="218"/>
      <c r="F16" s="218"/>
      <c r="G16" s="218"/>
      <c r="H16" s="218"/>
      <c r="I16" s="218"/>
      <c r="J16" s="219"/>
      <c r="K16" s="356">
        <f>K12*20</f>
        <v>68</v>
      </c>
      <c r="L16" s="668">
        <f t="shared" si="1"/>
        <v>0</v>
      </c>
      <c r="M16" s="669"/>
      <c r="N16" s="178"/>
      <c r="O16" s="71"/>
    </row>
    <row r="17" spans="1:15" x14ac:dyDescent="0.3">
      <c r="A17" s="71"/>
      <c r="B17" s="166"/>
      <c r="C17" s="423"/>
      <c r="D17" s="566"/>
      <c r="E17" s="567"/>
      <c r="F17" s="567"/>
      <c r="G17" s="567"/>
      <c r="H17" s="567"/>
      <c r="I17" s="567"/>
      <c r="J17" s="568"/>
      <c r="K17" s="152"/>
      <c r="L17" s="668">
        <f t="shared" si="1"/>
        <v>0</v>
      </c>
      <c r="M17" s="669"/>
      <c r="N17" s="178"/>
      <c r="O17" s="71"/>
    </row>
    <row r="18" spans="1:15" x14ac:dyDescent="0.3">
      <c r="A18" s="71"/>
      <c r="B18" s="166"/>
      <c r="C18" s="423"/>
      <c r="D18" s="364" t="s">
        <v>1076</v>
      </c>
      <c r="E18" s="218"/>
      <c r="F18" s="218"/>
      <c r="G18" s="218"/>
      <c r="H18" s="218"/>
      <c r="I18" s="218"/>
      <c r="J18" s="219"/>
      <c r="K18" s="356">
        <f>K12*20</f>
        <v>68</v>
      </c>
      <c r="L18" s="668">
        <f t="shared" si="1"/>
        <v>0</v>
      </c>
      <c r="M18" s="669"/>
      <c r="N18" s="178"/>
      <c r="O18" s="71"/>
    </row>
    <row r="19" spans="1:15" x14ac:dyDescent="0.3">
      <c r="A19" s="71"/>
      <c r="B19" s="166"/>
      <c r="C19" s="423"/>
      <c r="D19" s="341" t="s">
        <v>1077</v>
      </c>
      <c r="E19" s="218"/>
      <c r="F19" s="218"/>
      <c r="G19" s="218"/>
      <c r="H19" s="218"/>
      <c r="I19" s="218"/>
      <c r="J19" s="219"/>
      <c r="K19" s="356"/>
      <c r="L19" s="668">
        <f t="shared" si="1"/>
        <v>0</v>
      </c>
      <c r="M19" s="669"/>
      <c r="N19" s="178"/>
      <c r="O19" s="71"/>
    </row>
    <row r="20" spans="1:15" x14ac:dyDescent="0.3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8">
        <f t="shared" si="1"/>
        <v>0</v>
      </c>
      <c r="M20" s="669"/>
      <c r="N20" s="178"/>
      <c r="O20" s="71"/>
    </row>
    <row r="21" spans="1:15" x14ac:dyDescent="0.3">
      <c r="A21" s="71"/>
      <c r="B21" s="166"/>
      <c r="C21" s="394">
        <f>ROUNDUP(Formulas!L33/90,0)</f>
        <v>4</v>
      </c>
      <c r="D21" s="217" t="s">
        <v>1078</v>
      </c>
      <c r="E21" s="218"/>
      <c r="F21" s="218"/>
      <c r="G21" s="218"/>
      <c r="H21" s="218"/>
      <c r="I21" s="218"/>
      <c r="J21" s="324"/>
      <c r="K21" s="356">
        <f>'Material Price'!J122</f>
        <v>60</v>
      </c>
      <c r="L21" s="668">
        <f t="shared" si="1"/>
        <v>240</v>
      </c>
      <c r="M21" s="669"/>
      <c r="N21" s="178"/>
      <c r="O21" s="71"/>
    </row>
    <row r="22" spans="1:15" x14ac:dyDescent="0.3">
      <c r="A22" s="71"/>
      <c r="B22" s="166"/>
      <c r="C22" s="425">
        <f>ROUNDUP(Formulas!L34/100,0)</f>
        <v>1</v>
      </c>
      <c r="D22" s="289" t="s">
        <v>1081</v>
      </c>
      <c r="E22" s="218"/>
      <c r="F22" s="218"/>
      <c r="G22" s="218"/>
      <c r="H22" s="218"/>
      <c r="I22" s="218"/>
      <c r="J22" s="324"/>
      <c r="K22" s="356">
        <f>'Material Price'!J123</f>
        <v>12</v>
      </c>
      <c r="L22" s="668">
        <f t="shared" si="1"/>
        <v>12</v>
      </c>
      <c r="M22" s="669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8">
        <f t="shared" si="1"/>
        <v>0</v>
      </c>
      <c r="M23" s="669"/>
      <c r="N23" s="178"/>
      <c r="O23" s="71"/>
    </row>
    <row r="24" spans="1:15" x14ac:dyDescent="0.3">
      <c r="A24" s="71"/>
      <c r="B24" s="166"/>
      <c r="C24" s="360"/>
      <c r="D24" s="341"/>
      <c r="E24" s="218"/>
      <c r="F24" s="218"/>
      <c r="G24" s="218"/>
      <c r="H24" s="218"/>
      <c r="I24" s="218"/>
      <c r="J24" s="324"/>
      <c r="K24" s="152"/>
      <c r="L24" s="668">
        <f t="shared" si="1"/>
        <v>0</v>
      </c>
      <c r="M24" s="669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8">
        <f t="shared" si="1"/>
        <v>0</v>
      </c>
      <c r="M25" s="669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8">
        <f t="shared" si="1"/>
        <v>0</v>
      </c>
      <c r="M26" s="669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8">
        <f t="shared" si="1"/>
        <v>0</v>
      </c>
      <c r="M28" s="669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8">
        <f t="shared" si="1"/>
        <v>0</v>
      </c>
      <c r="M29" s="669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8">
        <f t="shared" si="1"/>
        <v>0</v>
      </c>
      <c r="M30" s="669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8">
        <f t="shared" si="1"/>
        <v>0</v>
      </c>
      <c r="M31" s="669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8">
        <f t="shared" si="1"/>
        <v>0</v>
      </c>
      <c r="M33" s="669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8">
        <f t="shared" si="1"/>
        <v>0</v>
      </c>
      <c r="M34" s="669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8">
        <f t="shared" si="1"/>
        <v>0</v>
      </c>
      <c r="M35" s="669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8">
        <f t="shared" si="1"/>
        <v>0</v>
      </c>
      <c r="M36" s="669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8">
        <f t="shared" si="1"/>
        <v>0</v>
      </c>
      <c r="M37" s="669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8">
        <f>K38*C38</f>
        <v>0</v>
      </c>
      <c r="M38" s="669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8">
        <f t="shared" ref="L39:L47" si="2">K39*C39</f>
        <v>0</v>
      </c>
      <c r="M39" s="669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8">
        <f t="shared" si="2"/>
        <v>0</v>
      </c>
      <c r="M40" s="669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8">
        <f t="shared" si="2"/>
        <v>0</v>
      </c>
      <c r="M41" s="669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8">
        <f t="shared" si="2"/>
        <v>0</v>
      </c>
      <c r="M42" s="669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8">
        <f t="shared" si="2"/>
        <v>0</v>
      </c>
      <c r="M43" s="669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8">
        <f t="shared" si="2"/>
        <v>0</v>
      </c>
      <c r="M44" s="669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8">
        <f t="shared" si="2"/>
        <v>0</v>
      </c>
      <c r="M45" s="669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8">
        <f t="shared" si="2"/>
        <v>0</v>
      </c>
      <c r="M46" s="669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8">
        <f t="shared" si="2"/>
        <v>0</v>
      </c>
      <c r="M47" s="669"/>
      <c r="N47" s="178"/>
      <c r="O47" s="71"/>
    </row>
    <row r="48" spans="1:15" x14ac:dyDescent="0.3">
      <c r="A48" s="71"/>
      <c r="B48" s="166"/>
      <c r="C48" s="183"/>
      <c r="D48" s="681" t="s">
        <v>10</v>
      </c>
      <c r="E48" s="682"/>
      <c r="F48" s="682"/>
      <c r="G48" s="682"/>
      <c r="H48" s="682"/>
      <c r="I48" s="682"/>
      <c r="J48" s="682"/>
      <c r="K48" s="683"/>
      <c r="L48" s="686">
        <f>(SUM(L10:M47)*0.0625)</f>
        <v>111.48125</v>
      </c>
      <c r="M48" s="686"/>
      <c r="N48" s="178"/>
      <c r="O48" s="71"/>
    </row>
    <row r="49" spans="1:15" x14ac:dyDescent="0.3">
      <c r="A49" s="71"/>
      <c r="B49" s="166"/>
      <c r="C49" s="183"/>
      <c r="D49" s="681" t="s">
        <v>1</v>
      </c>
      <c r="E49" s="682"/>
      <c r="F49" s="682"/>
      <c r="G49" s="682"/>
      <c r="H49" s="682"/>
      <c r="I49" s="682"/>
      <c r="J49" s="682"/>
      <c r="K49" s="683"/>
      <c r="L49" s="684">
        <f>SUM(L10:M48)</f>
        <v>1895.1812500000001</v>
      </c>
      <c r="M49" s="684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D3:M3"/>
    <mergeCell ref="D4:M4"/>
    <mergeCell ref="E5:G5"/>
    <mergeCell ref="I5:J5"/>
    <mergeCell ref="E6:G6"/>
    <mergeCell ref="I6:J6"/>
    <mergeCell ref="E7:G7"/>
    <mergeCell ref="C8:M8"/>
    <mergeCell ref="D9:J9"/>
    <mergeCell ref="L9:M9"/>
    <mergeCell ref="D10:J10"/>
    <mergeCell ref="L10:M10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46:M46"/>
    <mergeCell ref="L47:M47"/>
    <mergeCell ref="D48:K48"/>
    <mergeCell ref="L48:M48"/>
    <mergeCell ref="D49:K49"/>
    <mergeCell ref="L49:M49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E1BA1D-2A0E-4395-A278-A149E9EBC6DA}">
  <sheetPr codeName="Sheet40">
    <tabColor rgb="FF00B050"/>
    <pageSetUpPr fitToPage="1"/>
  </sheetPr>
  <dimension ref="A1:O67"/>
  <sheetViews>
    <sheetView showGridLines="0" showZeros="0" view="pageBreakPreview" topLeftCell="C10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1082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8">
        <f t="shared" ref="L11" si="0">K11*C11</f>
        <v>0</v>
      </c>
      <c r="M11" s="669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1083</v>
      </c>
      <c r="E12" s="355"/>
      <c r="F12" s="355"/>
      <c r="G12" s="355"/>
      <c r="H12" s="355"/>
      <c r="I12" s="355"/>
      <c r="J12" s="421"/>
      <c r="K12" s="422">
        <f>'Material Price'!J179</f>
        <v>2.9</v>
      </c>
      <c r="L12" s="740">
        <f>K12*C12</f>
        <v>1306.45</v>
      </c>
      <c r="M12" s="741"/>
      <c r="N12" s="178"/>
      <c r="O12" s="71"/>
    </row>
    <row r="13" spans="1:15" x14ac:dyDescent="0.3">
      <c r="A13" s="71"/>
      <c r="B13" s="166"/>
      <c r="C13" s="360"/>
      <c r="D13" s="566"/>
      <c r="E13" s="567"/>
      <c r="F13" s="567"/>
      <c r="G13" s="567"/>
      <c r="H13" s="567"/>
      <c r="I13" s="567"/>
      <c r="J13" s="568"/>
      <c r="K13" s="152"/>
      <c r="L13" s="668">
        <f t="shared" ref="L13:L37" si="1">K13*C13</f>
        <v>0</v>
      </c>
      <c r="M13" s="669"/>
      <c r="N13" s="178"/>
      <c r="O13" s="71"/>
    </row>
    <row r="14" spans="1:15" x14ac:dyDescent="0.3">
      <c r="A14" s="71"/>
      <c r="B14" s="166"/>
      <c r="C14" s="423"/>
      <c r="D14" s="566" t="s">
        <v>1084</v>
      </c>
      <c r="E14" s="567"/>
      <c r="F14" s="567"/>
      <c r="G14" s="567"/>
      <c r="H14" s="567"/>
      <c r="I14" s="567"/>
      <c r="J14" s="568"/>
      <c r="K14" s="152">
        <f>K12*12</f>
        <v>34.799999999999997</v>
      </c>
      <c r="L14" s="668">
        <f t="shared" si="1"/>
        <v>0</v>
      </c>
      <c r="M14" s="669"/>
      <c r="N14" s="178"/>
      <c r="O14" s="71"/>
    </row>
    <row r="15" spans="1:15" x14ac:dyDescent="0.3">
      <c r="A15" s="71"/>
      <c r="B15" s="166"/>
      <c r="C15" s="423"/>
      <c r="D15" s="217" t="s">
        <v>1085</v>
      </c>
      <c r="E15" s="218"/>
      <c r="F15" s="218"/>
      <c r="G15" s="218"/>
      <c r="H15" s="218"/>
      <c r="I15" s="218"/>
      <c r="J15" s="219"/>
      <c r="K15" s="152">
        <f>K12*16</f>
        <v>46.4</v>
      </c>
      <c r="L15" s="668">
        <f t="shared" si="1"/>
        <v>0</v>
      </c>
      <c r="M15" s="669"/>
      <c r="N15" s="178"/>
      <c r="O15" s="71"/>
    </row>
    <row r="16" spans="1:15" x14ac:dyDescent="0.3">
      <c r="A16" s="71"/>
      <c r="B16" s="166"/>
      <c r="C16" s="423"/>
      <c r="D16" s="217" t="s">
        <v>1086</v>
      </c>
      <c r="E16" s="218"/>
      <c r="F16" s="218"/>
      <c r="G16" s="218"/>
      <c r="H16" s="218"/>
      <c r="I16" s="218"/>
      <c r="J16" s="219"/>
      <c r="K16" s="356">
        <f>K12*20</f>
        <v>58</v>
      </c>
      <c r="L16" s="668">
        <f t="shared" si="1"/>
        <v>0</v>
      </c>
      <c r="M16" s="669"/>
      <c r="N16" s="178"/>
      <c r="O16" s="71"/>
    </row>
    <row r="17" spans="1:15" x14ac:dyDescent="0.3">
      <c r="A17" s="71"/>
      <c r="B17" s="166"/>
      <c r="C17" s="423"/>
      <c r="D17" s="566"/>
      <c r="E17" s="567"/>
      <c r="F17" s="567"/>
      <c r="G17" s="567"/>
      <c r="H17" s="567"/>
      <c r="I17" s="567"/>
      <c r="J17" s="568"/>
      <c r="K17" s="152"/>
      <c r="L17" s="668">
        <f t="shared" si="1"/>
        <v>0</v>
      </c>
      <c r="M17" s="669"/>
      <c r="N17" s="178"/>
      <c r="O17" s="71"/>
    </row>
    <row r="18" spans="1:15" x14ac:dyDescent="0.3">
      <c r="A18" s="71"/>
      <c r="B18" s="166"/>
      <c r="C18" s="423"/>
      <c r="D18" s="364" t="s">
        <v>1087</v>
      </c>
      <c r="E18" s="218"/>
      <c r="F18" s="218"/>
      <c r="G18" s="218"/>
      <c r="H18" s="218"/>
      <c r="I18" s="218"/>
      <c r="J18" s="219"/>
      <c r="K18" s="356">
        <f>K12*20</f>
        <v>58</v>
      </c>
      <c r="L18" s="668">
        <f t="shared" si="1"/>
        <v>0</v>
      </c>
      <c r="M18" s="669"/>
      <c r="N18" s="178"/>
      <c r="O18" s="71"/>
    </row>
    <row r="19" spans="1:15" x14ac:dyDescent="0.3">
      <c r="A19" s="71"/>
      <c r="B19" s="166"/>
      <c r="C19" s="423"/>
      <c r="D19" s="341" t="s">
        <v>1077</v>
      </c>
      <c r="E19" s="218"/>
      <c r="F19" s="218"/>
      <c r="G19" s="218"/>
      <c r="H19" s="218"/>
      <c r="I19" s="218"/>
      <c r="J19" s="219"/>
      <c r="K19" s="356"/>
      <c r="L19" s="668">
        <f t="shared" si="1"/>
        <v>0</v>
      </c>
      <c r="M19" s="669"/>
      <c r="N19" s="178"/>
      <c r="O19" s="71"/>
    </row>
    <row r="20" spans="1:15" x14ac:dyDescent="0.3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8">
        <f t="shared" si="1"/>
        <v>0</v>
      </c>
      <c r="M20" s="669"/>
      <c r="N20" s="178"/>
      <c r="O20" s="71"/>
    </row>
    <row r="21" spans="1:15" x14ac:dyDescent="0.3">
      <c r="A21" s="71"/>
      <c r="B21" s="166"/>
      <c r="C21" s="394">
        <f>ROUNDUP(Formulas!L33/90,0)</f>
        <v>4</v>
      </c>
      <c r="D21" s="217" t="s">
        <v>1078</v>
      </c>
      <c r="E21" s="218"/>
      <c r="F21" s="218"/>
      <c r="G21" s="218"/>
      <c r="H21" s="218"/>
      <c r="I21" s="218"/>
      <c r="J21" s="324"/>
      <c r="K21" s="356">
        <f>'Material Price'!J122</f>
        <v>60</v>
      </c>
      <c r="L21" s="668">
        <f t="shared" si="1"/>
        <v>240</v>
      </c>
      <c r="M21" s="669"/>
      <c r="N21" s="178"/>
      <c r="O21" s="71"/>
    </row>
    <row r="22" spans="1:15" x14ac:dyDescent="0.3">
      <c r="A22" s="71"/>
      <c r="B22" s="166"/>
      <c r="C22" s="425">
        <f>ROUNDUP(Formulas!L34/100,0)</f>
        <v>1</v>
      </c>
      <c r="D22" s="289" t="s">
        <v>1081</v>
      </c>
      <c r="E22" s="218"/>
      <c r="F22" s="218"/>
      <c r="G22" s="218"/>
      <c r="H22" s="218"/>
      <c r="I22" s="218"/>
      <c r="J22" s="324"/>
      <c r="K22" s="356">
        <f>'Material Price'!J123</f>
        <v>12</v>
      </c>
      <c r="L22" s="668">
        <f t="shared" si="1"/>
        <v>12</v>
      </c>
      <c r="M22" s="669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8">
        <f t="shared" si="1"/>
        <v>0</v>
      </c>
      <c r="M23" s="669"/>
      <c r="N23" s="178"/>
      <c r="O23" s="71"/>
    </row>
    <row r="24" spans="1:15" x14ac:dyDescent="0.3">
      <c r="A24" s="71"/>
      <c r="B24" s="166"/>
      <c r="C24" s="360"/>
      <c r="D24" s="341"/>
      <c r="E24" s="218"/>
      <c r="F24" s="218"/>
      <c r="G24" s="218"/>
      <c r="H24" s="218"/>
      <c r="I24" s="218"/>
      <c r="J24" s="324"/>
      <c r="K24" s="152"/>
      <c r="L24" s="668">
        <f t="shared" si="1"/>
        <v>0</v>
      </c>
      <c r="M24" s="669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8">
        <f t="shared" si="1"/>
        <v>0</v>
      </c>
      <c r="M25" s="669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8">
        <f t="shared" si="1"/>
        <v>0</v>
      </c>
      <c r="M26" s="669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8">
        <f t="shared" si="1"/>
        <v>0</v>
      </c>
      <c r="M28" s="669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8">
        <f t="shared" si="1"/>
        <v>0</v>
      </c>
      <c r="M29" s="669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8">
        <f t="shared" si="1"/>
        <v>0</v>
      </c>
      <c r="M30" s="669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8">
        <f t="shared" si="1"/>
        <v>0</v>
      </c>
      <c r="M31" s="669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8">
        <f t="shared" si="1"/>
        <v>0</v>
      </c>
      <c r="M33" s="669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8">
        <f t="shared" si="1"/>
        <v>0</v>
      </c>
      <c r="M34" s="669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8">
        <f t="shared" si="1"/>
        <v>0</v>
      </c>
      <c r="M35" s="669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8">
        <f t="shared" si="1"/>
        <v>0</v>
      </c>
      <c r="M36" s="669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8">
        <f t="shared" si="1"/>
        <v>0</v>
      </c>
      <c r="M37" s="669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8">
        <f>K38*C38</f>
        <v>0</v>
      </c>
      <c r="M38" s="669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8">
        <f t="shared" ref="L39:L47" si="2">K39*C39</f>
        <v>0</v>
      </c>
      <c r="M39" s="669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8">
        <f t="shared" si="2"/>
        <v>0</v>
      </c>
      <c r="M40" s="669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8">
        <f t="shared" si="2"/>
        <v>0</v>
      </c>
      <c r="M41" s="669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8">
        <f t="shared" si="2"/>
        <v>0</v>
      </c>
      <c r="M42" s="669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8">
        <f t="shared" si="2"/>
        <v>0</v>
      </c>
      <c r="M43" s="669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8">
        <f t="shared" si="2"/>
        <v>0</v>
      </c>
      <c r="M44" s="669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8">
        <f t="shared" si="2"/>
        <v>0</v>
      </c>
      <c r="M45" s="669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8">
        <f t="shared" si="2"/>
        <v>0</v>
      </c>
      <c r="M46" s="669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8">
        <f t="shared" si="2"/>
        <v>0</v>
      </c>
      <c r="M47" s="669"/>
      <c r="N47" s="178"/>
      <c r="O47" s="71"/>
    </row>
    <row r="48" spans="1:15" x14ac:dyDescent="0.3">
      <c r="A48" s="71"/>
      <c r="B48" s="166"/>
      <c r="C48" s="183"/>
      <c r="D48" s="681" t="s">
        <v>10</v>
      </c>
      <c r="E48" s="682"/>
      <c r="F48" s="682"/>
      <c r="G48" s="682"/>
      <c r="H48" s="682"/>
      <c r="I48" s="682"/>
      <c r="J48" s="682"/>
      <c r="K48" s="683"/>
      <c r="L48" s="686">
        <f>(SUM(L10:M47)*0.0625)</f>
        <v>97.403125000000003</v>
      </c>
      <c r="M48" s="686"/>
      <c r="N48" s="178"/>
      <c r="O48" s="71"/>
    </row>
    <row r="49" spans="1:15" x14ac:dyDescent="0.3">
      <c r="A49" s="71"/>
      <c r="B49" s="166"/>
      <c r="C49" s="183"/>
      <c r="D49" s="681" t="s">
        <v>1</v>
      </c>
      <c r="E49" s="682"/>
      <c r="F49" s="682"/>
      <c r="G49" s="682"/>
      <c r="H49" s="682"/>
      <c r="I49" s="682"/>
      <c r="J49" s="682"/>
      <c r="K49" s="683"/>
      <c r="L49" s="684">
        <f>SUM(L10:M48)</f>
        <v>1655.8531250000001</v>
      </c>
      <c r="M49" s="684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L46:M46"/>
    <mergeCell ref="L47:M47"/>
    <mergeCell ref="D48:K48"/>
    <mergeCell ref="L48:M48"/>
    <mergeCell ref="D49:K49"/>
    <mergeCell ref="L49:M49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E7:G7"/>
    <mergeCell ref="C8:M8"/>
    <mergeCell ref="D9:J9"/>
    <mergeCell ref="L9:M9"/>
    <mergeCell ref="D10:J10"/>
    <mergeCell ref="L10:M10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95EF6F-D688-4A53-84B3-E547BA70F63B}">
  <sheetPr codeName="Sheet41">
    <tabColor rgb="FF00B050"/>
    <pageSetUpPr fitToPage="1"/>
  </sheetPr>
  <dimension ref="A1:O67"/>
  <sheetViews>
    <sheetView showGridLines="0" showZeros="0" view="pageBreakPreview" topLeftCell="C10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1088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8">
        <f t="shared" ref="L11" si="0">K11*C11</f>
        <v>0</v>
      </c>
      <c r="M11" s="669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1095</v>
      </c>
      <c r="E12" s="355"/>
      <c r="F12" s="355"/>
      <c r="G12" s="355"/>
      <c r="H12" s="355"/>
      <c r="I12" s="355"/>
      <c r="J12" s="421"/>
      <c r="K12" s="422">
        <f>'Material Price'!J183</f>
        <v>5.5</v>
      </c>
      <c r="L12" s="740">
        <f>K12*C12</f>
        <v>2477.75</v>
      </c>
      <c r="M12" s="741"/>
      <c r="N12" s="178"/>
      <c r="O12" s="71"/>
    </row>
    <row r="13" spans="1:15" x14ac:dyDescent="0.3">
      <c r="A13" s="71"/>
      <c r="B13" s="166"/>
      <c r="C13" s="360"/>
      <c r="D13" s="566"/>
      <c r="E13" s="567"/>
      <c r="F13" s="567"/>
      <c r="G13" s="567"/>
      <c r="H13" s="567"/>
      <c r="I13" s="567"/>
      <c r="J13" s="568"/>
      <c r="K13" s="152"/>
      <c r="L13" s="668">
        <f t="shared" ref="L13:L37" si="1">K13*C13</f>
        <v>0</v>
      </c>
      <c r="M13" s="669"/>
      <c r="N13" s="178"/>
      <c r="O13" s="71"/>
    </row>
    <row r="14" spans="1:15" x14ac:dyDescent="0.3">
      <c r="A14" s="71"/>
      <c r="B14" s="166"/>
      <c r="C14" s="423"/>
      <c r="D14" s="566" t="s">
        <v>1089</v>
      </c>
      <c r="E14" s="567"/>
      <c r="F14" s="567"/>
      <c r="G14" s="567"/>
      <c r="H14" s="567"/>
      <c r="I14" s="567"/>
      <c r="J14" s="568"/>
      <c r="K14" s="152">
        <f>K12*12</f>
        <v>66</v>
      </c>
      <c r="L14" s="668">
        <f t="shared" si="1"/>
        <v>0</v>
      </c>
      <c r="M14" s="669"/>
      <c r="N14" s="178"/>
      <c r="O14" s="71"/>
    </row>
    <row r="15" spans="1:15" x14ac:dyDescent="0.3">
      <c r="A15" s="71"/>
      <c r="B15" s="166"/>
      <c r="C15" s="423"/>
      <c r="D15" s="217" t="s">
        <v>1090</v>
      </c>
      <c r="E15" s="218"/>
      <c r="F15" s="218"/>
      <c r="G15" s="218"/>
      <c r="H15" s="218"/>
      <c r="I15" s="218"/>
      <c r="J15" s="219"/>
      <c r="K15" s="152">
        <f>K12*16</f>
        <v>88</v>
      </c>
      <c r="L15" s="668">
        <f t="shared" si="1"/>
        <v>0</v>
      </c>
      <c r="M15" s="669"/>
      <c r="N15" s="178"/>
      <c r="O15" s="71"/>
    </row>
    <row r="16" spans="1:15" x14ac:dyDescent="0.3">
      <c r="A16" s="71"/>
      <c r="B16" s="166"/>
      <c r="C16" s="423"/>
      <c r="D16" s="217" t="s">
        <v>1091</v>
      </c>
      <c r="E16" s="218"/>
      <c r="F16" s="218"/>
      <c r="G16" s="218"/>
      <c r="H16" s="218"/>
      <c r="I16" s="218"/>
      <c r="J16" s="219"/>
      <c r="K16" s="356">
        <f>K12*20</f>
        <v>110</v>
      </c>
      <c r="L16" s="668">
        <f t="shared" si="1"/>
        <v>0</v>
      </c>
      <c r="M16" s="669"/>
      <c r="N16" s="178"/>
      <c r="O16" s="71"/>
    </row>
    <row r="17" spans="1:15" x14ac:dyDescent="0.3">
      <c r="A17" s="71"/>
      <c r="B17" s="166"/>
      <c r="C17" s="423"/>
      <c r="D17" s="566" t="s">
        <v>1093</v>
      </c>
      <c r="E17" s="567"/>
      <c r="F17" s="567"/>
      <c r="G17" s="567"/>
      <c r="H17" s="567"/>
      <c r="I17" s="567"/>
      <c r="J17" s="568"/>
      <c r="K17" s="152">
        <f>16*K12</f>
        <v>88</v>
      </c>
      <c r="L17" s="668">
        <f t="shared" si="1"/>
        <v>0</v>
      </c>
      <c r="M17" s="669"/>
      <c r="N17" s="178"/>
      <c r="O17" s="71"/>
    </row>
    <row r="18" spans="1:15" x14ac:dyDescent="0.3">
      <c r="A18" s="71"/>
      <c r="B18" s="166"/>
      <c r="C18" s="423"/>
      <c r="D18" s="364" t="s">
        <v>1092</v>
      </c>
      <c r="E18" s="218"/>
      <c r="F18" s="218"/>
      <c r="G18" s="218"/>
      <c r="H18" s="218"/>
      <c r="I18" s="218"/>
      <c r="J18" s="219"/>
      <c r="K18" s="356">
        <f>K12*20</f>
        <v>110</v>
      </c>
      <c r="L18" s="668">
        <f t="shared" si="1"/>
        <v>0</v>
      </c>
      <c r="M18" s="669"/>
      <c r="N18" s="178"/>
      <c r="O18" s="71"/>
    </row>
    <row r="19" spans="1:15" x14ac:dyDescent="0.3">
      <c r="A19" s="71"/>
      <c r="B19" s="166"/>
      <c r="C19" s="423"/>
      <c r="D19" s="341" t="s">
        <v>1094</v>
      </c>
      <c r="E19" s="218"/>
      <c r="F19" s="218"/>
      <c r="G19" s="218"/>
      <c r="H19" s="218"/>
      <c r="I19" s="218"/>
      <c r="J19" s="219"/>
      <c r="K19" s="356"/>
      <c r="L19" s="668">
        <f t="shared" si="1"/>
        <v>0</v>
      </c>
      <c r="M19" s="669"/>
      <c r="N19" s="178"/>
      <c r="O19" s="71"/>
    </row>
    <row r="20" spans="1:15" x14ac:dyDescent="0.3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8">
        <f t="shared" si="1"/>
        <v>0</v>
      </c>
      <c r="M20" s="669"/>
      <c r="N20" s="178"/>
      <c r="O20" s="71"/>
    </row>
    <row r="21" spans="1:15" x14ac:dyDescent="0.3">
      <c r="A21" s="71"/>
      <c r="B21" s="166"/>
      <c r="C21" s="394">
        <f>ROUNDUP(Formulas!L33/90,0)</f>
        <v>4</v>
      </c>
      <c r="D21" s="217" t="s">
        <v>1078</v>
      </c>
      <c r="E21" s="218"/>
      <c r="F21" s="218"/>
      <c r="G21" s="218"/>
      <c r="H21" s="218"/>
      <c r="I21" s="218"/>
      <c r="J21" s="324"/>
      <c r="K21" s="356">
        <f>'Material Price'!J122</f>
        <v>60</v>
      </c>
      <c r="L21" s="668">
        <f t="shared" si="1"/>
        <v>240</v>
      </c>
      <c r="M21" s="669"/>
      <c r="N21" s="178"/>
      <c r="O21" s="71"/>
    </row>
    <row r="22" spans="1:15" x14ac:dyDescent="0.3">
      <c r="A22" s="71"/>
      <c r="B22" s="166"/>
      <c r="C22" s="425">
        <f>ROUNDUP(Formulas!L34/350,0)</f>
        <v>1</v>
      </c>
      <c r="D22" s="289" t="s">
        <v>1097</v>
      </c>
      <c r="E22" s="218"/>
      <c r="F22" s="218"/>
      <c r="G22" s="218"/>
      <c r="H22" s="218"/>
      <c r="I22" s="218"/>
      <c r="J22" s="324"/>
      <c r="K22" s="356">
        <f>'Material Price'!J124</f>
        <v>93</v>
      </c>
      <c r="L22" s="668">
        <f t="shared" si="1"/>
        <v>93</v>
      </c>
      <c r="M22" s="669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8">
        <f t="shared" si="1"/>
        <v>0</v>
      </c>
      <c r="M23" s="669"/>
      <c r="N23" s="178"/>
      <c r="O23" s="71"/>
    </row>
    <row r="24" spans="1:15" x14ac:dyDescent="0.3">
      <c r="A24" s="71"/>
      <c r="B24" s="166"/>
      <c r="C24" s="360"/>
      <c r="D24" s="341"/>
      <c r="E24" s="218"/>
      <c r="F24" s="218"/>
      <c r="G24" s="218"/>
      <c r="H24" s="218"/>
      <c r="I24" s="218"/>
      <c r="J24" s="324"/>
      <c r="K24" s="152"/>
      <c r="L24" s="668">
        <f t="shared" si="1"/>
        <v>0</v>
      </c>
      <c r="M24" s="669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8">
        <f t="shared" si="1"/>
        <v>0</v>
      </c>
      <c r="M25" s="669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8">
        <f t="shared" si="1"/>
        <v>0</v>
      </c>
      <c r="M26" s="669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8">
        <f t="shared" si="1"/>
        <v>0</v>
      </c>
      <c r="M28" s="669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8">
        <f t="shared" si="1"/>
        <v>0</v>
      </c>
      <c r="M29" s="669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8">
        <f t="shared" si="1"/>
        <v>0</v>
      </c>
      <c r="M30" s="669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8">
        <f t="shared" si="1"/>
        <v>0</v>
      </c>
      <c r="M31" s="669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8">
        <f t="shared" si="1"/>
        <v>0</v>
      </c>
      <c r="M33" s="669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8">
        <f t="shared" si="1"/>
        <v>0</v>
      </c>
      <c r="M34" s="669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8">
        <f t="shared" si="1"/>
        <v>0</v>
      </c>
      <c r="M35" s="669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8">
        <f t="shared" si="1"/>
        <v>0</v>
      </c>
      <c r="M36" s="669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8">
        <f t="shared" si="1"/>
        <v>0</v>
      </c>
      <c r="M37" s="669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8">
        <f>K38*C38</f>
        <v>0</v>
      </c>
      <c r="M38" s="669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8">
        <f t="shared" ref="L39:L47" si="2">K39*C39</f>
        <v>0</v>
      </c>
      <c r="M39" s="669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8">
        <f t="shared" si="2"/>
        <v>0</v>
      </c>
      <c r="M40" s="669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8">
        <f t="shared" si="2"/>
        <v>0</v>
      </c>
      <c r="M41" s="669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8">
        <f t="shared" si="2"/>
        <v>0</v>
      </c>
      <c r="M42" s="669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8">
        <f t="shared" si="2"/>
        <v>0</v>
      </c>
      <c r="M43" s="669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8">
        <f t="shared" si="2"/>
        <v>0</v>
      </c>
      <c r="M44" s="669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8">
        <f t="shared" si="2"/>
        <v>0</v>
      </c>
      <c r="M45" s="669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8">
        <f t="shared" si="2"/>
        <v>0</v>
      </c>
      <c r="M46" s="669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8">
        <f t="shared" si="2"/>
        <v>0</v>
      </c>
      <c r="M47" s="669"/>
      <c r="N47" s="178"/>
      <c r="O47" s="71"/>
    </row>
    <row r="48" spans="1:15" x14ac:dyDescent="0.3">
      <c r="A48" s="71"/>
      <c r="B48" s="166"/>
      <c r="C48" s="183"/>
      <c r="D48" s="681" t="s">
        <v>10</v>
      </c>
      <c r="E48" s="682"/>
      <c r="F48" s="682"/>
      <c r="G48" s="682"/>
      <c r="H48" s="682"/>
      <c r="I48" s="682"/>
      <c r="J48" s="682"/>
      <c r="K48" s="683"/>
      <c r="L48" s="686">
        <f>(SUM(L10:M47)*0.0625)</f>
        <v>175.671875</v>
      </c>
      <c r="M48" s="686"/>
      <c r="N48" s="178"/>
      <c r="O48" s="71"/>
    </row>
    <row r="49" spans="1:15" x14ac:dyDescent="0.3">
      <c r="A49" s="71"/>
      <c r="B49" s="166"/>
      <c r="C49" s="183"/>
      <c r="D49" s="681" t="s">
        <v>1</v>
      </c>
      <c r="E49" s="682"/>
      <c r="F49" s="682"/>
      <c r="G49" s="682"/>
      <c r="H49" s="682"/>
      <c r="I49" s="682"/>
      <c r="J49" s="682"/>
      <c r="K49" s="683"/>
      <c r="L49" s="684">
        <f>SUM(L10:M48)</f>
        <v>2986.421875</v>
      </c>
      <c r="M49" s="684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L46:M46"/>
    <mergeCell ref="L47:M47"/>
    <mergeCell ref="D48:K48"/>
    <mergeCell ref="L48:M48"/>
    <mergeCell ref="D49:K49"/>
    <mergeCell ref="L49:M49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E7:G7"/>
    <mergeCell ref="C8:M8"/>
    <mergeCell ref="D9:J9"/>
    <mergeCell ref="L9:M9"/>
    <mergeCell ref="D10:J10"/>
    <mergeCell ref="L10:M10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06A53-26B0-4CC3-8984-7C661ECCB1FE}">
  <sheetPr codeName="Sheet42">
    <tabColor rgb="FF00B050"/>
    <pageSetUpPr fitToPage="1"/>
  </sheetPr>
  <dimension ref="A1:O67"/>
  <sheetViews>
    <sheetView showGridLines="0" showZeros="0" view="pageBreakPreview" topLeftCell="C7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1098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8">
        <f t="shared" ref="L11" si="0">K11*C11</f>
        <v>0</v>
      </c>
      <c r="M11" s="669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1099</v>
      </c>
      <c r="E12" s="355"/>
      <c r="F12" s="355"/>
      <c r="G12" s="355"/>
      <c r="H12" s="355"/>
      <c r="I12" s="355"/>
      <c r="J12" s="421"/>
      <c r="K12" s="422">
        <f>'Material Price'!J184</f>
        <v>5.0999999999999996</v>
      </c>
      <c r="L12" s="740">
        <f>K12*C12</f>
        <v>2297.5499999999997</v>
      </c>
      <c r="M12" s="741"/>
      <c r="N12" s="178"/>
      <c r="O12" s="71"/>
    </row>
    <row r="13" spans="1:15" x14ac:dyDescent="0.3">
      <c r="A13" s="71"/>
      <c r="B13" s="166"/>
      <c r="C13" s="360"/>
      <c r="D13" s="566"/>
      <c r="E13" s="567"/>
      <c r="F13" s="567"/>
      <c r="G13" s="567"/>
      <c r="H13" s="567"/>
      <c r="I13" s="567"/>
      <c r="J13" s="568"/>
      <c r="K13" s="152"/>
      <c r="L13" s="668">
        <f t="shared" ref="L13:L37" si="1">K13*C13</f>
        <v>0</v>
      </c>
      <c r="M13" s="669"/>
      <c r="N13" s="178"/>
      <c r="O13" s="71"/>
    </row>
    <row r="14" spans="1:15" x14ac:dyDescent="0.3">
      <c r="A14" s="71"/>
      <c r="B14" s="166"/>
      <c r="C14" s="423"/>
      <c r="D14" s="566" t="s">
        <v>1100</v>
      </c>
      <c r="E14" s="567"/>
      <c r="F14" s="567"/>
      <c r="G14" s="567"/>
      <c r="H14" s="567"/>
      <c r="I14" s="567"/>
      <c r="J14" s="568"/>
      <c r="K14" s="152">
        <f>K12*12</f>
        <v>61.199999999999996</v>
      </c>
      <c r="L14" s="668">
        <f t="shared" si="1"/>
        <v>0</v>
      </c>
      <c r="M14" s="669"/>
      <c r="N14" s="178"/>
      <c r="O14" s="71"/>
    </row>
    <row r="15" spans="1:15" x14ac:dyDescent="0.3">
      <c r="A15" s="71"/>
      <c r="B15" s="166"/>
      <c r="C15" s="423"/>
      <c r="D15" s="217" t="s">
        <v>1101</v>
      </c>
      <c r="E15" s="218"/>
      <c r="F15" s="218"/>
      <c r="G15" s="218"/>
      <c r="H15" s="218"/>
      <c r="I15" s="218"/>
      <c r="J15" s="219"/>
      <c r="K15" s="152">
        <f>K12*16</f>
        <v>81.599999999999994</v>
      </c>
      <c r="L15" s="668">
        <f t="shared" si="1"/>
        <v>0</v>
      </c>
      <c r="M15" s="669"/>
      <c r="N15" s="178"/>
      <c r="O15" s="71"/>
    </row>
    <row r="16" spans="1:15" x14ac:dyDescent="0.3">
      <c r="A16" s="71"/>
      <c r="B16" s="166"/>
      <c r="C16" s="423"/>
      <c r="D16" s="217" t="s">
        <v>1102</v>
      </c>
      <c r="E16" s="218"/>
      <c r="F16" s="218"/>
      <c r="G16" s="218"/>
      <c r="H16" s="218"/>
      <c r="I16" s="218"/>
      <c r="J16" s="219"/>
      <c r="K16" s="356">
        <f>K12*20</f>
        <v>102</v>
      </c>
      <c r="L16" s="668">
        <f t="shared" si="1"/>
        <v>0</v>
      </c>
      <c r="M16" s="669"/>
      <c r="N16" s="178"/>
      <c r="O16" s="71"/>
    </row>
    <row r="17" spans="1:15" x14ac:dyDescent="0.3">
      <c r="A17" s="71"/>
      <c r="B17" s="166"/>
      <c r="C17" s="423"/>
      <c r="D17" s="566" t="s">
        <v>1103</v>
      </c>
      <c r="E17" s="567"/>
      <c r="F17" s="567"/>
      <c r="G17" s="567"/>
      <c r="H17" s="567"/>
      <c r="I17" s="567"/>
      <c r="J17" s="568"/>
      <c r="K17" s="152">
        <f>16*K12</f>
        <v>81.599999999999994</v>
      </c>
      <c r="L17" s="668">
        <f t="shared" si="1"/>
        <v>0</v>
      </c>
      <c r="M17" s="669"/>
      <c r="N17" s="178"/>
      <c r="O17" s="71"/>
    </row>
    <row r="18" spans="1:15" x14ac:dyDescent="0.3">
      <c r="A18" s="71"/>
      <c r="B18" s="166"/>
      <c r="C18" s="423"/>
      <c r="D18" s="364" t="s">
        <v>1104</v>
      </c>
      <c r="E18" s="218"/>
      <c r="F18" s="218"/>
      <c r="G18" s="218"/>
      <c r="H18" s="218"/>
      <c r="I18" s="218"/>
      <c r="J18" s="219"/>
      <c r="K18" s="356">
        <f>K12*20</f>
        <v>102</v>
      </c>
      <c r="L18" s="668">
        <f t="shared" si="1"/>
        <v>0</v>
      </c>
      <c r="M18" s="669"/>
      <c r="N18" s="178"/>
      <c r="O18" s="71"/>
    </row>
    <row r="19" spans="1:15" x14ac:dyDescent="0.3">
      <c r="A19" s="71"/>
      <c r="B19" s="166"/>
      <c r="C19" s="423"/>
      <c r="D19" s="341" t="s">
        <v>1094</v>
      </c>
      <c r="E19" s="218"/>
      <c r="F19" s="218"/>
      <c r="G19" s="218"/>
      <c r="H19" s="218"/>
      <c r="I19" s="218"/>
      <c r="J19" s="219"/>
      <c r="K19" s="356"/>
      <c r="L19" s="668">
        <f t="shared" si="1"/>
        <v>0</v>
      </c>
      <c r="M19" s="669"/>
      <c r="N19" s="178"/>
      <c r="O19" s="71"/>
    </row>
    <row r="20" spans="1:15" x14ac:dyDescent="0.3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8">
        <f t="shared" si="1"/>
        <v>0</v>
      </c>
      <c r="M20" s="669"/>
      <c r="N20" s="178"/>
      <c r="O20" s="71"/>
    </row>
    <row r="21" spans="1:15" x14ac:dyDescent="0.3">
      <c r="A21" s="71"/>
      <c r="B21" s="166"/>
      <c r="C21" s="394">
        <f>ROUNDUP(Formulas!L33/90,0)</f>
        <v>4</v>
      </c>
      <c r="D21" s="217" t="s">
        <v>1078</v>
      </c>
      <c r="E21" s="218"/>
      <c r="F21" s="218"/>
      <c r="G21" s="218"/>
      <c r="H21" s="218"/>
      <c r="I21" s="218"/>
      <c r="J21" s="324"/>
      <c r="K21" s="356">
        <f>'Material Price'!J122</f>
        <v>60</v>
      </c>
      <c r="L21" s="668">
        <f t="shared" si="1"/>
        <v>240</v>
      </c>
      <c r="M21" s="669"/>
      <c r="N21" s="178"/>
      <c r="O21" s="71"/>
    </row>
    <row r="22" spans="1:15" x14ac:dyDescent="0.3">
      <c r="A22" s="71"/>
      <c r="B22" s="166"/>
      <c r="C22" s="425">
        <f>ROUNDUP(Formulas!L34/350,0)</f>
        <v>1</v>
      </c>
      <c r="D22" s="289" t="s">
        <v>1097</v>
      </c>
      <c r="E22" s="218"/>
      <c r="F22" s="218"/>
      <c r="G22" s="218"/>
      <c r="H22" s="218"/>
      <c r="I22" s="218"/>
      <c r="J22" s="324"/>
      <c r="K22" s="356">
        <f>'Material Price'!J124</f>
        <v>93</v>
      </c>
      <c r="L22" s="668">
        <f t="shared" si="1"/>
        <v>93</v>
      </c>
      <c r="M22" s="669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8">
        <f t="shared" si="1"/>
        <v>0</v>
      </c>
      <c r="M23" s="669"/>
      <c r="N23" s="178"/>
      <c r="O23" s="71"/>
    </row>
    <row r="24" spans="1:15" x14ac:dyDescent="0.3">
      <c r="A24" s="71"/>
      <c r="B24" s="166"/>
      <c r="C24" s="360"/>
      <c r="D24" s="341"/>
      <c r="E24" s="218"/>
      <c r="F24" s="218"/>
      <c r="G24" s="218"/>
      <c r="H24" s="218"/>
      <c r="I24" s="218"/>
      <c r="J24" s="324"/>
      <c r="K24" s="152"/>
      <c r="L24" s="668">
        <f t="shared" si="1"/>
        <v>0</v>
      </c>
      <c r="M24" s="669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8">
        <f t="shared" si="1"/>
        <v>0</v>
      </c>
      <c r="M25" s="669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8">
        <f t="shared" si="1"/>
        <v>0</v>
      </c>
      <c r="M26" s="669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8">
        <f t="shared" si="1"/>
        <v>0</v>
      </c>
      <c r="M28" s="669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8">
        <f t="shared" si="1"/>
        <v>0</v>
      </c>
      <c r="M29" s="669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8">
        <f t="shared" si="1"/>
        <v>0</v>
      </c>
      <c r="M30" s="669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8">
        <f t="shared" si="1"/>
        <v>0</v>
      </c>
      <c r="M31" s="669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8">
        <f t="shared" si="1"/>
        <v>0</v>
      </c>
      <c r="M33" s="669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8">
        <f t="shared" si="1"/>
        <v>0</v>
      </c>
      <c r="M34" s="669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8">
        <f t="shared" si="1"/>
        <v>0</v>
      </c>
      <c r="M35" s="669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8">
        <f t="shared" si="1"/>
        <v>0</v>
      </c>
      <c r="M36" s="669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8">
        <f t="shared" si="1"/>
        <v>0</v>
      </c>
      <c r="M37" s="669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8">
        <f>K38*C38</f>
        <v>0</v>
      </c>
      <c r="M38" s="669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8">
        <f t="shared" ref="L39:L47" si="2">K39*C39</f>
        <v>0</v>
      </c>
      <c r="M39" s="669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8">
        <f t="shared" si="2"/>
        <v>0</v>
      </c>
      <c r="M40" s="669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8">
        <f t="shared" si="2"/>
        <v>0</v>
      </c>
      <c r="M41" s="669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8">
        <f t="shared" si="2"/>
        <v>0</v>
      </c>
      <c r="M42" s="669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8">
        <f t="shared" si="2"/>
        <v>0</v>
      </c>
      <c r="M43" s="669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8">
        <f t="shared" si="2"/>
        <v>0</v>
      </c>
      <c r="M44" s="669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8">
        <f t="shared" si="2"/>
        <v>0</v>
      </c>
      <c r="M45" s="669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8">
        <f t="shared" si="2"/>
        <v>0</v>
      </c>
      <c r="M46" s="669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8">
        <f t="shared" si="2"/>
        <v>0</v>
      </c>
      <c r="M47" s="669"/>
      <c r="N47" s="178"/>
      <c r="O47" s="71"/>
    </row>
    <row r="48" spans="1:15" x14ac:dyDescent="0.3">
      <c r="A48" s="71"/>
      <c r="B48" s="166"/>
      <c r="C48" s="183"/>
      <c r="D48" s="681" t="s">
        <v>10</v>
      </c>
      <c r="E48" s="682"/>
      <c r="F48" s="682"/>
      <c r="G48" s="682"/>
      <c r="H48" s="682"/>
      <c r="I48" s="682"/>
      <c r="J48" s="682"/>
      <c r="K48" s="683"/>
      <c r="L48" s="686">
        <f>(SUM(L10:M47)*0.0625)</f>
        <v>164.40937499999998</v>
      </c>
      <c r="M48" s="686"/>
      <c r="N48" s="178"/>
      <c r="O48" s="71"/>
    </row>
    <row r="49" spans="1:15" x14ac:dyDescent="0.3">
      <c r="A49" s="71"/>
      <c r="B49" s="166"/>
      <c r="C49" s="183"/>
      <c r="D49" s="681" t="s">
        <v>1</v>
      </c>
      <c r="E49" s="682"/>
      <c r="F49" s="682"/>
      <c r="G49" s="682"/>
      <c r="H49" s="682"/>
      <c r="I49" s="682"/>
      <c r="J49" s="682"/>
      <c r="K49" s="683"/>
      <c r="L49" s="684">
        <f>SUM(L10:M48)</f>
        <v>2794.9593749999999</v>
      </c>
      <c r="M49" s="684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L46:M46"/>
    <mergeCell ref="L47:M47"/>
    <mergeCell ref="D48:K48"/>
    <mergeCell ref="L48:M48"/>
    <mergeCell ref="D49:K49"/>
    <mergeCell ref="L49:M49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E7:G7"/>
    <mergeCell ref="C8:M8"/>
    <mergeCell ref="D9:J9"/>
    <mergeCell ref="L9:M9"/>
    <mergeCell ref="D10:J10"/>
    <mergeCell ref="L10:M10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4DBAD-84DF-4B6D-9DDB-7F6E2B118EB2}">
  <sheetPr codeName="Sheet43">
    <tabColor rgb="FF00B050"/>
    <pageSetUpPr fitToPage="1"/>
  </sheetPr>
  <dimension ref="A1:O67"/>
  <sheetViews>
    <sheetView showGridLines="0" showZeros="0" view="pageBreakPreview" topLeftCell="C1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1105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8">
        <f t="shared" ref="L11" si="0">K11*C11</f>
        <v>0</v>
      </c>
      <c r="M11" s="669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1099</v>
      </c>
      <c r="E12" s="355"/>
      <c r="F12" s="355"/>
      <c r="G12" s="355"/>
      <c r="H12" s="355"/>
      <c r="I12" s="355"/>
      <c r="J12" s="421"/>
      <c r="K12" s="422">
        <f>'Material Price'!J188</f>
        <v>4.4000000000000004</v>
      </c>
      <c r="L12" s="740">
        <f>K12*C12</f>
        <v>1982.2000000000003</v>
      </c>
      <c r="M12" s="741"/>
      <c r="N12" s="178"/>
      <c r="O12" s="71"/>
    </row>
    <row r="13" spans="1:15" x14ac:dyDescent="0.3">
      <c r="A13" s="71"/>
      <c r="B13" s="166"/>
      <c r="C13" s="360"/>
      <c r="D13" s="566"/>
      <c r="E13" s="567"/>
      <c r="F13" s="567"/>
      <c r="G13" s="567"/>
      <c r="H13" s="567"/>
      <c r="I13" s="567"/>
      <c r="J13" s="568"/>
      <c r="K13" s="152"/>
      <c r="L13" s="668">
        <f t="shared" ref="L13:L37" si="1">K13*C13</f>
        <v>0</v>
      </c>
      <c r="M13" s="669"/>
      <c r="N13" s="178"/>
      <c r="O13" s="71"/>
    </row>
    <row r="14" spans="1:15" x14ac:dyDescent="0.3">
      <c r="A14" s="71"/>
      <c r="B14" s="166"/>
      <c r="C14" s="423"/>
      <c r="D14" s="566" t="s">
        <v>1106</v>
      </c>
      <c r="E14" s="567"/>
      <c r="F14" s="567"/>
      <c r="G14" s="567"/>
      <c r="H14" s="567"/>
      <c r="I14" s="567"/>
      <c r="J14" s="568"/>
      <c r="K14" s="152">
        <f>K12*12</f>
        <v>52.800000000000004</v>
      </c>
      <c r="L14" s="668">
        <f t="shared" si="1"/>
        <v>0</v>
      </c>
      <c r="M14" s="669"/>
      <c r="N14" s="178"/>
      <c r="O14" s="71"/>
    </row>
    <row r="15" spans="1:15" x14ac:dyDescent="0.3">
      <c r="A15" s="71"/>
      <c r="B15" s="166"/>
      <c r="C15" s="423"/>
      <c r="D15" s="217" t="s">
        <v>1107</v>
      </c>
      <c r="E15" s="218"/>
      <c r="F15" s="218"/>
      <c r="G15" s="218"/>
      <c r="H15" s="218"/>
      <c r="I15" s="218"/>
      <c r="J15" s="219"/>
      <c r="K15" s="152">
        <f>K12*16</f>
        <v>70.400000000000006</v>
      </c>
      <c r="L15" s="668">
        <f t="shared" si="1"/>
        <v>0</v>
      </c>
      <c r="M15" s="669"/>
      <c r="N15" s="178"/>
      <c r="O15" s="71"/>
    </row>
    <row r="16" spans="1:15" x14ac:dyDescent="0.3">
      <c r="A16" s="71"/>
      <c r="B16" s="166"/>
      <c r="C16" s="423"/>
      <c r="D16" s="217" t="s">
        <v>1108</v>
      </c>
      <c r="E16" s="218"/>
      <c r="F16" s="218"/>
      <c r="G16" s="218"/>
      <c r="H16" s="218"/>
      <c r="I16" s="218"/>
      <c r="J16" s="219"/>
      <c r="K16" s="356">
        <f>K12*20</f>
        <v>88</v>
      </c>
      <c r="L16" s="668">
        <f t="shared" si="1"/>
        <v>0</v>
      </c>
      <c r="M16" s="669"/>
      <c r="N16" s="178"/>
      <c r="O16" s="71"/>
    </row>
    <row r="17" spans="1:15" x14ac:dyDescent="0.3">
      <c r="A17" s="71"/>
      <c r="B17" s="166"/>
      <c r="C17" s="423"/>
      <c r="D17" s="566" t="s">
        <v>1109</v>
      </c>
      <c r="E17" s="567"/>
      <c r="F17" s="567"/>
      <c r="G17" s="567"/>
      <c r="H17" s="567"/>
      <c r="I17" s="567"/>
      <c r="J17" s="568"/>
      <c r="K17" s="152">
        <f>12*K12</f>
        <v>52.800000000000004</v>
      </c>
      <c r="L17" s="668">
        <f t="shared" si="1"/>
        <v>0</v>
      </c>
      <c r="M17" s="669"/>
      <c r="N17" s="178"/>
      <c r="O17" s="71"/>
    </row>
    <row r="18" spans="1:15" x14ac:dyDescent="0.3">
      <c r="A18" s="71"/>
      <c r="B18" s="166"/>
      <c r="C18" s="423"/>
      <c r="D18" s="566" t="s">
        <v>1110</v>
      </c>
      <c r="E18" s="567"/>
      <c r="F18" s="567"/>
      <c r="G18" s="567"/>
      <c r="H18" s="567"/>
      <c r="I18" s="567"/>
      <c r="J18" s="568"/>
      <c r="K18" s="356">
        <f>K12*16</f>
        <v>70.400000000000006</v>
      </c>
      <c r="L18" s="668">
        <f t="shared" si="1"/>
        <v>0</v>
      </c>
      <c r="M18" s="669"/>
      <c r="N18" s="178"/>
      <c r="O18" s="71"/>
    </row>
    <row r="19" spans="1:15" x14ac:dyDescent="0.3">
      <c r="A19" s="71"/>
      <c r="B19" s="166"/>
      <c r="C19" s="423"/>
      <c r="D19" s="364" t="s">
        <v>1111</v>
      </c>
      <c r="E19" s="218"/>
      <c r="F19" s="218"/>
      <c r="G19" s="218"/>
      <c r="H19" s="218"/>
      <c r="I19" s="218"/>
      <c r="J19" s="219"/>
      <c r="K19" s="356">
        <f>20*K12</f>
        <v>88</v>
      </c>
      <c r="L19" s="668">
        <f t="shared" si="1"/>
        <v>0</v>
      </c>
      <c r="M19" s="669"/>
      <c r="N19" s="178"/>
      <c r="O19" s="71"/>
    </row>
    <row r="20" spans="1:15" x14ac:dyDescent="0.3">
      <c r="A20" s="71"/>
      <c r="B20" s="166"/>
      <c r="C20" s="394"/>
      <c r="D20" s="341" t="s">
        <v>1094</v>
      </c>
      <c r="E20" s="218"/>
      <c r="F20" s="218"/>
      <c r="G20" s="218"/>
      <c r="H20" s="218"/>
      <c r="I20" s="218"/>
      <c r="J20" s="219"/>
      <c r="K20" s="152"/>
      <c r="L20" s="668">
        <f t="shared" si="1"/>
        <v>0</v>
      </c>
      <c r="M20" s="669"/>
      <c r="N20" s="178"/>
      <c r="O20" s="71"/>
    </row>
    <row r="21" spans="1:15" x14ac:dyDescent="0.3">
      <c r="A21" s="71"/>
      <c r="B21" s="166"/>
      <c r="C21" s="394">
        <f>ROUNDUP(Formulas!L33/90,0)</f>
        <v>4</v>
      </c>
      <c r="D21" s="217" t="s">
        <v>1078</v>
      </c>
      <c r="E21" s="218"/>
      <c r="F21" s="218"/>
      <c r="G21" s="218"/>
      <c r="H21" s="218"/>
      <c r="I21" s="218"/>
      <c r="J21" s="324"/>
      <c r="K21" s="356">
        <f>'Material Price'!J122</f>
        <v>60</v>
      </c>
      <c r="L21" s="668">
        <f t="shared" si="1"/>
        <v>240</v>
      </c>
      <c r="M21" s="669"/>
      <c r="N21" s="178"/>
      <c r="O21" s="71"/>
    </row>
    <row r="22" spans="1:15" x14ac:dyDescent="0.3">
      <c r="A22" s="71"/>
      <c r="B22" s="166"/>
      <c r="C22" s="425">
        <f>ROUNDUP(Formulas!L34/350,0)</f>
        <v>1</v>
      </c>
      <c r="D22" s="289" t="s">
        <v>1097</v>
      </c>
      <c r="E22" s="218"/>
      <c r="F22" s="218"/>
      <c r="G22" s="218"/>
      <c r="H22" s="218"/>
      <c r="I22" s="218"/>
      <c r="J22" s="324"/>
      <c r="K22" s="356">
        <f>'Material Price'!J124</f>
        <v>93</v>
      </c>
      <c r="L22" s="668">
        <f t="shared" si="1"/>
        <v>93</v>
      </c>
      <c r="M22" s="669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8">
        <f t="shared" si="1"/>
        <v>0</v>
      </c>
      <c r="M23" s="669"/>
      <c r="N23" s="178"/>
      <c r="O23" s="71"/>
    </row>
    <row r="24" spans="1:15" x14ac:dyDescent="0.3">
      <c r="A24" s="71"/>
      <c r="B24" s="166"/>
      <c r="C24" s="360"/>
      <c r="D24" s="341"/>
      <c r="E24" s="218"/>
      <c r="F24" s="218"/>
      <c r="G24" s="218"/>
      <c r="H24" s="218"/>
      <c r="I24" s="218"/>
      <c r="J24" s="324"/>
      <c r="K24" s="152"/>
      <c r="L24" s="668">
        <f t="shared" si="1"/>
        <v>0</v>
      </c>
      <c r="M24" s="669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8">
        <f t="shared" si="1"/>
        <v>0</v>
      </c>
      <c r="M25" s="669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8">
        <f t="shared" si="1"/>
        <v>0</v>
      </c>
      <c r="M26" s="669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8">
        <f t="shared" si="1"/>
        <v>0</v>
      </c>
      <c r="M28" s="669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8">
        <f t="shared" si="1"/>
        <v>0</v>
      </c>
      <c r="M29" s="669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8">
        <f t="shared" si="1"/>
        <v>0</v>
      </c>
      <c r="M30" s="669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8">
        <f t="shared" si="1"/>
        <v>0</v>
      </c>
      <c r="M31" s="669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8">
        <f t="shared" si="1"/>
        <v>0</v>
      </c>
      <c r="M33" s="669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8">
        <f t="shared" si="1"/>
        <v>0</v>
      </c>
      <c r="M34" s="669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8">
        <f t="shared" si="1"/>
        <v>0</v>
      </c>
      <c r="M35" s="669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8">
        <f t="shared" si="1"/>
        <v>0</v>
      </c>
      <c r="M36" s="669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8">
        <f t="shared" si="1"/>
        <v>0</v>
      </c>
      <c r="M37" s="669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8">
        <f>K38*C38</f>
        <v>0</v>
      </c>
      <c r="M38" s="669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8">
        <f t="shared" ref="L39:L47" si="2">K39*C39</f>
        <v>0</v>
      </c>
      <c r="M39" s="669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8">
        <f t="shared" si="2"/>
        <v>0</v>
      </c>
      <c r="M40" s="669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8">
        <f t="shared" si="2"/>
        <v>0</v>
      </c>
      <c r="M41" s="669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8">
        <f t="shared" si="2"/>
        <v>0</v>
      </c>
      <c r="M42" s="669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8">
        <f t="shared" si="2"/>
        <v>0</v>
      </c>
      <c r="M43" s="669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8">
        <f t="shared" si="2"/>
        <v>0</v>
      </c>
      <c r="M44" s="669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8">
        <f t="shared" si="2"/>
        <v>0</v>
      </c>
      <c r="M45" s="669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8">
        <f t="shared" si="2"/>
        <v>0</v>
      </c>
      <c r="M46" s="669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8">
        <f t="shared" si="2"/>
        <v>0</v>
      </c>
      <c r="M47" s="669"/>
      <c r="N47" s="178"/>
      <c r="O47" s="71"/>
    </row>
    <row r="48" spans="1:15" x14ac:dyDescent="0.3">
      <c r="A48" s="71"/>
      <c r="B48" s="166"/>
      <c r="C48" s="183"/>
      <c r="D48" s="681" t="s">
        <v>10</v>
      </c>
      <c r="E48" s="682"/>
      <c r="F48" s="682"/>
      <c r="G48" s="682"/>
      <c r="H48" s="682"/>
      <c r="I48" s="682"/>
      <c r="J48" s="682"/>
      <c r="K48" s="683"/>
      <c r="L48" s="686">
        <f>(SUM(L10:M47)*0.0625)</f>
        <v>144.70000000000002</v>
      </c>
      <c r="M48" s="686"/>
      <c r="N48" s="178"/>
      <c r="O48" s="71"/>
    </row>
    <row r="49" spans="1:15" x14ac:dyDescent="0.3">
      <c r="A49" s="71"/>
      <c r="B49" s="166"/>
      <c r="C49" s="183"/>
      <c r="D49" s="681" t="s">
        <v>1</v>
      </c>
      <c r="E49" s="682"/>
      <c r="F49" s="682"/>
      <c r="G49" s="682"/>
      <c r="H49" s="682"/>
      <c r="I49" s="682"/>
      <c r="J49" s="682"/>
      <c r="K49" s="683"/>
      <c r="L49" s="684">
        <f>SUM(L10:M48)</f>
        <v>2459.9</v>
      </c>
      <c r="M49" s="684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6">
    <mergeCell ref="L46:M46"/>
    <mergeCell ref="L47:M47"/>
    <mergeCell ref="D48:K48"/>
    <mergeCell ref="L48:M48"/>
    <mergeCell ref="D49:K49"/>
    <mergeCell ref="L49:M49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19:M19"/>
    <mergeCell ref="D18:J18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E7:G7"/>
    <mergeCell ref="C8:M8"/>
    <mergeCell ref="D9:J9"/>
    <mergeCell ref="L9:M9"/>
    <mergeCell ref="D10:J10"/>
    <mergeCell ref="L10:M10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CD8C8-59CC-40DB-A0A0-4DD2AC1AA8F6}">
  <sheetPr codeName="Sheet44">
    <tabColor rgb="FF00B050"/>
    <pageSetUpPr fitToPage="1"/>
  </sheetPr>
  <dimension ref="A1:O67"/>
  <sheetViews>
    <sheetView showGridLines="0" showZeros="0" view="pageBreakPreview" topLeftCell="C4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1112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8">
        <f t="shared" ref="L11" si="0">K11*C11</f>
        <v>0</v>
      </c>
      <c r="M11" s="669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1113</v>
      </c>
      <c r="E12" s="355"/>
      <c r="F12" s="355"/>
      <c r="G12" s="355"/>
      <c r="H12" s="355"/>
      <c r="I12" s="355"/>
      <c r="J12" s="421"/>
      <c r="K12" s="422">
        <f>'Material Price'!J193</f>
        <v>3.3</v>
      </c>
      <c r="L12" s="740">
        <f>K12*C12</f>
        <v>1486.6499999999999</v>
      </c>
      <c r="M12" s="741"/>
      <c r="N12" s="178"/>
      <c r="O12" s="71"/>
    </row>
    <row r="13" spans="1:15" x14ac:dyDescent="0.3">
      <c r="A13" s="71"/>
      <c r="B13" s="166"/>
      <c r="C13" s="360"/>
      <c r="D13" s="566"/>
      <c r="E13" s="567"/>
      <c r="F13" s="567"/>
      <c r="G13" s="567"/>
      <c r="H13" s="567"/>
      <c r="I13" s="567"/>
      <c r="J13" s="568"/>
      <c r="K13" s="152"/>
      <c r="L13" s="668">
        <f t="shared" ref="L13:L37" si="1">K13*C13</f>
        <v>0</v>
      </c>
      <c r="M13" s="669"/>
      <c r="N13" s="178"/>
      <c r="O13" s="71"/>
    </row>
    <row r="14" spans="1:15" x14ac:dyDescent="0.3">
      <c r="A14" s="71"/>
      <c r="B14" s="166"/>
      <c r="C14" s="423"/>
      <c r="D14" s="566" t="s">
        <v>1114</v>
      </c>
      <c r="E14" s="567"/>
      <c r="F14" s="567"/>
      <c r="G14" s="567"/>
      <c r="H14" s="567"/>
      <c r="I14" s="567"/>
      <c r="J14" s="568"/>
      <c r="K14" s="152">
        <f>K12*12</f>
        <v>39.599999999999994</v>
      </c>
      <c r="L14" s="668">
        <f t="shared" si="1"/>
        <v>0</v>
      </c>
      <c r="M14" s="669"/>
      <c r="N14" s="178"/>
      <c r="O14" s="71"/>
    </row>
    <row r="15" spans="1:15" x14ac:dyDescent="0.3">
      <c r="A15" s="71"/>
      <c r="B15" s="166"/>
      <c r="C15" s="423"/>
      <c r="D15" s="217" t="s">
        <v>1115</v>
      </c>
      <c r="E15" s="218"/>
      <c r="F15" s="218"/>
      <c r="G15" s="218"/>
      <c r="H15" s="218"/>
      <c r="I15" s="218"/>
      <c r="J15" s="219"/>
      <c r="K15" s="152">
        <f>K12*16</f>
        <v>52.8</v>
      </c>
      <c r="L15" s="668">
        <f t="shared" si="1"/>
        <v>0</v>
      </c>
      <c r="M15" s="669"/>
      <c r="N15" s="178"/>
      <c r="O15" s="71"/>
    </row>
    <row r="16" spans="1:15" x14ac:dyDescent="0.3">
      <c r="A16" s="71"/>
      <c r="B16" s="166"/>
      <c r="C16" s="423"/>
      <c r="D16" s="217" t="s">
        <v>1116</v>
      </c>
      <c r="E16" s="218"/>
      <c r="F16" s="218"/>
      <c r="G16" s="218"/>
      <c r="H16" s="218"/>
      <c r="I16" s="218"/>
      <c r="J16" s="219"/>
      <c r="K16" s="356">
        <f>K12*20</f>
        <v>66</v>
      </c>
      <c r="L16" s="668">
        <f t="shared" si="1"/>
        <v>0</v>
      </c>
      <c r="M16" s="669"/>
      <c r="N16" s="178"/>
      <c r="O16" s="71"/>
    </row>
    <row r="17" spans="1:15" x14ac:dyDescent="0.3">
      <c r="A17" s="71"/>
      <c r="B17" s="166"/>
      <c r="C17" s="423"/>
      <c r="D17" s="566"/>
      <c r="E17" s="567"/>
      <c r="F17" s="567"/>
      <c r="G17" s="567"/>
      <c r="H17" s="567"/>
      <c r="I17" s="567"/>
      <c r="J17" s="568"/>
      <c r="K17" s="152"/>
      <c r="L17" s="668">
        <f t="shared" si="1"/>
        <v>0</v>
      </c>
      <c r="M17" s="669"/>
      <c r="N17" s="178"/>
      <c r="O17" s="71"/>
    </row>
    <row r="18" spans="1:15" x14ac:dyDescent="0.3">
      <c r="A18" s="71"/>
      <c r="B18" s="166"/>
      <c r="C18" s="423"/>
      <c r="D18" s="364" t="s">
        <v>1117</v>
      </c>
      <c r="E18" s="218"/>
      <c r="F18" s="218"/>
      <c r="G18" s="218"/>
      <c r="H18" s="218"/>
      <c r="I18" s="218"/>
      <c r="J18" s="219"/>
      <c r="K18" s="356">
        <f>K12*20</f>
        <v>66</v>
      </c>
      <c r="L18" s="668">
        <f t="shared" si="1"/>
        <v>0</v>
      </c>
      <c r="M18" s="669"/>
      <c r="N18" s="178"/>
      <c r="O18" s="71"/>
    </row>
    <row r="19" spans="1:15" x14ac:dyDescent="0.3">
      <c r="A19" s="71"/>
      <c r="B19" s="166"/>
      <c r="C19" s="423"/>
      <c r="D19" s="341" t="s">
        <v>1077</v>
      </c>
      <c r="E19" s="218"/>
      <c r="F19" s="218"/>
      <c r="G19" s="218"/>
      <c r="H19" s="218"/>
      <c r="I19" s="218"/>
      <c r="J19" s="219"/>
      <c r="K19" s="356"/>
      <c r="L19" s="668">
        <f t="shared" si="1"/>
        <v>0</v>
      </c>
      <c r="M19" s="669"/>
      <c r="N19" s="178"/>
      <c r="O19" s="71"/>
    </row>
    <row r="20" spans="1:15" x14ac:dyDescent="0.3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8">
        <f t="shared" si="1"/>
        <v>0</v>
      </c>
      <c r="M20" s="669"/>
      <c r="N20" s="178"/>
      <c r="O20" s="71"/>
    </row>
    <row r="21" spans="1:15" x14ac:dyDescent="0.3">
      <c r="A21" s="71"/>
      <c r="B21" s="166"/>
      <c r="C21" s="394">
        <f>ROUNDUP(Formulas!L33/90,0)</f>
        <v>4</v>
      </c>
      <c r="D21" s="217" t="s">
        <v>1118</v>
      </c>
      <c r="E21" s="218"/>
      <c r="F21" s="218"/>
      <c r="G21" s="218"/>
      <c r="H21" s="218"/>
      <c r="I21" s="218"/>
      <c r="J21" s="324"/>
      <c r="K21" s="356">
        <f>'Material Price'!J125</f>
        <v>50</v>
      </c>
      <c r="L21" s="668">
        <f t="shared" si="1"/>
        <v>200</v>
      </c>
      <c r="M21" s="669"/>
      <c r="N21" s="178"/>
      <c r="O21" s="71"/>
    </row>
    <row r="22" spans="1:15" x14ac:dyDescent="0.3">
      <c r="A22" s="71"/>
      <c r="B22" s="166"/>
      <c r="C22" s="425">
        <f>ROUNDUP(Formulas!L34/350,0)</f>
        <v>1</v>
      </c>
      <c r="D22" s="289" t="s">
        <v>1120</v>
      </c>
      <c r="E22" s="218"/>
      <c r="F22" s="218"/>
      <c r="G22" s="218"/>
      <c r="H22" s="218"/>
      <c r="I22" s="218"/>
      <c r="J22" s="324"/>
      <c r="K22" s="356">
        <f>'Material Price'!J126</f>
        <v>90</v>
      </c>
      <c r="L22" s="668">
        <f t="shared" si="1"/>
        <v>90</v>
      </c>
      <c r="M22" s="669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8">
        <f t="shared" si="1"/>
        <v>0</v>
      </c>
      <c r="M23" s="669"/>
      <c r="N23" s="178"/>
      <c r="O23" s="71"/>
    </row>
    <row r="24" spans="1:15" x14ac:dyDescent="0.3">
      <c r="A24" s="71"/>
      <c r="B24" s="166"/>
      <c r="C24" s="360"/>
      <c r="D24" s="341"/>
      <c r="E24" s="218"/>
      <c r="F24" s="218"/>
      <c r="G24" s="218"/>
      <c r="H24" s="218"/>
      <c r="I24" s="218"/>
      <c r="J24" s="324"/>
      <c r="K24" s="152"/>
      <c r="L24" s="668">
        <f t="shared" si="1"/>
        <v>0</v>
      </c>
      <c r="M24" s="669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8">
        <f t="shared" si="1"/>
        <v>0</v>
      </c>
      <c r="M25" s="669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8">
        <f t="shared" si="1"/>
        <v>0</v>
      </c>
      <c r="M26" s="669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8">
        <f t="shared" si="1"/>
        <v>0</v>
      </c>
      <c r="M28" s="669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8">
        <f t="shared" si="1"/>
        <v>0</v>
      </c>
      <c r="M29" s="669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8">
        <f t="shared" si="1"/>
        <v>0</v>
      </c>
      <c r="M30" s="669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8">
        <f t="shared" si="1"/>
        <v>0</v>
      </c>
      <c r="M31" s="669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8">
        <f t="shared" si="1"/>
        <v>0</v>
      </c>
      <c r="M33" s="669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8">
        <f t="shared" si="1"/>
        <v>0</v>
      </c>
      <c r="M34" s="669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8">
        <f t="shared" si="1"/>
        <v>0</v>
      </c>
      <c r="M35" s="669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8">
        <f t="shared" si="1"/>
        <v>0</v>
      </c>
      <c r="M36" s="669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8">
        <f t="shared" si="1"/>
        <v>0</v>
      </c>
      <c r="M37" s="669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8">
        <f>K38*C38</f>
        <v>0</v>
      </c>
      <c r="M38" s="669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8">
        <f t="shared" ref="L39:L47" si="2">K39*C39</f>
        <v>0</v>
      </c>
      <c r="M39" s="669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8">
        <f t="shared" si="2"/>
        <v>0</v>
      </c>
      <c r="M40" s="669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8">
        <f t="shared" si="2"/>
        <v>0</v>
      </c>
      <c r="M41" s="669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8">
        <f t="shared" si="2"/>
        <v>0</v>
      </c>
      <c r="M42" s="669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8">
        <f t="shared" si="2"/>
        <v>0</v>
      </c>
      <c r="M43" s="669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8">
        <f t="shared" si="2"/>
        <v>0</v>
      </c>
      <c r="M44" s="669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8">
        <f t="shared" si="2"/>
        <v>0</v>
      </c>
      <c r="M45" s="669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8">
        <f t="shared" si="2"/>
        <v>0</v>
      </c>
      <c r="M46" s="669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8">
        <f t="shared" si="2"/>
        <v>0</v>
      </c>
      <c r="M47" s="669"/>
      <c r="N47" s="178"/>
      <c r="O47" s="71"/>
    </row>
    <row r="48" spans="1:15" x14ac:dyDescent="0.3">
      <c r="A48" s="71"/>
      <c r="B48" s="166"/>
      <c r="C48" s="183"/>
      <c r="D48" s="681" t="s">
        <v>10</v>
      </c>
      <c r="E48" s="682"/>
      <c r="F48" s="682"/>
      <c r="G48" s="682"/>
      <c r="H48" s="682"/>
      <c r="I48" s="682"/>
      <c r="J48" s="682"/>
      <c r="K48" s="683"/>
      <c r="L48" s="686">
        <f>(SUM(L10:M47)*0.0625)</f>
        <v>111.04062499999999</v>
      </c>
      <c r="M48" s="686"/>
      <c r="N48" s="178"/>
      <c r="O48" s="71"/>
    </row>
    <row r="49" spans="1:15" x14ac:dyDescent="0.3">
      <c r="A49" s="71"/>
      <c r="B49" s="166"/>
      <c r="C49" s="183"/>
      <c r="D49" s="681" t="s">
        <v>1</v>
      </c>
      <c r="E49" s="682"/>
      <c r="F49" s="682"/>
      <c r="G49" s="682"/>
      <c r="H49" s="682"/>
      <c r="I49" s="682"/>
      <c r="J49" s="682"/>
      <c r="K49" s="683"/>
      <c r="L49" s="684">
        <f>SUM(L10:M48)</f>
        <v>1887.690625</v>
      </c>
      <c r="M49" s="684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L46:M46"/>
    <mergeCell ref="L47:M47"/>
    <mergeCell ref="D48:K48"/>
    <mergeCell ref="L48:M48"/>
    <mergeCell ref="D49:K49"/>
    <mergeCell ref="L49:M49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E7:G7"/>
    <mergeCell ref="C8:M8"/>
    <mergeCell ref="D9:J9"/>
    <mergeCell ref="L9:M9"/>
    <mergeCell ref="D10:J10"/>
    <mergeCell ref="L10:M10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BBE08-2D1A-4AA0-A85C-1E3916E65A2A}">
  <sheetPr codeName="Sheet45">
    <tabColor rgb="FF00B050"/>
    <pageSetUpPr fitToPage="1"/>
  </sheetPr>
  <dimension ref="A1:O67"/>
  <sheetViews>
    <sheetView showGridLines="0" showZeros="0" view="pageBreakPreview" topLeftCell="C10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1122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8">
        <f t="shared" ref="L11" si="0">K11*C11</f>
        <v>0</v>
      </c>
      <c r="M11" s="669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1123</v>
      </c>
      <c r="E12" s="355"/>
      <c r="F12" s="355"/>
      <c r="G12" s="355"/>
      <c r="H12" s="355"/>
      <c r="I12" s="355"/>
      <c r="J12" s="421"/>
      <c r="K12" s="422">
        <f>'Material Price'!J192</f>
        <v>3.3</v>
      </c>
      <c r="L12" s="740">
        <f>K12*C12</f>
        <v>1486.6499999999999</v>
      </c>
      <c r="M12" s="741"/>
      <c r="N12" s="178"/>
      <c r="O12" s="71"/>
    </row>
    <row r="13" spans="1:15" x14ac:dyDescent="0.3">
      <c r="A13" s="71"/>
      <c r="B13" s="166"/>
      <c r="C13" s="360"/>
      <c r="D13" s="566"/>
      <c r="E13" s="567"/>
      <c r="F13" s="567"/>
      <c r="G13" s="567"/>
      <c r="H13" s="567"/>
      <c r="I13" s="567"/>
      <c r="J13" s="568"/>
      <c r="K13" s="152"/>
      <c r="L13" s="668">
        <f t="shared" ref="L13:L37" si="1">K13*C13</f>
        <v>0</v>
      </c>
      <c r="M13" s="669"/>
      <c r="N13" s="178"/>
      <c r="O13" s="71"/>
    </row>
    <row r="14" spans="1:15" x14ac:dyDescent="0.3">
      <c r="A14" s="71"/>
      <c r="B14" s="166"/>
      <c r="C14" s="423"/>
      <c r="D14" s="566" t="s">
        <v>1124</v>
      </c>
      <c r="E14" s="567"/>
      <c r="F14" s="567"/>
      <c r="G14" s="567"/>
      <c r="H14" s="567"/>
      <c r="I14" s="567"/>
      <c r="J14" s="568"/>
      <c r="K14" s="152">
        <f>K12*12</f>
        <v>39.599999999999994</v>
      </c>
      <c r="L14" s="668">
        <f t="shared" si="1"/>
        <v>0</v>
      </c>
      <c r="M14" s="669"/>
      <c r="N14" s="178"/>
      <c r="O14" s="71"/>
    </row>
    <row r="15" spans="1:15" x14ac:dyDescent="0.3">
      <c r="A15" s="71"/>
      <c r="B15" s="166"/>
      <c r="C15" s="423"/>
      <c r="D15" s="217" t="s">
        <v>1125</v>
      </c>
      <c r="E15" s="218"/>
      <c r="F15" s="218"/>
      <c r="G15" s="218"/>
      <c r="H15" s="218"/>
      <c r="I15" s="218"/>
      <c r="J15" s="219"/>
      <c r="K15" s="152">
        <f>K12*16</f>
        <v>52.8</v>
      </c>
      <c r="L15" s="668">
        <f t="shared" si="1"/>
        <v>0</v>
      </c>
      <c r="M15" s="669"/>
      <c r="N15" s="178"/>
      <c r="O15" s="71"/>
    </row>
    <row r="16" spans="1:15" x14ac:dyDescent="0.3">
      <c r="A16" s="71"/>
      <c r="B16" s="166"/>
      <c r="C16" s="423"/>
      <c r="D16" s="217" t="s">
        <v>1126</v>
      </c>
      <c r="E16" s="218"/>
      <c r="F16" s="218"/>
      <c r="G16" s="218"/>
      <c r="H16" s="218"/>
      <c r="I16" s="218"/>
      <c r="J16" s="219"/>
      <c r="K16" s="356">
        <f>K12*20</f>
        <v>66</v>
      </c>
      <c r="L16" s="668">
        <f t="shared" si="1"/>
        <v>0</v>
      </c>
      <c r="M16" s="669"/>
      <c r="N16" s="178"/>
      <c r="O16" s="71"/>
    </row>
    <row r="17" spans="1:15" x14ac:dyDescent="0.3">
      <c r="A17" s="71"/>
      <c r="B17" s="166"/>
      <c r="C17" s="423"/>
      <c r="D17" s="566"/>
      <c r="E17" s="567"/>
      <c r="F17" s="567"/>
      <c r="G17" s="567"/>
      <c r="H17" s="567"/>
      <c r="I17" s="567"/>
      <c r="J17" s="568"/>
      <c r="K17" s="152"/>
      <c r="L17" s="668">
        <f t="shared" si="1"/>
        <v>0</v>
      </c>
      <c r="M17" s="669"/>
      <c r="N17" s="178"/>
      <c r="O17" s="71"/>
    </row>
    <row r="18" spans="1:15" x14ac:dyDescent="0.3">
      <c r="A18" s="71"/>
      <c r="B18" s="166"/>
      <c r="C18" s="423"/>
      <c r="D18" s="364" t="s">
        <v>1127</v>
      </c>
      <c r="E18" s="218"/>
      <c r="F18" s="218"/>
      <c r="G18" s="218"/>
      <c r="H18" s="218"/>
      <c r="I18" s="218"/>
      <c r="J18" s="219"/>
      <c r="K18" s="356">
        <f>K12*20</f>
        <v>66</v>
      </c>
      <c r="L18" s="668">
        <f t="shared" si="1"/>
        <v>0</v>
      </c>
      <c r="M18" s="669"/>
      <c r="N18" s="178"/>
      <c r="O18" s="71"/>
    </row>
    <row r="19" spans="1:15" x14ac:dyDescent="0.3">
      <c r="A19" s="71"/>
      <c r="B19" s="166"/>
      <c r="C19" s="423"/>
      <c r="D19" s="341" t="s">
        <v>1077</v>
      </c>
      <c r="E19" s="218"/>
      <c r="F19" s="218"/>
      <c r="G19" s="218"/>
      <c r="H19" s="218"/>
      <c r="I19" s="218"/>
      <c r="J19" s="219"/>
      <c r="K19" s="356"/>
      <c r="L19" s="668">
        <f t="shared" si="1"/>
        <v>0</v>
      </c>
      <c r="M19" s="669"/>
      <c r="N19" s="178"/>
      <c r="O19" s="71"/>
    </row>
    <row r="20" spans="1:15" x14ac:dyDescent="0.3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8">
        <f t="shared" si="1"/>
        <v>0</v>
      </c>
      <c r="M20" s="669"/>
      <c r="N20" s="178"/>
      <c r="O20" s="71"/>
    </row>
    <row r="21" spans="1:15" x14ac:dyDescent="0.3">
      <c r="A21" s="71"/>
      <c r="B21" s="166"/>
      <c r="C21" s="394">
        <f>ROUNDUP(Formulas!L33/90,0)</f>
        <v>4</v>
      </c>
      <c r="D21" s="217" t="s">
        <v>1118</v>
      </c>
      <c r="E21" s="218"/>
      <c r="F21" s="218"/>
      <c r="G21" s="218"/>
      <c r="H21" s="218"/>
      <c r="I21" s="218"/>
      <c r="J21" s="324"/>
      <c r="K21" s="356">
        <f>'Material Price'!J125</f>
        <v>50</v>
      </c>
      <c r="L21" s="668">
        <f t="shared" si="1"/>
        <v>200</v>
      </c>
      <c r="M21" s="669"/>
      <c r="N21" s="178"/>
      <c r="O21" s="71"/>
    </row>
    <row r="22" spans="1:15" x14ac:dyDescent="0.3">
      <c r="A22" s="71"/>
      <c r="B22" s="166"/>
      <c r="C22" s="425">
        <f>ROUNDUP(Formulas!L34/350,0)</f>
        <v>1</v>
      </c>
      <c r="D22" s="289" t="s">
        <v>1120</v>
      </c>
      <c r="E22" s="218"/>
      <c r="F22" s="218"/>
      <c r="G22" s="218"/>
      <c r="H22" s="218"/>
      <c r="I22" s="218"/>
      <c r="J22" s="324"/>
      <c r="K22" s="356">
        <f>'Material Price'!J126</f>
        <v>90</v>
      </c>
      <c r="L22" s="668">
        <f t="shared" si="1"/>
        <v>90</v>
      </c>
      <c r="M22" s="669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8">
        <f t="shared" si="1"/>
        <v>0</v>
      </c>
      <c r="M23" s="669"/>
      <c r="N23" s="178"/>
      <c r="O23" s="71"/>
    </row>
    <row r="24" spans="1:15" x14ac:dyDescent="0.3">
      <c r="A24" s="71"/>
      <c r="B24" s="166"/>
      <c r="C24" s="360"/>
      <c r="D24" s="341"/>
      <c r="E24" s="218"/>
      <c r="F24" s="218"/>
      <c r="G24" s="218"/>
      <c r="H24" s="218"/>
      <c r="I24" s="218"/>
      <c r="J24" s="324"/>
      <c r="K24" s="152"/>
      <c r="L24" s="668">
        <f t="shared" si="1"/>
        <v>0</v>
      </c>
      <c r="M24" s="669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8">
        <f t="shared" si="1"/>
        <v>0</v>
      </c>
      <c r="M25" s="669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8">
        <f t="shared" si="1"/>
        <v>0</v>
      </c>
      <c r="M26" s="669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8">
        <f t="shared" si="1"/>
        <v>0</v>
      </c>
      <c r="M28" s="669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8">
        <f t="shared" si="1"/>
        <v>0</v>
      </c>
      <c r="M29" s="669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8">
        <f t="shared" si="1"/>
        <v>0</v>
      </c>
      <c r="M30" s="669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8">
        <f t="shared" si="1"/>
        <v>0</v>
      </c>
      <c r="M31" s="669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8">
        <f t="shared" si="1"/>
        <v>0</v>
      </c>
      <c r="M33" s="669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8">
        <f t="shared" si="1"/>
        <v>0</v>
      </c>
      <c r="M34" s="669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8">
        <f t="shared" si="1"/>
        <v>0</v>
      </c>
      <c r="M35" s="669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8">
        <f t="shared" si="1"/>
        <v>0</v>
      </c>
      <c r="M36" s="669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8">
        <f t="shared" si="1"/>
        <v>0</v>
      </c>
      <c r="M37" s="669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8">
        <f>K38*C38</f>
        <v>0</v>
      </c>
      <c r="M38" s="669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8">
        <f t="shared" ref="L39:L47" si="2">K39*C39</f>
        <v>0</v>
      </c>
      <c r="M39" s="669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8">
        <f t="shared" si="2"/>
        <v>0</v>
      </c>
      <c r="M40" s="669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8">
        <f t="shared" si="2"/>
        <v>0</v>
      </c>
      <c r="M41" s="669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8">
        <f t="shared" si="2"/>
        <v>0</v>
      </c>
      <c r="M42" s="669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8">
        <f t="shared" si="2"/>
        <v>0</v>
      </c>
      <c r="M43" s="669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8">
        <f t="shared" si="2"/>
        <v>0</v>
      </c>
      <c r="M44" s="669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8">
        <f t="shared" si="2"/>
        <v>0</v>
      </c>
      <c r="M45" s="669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8">
        <f t="shared" si="2"/>
        <v>0</v>
      </c>
      <c r="M46" s="669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8">
        <f t="shared" si="2"/>
        <v>0</v>
      </c>
      <c r="M47" s="669"/>
      <c r="N47" s="178"/>
      <c r="O47" s="71"/>
    </row>
    <row r="48" spans="1:15" x14ac:dyDescent="0.3">
      <c r="A48" s="71"/>
      <c r="B48" s="166"/>
      <c r="C48" s="183"/>
      <c r="D48" s="681" t="s">
        <v>10</v>
      </c>
      <c r="E48" s="682"/>
      <c r="F48" s="682"/>
      <c r="G48" s="682"/>
      <c r="H48" s="682"/>
      <c r="I48" s="682"/>
      <c r="J48" s="682"/>
      <c r="K48" s="683"/>
      <c r="L48" s="686">
        <f>(SUM(L10:M47)*0.0625)</f>
        <v>111.04062499999999</v>
      </c>
      <c r="M48" s="686"/>
      <c r="N48" s="178"/>
      <c r="O48" s="71"/>
    </row>
    <row r="49" spans="1:15" x14ac:dyDescent="0.3">
      <c r="A49" s="71"/>
      <c r="B49" s="166"/>
      <c r="C49" s="183"/>
      <c r="D49" s="681" t="s">
        <v>1</v>
      </c>
      <c r="E49" s="682"/>
      <c r="F49" s="682"/>
      <c r="G49" s="682"/>
      <c r="H49" s="682"/>
      <c r="I49" s="682"/>
      <c r="J49" s="682"/>
      <c r="K49" s="683"/>
      <c r="L49" s="684">
        <f>SUM(L10:M48)</f>
        <v>1887.690625</v>
      </c>
      <c r="M49" s="684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L46:M46"/>
    <mergeCell ref="L47:M47"/>
    <mergeCell ref="D48:K48"/>
    <mergeCell ref="L48:M48"/>
    <mergeCell ref="D49:K49"/>
    <mergeCell ref="L49:M49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E7:G7"/>
    <mergeCell ref="C8:M8"/>
    <mergeCell ref="D9:J9"/>
    <mergeCell ref="L9:M9"/>
    <mergeCell ref="D10:J10"/>
    <mergeCell ref="L10:M10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96690-482B-40DC-A193-D9D340C63751}">
  <sheetPr codeName="Sheet46">
    <tabColor rgb="FF00B050"/>
    <pageSetUpPr fitToPage="1"/>
  </sheetPr>
  <dimension ref="A1:O67"/>
  <sheetViews>
    <sheetView showGridLines="0" showZeros="0" view="pageBreakPreview" topLeftCell="C10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1129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8">
        <f t="shared" ref="L11" si="0">K11*C11</f>
        <v>0</v>
      </c>
      <c r="M11" s="669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1130</v>
      </c>
      <c r="E12" s="355"/>
      <c r="F12" s="355"/>
      <c r="G12" s="355"/>
      <c r="H12" s="355"/>
      <c r="I12" s="355"/>
      <c r="J12" s="421"/>
      <c r="K12" s="422">
        <f>'Material Price'!J197</f>
        <v>3.5</v>
      </c>
      <c r="L12" s="740">
        <f>K12*C12</f>
        <v>1576.75</v>
      </c>
      <c r="M12" s="741"/>
      <c r="N12" s="178"/>
      <c r="O12" s="71"/>
    </row>
    <row r="13" spans="1:15" x14ac:dyDescent="0.3">
      <c r="A13" s="71"/>
      <c r="B13" s="166"/>
      <c r="C13" s="360"/>
      <c r="D13" s="566"/>
      <c r="E13" s="567"/>
      <c r="F13" s="567"/>
      <c r="G13" s="567"/>
      <c r="H13" s="567"/>
      <c r="I13" s="567"/>
      <c r="J13" s="568"/>
      <c r="K13" s="152"/>
      <c r="L13" s="668">
        <f t="shared" ref="L13:L37" si="1">K13*C13</f>
        <v>0</v>
      </c>
      <c r="M13" s="669"/>
      <c r="N13" s="178"/>
      <c r="O13" s="71"/>
    </row>
    <row r="14" spans="1:15" x14ac:dyDescent="0.3">
      <c r="A14" s="71"/>
      <c r="B14" s="166"/>
      <c r="C14" s="423"/>
      <c r="D14" s="566" t="s">
        <v>1131</v>
      </c>
      <c r="E14" s="567"/>
      <c r="F14" s="567"/>
      <c r="G14" s="567"/>
      <c r="H14" s="567"/>
      <c r="I14" s="567"/>
      <c r="J14" s="568"/>
      <c r="K14" s="152">
        <f>K12*12</f>
        <v>42</v>
      </c>
      <c r="L14" s="668">
        <f t="shared" si="1"/>
        <v>0</v>
      </c>
      <c r="M14" s="669"/>
      <c r="N14" s="178"/>
      <c r="O14" s="71"/>
    </row>
    <row r="15" spans="1:15" x14ac:dyDescent="0.3">
      <c r="A15" s="71"/>
      <c r="B15" s="166"/>
      <c r="C15" s="423"/>
      <c r="D15" s="217" t="s">
        <v>1132</v>
      </c>
      <c r="E15" s="218"/>
      <c r="F15" s="218"/>
      <c r="G15" s="218"/>
      <c r="H15" s="218"/>
      <c r="I15" s="218"/>
      <c r="J15" s="219"/>
      <c r="K15" s="152">
        <f>K12*16</f>
        <v>56</v>
      </c>
      <c r="L15" s="668">
        <f t="shared" si="1"/>
        <v>0</v>
      </c>
      <c r="M15" s="669"/>
      <c r="N15" s="178"/>
      <c r="O15" s="71"/>
    </row>
    <row r="16" spans="1:15" x14ac:dyDescent="0.3">
      <c r="A16" s="71"/>
      <c r="B16" s="166"/>
      <c r="C16" s="423"/>
      <c r="D16" s="217" t="s">
        <v>1133</v>
      </c>
      <c r="E16" s="218"/>
      <c r="F16" s="218"/>
      <c r="G16" s="218"/>
      <c r="H16" s="218"/>
      <c r="I16" s="218"/>
      <c r="J16" s="219"/>
      <c r="K16" s="356">
        <f>K12*20</f>
        <v>70</v>
      </c>
      <c r="L16" s="668">
        <f t="shared" si="1"/>
        <v>0</v>
      </c>
      <c r="M16" s="669"/>
      <c r="N16" s="178"/>
      <c r="O16" s="71"/>
    </row>
    <row r="17" spans="1:15" x14ac:dyDescent="0.3">
      <c r="A17" s="71"/>
      <c r="B17" s="166"/>
      <c r="C17" s="423"/>
      <c r="D17" s="566" t="s">
        <v>1135</v>
      </c>
      <c r="E17" s="567"/>
      <c r="F17" s="567"/>
      <c r="G17" s="567"/>
      <c r="H17" s="567"/>
      <c r="I17" s="567"/>
      <c r="J17" s="568"/>
      <c r="K17" s="356">
        <f>K12*12</f>
        <v>42</v>
      </c>
      <c r="L17" s="668">
        <f t="shared" si="1"/>
        <v>0</v>
      </c>
      <c r="M17" s="669"/>
      <c r="N17" s="178"/>
      <c r="O17" s="71"/>
    </row>
    <row r="18" spans="1:15" x14ac:dyDescent="0.3">
      <c r="A18" s="71"/>
      <c r="B18" s="166"/>
      <c r="C18" s="423"/>
      <c r="D18" s="364" t="s">
        <v>1136</v>
      </c>
      <c r="E18" s="218"/>
      <c r="F18" s="218"/>
      <c r="G18" s="218"/>
      <c r="H18" s="218"/>
      <c r="I18" s="218"/>
      <c r="J18" s="219"/>
      <c r="K18" s="356">
        <f>K12*16</f>
        <v>56</v>
      </c>
      <c r="L18" s="668">
        <f t="shared" si="1"/>
        <v>0</v>
      </c>
      <c r="M18" s="669"/>
      <c r="N18" s="178"/>
      <c r="O18" s="71"/>
    </row>
    <row r="19" spans="1:15" x14ac:dyDescent="0.3">
      <c r="A19" s="71"/>
      <c r="B19" s="166"/>
      <c r="C19" s="423"/>
      <c r="D19" s="364" t="s">
        <v>1134</v>
      </c>
      <c r="E19" s="218"/>
      <c r="F19" s="218"/>
      <c r="G19" s="218"/>
      <c r="H19" s="218"/>
      <c r="I19" s="218"/>
      <c r="J19" s="219"/>
      <c r="K19" s="356">
        <f>20*K12</f>
        <v>70</v>
      </c>
      <c r="L19" s="668">
        <f t="shared" si="1"/>
        <v>0</v>
      </c>
      <c r="M19" s="669"/>
      <c r="N19" s="178"/>
      <c r="O19" s="71"/>
    </row>
    <row r="20" spans="1:15" x14ac:dyDescent="0.3">
      <c r="A20" s="71"/>
      <c r="B20" s="166"/>
      <c r="C20" s="394"/>
      <c r="D20" s="341" t="s">
        <v>1077</v>
      </c>
      <c r="E20" s="218"/>
      <c r="F20" s="218"/>
      <c r="G20" s="218"/>
      <c r="H20" s="345"/>
      <c r="I20" s="345"/>
      <c r="J20" s="353"/>
      <c r="K20" s="152"/>
      <c r="L20" s="668">
        <f t="shared" si="1"/>
        <v>0</v>
      </c>
      <c r="M20" s="669"/>
      <c r="N20" s="178"/>
      <c r="O20" s="71"/>
    </row>
    <row r="21" spans="1:15" x14ac:dyDescent="0.3">
      <c r="A21" s="71"/>
      <c r="B21" s="166"/>
      <c r="C21" s="394">
        <f>ROUNDUP(Formulas!L33/90,0)</f>
        <v>4</v>
      </c>
      <c r="D21" s="217" t="s">
        <v>1137</v>
      </c>
      <c r="E21" s="218"/>
      <c r="F21" s="218"/>
      <c r="G21" s="218"/>
      <c r="H21" s="218"/>
      <c r="I21" s="218"/>
      <c r="J21" s="324"/>
      <c r="K21" s="356">
        <f>'Material Price'!J125</f>
        <v>50</v>
      </c>
      <c r="L21" s="668">
        <f t="shared" si="1"/>
        <v>200</v>
      </c>
      <c r="M21" s="669"/>
      <c r="N21" s="178"/>
      <c r="O21" s="71"/>
    </row>
    <row r="22" spans="1:15" x14ac:dyDescent="0.3">
      <c r="A22" s="71"/>
      <c r="B22" s="166"/>
      <c r="C22" s="425">
        <f>ROUNDUP(Formulas!L34/350,0)</f>
        <v>1</v>
      </c>
      <c r="D22" s="289" t="s">
        <v>1138</v>
      </c>
      <c r="E22" s="218"/>
      <c r="F22" s="218"/>
      <c r="G22" s="218"/>
      <c r="H22" s="218"/>
      <c r="I22" s="218"/>
      <c r="J22" s="324"/>
      <c r="K22" s="356">
        <f>'Material Price'!J126</f>
        <v>90</v>
      </c>
      <c r="L22" s="668">
        <f t="shared" si="1"/>
        <v>90</v>
      </c>
      <c r="M22" s="669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8">
        <f t="shared" si="1"/>
        <v>0</v>
      </c>
      <c r="M23" s="669"/>
      <c r="N23" s="178"/>
      <c r="O23" s="71"/>
    </row>
    <row r="24" spans="1:15" x14ac:dyDescent="0.3">
      <c r="A24" s="71"/>
      <c r="B24" s="166"/>
      <c r="C24" s="360"/>
      <c r="D24" s="341"/>
      <c r="E24" s="218"/>
      <c r="F24" s="218"/>
      <c r="G24" s="218"/>
      <c r="H24" s="218"/>
      <c r="I24" s="218"/>
      <c r="J24" s="324"/>
      <c r="K24" s="152"/>
      <c r="L24" s="668">
        <f t="shared" si="1"/>
        <v>0</v>
      </c>
      <c r="M24" s="669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8">
        <f t="shared" si="1"/>
        <v>0</v>
      </c>
      <c r="M25" s="669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8">
        <f t="shared" si="1"/>
        <v>0</v>
      </c>
      <c r="M26" s="669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8">
        <f t="shared" si="1"/>
        <v>0</v>
      </c>
      <c r="M28" s="669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8">
        <f t="shared" si="1"/>
        <v>0</v>
      </c>
      <c r="M29" s="669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8">
        <f t="shared" si="1"/>
        <v>0</v>
      </c>
      <c r="M30" s="669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8">
        <f t="shared" si="1"/>
        <v>0</v>
      </c>
      <c r="M31" s="669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8">
        <f t="shared" si="1"/>
        <v>0</v>
      </c>
      <c r="M33" s="669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8">
        <f t="shared" si="1"/>
        <v>0</v>
      </c>
      <c r="M34" s="669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8">
        <f t="shared" si="1"/>
        <v>0</v>
      </c>
      <c r="M35" s="669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8">
        <f t="shared" si="1"/>
        <v>0</v>
      </c>
      <c r="M36" s="669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8">
        <f t="shared" si="1"/>
        <v>0</v>
      </c>
      <c r="M37" s="669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8">
        <f>K38*C38</f>
        <v>0</v>
      </c>
      <c r="M38" s="669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8">
        <f t="shared" ref="L39:L47" si="2">K39*C39</f>
        <v>0</v>
      </c>
      <c r="M39" s="669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8">
        <f t="shared" si="2"/>
        <v>0</v>
      </c>
      <c r="M40" s="669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8">
        <f t="shared" si="2"/>
        <v>0</v>
      </c>
      <c r="M41" s="669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8">
        <f t="shared" si="2"/>
        <v>0</v>
      </c>
      <c r="M42" s="669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8">
        <f t="shared" si="2"/>
        <v>0</v>
      </c>
      <c r="M43" s="669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8">
        <f t="shared" si="2"/>
        <v>0</v>
      </c>
      <c r="M44" s="669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8">
        <f t="shared" si="2"/>
        <v>0</v>
      </c>
      <c r="M45" s="669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8">
        <f t="shared" si="2"/>
        <v>0</v>
      </c>
      <c r="M46" s="669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8">
        <f t="shared" si="2"/>
        <v>0</v>
      </c>
      <c r="M47" s="669"/>
      <c r="N47" s="178"/>
      <c r="O47" s="71"/>
    </row>
    <row r="48" spans="1:15" x14ac:dyDescent="0.3">
      <c r="A48" s="71"/>
      <c r="B48" s="166"/>
      <c r="C48" s="183"/>
      <c r="D48" s="681" t="s">
        <v>10</v>
      </c>
      <c r="E48" s="682"/>
      <c r="F48" s="682"/>
      <c r="G48" s="682"/>
      <c r="H48" s="682"/>
      <c r="I48" s="682"/>
      <c r="J48" s="682"/>
      <c r="K48" s="683"/>
      <c r="L48" s="686">
        <f>(SUM(L10:M47)*0.0625)</f>
        <v>116.671875</v>
      </c>
      <c r="M48" s="686"/>
      <c r="N48" s="178"/>
      <c r="O48" s="71"/>
    </row>
    <row r="49" spans="1:15" x14ac:dyDescent="0.3">
      <c r="A49" s="71"/>
      <c r="B49" s="166"/>
      <c r="C49" s="183"/>
      <c r="D49" s="681" t="s">
        <v>1</v>
      </c>
      <c r="E49" s="682"/>
      <c r="F49" s="682"/>
      <c r="G49" s="682"/>
      <c r="H49" s="682"/>
      <c r="I49" s="682"/>
      <c r="J49" s="682"/>
      <c r="K49" s="683"/>
      <c r="L49" s="684">
        <f>SUM(L10:M48)</f>
        <v>1983.421875</v>
      </c>
      <c r="M49" s="684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L46:M46"/>
    <mergeCell ref="L47:M47"/>
    <mergeCell ref="D48:K48"/>
    <mergeCell ref="L48:M48"/>
    <mergeCell ref="D49:K49"/>
    <mergeCell ref="L49:M49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E7:G7"/>
    <mergeCell ref="C8:M8"/>
    <mergeCell ref="D9:J9"/>
    <mergeCell ref="L9:M9"/>
    <mergeCell ref="D10:J10"/>
    <mergeCell ref="L10:M10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EAB76-AB57-4C69-B059-AE133C2B0E01}">
  <sheetPr codeName="Sheet47">
    <tabColor rgb="FF00B050"/>
    <pageSetUpPr fitToPage="1"/>
  </sheetPr>
  <dimension ref="A1:O67"/>
  <sheetViews>
    <sheetView showGridLines="0" showZeros="0" view="pageBreakPreview" topLeftCell="C7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1140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8">
        <f t="shared" ref="L11" si="0">K11*C11</f>
        <v>0</v>
      </c>
      <c r="M11" s="669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1141</v>
      </c>
      <c r="E12" s="355"/>
      <c r="F12" s="355"/>
      <c r="G12" s="355"/>
      <c r="H12" s="355"/>
      <c r="I12" s="355"/>
      <c r="J12" s="421"/>
      <c r="K12" s="422">
        <f>'Material Price'!J201</f>
        <v>4.8099999999999996</v>
      </c>
      <c r="L12" s="740">
        <f>K12*C12</f>
        <v>2166.9049999999997</v>
      </c>
      <c r="M12" s="741"/>
      <c r="N12" s="178"/>
      <c r="O12" s="71"/>
    </row>
    <row r="13" spans="1:15" x14ac:dyDescent="0.3">
      <c r="A13" s="71"/>
      <c r="B13" s="166"/>
      <c r="C13" s="360"/>
      <c r="D13" s="826"/>
      <c r="E13" s="827"/>
      <c r="F13" s="827"/>
      <c r="G13" s="827"/>
      <c r="H13" s="827"/>
      <c r="I13" s="827"/>
      <c r="J13" s="828"/>
      <c r="K13" s="152"/>
      <c r="L13" s="668">
        <f t="shared" ref="L13:L37" si="1">K13*C13</f>
        <v>0</v>
      </c>
      <c r="M13" s="669"/>
      <c r="N13" s="178"/>
      <c r="O13" s="71"/>
    </row>
    <row r="14" spans="1:15" x14ac:dyDescent="0.3">
      <c r="A14" s="71"/>
      <c r="B14" s="166"/>
      <c r="C14" s="423"/>
      <c r="D14" s="566" t="s">
        <v>1142</v>
      </c>
      <c r="E14" s="567"/>
      <c r="F14" s="567"/>
      <c r="G14" s="567"/>
      <c r="H14" s="567"/>
      <c r="I14" s="567"/>
      <c r="J14" s="568"/>
      <c r="K14" s="152">
        <f>K12*12</f>
        <v>57.72</v>
      </c>
      <c r="L14" s="668">
        <f t="shared" si="1"/>
        <v>0</v>
      </c>
      <c r="M14" s="669"/>
      <c r="N14" s="178"/>
      <c r="O14" s="71"/>
    </row>
    <row r="15" spans="1:15" x14ac:dyDescent="0.3">
      <c r="A15" s="71"/>
      <c r="B15" s="166"/>
      <c r="C15" s="423"/>
      <c r="D15" s="217" t="s">
        <v>1143</v>
      </c>
      <c r="E15" s="218"/>
      <c r="F15" s="218"/>
      <c r="G15" s="218"/>
      <c r="H15" s="218"/>
      <c r="I15" s="218"/>
      <c r="J15" s="219"/>
      <c r="K15" s="152">
        <f>K12*16</f>
        <v>76.959999999999994</v>
      </c>
      <c r="L15" s="668">
        <f t="shared" si="1"/>
        <v>0</v>
      </c>
      <c r="M15" s="669"/>
      <c r="N15" s="178"/>
      <c r="O15" s="71"/>
    </row>
    <row r="16" spans="1:15" x14ac:dyDescent="0.3">
      <c r="A16" s="71"/>
      <c r="B16" s="166"/>
      <c r="C16" s="423"/>
      <c r="D16" s="217" t="s">
        <v>1144</v>
      </c>
      <c r="E16" s="218"/>
      <c r="F16" s="218"/>
      <c r="G16" s="218"/>
      <c r="H16" s="218"/>
      <c r="I16" s="218"/>
      <c r="J16" s="219"/>
      <c r="K16" s="356">
        <f>K12*20</f>
        <v>96.199999999999989</v>
      </c>
      <c r="L16" s="668">
        <f t="shared" si="1"/>
        <v>0</v>
      </c>
      <c r="M16" s="669"/>
      <c r="N16" s="178"/>
      <c r="O16" s="71"/>
    </row>
    <row r="17" spans="1:15" x14ac:dyDescent="0.3">
      <c r="A17" s="71"/>
      <c r="B17" s="166"/>
      <c r="C17" s="423"/>
      <c r="D17" s="566" t="s">
        <v>1145</v>
      </c>
      <c r="E17" s="567"/>
      <c r="F17" s="567"/>
      <c r="G17" s="567"/>
      <c r="H17" s="567"/>
      <c r="I17" s="567"/>
      <c r="J17" s="568"/>
      <c r="K17" s="152">
        <f>16*K12</f>
        <v>76.959999999999994</v>
      </c>
      <c r="L17" s="668">
        <f t="shared" si="1"/>
        <v>0</v>
      </c>
      <c r="M17" s="669"/>
      <c r="N17" s="178"/>
      <c r="O17" s="71"/>
    </row>
    <row r="18" spans="1:15" x14ac:dyDescent="0.3">
      <c r="A18" s="71"/>
      <c r="B18" s="166"/>
      <c r="C18" s="423"/>
      <c r="D18" s="364" t="s">
        <v>1146</v>
      </c>
      <c r="E18" s="218"/>
      <c r="F18" s="218"/>
      <c r="G18" s="218"/>
      <c r="H18" s="218"/>
      <c r="I18" s="218"/>
      <c r="J18" s="219"/>
      <c r="K18" s="356">
        <f>K12*20</f>
        <v>96.199999999999989</v>
      </c>
      <c r="L18" s="668">
        <f t="shared" si="1"/>
        <v>0</v>
      </c>
      <c r="M18" s="669"/>
      <c r="N18" s="178"/>
      <c r="O18" s="71"/>
    </row>
    <row r="19" spans="1:15" x14ac:dyDescent="0.3">
      <c r="A19" s="71"/>
      <c r="B19" s="166"/>
      <c r="C19" s="423"/>
      <c r="D19" s="364" t="s">
        <v>1150</v>
      </c>
      <c r="E19" s="218"/>
      <c r="F19" s="218"/>
      <c r="G19" s="218"/>
      <c r="H19" s="218"/>
      <c r="I19" s="218"/>
      <c r="J19" s="219"/>
      <c r="K19" s="356">
        <f>K12*16</f>
        <v>76.959999999999994</v>
      </c>
      <c r="L19" s="668">
        <f t="shared" si="1"/>
        <v>0</v>
      </c>
      <c r="M19" s="669"/>
      <c r="N19" s="178"/>
      <c r="O19" s="71"/>
    </row>
    <row r="20" spans="1:15" x14ac:dyDescent="0.3">
      <c r="A20" s="71"/>
      <c r="B20" s="166"/>
      <c r="C20" s="394"/>
      <c r="D20" s="217" t="s">
        <v>1152</v>
      </c>
      <c r="E20" s="345"/>
      <c r="F20" s="345"/>
      <c r="G20" s="345"/>
      <c r="H20" s="345"/>
      <c r="I20" s="345"/>
      <c r="J20" s="353"/>
      <c r="K20" s="152">
        <f>K12*20</f>
        <v>96.199999999999989</v>
      </c>
      <c r="L20" s="668">
        <f t="shared" si="1"/>
        <v>0</v>
      </c>
      <c r="M20" s="669"/>
      <c r="N20" s="178"/>
      <c r="O20" s="71"/>
    </row>
    <row r="21" spans="1:15" x14ac:dyDescent="0.3">
      <c r="A21" s="71"/>
      <c r="B21" s="166"/>
      <c r="C21" s="394"/>
      <c r="D21" s="341" t="s">
        <v>1151</v>
      </c>
      <c r="E21" s="218"/>
      <c r="F21" s="218"/>
      <c r="G21" s="218"/>
      <c r="H21" s="218"/>
      <c r="I21" s="218"/>
      <c r="J21" s="324"/>
      <c r="K21" s="356"/>
      <c r="L21" s="668">
        <f t="shared" si="1"/>
        <v>0</v>
      </c>
      <c r="M21" s="669"/>
      <c r="N21" s="178"/>
      <c r="O21" s="71"/>
    </row>
    <row r="22" spans="1:15" x14ac:dyDescent="0.3">
      <c r="A22" s="71"/>
      <c r="B22" s="166"/>
      <c r="C22" s="425">
        <f>ROUNDUP(Formulas!L33/100,0)</f>
        <v>4</v>
      </c>
      <c r="D22" s="217" t="s">
        <v>1147</v>
      </c>
      <c r="E22" s="218"/>
      <c r="F22" s="218"/>
      <c r="G22" s="218"/>
      <c r="H22" s="218"/>
      <c r="I22" s="218"/>
      <c r="J22" s="324"/>
      <c r="K22" s="356">
        <f>'Material Price'!J128</f>
        <v>90</v>
      </c>
      <c r="L22" s="668">
        <f t="shared" si="1"/>
        <v>360</v>
      </c>
      <c r="M22" s="669"/>
      <c r="N22" s="178"/>
      <c r="O22" s="71"/>
    </row>
    <row r="23" spans="1:15" x14ac:dyDescent="0.3">
      <c r="A23" s="71"/>
      <c r="B23" s="166"/>
      <c r="C23" s="360">
        <f>ROUNDUP(Formulas!L34/350,0)</f>
        <v>1</v>
      </c>
      <c r="D23" s="289" t="s">
        <v>1149</v>
      </c>
      <c r="E23" s="218"/>
      <c r="F23" s="218"/>
      <c r="G23" s="218"/>
      <c r="H23" s="218"/>
      <c r="I23" s="218"/>
      <c r="J23" s="324"/>
      <c r="K23" s="356">
        <f>'Material Price'!J129</f>
        <v>120</v>
      </c>
      <c r="L23" s="668">
        <f t="shared" si="1"/>
        <v>120</v>
      </c>
      <c r="M23" s="669"/>
      <c r="N23" s="178"/>
      <c r="O23" s="71"/>
    </row>
    <row r="24" spans="1:15" x14ac:dyDescent="0.3">
      <c r="A24" s="71"/>
      <c r="B24" s="166"/>
      <c r="C24" s="360"/>
      <c r="D24" s="341"/>
      <c r="E24" s="218"/>
      <c r="F24" s="218"/>
      <c r="G24" s="218"/>
      <c r="H24" s="218"/>
      <c r="I24" s="218"/>
      <c r="J24" s="324"/>
      <c r="K24" s="152"/>
      <c r="L24" s="668">
        <f t="shared" si="1"/>
        <v>0</v>
      </c>
      <c r="M24" s="669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8">
        <f t="shared" si="1"/>
        <v>0</v>
      </c>
      <c r="M25" s="669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8">
        <f t="shared" si="1"/>
        <v>0</v>
      </c>
      <c r="M26" s="669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8">
        <f t="shared" si="1"/>
        <v>0</v>
      </c>
      <c r="M28" s="669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8">
        <f t="shared" si="1"/>
        <v>0</v>
      </c>
      <c r="M29" s="669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8">
        <f t="shared" si="1"/>
        <v>0</v>
      </c>
      <c r="M30" s="669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8">
        <f t="shared" si="1"/>
        <v>0</v>
      </c>
      <c r="M31" s="669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8">
        <f t="shared" si="1"/>
        <v>0</v>
      </c>
      <c r="M33" s="669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8">
        <f t="shared" si="1"/>
        <v>0</v>
      </c>
      <c r="M34" s="669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8">
        <f t="shared" si="1"/>
        <v>0</v>
      </c>
      <c r="M35" s="669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8">
        <f t="shared" si="1"/>
        <v>0</v>
      </c>
      <c r="M36" s="669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8">
        <f t="shared" si="1"/>
        <v>0</v>
      </c>
      <c r="M37" s="669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8">
        <f>K38*C38</f>
        <v>0</v>
      </c>
      <c r="M38" s="669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8">
        <f t="shared" ref="L39:L47" si="2">K39*C39</f>
        <v>0</v>
      </c>
      <c r="M39" s="669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8">
        <f t="shared" si="2"/>
        <v>0</v>
      </c>
      <c r="M40" s="669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8">
        <f t="shared" si="2"/>
        <v>0</v>
      </c>
      <c r="M41" s="669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8">
        <f t="shared" si="2"/>
        <v>0</v>
      </c>
      <c r="M42" s="669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8">
        <f t="shared" si="2"/>
        <v>0</v>
      </c>
      <c r="M43" s="669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8">
        <f t="shared" si="2"/>
        <v>0</v>
      </c>
      <c r="M44" s="669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8">
        <f t="shared" si="2"/>
        <v>0</v>
      </c>
      <c r="M45" s="669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8">
        <f t="shared" si="2"/>
        <v>0</v>
      </c>
      <c r="M46" s="669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8">
        <f t="shared" si="2"/>
        <v>0</v>
      </c>
      <c r="M47" s="669"/>
      <c r="N47" s="178"/>
      <c r="O47" s="71"/>
    </row>
    <row r="48" spans="1:15" x14ac:dyDescent="0.3">
      <c r="A48" s="71"/>
      <c r="B48" s="166"/>
      <c r="C48" s="183"/>
      <c r="D48" s="681" t="s">
        <v>10</v>
      </c>
      <c r="E48" s="682"/>
      <c r="F48" s="682"/>
      <c r="G48" s="682"/>
      <c r="H48" s="682"/>
      <c r="I48" s="682"/>
      <c r="J48" s="682"/>
      <c r="K48" s="683"/>
      <c r="L48" s="686">
        <f>(SUM(L10:M47)*0.0625)</f>
        <v>165.43156249999998</v>
      </c>
      <c r="M48" s="686"/>
      <c r="N48" s="178"/>
      <c r="O48" s="71"/>
    </row>
    <row r="49" spans="1:15" x14ac:dyDescent="0.3">
      <c r="A49" s="71"/>
      <c r="B49" s="166"/>
      <c r="C49" s="183"/>
      <c r="D49" s="681" t="s">
        <v>1</v>
      </c>
      <c r="E49" s="682"/>
      <c r="F49" s="682"/>
      <c r="G49" s="682"/>
      <c r="H49" s="682"/>
      <c r="I49" s="682"/>
      <c r="J49" s="682"/>
      <c r="K49" s="683"/>
      <c r="L49" s="684">
        <f>SUM(L10:M48)</f>
        <v>2812.3365624999997</v>
      </c>
      <c r="M49" s="684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D3:M3"/>
    <mergeCell ref="D4:M4"/>
    <mergeCell ref="E5:G5"/>
    <mergeCell ref="I5:J5"/>
    <mergeCell ref="E6:G6"/>
    <mergeCell ref="I6:J6"/>
    <mergeCell ref="E7:G7"/>
    <mergeCell ref="C8:M8"/>
    <mergeCell ref="D9:J9"/>
    <mergeCell ref="L9:M9"/>
    <mergeCell ref="D10:J10"/>
    <mergeCell ref="L10:M10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46:M46"/>
    <mergeCell ref="L47:M47"/>
    <mergeCell ref="D48:K48"/>
    <mergeCell ref="L48:M48"/>
    <mergeCell ref="D49:K49"/>
    <mergeCell ref="L49:M49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E4847-A31B-4754-A6AD-82F68C63A9D2}">
  <sheetPr codeName="Sheet48">
    <tabColor rgb="FF00B050"/>
    <pageSetUpPr fitToPage="1"/>
  </sheetPr>
  <dimension ref="A1:O67"/>
  <sheetViews>
    <sheetView showGridLines="0" showZeros="0" view="pageBreakPreview" topLeftCell="C1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1153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8">
        <f t="shared" ref="L11" si="0">K11*C11</f>
        <v>0</v>
      </c>
      <c r="M11" s="669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1154</v>
      </c>
      <c r="E12" s="355"/>
      <c r="F12" s="355"/>
      <c r="G12" s="355"/>
      <c r="H12" s="355"/>
      <c r="I12" s="355"/>
      <c r="J12" s="421"/>
      <c r="K12" s="422">
        <f>'Material Price'!J202</f>
        <v>6</v>
      </c>
      <c r="L12" s="740">
        <f>K12*C12</f>
        <v>2703</v>
      </c>
      <c r="M12" s="741"/>
      <c r="N12" s="178"/>
      <c r="O12" s="71"/>
    </row>
    <row r="13" spans="1:15" x14ac:dyDescent="0.3">
      <c r="A13" s="71"/>
      <c r="B13" s="166"/>
      <c r="C13" s="360"/>
      <c r="D13" s="566"/>
      <c r="E13" s="567"/>
      <c r="F13" s="567"/>
      <c r="G13" s="567"/>
      <c r="H13" s="567"/>
      <c r="I13" s="567"/>
      <c r="J13" s="568"/>
      <c r="K13" s="152"/>
      <c r="L13" s="668">
        <f t="shared" ref="L13:L37" si="1">K13*C13</f>
        <v>0</v>
      </c>
      <c r="M13" s="669"/>
      <c r="N13" s="178"/>
      <c r="O13" s="71"/>
    </row>
    <row r="14" spans="1:15" x14ac:dyDescent="0.3">
      <c r="A14" s="71"/>
      <c r="B14" s="166"/>
      <c r="C14" s="423"/>
      <c r="D14" s="566" t="s">
        <v>1155</v>
      </c>
      <c r="E14" s="567"/>
      <c r="F14" s="567"/>
      <c r="G14" s="567"/>
      <c r="H14" s="567"/>
      <c r="I14" s="567"/>
      <c r="J14" s="568"/>
      <c r="K14" s="152">
        <f>K12*12</f>
        <v>72</v>
      </c>
      <c r="L14" s="668">
        <f t="shared" si="1"/>
        <v>0</v>
      </c>
      <c r="M14" s="669"/>
      <c r="N14" s="178"/>
      <c r="O14" s="71"/>
    </row>
    <row r="15" spans="1:15" x14ac:dyDescent="0.3">
      <c r="A15" s="71"/>
      <c r="B15" s="166"/>
      <c r="C15" s="423"/>
      <c r="D15" s="217" t="s">
        <v>1156</v>
      </c>
      <c r="E15" s="218"/>
      <c r="F15" s="218"/>
      <c r="G15" s="218"/>
      <c r="H15" s="218"/>
      <c r="I15" s="218"/>
      <c r="J15" s="219"/>
      <c r="K15" s="152">
        <f>K12*16</f>
        <v>96</v>
      </c>
      <c r="L15" s="668">
        <f t="shared" si="1"/>
        <v>0</v>
      </c>
      <c r="M15" s="669"/>
      <c r="N15" s="178"/>
      <c r="O15" s="71"/>
    </row>
    <row r="16" spans="1:15" x14ac:dyDescent="0.3">
      <c r="A16" s="71"/>
      <c r="B16" s="166"/>
      <c r="C16" s="423"/>
      <c r="D16" s="217" t="s">
        <v>1157</v>
      </c>
      <c r="E16" s="218"/>
      <c r="F16" s="218"/>
      <c r="G16" s="218"/>
      <c r="H16" s="218"/>
      <c r="I16" s="218"/>
      <c r="J16" s="219"/>
      <c r="K16" s="356">
        <f>K12*20</f>
        <v>120</v>
      </c>
      <c r="L16" s="668">
        <f t="shared" si="1"/>
        <v>0</v>
      </c>
      <c r="M16" s="669"/>
      <c r="N16" s="178"/>
      <c r="O16" s="71"/>
    </row>
    <row r="17" spans="1:15" x14ac:dyDescent="0.3">
      <c r="A17" s="71"/>
      <c r="B17" s="166"/>
      <c r="C17" s="423"/>
      <c r="D17" s="566" t="s">
        <v>1158</v>
      </c>
      <c r="E17" s="567"/>
      <c r="F17" s="567"/>
      <c r="G17" s="567"/>
      <c r="H17" s="567"/>
      <c r="I17" s="567"/>
      <c r="J17" s="568"/>
      <c r="K17" s="152">
        <f>16*K12</f>
        <v>96</v>
      </c>
      <c r="L17" s="668">
        <f t="shared" si="1"/>
        <v>0</v>
      </c>
      <c r="M17" s="669"/>
      <c r="N17" s="178"/>
      <c r="O17" s="71"/>
    </row>
    <row r="18" spans="1:15" x14ac:dyDescent="0.3">
      <c r="A18" s="71"/>
      <c r="B18" s="166"/>
      <c r="C18" s="423"/>
      <c r="D18" s="364" t="s">
        <v>1159</v>
      </c>
      <c r="E18" s="218"/>
      <c r="F18" s="218"/>
      <c r="G18" s="218"/>
      <c r="H18" s="218"/>
      <c r="I18" s="218"/>
      <c r="J18" s="219"/>
      <c r="K18" s="356">
        <f>K12*20</f>
        <v>120</v>
      </c>
      <c r="L18" s="668">
        <f t="shared" si="1"/>
        <v>0</v>
      </c>
      <c r="M18" s="669"/>
      <c r="N18" s="178"/>
      <c r="O18" s="71"/>
    </row>
    <row r="19" spans="1:15" x14ac:dyDescent="0.3">
      <c r="A19" s="71"/>
      <c r="B19" s="166"/>
      <c r="C19" s="423"/>
      <c r="D19" s="364" t="s">
        <v>1160</v>
      </c>
      <c r="E19" s="218"/>
      <c r="F19" s="218"/>
      <c r="G19" s="218"/>
      <c r="H19" s="218"/>
      <c r="I19" s="218"/>
      <c r="J19" s="219"/>
      <c r="K19" s="356">
        <f>K12*16</f>
        <v>96</v>
      </c>
      <c r="L19" s="668">
        <f t="shared" si="1"/>
        <v>0</v>
      </c>
      <c r="M19" s="669"/>
      <c r="N19" s="178"/>
      <c r="O19" s="71"/>
    </row>
    <row r="20" spans="1:15" x14ac:dyDescent="0.3">
      <c r="A20" s="71"/>
      <c r="B20" s="166"/>
      <c r="C20" s="394"/>
      <c r="D20" s="217" t="s">
        <v>1161</v>
      </c>
      <c r="E20" s="345"/>
      <c r="F20" s="345"/>
      <c r="G20" s="345"/>
      <c r="H20" s="345"/>
      <c r="I20" s="345"/>
      <c r="J20" s="353"/>
      <c r="K20" s="152">
        <f>K12*20</f>
        <v>120</v>
      </c>
      <c r="L20" s="668">
        <f t="shared" si="1"/>
        <v>0</v>
      </c>
      <c r="M20" s="669"/>
      <c r="N20" s="178"/>
      <c r="O20" s="71"/>
    </row>
    <row r="21" spans="1:15" x14ac:dyDescent="0.3">
      <c r="A21" s="71"/>
      <c r="B21" s="166"/>
      <c r="C21" s="394"/>
      <c r="D21" s="341" t="s">
        <v>1151</v>
      </c>
      <c r="E21" s="218"/>
      <c r="F21" s="218"/>
      <c r="G21" s="218"/>
      <c r="H21" s="218"/>
      <c r="I21" s="218"/>
      <c r="J21" s="324"/>
      <c r="K21" s="356"/>
      <c r="L21" s="668">
        <f t="shared" si="1"/>
        <v>0</v>
      </c>
      <c r="M21" s="669"/>
      <c r="N21" s="178"/>
      <c r="O21" s="71"/>
    </row>
    <row r="22" spans="1:15" x14ac:dyDescent="0.3">
      <c r="A22" s="71"/>
      <c r="B22" s="166"/>
      <c r="C22" s="425">
        <f>ROUNDUP(Formulas!L33/100,0)</f>
        <v>4</v>
      </c>
      <c r="D22" s="217" t="s">
        <v>1147</v>
      </c>
      <c r="E22" s="218"/>
      <c r="F22" s="218"/>
      <c r="G22" s="218"/>
      <c r="H22" s="218"/>
      <c r="I22" s="218"/>
      <c r="J22" s="324"/>
      <c r="K22" s="356">
        <f>'Material Price'!J128</f>
        <v>90</v>
      </c>
      <c r="L22" s="668">
        <f t="shared" si="1"/>
        <v>360</v>
      </c>
      <c r="M22" s="669"/>
      <c r="N22" s="178"/>
      <c r="O22" s="71"/>
    </row>
    <row r="23" spans="1:15" x14ac:dyDescent="0.3">
      <c r="A23" s="71"/>
      <c r="B23" s="166"/>
      <c r="C23" s="360">
        <f>ROUNDUP(Formulas!L34/350,0)</f>
        <v>1</v>
      </c>
      <c r="D23" s="289" t="s">
        <v>1149</v>
      </c>
      <c r="E23" s="218"/>
      <c r="F23" s="218"/>
      <c r="G23" s="218"/>
      <c r="H23" s="218"/>
      <c r="I23" s="218"/>
      <c r="J23" s="324"/>
      <c r="K23" s="356">
        <f>'Material Price'!J129</f>
        <v>120</v>
      </c>
      <c r="L23" s="668">
        <f t="shared" si="1"/>
        <v>120</v>
      </c>
      <c r="M23" s="669"/>
      <c r="N23" s="178"/>
      <c r="O23" s="71"/>
    </row>
    <row r="24" spans="1:15" x14ac:dyDescent="0.3">
      <c r="A24" s="71"/>
      <c r="B24" s="166"/>
      <c r="C24" s="360"/>
      <c r="D24" s="341"/>
      <c r="E24" s="218"/>
      <c r="F24" s="218"/>
      <c r="G24" s="218"/>
      <c r="H24" s="218"/>
      <c r="I24" s="218"/>
      <c r="J24" s="324"/>
      <c r="K24" s="152"/>
      <c r="L24" s="668">
        <f t="shared" si="1"/>
        <v>0</v>
      </c>
      <c r="M24" s="669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8">
        <f t="shared" si="1"/>
        <v>0</v>
      </c>
      <c r="M25" s="669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8">
        <f t="shared" si="1"/>
        <v>0</v>
      </c>
      <c r="M26" s="669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8">
        <f t="shared" si="1"/>
        <v>0</v>
      </c>
      <c r="M28" s="669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8">
        <f t="shared" si="1"/>
        <v>0</v>
      </c>
      <c r="M29" s="669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8">
        <f t="shared" si="1"/>
        <v>0</v>
      </c>
      <c r="M30" s="669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8">
        <f t="shared" si="1"/>
        <v>0</v>
      </c>
      <c r="M31" s="669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8">
        <f t="shared" si="1"/>
        <v>0</v>
      </c>
      <c r="M33" s="669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8">
        <f t="shared" si="1"/>
        <v>0</v>
      </c>
      <c r="M34" s="669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8">
        <f t="shared" si="1"/>
        <v>0</v>
      </c>
      <c r="M35" s="669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8">
        <f t="shared" si="1"/>
        <v>0</v>
      </c>
      <c r="M36" s="669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8">
        <f t="shared" si="1"/>
        <v>0</v>
      </c>
      <c r="M37" s="669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8">
        <f>K38*C38</f>
        <v>0</v>
      </c>
      <c r="M38" s="669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8">
        <f t="shared" ref="L39:L47" si="2">K39*C39</f>
        <v>0</v>
      </c>
      <c r="M39" s="669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8">
        <f t="shared" si="2"/>
        <v>0</v>
      </c>
      <c r="M40" s="669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8">
        <f t="shared" si="2"/>
        <v>0</v>
      </c>
      <c r="M41" s="669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8">
        <f t="shared" si="2"/>
        <v>0</v>
      </c>
      <c r="M42" s="669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8">
        <f t="shared" si="2"/>
        <v>0</v>
      </c>
      <c r="M43" s="669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8">
        <f t="shared" si="2"/>
        <v>0</v>
      </c>
      <c r="M44" s="669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8">
        <f t="shared" si="2"/>
        <v>0</v>
      </c>
      <c r="M45" s="669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8">
        <f t="shared" si="2"/>
        <v>0</v>
      </c>
      <c r="M46" s="669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8">
        <f t="shared" si="2"/>
        <v>0</v>
      </c>
      <c r="M47" s="669"/>
      <c r="N47" s="178"/>
      <c r="O47" s="71"/>
    </row>
    <row r="48" spans="1:15" x14ac:dyDescent="0.3">
      <c r="A48" s="71"/>
      <c r="B48" s="166"/>
      <c r="C48" s="183"/>
      <c r="D48" s="681" t="s">
        <v>10</v>
      </c>
      <c r="E48" s="682"/>
      <c r="F48" s="682"/>
      <c r="G48" s="682"/>
      <c r="H48" s="682"/>
      <c r="I48" s="682"/>
      <c r="J48" s="682"/>
      <c r="K48" s="683"/>
      <c r="L48" s="686">
        <f>(SUM(L10:M47)*0.0625)</f>
        <v>198.9375</v>
      </c>
      <c r="M48" s="686"/>
      <c r="N48" s="178"/>
      <c r="O48" s="71"/>
    </row>
    <row r="49" spans="1:15" x14ac:dyDescent="0.3">
      <c r="A49" s="71"/>
      <c r="B49" s="166"/>
      <c r="C49" s="183"/>
      <c r="D49" s="681" t="s">
        <v>1</v>
      </c>
      <c r="E49" s="682"/>
      <c r="F49" s="682"/>
      <c r="G49" s="682"/>
      <c r="H49" s="682"/>
      <c r="I49" s="682"/>
      <c r="J49" s="682"/>
      <c r="K49" s="683"/>
      <c r="L49" s="684">
        <f>SUM(L10:M48)</f>
        <v>3381.9375</v>
      </c>
      <c r="M49" s="684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D3:M3"/>
    <mergeCell ref="D4:M4"/>
    <mergeCell ref="E5:G5"/>
    <mergeCell ref="I5:J5"/>
    <mergeCell ref="E6:G6"/>
    <mergeCell ref="I6:J6"/>
    <mergeCell ref="E7:G7"/>
    <mergeCell ref="C8:M8"/>
    <mergeCell ref="D9:J9"/>
    <mergeCell ref="L9:M9"/>
    <mergeCell ref="D10:J10"/>
    <mergeCell ref="L10:M10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46:M46"/>
    <mergeCell ref="L47:M47"/>
    <mergeCell ref="D48:K48"/>
    <mergeCell ref="L48:M48"/>
    <mergeCell ref="D49:K49"/>
    <mergeCell ref="L49:M49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E9F46-0BE6-4011-97A6-E8B93D9657E8}">
  <sheetPr codeName="Sheet49">
    <tabColor rgb="FF00B050"/>
    <pageSetUpPr fitToPage="1"/>
  </sheetPr>
  <dimension ref="A1:O67"/>
  <sheetViews>
    <sheetView showGridLines="0" showZeros="0" view="pageBreakPreview" topLeftCell="C1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1162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8">
        <f t="shared" ref="L11" si="0">K11*C11</f>
        <v>0</v>
      </c>
      <c r="M11" s="669"/>
      <c r="N11" s="178"/>
      <c r="O11" s="71"/>
    </row>
    <row r="12" spans="1:15" x14ac:dyDescent="0.3">
      <c r="A12" s="71"/>
      <c r="B12" s="166"/>
      <c r="C12" s="419">
        <f>Formulas!L31</f>
        <v>440</v>
      </c>
      <c r="D12" s="420" t="s">
        <v>1163</v>
      </c>
      <c r="E12" s="355"/>
      <c r="F12" s="355"/>
      <c r="G12" s="355"/>
      <c r="H12" s="355"/>
      <c r="I12" s="355"/>
      <c r="J12" s="421"/>
      <c r="K12" s="422">
        <f>'Material Price'!J205</f>
        <v>3</v>
      </c>
      <c r="L12" s="740">
        <f>K12*C12</f>
        <v>1320</v>
      </c>
      <c r="M12" s="741"/>
      <c r="N12" s="178"/>
      <c r="O12" s="71"/>
    </row>
    <row r="13" spans="1:15" x14ac:dyDescent="0.3">
      <c r="A13" s="71"/>
      <c r="B13" s="166"/>
      <c r="C13" s="419">
        <f>(Formulas!L30)</f>
        <v>10.5</v>
      </c>
      <c r="D13" s="826" t="s">
        <v>1171</v>
      </c>
      <c r="E13" s="827"/>
      <c r="F13" s="827"/>
      <c r="G13" s="827"/>
      <c r="H13" s="827"/>
      <c r="I13" s="827"/>
      <c r="J13" s="828"/>
      <c r="K13" s="422">
        <f>'Material Price'!J201</f>
        <v>4.8099999999999996</v>
      </c>
      <c r="L13" s="668">
        <f t="shared" ref="L13:L37" si="1">K13*C13</f>
        <v>50.504999999999995</v>
      </c>
      <c r="M13" s="669"/>
      <c r="N13" s="178"/>
      <c r="O13" s="71"/>
    </row>
    <row r="14" spans="1:15" x14ac:dyDescent="0.3">
      <c r="A14" s="71"/>
      <c r="B14" s="166"/>
      <c r="C14" s="423"/>
      <c r="D14" s="566" t="s">
        <v>1164</v>
      </c>
      <c r="E14" s="567"/>
      <c r="F14" s="567"/>
      <c r="G14" s="567"/>
      <c r="H14" s="567"/>
      <c r="I14" s="567"/>
      <c r="J14" s="568"/>
      <c r="K14" s="152">
        <f>K12*12</f>
        <v>36</v>
      </c>
      <c r="L14" s="668">
        <f t="shared" si="1"/>
        <v>0</v>
      </c>
      <c r="M14" s="669"/>
      <c r="N14" s="178"/>
      <c r="O14" s="71"/>
    </row>
    <row r="15" spans="1:15" x14ac:dyDescent="0.3">
      <c r="A15" s="71"/>
      <c r="B15" s="166"/>
      <c r="C15" s="423"/>
      <c r="D15" s="217" t="s">
        <v>1165</v>
      </c>
      <c r="E15" s="218"/>
      <c r="F15" s="218"/>
      <c r="G15" s="218"/>
      <c r="H15" s="218"/>
      <c r="I15" s="218"/>
      <c r="J15" s="219"/>
      <c r="K15" s="152">
        <f>K12*16</f>
        <v>48</v>
      </c>
      <c r="L15" s="668">
        <f t="shared" si="1"/>
        <v>0</v>
      </c>
      <c r="M15" s="669"/>
      <c r="N15" s="178"/>
      <c r="O15" s="71"/>
    </row>
    <row r="16" spans="1:15" x14ac:dyDescent="0.3">
      <c r="A16" s="71"/>
      <c r="B16" s="166"/>
      <c r="C16" s="423"/>
      <c r="D16" s="217" t="s">
        <v>1166</v>
      </c>
      <c r="E16" s="218"/>
      <c r="F16" s="218"/>
      <c r="G16" s="218"/>
      <c r="H16" s="218"/>
      <c r="I16" s="218"/>
      <c r="J16" s="219"/>
      <c r="K16" s="356">
        <f>K12*20</f>
        <v>60</v>
      </c>
      <c r="L16" s="668">
        <f t="shared" si="1"/>
        <v>0</v>
      </c>
      <c r="M16" s="669"/>
      <c r="N16" s="178"/>
      <c r="O16" s="71"/>
    </row>
    <row r="17" spans="1:15" x14ac:dyDescent="0.3">
      <c r="A17" s="71"/>
      <c r="B17" s="166"/>
      <c r="C17" s="423"/>
      <c r="D17" s="566" t="s">
        <v>1167</v>
      </c>
      <c r="E17" s="567"/>
      <c r="F17" s="567"/>
      <c r="G17" s="567"/>
      <c r="H17" s="567"/>
      <c r="I17" s="567"/>
      <c r="J17" s="568"/>
      <c r="K17" s="152">
        <f>16*K13</f>
        <v>76.959999999999994</v>
      </c>
      <c r="L17" s="668">
        <f t="shared" si="1"/>
        <v>0</v>
      </c>
      <c r="M17" s="669"/>
      <c r="N17" s="178"/>
      <c r="O17" s="71"/>
    </row>
    <row r="18" spans="1:15" x14ac:dyDescent="0.3">
      <c r="A18" s="71"/>
      <c r="B18" s="166"/>
      <c r="C18" s="423"/>
      <c r="D18" s="364" t="s">
        <v>1168</v>
      </c>
      <c r="E18" s="218"/>
      <c r="F18" s="218"/>
      <c r="G18" s="218"/>
      <c r="H18" s="218"/>
      <c r="I18" s="218"/>
      <c r="J18" s="219"/>
      <c r="K18" s="356">
        <f>K13*20</f>
        <v>96.199999999999989</v>
      </c>
      <c r="L18" s="668">
        <f t="shared" si="1"/>
        <v>0</v>
      </c>
      <c r="M18" s="669"/>
      <c r="N18" s="178"/>
      <c r="O18" s="71"/>
    </row>
    <row r="19" spans="1:15" x14ac:dyDescent="0.3">
      <c r="A19" s="71"/>
      <c r="B19" s="166"/>
      <c r="C19" s="423"/>
      <c r="D19" s="364" t="s">
        <v>1169</v>
      </c>
      <c r="E19" s="218"/>
      <c r="F19" s="218"/>
      <c r="G19" s="218"/>
      <c r="H19" s="218"/>
      <c r="I19" s="218"/>
      <c r="J19" s="219"/>
      <c r="K19" s="356">
        <f>K13*16</f>
        <v>76.959999999999994</v>
      </c>
      <c r="L19" s="668">
        <f t="shared" si="1"/>
        <v>0</v>
      </c>
      <c r="M19" s="669"/>
      <c r="N19" s="178"/>
      <c r="O19" s="71"/>
    </row>
    <row r="20" spans="1:15" x14ac:dyDescent="0.3">
      <c r="A20" s="71"/>
      <c r="B20" s="166"/>
      <c r="C20" s="394"/>
      <c r="D20" s="217" t="s">
        <v>1170</v>
      </c>
      <c r="E20" s="345"/>
      <c r="F20" s="345"/>
      <c r="G20" s="345"/>
      <c r="H20" s="345"/>
      <c r="I20" s="345"/>
      <c r="J20" s="353"/>
      <c r="K20" s="152">
        <f>K13*20</f>
        <v>96.199999999999989</v>
      </c>
      <c r="L20" s="668">
        <f t="shared" si="1"/>
        <v>0</v>
      </c>
      <c r="M20" s="669"/>
      <c r="N20" s="178"/>
      <c r="O20" s="71"/>
    </row>
    <row r="21" spans="1:15" x14ac:dyDescent="0.3">
      <c r="A21" s="71"/>
      <c r="B21" s="166"/>
      <c r="C21" s="394"/>
      <c r="D21" s="341" t="s">
        <v>1151</v>
      </c>
      <c r="E21" s="218"/>
      <c r="F21" s="218"/>
      <c r="G21" s="218"/>
      <c r="H21" s="218"/>
      <c r="I21" s="218"/>
      <c r="J21" s="324"/>
      <c r="K21" s="356"/>
      <c r="L21" s="668">
        <f t="shared" si="1"/>
        <v>0</v>
      </c>
      <c r="M21" s="669"/>
      <c r="N21" s="178"/>
      <c r="O21" s="71"/>
    </row>
    <row r="22" spans="1:15" x14ac:dyDescent="0.3">
      <c r="A22" s="71"/>
      <c r="B22" s="166"/>
      <c r="C22" s="425">
        <f>ROUNDUP(Formulas!L33/100,0)</f>
        <v>4</v>
      </c>
      <c r="D22" s="217" t="s">
        <v>1147</v>
      </c>
      <c r="E22" s="218"/>
      <c r="F22" s="218"/>
      <c r="G22" s="218"/>
      <c r="H22" s="218"/>
      <c r="I22" s="218"/>
      <c r="J22" s="324"/>
      <c r="K22" s="356">
        <f>'Material Price'!J128</f>
        <v>90</v>
      </c>
      <c r="L22" s="668">
        <f t="shared" si="1"/>
        <v>360</v>
      </c>
      <c r="M22" s="669"/>
      <c r="N22" s="178"/>
      <c r="O22" s="71"/>
    </row>
    <row r="23" spans="1:15" x14ac:dyDescent="0.3">
      <c r="A23" s="71"/>
      <c r="B23" s="166"/>
      <c r="C23" s="360">
        <f>ROUNDUP(Formulas!L34/350,0)</f>
        <v>1</v>
      </c>
      <c r="D23" s="289" t="s">
        <v>1149</v>
      </c>
      <c r="E23" s="218"/>
      <c r="F23" s="218"/>
      <c r="G23" s="218"/>
      <c r="H23" s="218"/>
      <c r="I23" s="218"/>
      <c r="J23" s="324"/>
      <c r="K23" s="356">
        <f>'Material Price'!J129</f>
        <v>120</v>
      </c>
      <c r="L23" s="668">
        <f t="shared" si="1"/>
        <v>120</v>
      </c>
      <c r="M23" s="669"/>
      <c r="N23" s="178"/>
      <c r="O23" s="71"/>
    </row>
    <row r="24" spans="1:15" x14ac:dyDescent="0.3">
      <c r="A24" s="71"/>
      <c r="B24" s="166"/>
      <c r="C24" s="360">
        <f>ROUNDUP((Formulas!E33+Formulas!E34)*2/10,0)</f>
        <v>0</v>
      </c>
      <c r="D24" s="364" t="s">
        <v>1172</v>
      </c>
      <c r="E24" s="218"/>
      <c r="F24" s="218"/>
      <c r="G24" s="218"/>
      <c r="H24" s="218"/>
      <c r="I24" s="218"/>
      <c r="J24" s="324"/>
      <c r="K24" s="152">
        <f>'Material Price'!J130</f>
        <v>30</v>
      </c>
      <c r="L24" s="668">
        <f t="shared" si="1"/>
        <v>0</v>
      </c>
      <c r="M24" s="669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8">
        <f t="shared" si="1"/>
        <v>0</v>
      </c>
      <c r="M25" s="669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8">
        <f t="shared" si="1"/>
        <v>0</v>
      </c>
      <c r="M26" s="669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8">
        <f t="shared" si="1"/>
        <v>0</v>
      </c>
      <c r="M28" s="669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8">
        <f t="shared" si="1"/>
        <v>0</v>
      </c>
      <c r="M29" s="669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8">
        <f t="shared" si="1"/>
        <v>0</v>
      </c>
      <c r="M30" s="669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8">
        <f t="shared" si="1"/>
        <v>0</v>
      </c>
      <c r="M31" s="669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8">
        <f t="shared" si="1"/>
        <v>0</v>
      </c>
      <c r="M33" s="669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8">
        <f t="shared" si="1"/>
        <v>0</v>
      </c>
      <c r="M34" s="669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8">
        <f t="shared" si="1"/>
        <v>0</v>
      </c>
      <c r="M35" s="669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8">
        <f t="shared" si="1"/>
        <v>0</v>
      </c>
      <c r="M36" s="669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8">
        <f t="shared" si="1"/>
        <v>0</v>
      </c>
      <c r="M37" s="669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8">
        <f>K38*C38</f>
        <v>0</v>
      </c>
      <c r="M38" s="669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8">
        <f t="shared" ref="L39:L47" si="2">K39*C39</f>
        <v>0</v>
      </c>
      <c r="M39" s="669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8">
        <f t="shared" si="2"/>
        <v>0</v>
      </c>
      <c r="M40" s="669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8">
        <f t="shared" si="2"/>
        <v>0</v>
      </c>
      <c r="M41" s="669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8">
        <f t="shared" si="2"/>
        <v>0</v>
      </c>
      <c r="M42" s="669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8">
        <f t="shared" si="2"/>
        <v>0</v>
      </c>
      <c r="M43" s="669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8">
        <f t="shared" si="2"/>
        <v>0</v>
      </c>
      <c r="M44" s="669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8">
        <f t="shared" si="2"/>
        <v>0</v>
      </c>
      <c r="M45" s="669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8">
        <f t="shared" si="2"/>
        <v>0</v>
      </c>
      <c r="M46" s="669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8">
        <f t="shared" si="2"/>
        <v>0</v>
      </c>
      <c r="M47" s="669"/>
      <c r="N47" s="178"/>
      <c r="O47" s="71"/>
    </row>
    <row r="48" spans="1:15" x14ac:dyDescent="0.3">
      <c r="A48" s="71"/>
      <c r="B48" s="166"/>
      <c r="C48" s="183"/>
      <c r="D48" s="681" t="s">
        <v>10</v>
      </c>
      <c r="E48" s="682"/>
      <c r="F48" s="682"/>
      <c r="G48" s="682"/>
      <c r="H48" s="682"/>
      <c r="I48" s="682"/>
      <c r="J48" s="682"/>
      <c r="K48" s="683"/>
      <c r="L48" s="686">
        <f>(SUM(L10:M47)*0.0625)</f>
        <v>115.65656250000001</v>
      </c>
      <c r="M48" s="686"/>
      <c r="N48" s="178"/>
      <c r="O48" s="71"/>
    </row>
    <row r="49" spans="1:15" x14ac:dyDescent="0.3">
      <c r="A49" s="71"/>
      <c r="B49" s="166"/>
      <c r="C49" s="183"/>
      <c r="D49" s="681" t="s">
        <v>1</v>
      </c>
      <c r="E49" s="682"/>
      <c r="F49" s="682"/>
      <c r="G49" s="682"/>
      <c r="H49" s="682"/>
      <c r="I49" s="682"/>
      <c r="J49" s="682"/>
      <c r="K49" s="683"/>
      <c r="L49" s="684">
        <f>SUM(L10:M48)</f>
        <v>1966.1615625000002</v>
      </c>
      <c r="M49" s="684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D3:M3"/>
    <mergeCell ref="D4:M4"/>
    <mergeCell ref="E5:G5"/>
    <mergeCell ref="I5:J5"/>
    <mergeCell ref="E6:G6"/>
    <mergeCell ref="I6:J6"/>
    <mergeCell ref="E7:G7"/>
    <mergeCell ref="C8:M8"/>
    <mergeCell ref="D9:J9"/>
    <mergeCell ref="L9:M9"/>
    <mergeCell ref="D10:J10"/>
    <mergeCell ref="L10:M10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46:M46"/>
    <mergeCell ref="L47:M47"/>
    <mergeCell ref="D48:K48"/>
    <mergeCell ref="L48:M48"/>
    <mergeCell ref="D49:K49"/>
    <mergeCell ref="L49:M49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11380-DF5F-453B-968B-4A9C702FF007}">
  <sheetPr codeName="Sheet50">
    <tabColor rgb="FF00B050"/>
    <pageSetUpPr fitToPage="1"/>
  </sheetPr>
  <dimension ref="A1:O67"/>
  <sheetViews>
    <sheetView showGridLines="0" showZeros="0" view="pageBreakPreview" topLeftCell="C1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1173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8">
        <f t="shared" ref="L11" si="0">K11*C11</f>
        <v>0</v>
      </c>
      <c r="M11" s="669"/>
      <c r="N11" s="178"/>
      <c r="O11" s="71"/>
    </row>
    <row r="12" spans="1:15" x14ac:dyDescent="0.3">
      <c r="A12" s="71"/>
      <c r="B12" s="166"/>
      <c r="C12" s="419">
        <f>Formulas!L31</f>
        <v>440</v>
      </c>
      <c r="D12" s="420" t="s">
        <v>1174</v>
      </c>
      <c r="E12" s="355"/>
      <c r="F12" s="355"/>
      <c r="G12" s="355"/>
      <c r="H12" s="355"/>
      <c r="I12" s="355"/>
      <c r="J12" s="421"/>
      <c r="K12" s="422">
        <f>'Material Price'!J206</f>
        <v>4.13</v>
      </c>
      <c r="L12" s="740">
        <f>K12*C12</f>
        <v>1817.2</v>
      </c>
      <c r="M12" s="741"/>
      <c r="N12" s="178"/>
      <c r="O12" s="71"/>
    </row>
    <row r="13" spans="1:15" x14ac:dyDescent="0.3">
      <c r="A13" s="71"/>
      <c r="B13" s="166"/>
      <c r="C13" s="419">
        <f>(Formulas!L30)</f>
        <v>10.5</v>
      </c>
      <c r="D13" s="826" t="s">
        <v>1175</v>
      </c>
      <c r="E13" s="827"/>
      <c r="F13" s="827"/>
      <c r="G13" s="827"/>
      <c r="H13" s="827"/>
      <c r="I13" s="827"/>
      <c r="J13" s="828"/>
      <c r="K13" s="422">
        <f>'Material Price'!J202</f>
        <v>6</v>
      </c>
      <c r="L13" s="668">
        <f t="shared" ref="L13:L37" si="1">K13*C13</f>
        <v>63</v>
      </c>
      <c r="M13" s="669"/>
      <c r="N13" s="178"/>
      <c r="O13" s="71"/>
    </row>
    <row r="14" spans="1:15" x14ac:dyDescent="0.3">
      <c r="A14" s="71"/>
      <c r="B14" s="166"/>
      <c r="C14" s="423"/>
      <c r="D14" s="566" t="s">
        <v>1176</v>
      </c>
      <c r="E14" s="567"/>
      <c r="F14" s="567"/>
      <c r="G14" s="567"/>
      <c r="H14" s="567"/>
      <c r="I14" s="567"/>
      <c r="J14" s="568"/>
      <c r="K14" s="152">
        <f>K12*12</f>
        <v>49.56</v>
      </c>
      <c r="L14" s="668">
        <f t="shared" si="1"/>
        <v>0</v>
      </c>
      <c r="M14" s="669"/>
      <c r="N14" s="178"/>
      <c r="O14" s="71"/>
    </row>
    <row r="15" spans="1:15" x14ac:dyDescent="0.3">
      <c r="A15" s="71"/>
      <c r="B15" s="166"/>
      <c r="C15" s="423"/>
      <c r="D15" s="217" t="s">
        <v>1177</v>
      </c>
      <c r="E15" s="218"/>
      <c r="F15" s="218"/>
      <c r="G15" s="218"/>
      <c r="H15" s="218"/>
      <c r="I15" s="218"/>
      <c r="J15" s="219"/>
      <c r="K15" s="152">
        <f>K12*16</f>
        <v>66.08</v>
      </c>
      <c r="L15" s="668">
        <f t="shared" si="1"/>
        <v>0</v>
      </c>
      <c r="M15" s="669"/>
      <c r="N15" s="178"/>
      <c r="O15" s="71"/>
    </row>
    <row r="16" spans="1:15" x14ac:dyDescent="0.3">
      <c r="A16" s="71"/>
      <c r="B16" s="166"/>
      <c r="C16" s="423"/>
      <c r="D16" s="217" t="s">
        <v>1178</v>
      </c>
      <c r="E16" s="218"/>
      <c r="F16" s="218"/>
      <c r="G16" s="218"/>
      <c r="H16" s="218"/>
      <c r="I16" s="218"/>
      <c r="J16" s="219"/>
      <c r="K16" s="356">
        <f>K12*20</f>
        <v>82.6</v>
      </c>
      <c r="L16" s="668">
        <f t="shared" si="1"/>
        <v>0</v>
      </c>
      <c r="M16" s="669"/>
      <c r="N16" s="178"/>
      <c r="O16" s="71"/>
    </row>
    <row r="17" spans="1:15" x14ac:dyDescent="0.3">
      <c r="A17" s="71"/>
      <c r="B17" s="166"/>
      <c r="C17" s="423"/>
      <c r="D17" s="566" t="s">
        <v>1179</v>
      </c>
      <c r="E17" s="567"/>
      <c r="F17" s="567"/>
      <c r="G17" s="567"/>
      <c r="H17" s="567"/>
      <c r="I17" s="567"/>
      <c r="J17" s="568"/>
      <c r="K17" s="152">
        <f>16*K13</f>
        <v>96</v>
      </c>
      <c r="L17" s="668">
        <f t="shared" si="1"/>
        <v>0</v>
      </c>
      <c r="M17" s="669"/>
      <c r="N17" s="178"/>
      <c r="O17" s="71"/>
    </row>
    <row r="18" spans="1:15" x14ac:dyDescent="0.3">
      <c r="A18" s="71"/>
      <c r="B18" s="166"/>
      <c r="C18" s="423"/>
      <c r="D18" s="364" t="s">
        <v>1180</v>
      </c>
      <c r="E18" s="218"/>
      <c r="F18" s="218"/>
      <c r="G18" s="218"/>
      <c r="H18" s="218"/>
      <c r="I18" s="218"/>
      <c r="J18" s="219"/>
      <c r="K18" s="356">
        <f>K13*20</f>
        <v>120</v>
      </c>
      <c r="L18" s="668">
        <f t="shared" si="1"/>
        <v>0</v>
      </c>
      <c r="M18" s="669"/>
      <c r="N18" s="178"/>
      <c r="O18" s="71"/>
    </row>
    <row r="19" spans="1:15" x14ac:dyDescent="0.3">
      <c r="A19" s="71"/>
      <c r="B19" s="166"/>
      <c r="C19" s="423"/>
      <c r="D19" s="364" t="s">
        <v>1181</v>
      </c>
      <c r="E19" s="218"/>
      <c r="F19" s="218"/>
      <c r="G19" s="218"/>
      <c r="H19" s="218"/>
      <c r="I19" s="218"/>
      <c r="J19" s="219"/>
      <c r="K19" s="356">
        <f>K13*16</f>
        <v>96</v>
      </c>
      <c r="L19" s="668">
        <f t="shared" si="1"/>
        <v>0</v>
      </c>
      <c r="M19" s="669"/>
      <c r="N19" s="178"/>
      <c r="O19" s="71"/>
    </row>
    <row r="20" spans="1:15" x14ac:dyDescent="0.3">
      <c r="A20" s="71"/>
      <c r="B20" s="166"/>
      <c r="C20" s="394"/>
      <c r="D20" s="217" t="s">
        <v>1182</v>
      </c>
      <c r="E20" s="345"/>
      <c r="F20" s="345"/>
      <c r="G20" s="345"/>
      <c r="H20" s="345"/>
      <c r="I20" s="345"/>
      <c r="J20" s="353"/>
      <c r="K20" s="152">
        <f>K13*20</f>
        <v>120</v>
      </c>
      <c r="L20" s="668">
        <f t="shared" si="1"/>
        <v>0</v>
      </c>
      <c r="M20" s="669"/>
      <c r="N20" s="178"/>
      <c r="O20" s="71"/>
    </row>
    <row r="21" spans="1:15" x14ac:dyDescent="0.3">
      <c r="A21" s="71"/>
      <c r="B21" s="166"/>
      <c r="C21" s="394"/>
      <c r="D21" s="341" t="s">
        <v>1151</v>
      </c>
      <c r="E21" s="218"/>
      <c r="F21" s="218"/>
      <c r="G21" s="218"/>
      <c r="H21" s="218"/>
      <c r="I21" s="218"/>
      <c r="J21" s="324"/>
      <c r="K21" s="356"/>
      <c r="L21" s="668">
        <f t="shared" si="1"/>
        <v>0</v>
      </c>
      <c r="M21" s="669"/>
      <c r="N21" s="178"/>
      <c r="O21" s="71"/>
    </row>
    <row r="22" spans="1:15" x14ac:dyDescent="0.3">
      <c r="A22" s="71"/>
      <c r="B22" s="166"/>
      <c r="C22" s="425">
        <f>ROUNDUP(Formulas!L33/100,0)</f>
        <v>4</v>
      </c>
      <c r="D22" s="217" t="s">
        <v>1147</v>
      </c>
      <c r="E22" s="218"/>
      <c r="F22" s="218"/>
      <c r="G22" s="218"/>
      <c r="H22" s="218"/>
      <c r="I22" s="218"/>
      <c r="J22" s="324"/>
      <c r="K22" s="356">
        <f>'Material Price'!J128</f>
        <v>90</v>
      </c>
      <c r="L22" s="668">
        <f t="shared" si="1"/>
        <v>360</v>
      </c>
      <c r="M22" s="669"/>
      <c r="N22" s="178"/>
      <c r="O22" s="71"/>
    </row>
    <row r="23" spans="1:15" x14ac:dyDescent="0.3">
      <c r="A23" s="71"/>
      <c r="B23" s="166"/>
      <c r="C23" s="360">
        <f>ROUNDUP(Formulas!L34/350,0)</f>
        <v>1</v>
      </c>
      <c r="D23" s="289" t="s">
        <v>1149</v>
      </c>
      <c r="E23" s="218"/>
      <c r="F23" s="218"/>
      <c r="G23" s="218"/>
      <c r="H23" s="218"/>
      <c r="I23" s="218"/>
      <c r="J23" s="324"/>
      <c r="K23" s="356">
        <f>'Material Price'!J129</f>
        <v>120</v>
      </c>
      <c r="L23" s="668">
        <f t="shared" si="1"/>
        <v>120</v>
      </c>
      <c r="M23" s="669"/>
      <c r="N23" s="178"/>
      <c r="O23" s="71"/>
    </row>
    <row r="24" spans="1:15" x14ac:dyDescent="0.3">
      <c r="A24" s="71"/>
      <c r="B24" s="166"/>
      <c r="C24" s="360">
        <f>ROUNDUP((Formulas!E33+Formulas!E34)*2/10,0)</f>
        <v>0</v>
      </c>
      <c r="D24" s="364" t="s">
        <v>1172</v>
      </c>
      <c r="E24" s="218"/>
      <c r="F24" s="218"/>
      <c r="G24" s="218"/>
      <c r="H24" s="218"/>
      <c r="I24" s="218"/>
      <c r="J24" s="324"/>
      <c r="K24" s="152">
        <f>'Material Price'!J130</f>
        <v>30</v>
      </c>
      <c r="L24" s="668">
        <f t="shared" si="1"/>
        <v>0</v>
      </c>
      <c r="M24" s="669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8">
        <f t="shared" si="1"/>
        <v>0</v>
      </c>
      <c r="M25" s="669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8">
        <f t="shared" si="1"/>
        <v>0</v>
      </c>
      <c r="M26" s="669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8">
        <f t="shared" si="1"/>
        <v>0</v>
      </c>
      <c r="M28" s="669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8">
        <f t="shared" si="1"/>
        <v>0</v>
      </c>
      <c r="M29" s="669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8">
        <f t="shared" si="1"/>
        <v>0</v>
      </c>
      <c r="M30" s="669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8">
        <f t="shared" si="1"/>
        <v>0</v>
      </c>
      <c r="M31" s="669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8">
        <f t="shared" si="1"/>
        <v>0</v>
      </c>
      <c r="M33" s="669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8">
        <f t="shared" si="1"/>
        <v>0</v>
      </c>
      <c r="M34" s="669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8">
        <f t="shared" si="1"/>
        <v>0</v>
      </c>
      <c r="M35" s="669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8">
        <f t="shared" si="1"/>
        <v>0</v>
      </c>
      <c r="M36" s="669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8">
        <f t="shared" si="1"/>
        <v>0</v>
      </c>
      <c r="M37" s="669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8">
        <f>K38*C38</f>
        <v>0</v>
      </c>
      <c r="M38" s="669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8">
        <f t="shared" ref="L39:L47" si="2">K39*C39</f>
        <v>0</v>
      </c>
      <c r="M39" s="669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8">
        <f t="shared" si="2"/>
        <v>0</v>
      </c>
      <c r="M40" s="669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8">
        <f t="shared" si="2"/>
        <v>0</v>
      </c>
      <c r="M41" s="669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8">
        <f t="shared" si="2"/>
        <v>0</v>
      </c>
      <c r="M42" s="669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8">
        <f t="shared" si="2"/>
        <v>0</v>
      </c>
      <c r="M43" s="669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8">
        <f t="shared" si="2"/>
        <v>0</v>
      </c>
      <c r="M44" s="669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8">
        <f t="shared" si="2"/>
        <v>0</v>
      </c>
      <c r="M45" s="669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8">
        <f t="shared" si="2"/>
        <v>0</v>
      </c>
      <c r="M46" s="669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8">
        <f t="shared" si="2"/>
        <v>0</v>
      </c>
      <c r="M47" s="669"/>
      <c r="N47" s="178"/>
      <c r="O47" s="71"/>
    </row>
    <row r="48" spans="1:15" x14ac:dyDescent="0.3">
      <c r="A48" s="71"/>
      <c r="B48" s="166"/>
      <c r="C48" s="183"/>
      <c r="D48" s="681" t="s">
        <v>10</v>
      </c>
      <c r="E48" s="682"/>
      <c r="F48" s="682"/>
      <c r="G48" s="682"/>
      <c r="H48" s="682"/>
      <c r="I48" s="682"/>
      <c r="J48" s="682"/>
      <c r="K48" s="683"/>
      <c r="L48" s="686">
        <f>(SUM(L10:M47)*0.0625)</f>
        <v>147.51249999999999</v>
      </c>
      <c r="M48" s="686"/>
      <c r="N48" s="178"/>
      <c r="O48" s="71"/>
    </row>
    <row r="49" spans="1:15" x14ac:dyDescent="0.3">
      <c r="A49" s="71"/>
      <c r="B49" s="166"/>
      <c r="C49" s="183"/>
      <c r="D49" s="681" t="s">
        <v>1</v>
      </c>
      <c r="E49" s="682"/>
      <c r="F49" s="682"/>
      <c r="G49" s="682"/>
      <c r="H49" s="682"/>
      <c r="I49" s="682"/>
      <c r="J49" s="682"/>
      <c r="K49" s="683"/>
      <c r="L49" s="684">
        <f>SUM(L10:M48)</f>
        <v>2507.7124999999996</v>
      </c>
      <c r="M49" s="684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D3:M3"/>
    <mergeCell ref="D4:M4"/>
    <mergeCell ref="E5:G5"/>
    <mergeCell ref="I5:J5"/>
    <mergeCell ref="E6:G6"/>
    <mergeCell ref="I6:J6"/>
    <mergeCell ref="E7:G7"/>
    <mergeCell ref="C8:M8"/>
    <mergeCell ref="D9:J9"/>
    <mergeCell ref="L9:M9"/>
    <mergeCell ref="D10:J10"/>
    <mergeCell ref="L10:M10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46:M46"/>
    <mergeCell ref="L47:M47"/>
    <mergeCell ref="D48:K48"/>
    <mergeCell ref="L48:M48"/>
    <mergeCell ref="D49:K49"/>
    <mergeCell ref="L49:M49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>
    <tabColor rgb="FFFFFF00"/>
    <pageSetUpPr fitToPage="1"/>
  </sheetPr>
  <dimension ref="A1:O139"/>
  <sheetViews>
    <sheetView showGridLines="0" showZeros="0" view="pageBreakPreview" zoomScaleNormal="100" zoomScaleSheetLayoutView="100" workbookViewId="0">
      <selection activeCell="G5" sqref="G5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11.59765625" style="1" customWidth="1"/>
    <col min="4" max="4" width="34.19921875" style="1" customWidth="1"/>
    <col min="5" max="5" width="11.59765625" style="1" customWidth="1"/>
    <col min="6" max="6" width="12" style="1" customWidth="1"/>
    <col min="7" max="7" width="13.19921875" style="2" customWidth="1"/>
    <col min="8" max="8" width="13.3984375" style="2" customWidth="1"/>
    <col min="9" max="9" width="10.796875" style="2" customWidth="1"/>
    <col min="10" max="10" width="18.19921875" style="2" customWidth="1"/>
    <col min="11" max="11" width="2.19921875" style="3" customWidth="1"/>
    <col min="12" max="12" width="2.3984375" style="1" customWidth="1"/>
    <col min="13" max="13" width="8.796875" style="1"/>
    <col min="14" max="14" width="12.3984375" style="1" bestFit="1" customWidth="1"/>
    <col min="15" max="15" width="13.59765625" style="1" bestFit="1" customWidth="1"/>
    <col min="16" max="16384" width="8.796875" style="1"/>
  </cols>
  <sheetData>
    <row r="1" spans="1:11" ht="9.75" customHeight="1" thickBot="1" x14ac:dyDescent="0.35">
      <c r="A1" s="71"/>
      <c r="B1" s="71"/>
      <c r="C1" s="71"/>
      <c r="D1" s="71"/>
      <c r="E1" s="71"/>
      <c r="F1" s="71"/>
      <c r="G1" s="170"/>
      <c r="H1" s="170"/>
      <c r="I1" s="170"/>
      <c r="J1" s="170"/>
      <c r="K1" s="180"/>
    </row>
    <row r="2" spans="1:11" ht="25" thickBot="1" x14ac:dyDescent="0.35">
      <c r="A2" s="71"/>
      <c r="B2" s="167"/>
      <c r="C2" s="169"/>
      <c r="D2" s="169"/>
      <c r="E2" s="169"/>
      <c r="F2" s="169"/>
      <c r="G2" s="169"/>
      <c r="H2" s="169"/>
      <c r="I2" s="169"/>
      <c r="J2" s="169"/>
      <c r="K2" s="177"/>
    </row>
    <row r="3" spans="1:11" ht="17.25" customHeight="1" thickBot="1" x14ac:dyDescent="0.35">
      <c r="A3" s="71"/>
      <c r="B3" s="166"/>
      <c r="C3" s="835"/>
      <c r="D3" s="836"/>
      <c r="E3" s="836"/>
      <c r="F3" s="836"/>
      <c r="G3" s="836"/>
      <c r="H3" s="836"/>
      <c r="I3" s="836"/>
      <c r="J3" s="837"/>
      <c r="K3" s="178"/>
    </row>
    <row r="4" spans="1:11" ht="22.5" customHeight="1" thickBot="1" x14ac:dyDescent="0.35">
      <c r="A4" s="71"/>
      <c r="B4" s="166"/>
      <c r="C4" s="261" t="s">
        <v>311</v>
      </c>
      <c r="D4" s="262"/>
      <c r="E4" s="262"/>
      <c r="F4" s="263" t="s">
        <v>283</v>
      </c>
      <c r="G4" s="242" t="s">
        <v>328</v>
      </c>
      <c r="H4" s="242" t="s">
        <v>281</v>
      </c>
      <c r="I4" s="243" t="s">
        <v>282</v>
      </c>
      <c r="J4" s="242" t="s">
        <v>56</v>
      </c>
      <c r="K4" s="178"/>
    </row>
    <row r="5" spans="1:11" ht="19.25" customHeight="1" thickBot="1" x14ac:dyDescent="0.35">
      <c r="A5" s="71"/>
      <c r="B5" s="166"/>
      <c r="C5" s="245" t="s">
        <v>159</v>
      </c>
      <c r="D5" s="246"/>
      <c r="E5" s="246"/>
      <c r="F5" s="264">
        <v>1</v>
      </c>
      <c r="G5" s="265">
        <f>'Deck TakeOff'!E85</f>
        <v>0</v>
      </c>
      <c r="H5" s="266">
        <v>60</v>
      </c>
      <c r="I5" s="265" t="s">
        <v>284</v>
      </c>
      <c r="J5" s="267">
        <f>H5*G5*F5</f>
        <v>0</v>
      </c>
      <c r="K5" s="178"/>
    </row>
    <row r="6" spans="1:11" ht="25" thickBot="1" x14ac:dyDescent="0.35">
      <c r="A6" s="71"/>
      <c r="B6" s="166"/>
      <c r="C6" s="245" t="s">
        <v>160</v>
      </c>
      <c r="D6" s="246"/>
      <c r="E6" s="246"/>
      <c r="F6" s="264">
        <v>4</v>
      </c>
      <c r="G6" s="265">
        <v>2</v>
      </c>
      <c r="H6" s="266">
        <v>60</v>
      </c>
      <c r="I6" s="265" t="s">
        <v>284</v>
      </c>
      <c r="J6" s="267">
        <f>H6*G6*F6</f>
        <v>480</v>
      </c>
      <c r="K6" s="178"/>
    </row>
    <row r="7" spans="1:11" ht="25" thickBot="1" x14ac:dyDescent="0.35">
      <c r="A7" s="71"/>
      <c r="B7" s="166"/>
      <c r="C7" s="245" t="s">
        <v>167</v>
      </c>
      <c r="D7" s="246"/>
      <c r="E7" s="246"/>
      <c r="F7" s="264">
        <v>20</v>
      </c>
      <c r="G7" s="265">
        <v>0.5</v>
      </c>
      <c r="H7" s="266">
        <v>60</v>
      </c>
      <c r="I7" s="265"/>
      <c r="J7" s="267">
        <f t="shared" ref="J7:J57" si="0">H7*G7*F7</f>
        <v>600</v>
      </c>
      <c r="K7" s="178"/>
    </row>
    <row r="8" spans="1:11" ht="25" thickBot="1" x14ac:dyDescent="0.35">
      <c r="A8" s="71"/>
      <c r="B8" s="166"/>
      <c r="C8" s="245" t="s">
        <v>299</v>
      </c>
      <c r="D8" s="246"/>
      <c r="E8" s="246"/>
      <c r="F8" s="264"/>
      <c r="G8" s="265"/>
      <c r="H8" s="266"/>
      <c r="I8" s="265"/>
      <c r="J8" s="267">
        <f t="shared" si="0"/>
        <v>0</v>
      </c>
      <c r="K8" s="178"/>
    </row>
    <row r="9" spans="1:11" ht="25" thickBot="1" x14ac:dyDescent="0.35">
      <c r="A9" s="71"/>
      <c r="B9" s="166"/>
      <c r="C9" s="245" t="s">
        <v>300</v>
      </c>
      <c r="D9" s="246"/>
      <c r="E9" s="246"/>
      <c r="F9" s="264"/>
      <c r="G9" s="265"/>
      <c r="H9" s="266"/>
      <c r="I9" s="265"/>
      <c r="J9" s="267">
        <f t="shared" si="0"/>
        <v>0</v>
      </c>
      <c r="K9" s="178"/>
    </row>
    <row r="10" spans="1:11" ht="25" thickBot="1" x14ac:dyDescent="0.35">
      <c r="A10" s="71"/>
      <c r="B10" s="166"/>
      <c r="C10" s="245" t="s">
        <v>275</v>
      </c>
      <c r="D10" s="246"/>
      <c r="E10" s="246"/>
      <c r="F10" s="264"/>
      <c r="G10" s="265"/>
      <c r="H10" s="266"/>
      <c r="I10" s="265"/>
      <c r="J10" s="267">
        <f t="shared" si="0"/>
        <v>0</v>
      </c>
      <c r="K10" s="178"/>
    </row>
    <row r="11" spans="1:11" ht="25" thickBot="1" x14ac:dyDescent="0.35">
      <c r="A11" s="71"/>
      <c r="B11" s="166"/>
      <c r="C11" s="245" t="s">
        <v>276</v>
      </c>
      <c r="D11" s="246"/>
      <c r="E11" s="246"/>
      <c r="F11" s="264"/>
      <c r="G11" s="265"/>
      <c r="H11" s="266"/>
      <c r="I11" s="265"/>
      <c r="J11" s="267">
        <f t="shared" si="0"/>
        <v>0</v>
      </c>
      <c r="K11" s="178"/>
    </row>
    <row r="12" spans="1:11" ht="25" thickBot="1" x14ac:dyDescent="0.35">
      <c r="A12" s="71"/>
      <c r="B12" s="166"/>
      <c r="C12" s="245" t="s">
        <v>163</v>
      </c>
      <c r="D12" s="246"/>
      <c r="E12" s="246"/>
      <c r="F12" s="264"/>
      <c r="G12" s="265"/>
      <c r="H12" s="266"/>
      <c r="I12" s="265"/>
      <c r="J12" s="267">
        <f t="shared" si="0"/>
        <v>0</v>
      </c>
      <c r="K12" s="178"/>
    </row>
    <row r="13" spans="1:11" ht="25" thickBot="1" x14ac:dyDescent="0.35">
      <c r="A13" s="71"/>
      <c r="B13" s="166"/>
      <c r="C13" s="245" t="s">
        <v>292</v>
      </c>
      <c r="D13" s="246"/>
      <c r="E13" s="246"/>
      <c r="F13" s="264"/>
      <c r="G13" s="265"/>
      <c r="H13" s="266"/>
      <c r="I13" s="265"/>
      <c r="J13" s="267">
        <f t="shared" si="0"/>
        <v>0</v>
      </c>
      <c r="K13" s="178"/>
    </row>
    <row r="14" spans="1:11" ht="25" thickBot="1" x14ac:dyDescent="0.35">
      <c r="A14" s="71"/>
      <c r="B14" s="166"/>
      <c r="C14" s="245" t="s">
        <v>285</v>
      </c>
      <c r="D14" s="246"/>
      <c r="E14" s="246"/>
      <c r="F14" s="264"/>
      <c r="G14" s="265"/>
      <c r="H14" s="266"/>
      <c r="I14" s="265"/>
      <c r="J14" s="267">
        <f t="shared" si="0"/>
        <v>0</v>
      </c>
      <c r="K14" s="178"/>
    </row>
    <row r="15" spans="1:11" ht="25" thickBot="1" x14ac:dyDescent="0.35">
      <c r="A15" s="71"/>
      <c r="B15" s="166"/>
      <c r="C15" s="245" t="s">
        <v>286</v>
      </c>
      <c r="D15" s="246"/>
      <c r="E15" s="246"/>
      <c r="F15" s="264"/>
      <c r="G15" s="265"/>
      <c r="H15" s="266"/>
      <c r="I15" s="265"/>
      <c r="J15" s="267">
        <f t="shared" si="0"/>
        <v>0</v>
      </c>
      <c r="K15" s="178"/>
    </row>
    <row r="16" spans="1:11" ht="25" thickBot="1" x14ac:dyDescent="0.35">
      <c r="A16" s="71"/>
      <c r="B16" s="166"/>
      <c r="C16" s="245" t="s">
        <v>297</v>
      </c>
      <c r="D16" s="246"/>
      <c r="E16" s="246"/>
      <c r="F16" s="264"/>
      <c r="G16" s="265"/>
      <c r="H16" s="266"/>
      <c r="I16" s="265"/>
      <c r="J16" s="267">
        <f t="shared" si="0"/>
        <v>0</v>
      </c>
      <c r="K16" s="178"/>
    </row>
    <row r="17" spans="1:11" ht="25" thickBot="1" x14ac:dyDescent="0.35">
      <c r="A17" s="71"/>
      <c r="B17" s="166"/>
      <c r="C17" s="245" t="s">
        <v>298</v>
      </c>
      <c r="D17" s="246"/>
      <c r="E17" s="246"/>
      <c r="F17" s="264"/>
      <c r="G17" s="265"/>
      <c r="H17" s="266"/>
      <c r="I17" s="265"/>
      <c r="J17" s="267">
        <f t="shared" si="0"/>
        <v>0</v>
      </c>
      <c r="K17" s="178"/>
    </row>
    <row r="18" spans="1:11" ht="25" thickBot="1" x14ac:dyDescent="0.35">
      <c r="A18" s="71"/>
      <c r="B18" s="166"/>
      <c r="C18" s="245" t="s">
        <v>172</v>
      </c>
      <c r="D18" s="246"/>
      <c r="E18" s="246"/>
      <c r="F18" s="264"/>
      <c r="G18" s="265"/>
      <c r="H18" s="266"/>
      <c r="I18" s="265"/>
      <c r="J18" s="267">
        <f t="shared" si="0"/>
        <v>0</v>
      </c>
      <c r="K18" s="178"/>
    </row>
    <row r="19" spans="1:11" ht="25" thickBot="1" x14ac:dyDescent="0.35">
      <c r="A19" s="71"/>
      <c r="B19" s="166"/>
      <c r="C19" s="245" t="s">
        <v>173</v>
      </c>
      <c r="D19" s="246"/>
      <c r="E19" s="246"/>
      <c r="F19" s="264"/>
      <c r="G19" s="265"/>
      <c r="H19" s="266"/>
      <c r="I19" s="265"/>
      <c r="J19" s="267">
        <f t="shared" si="0"/>
        <v>0</v>
      </c>
      <c r="K19" s="178"/>
    </row>
    <row r="20" spans="1:11" ht="25" thickBot="1" x14ac:dyDescent="0.35">
      <c r="A20" s="71"/>
      <c r="B20" s="166"/>
      <c r="C20" s="245" t="s">
        <v>293</v>
      </c>
      <c r="D20" s="246"/>
      <c r="E20" s="246"/>
      <c r="F20" s="264"/>
      <c r="G20" s="265"/>
      <c r="H20" s="266"/>
      <c r="I20" s="265"/>
      <c r="J20" s="267">
        <f t="shared" si="0"/>
        <v>0</v>
      </c>
      <c r="K20" s="178"/>
    </row>
    <row r="21" spans="1:11" ht="25" thickBot="1" x14ac:dyDescent="0.35">
      <c r="A21" s="71"/>
      <c r="B21" s="166"/>
      <c r="C21" s="245" t="s">
        <v>294</v>
      </c>
      <c r="D21" s="246"/>
      <c r="E21" s="246"/>
      <c r="F21" s="264"/>
      <c r="G21" s="265"/>
      <c r="H21" s="266"/>
      <c r="I21" s="265"/>
      <c r="J21" s="267">
        <f t="shared" si="0"/>
        <v>0</v>
      </c>
      <c r="K21" s="178"/>
    </row>
    <row r="22" spans="1:11" ht="25" thickBot="1" x14ac:dyDescent="0.35">
      <c r="A22" s="71"/>
      <c r="B22" s="166"/>
      <c r="C22" s="245" t="s">
        <v>287</v>
      </c>
      <c r="D22" s="246"/>
      <c r="E22" s="246"/>
      <c r="F22" s="264"/>
      <c r="G22" s="265"/>
      <c r="H22" s="266"/>
      <c r="I22" s="265"/>
      <c r="J22" s="267">
        <f t="shared" si="0"/>
        <v>0</v>
      </c>
      <c r="K22" s="178"/>
    </row>
    <row r="23" spans="1:11" ht="25" thickBot="1" x14ac:dyDescent="0.35">
      <c r="A23" s="71"/>
      <c r="B23" s="166"/>
      <c r="C23" s="245" t="s">
        <v>288</v>
      </c>
      <c r="D23" s="246"/>
      <c r="E23" s="246"/>
      <c r="F23" s="264"/>
      <c r="G23" s="265"/>
      <c r="H23" s="266"/>
      <c r="I23" s="265"/>
      <c r="J23" s="267">
        <f t="shared" si="0"/>
        <v>0</v>
      </c>
      <c r="K23" s="178"/>
    </row>
    <row r="24" spans="1:11" ht="25" thickBot="1" x14ac:dyDescent="0.35">
      <c r="A24" s="71"/>
      <c r="B24" s="166"/>
      <c r="C24" s="245" t="s">
        <v>295</v>
      </c>
      <c r="D24" s="246"/>
      <c r="E24" s="246"/>
      <c r="F24" s="264"/>
      <c r="G24" s="265"/>
      <c r="H24" s="266"/>
      <c r="I24" s="265"/>
      <c r="J24" s="267">
        <f t="shared" si="0"/>
        <v>0</v>
      </c>
      <c r="K24" s="178"/>
    </row>
    <row r="25" spans="1:11" ht="25" thickBot="1" x14ac:dyDescent="0.35">
      <c r="A25" s="71"/>
      <c r="B25" s="166"/>
      <c r="C25" s="245" t="s">
        <v>296</v>
      </c>
      <c r="D25" s="246"/>
      <c r="E25" s="246"/>
      <c r="F25" s="264"/>
      <c r="G25" s="265"/>
      <c r="H25" s="266"/>
      <c r="I25" s="265"/>
      <c r="J25" s="267">
        <f t="shared" si="0"/>
        <v>0</v>
      </c>
      <c r="K25" s="178"/>
    </row>
    <row r="26" spans="1:11" ht="25" thickBot="1" x14ac:dyDescent="0.35">
      <c r="A26" s="71"/>
      <c r="B26" s="166"/>
      <c r="C26" s="245" t="s">
        <v>291</v>
      </c>
      <c r="D26" s="246"/>
      <c r="E26" s="246"/>
      <c r="F26" s="264"/>
      <c r="G26" s="265"/>
      <c r="H26" s="266"/>
      <c r="I26" s="265"/>
      <c r="J26" s="267">
        <f t="shared" si="0"/>
        <v>0</v>
      </c>
      <c r="K26" s="178"/>
    </row>
    <row r="27" spans="1:11" ht="25" thickBot="1" x14ac:dyDescent="0.35">
      <c r="A27" s="71"/>
      <c r="B27" s="166"/>
      <c r="C27" s="245" t="s">
        <v>290</v>
      </c>
      <c r="D27" s="246"/>
      <c r="E27" s="246"/>
      <c r="F27" s="264"/>
      <c r="G27" s="265"/>
      <c r="H27" s="266"/>
      <c r="I27" s="265"/>
      <c r="J27" s="267">
        <f t="shared" si="0"/>
        <v>0</v>
      </c>
      <c r="K27" s="178"/>
    </row>
    <row r="28" spans="1:11" ht="25" thickBot="1" x14ac:dyDescent="0.35">
      <c r="A28" s="71"/>
      <c r="B28" s="166"/>
      <c r="C28" s="245" t="s">
        <v>289</v>
      </c>
      <c r="D28" s="246"/>
      <c r="E28" s="246"/>
      <c r="F28" s="264"/>
      <c r="G28" s="265"/>
      <c r="H28" s="266"/>
      <c r="I28" s="265"/>
      <c r="J28" s="267">
        <f t="shared" si="0"/>
        <v>0</v>
      </c>
      <c r="K28" s="178"/>
    </row>
    <row r="29" spans="1:11" ht="25" thickBot="1" x14ac:dyDescent="0.35">
      <c r="A29" s="71"/>
      <c r="B29" s="166"/>
      <c r="C29" s="245" t="s">
        <v>183</v>
      </c>
      <c r="D29" s="246"/>
      <c r="E29" s="246"/>
      <c r="F29" s="264"/>
      <c r="G29" s="265"/>
      <c r="H29" s="266"/>
      <c r="I29" s="265"/>
      <c r="J29" s="267">
        <f t="shared" si="0"/>
        <v>0</v>
      </c>
      <c r="K29" s="178"/>
    </row>
    <row r="30" spans="1:11" ht="25" thickBot="1" x14ac:dyDescent="0.35">
      <c r="A30" s="71"/>
      <c r="B30" s="166"/>
      <c r="C30" s="245" t="s">
        <v>184</v>
      </c>
      <c r="D30" s="246"/>
      <c r="E30" s="246"/>
      <c r="F30" s="264"/>
      <c r="G30" s="265"/>
      <c r="H30" s="266"/>
      <c r="I30" s="265"/>
      <c r="J30" s="267">
        <f t="shared" si="0"/>
        <v>0</v>
      </c>
      <c r="K30" s="178"/>
    </row>
    <row r="31" spans="1:11" ht="25" thickBot="1" x14ac:dyDescent="0.35">
      <c r="A31" s="71"/>
      <c r="B31" s="166"/>
      <c r="C31" s="245" t="s">
        <v>185</v>
      </c>
      <c r="D31" s="246"/>
      <c r="E31" s="246"/>
      <c r="F31" s="264"/>
      <c r="G31" s="265"/>
      <c r="H31" s="266"/>
      <c r="I31" s="265"/>
      <c r="J31" s="267">
        <f t="shared" si="0"/>
        <v>0</v>
      </c>
      <c r="K31" s="178"/>
    </row>
    <row r="32" spans="1:11" ht="25" thickBot="1" x14ac:dyDescent="0.35">
      <c r="A32" s="71"/>
      <c r="B32" s="166"/>
      <c r="C32" s="245" t="s">
        <v>305</v>
      </c>
      <c r="D32" s="246"/>
      <c r="E32" s="246"/>
      <c r="F32" s="264"/>
      <c r="G32" s="265"/>
      <c r="H32" s="266"/>
      <c r="I32" s="265"/>
      <c r="J32" s="267">
        <f t="shared" si="0"/>
        <v>0</v>
      </c>
      <c r="K32" s="178"/>
    </row>
    <row r="33" spans="1:11" ht="25" thickBot="1" x14ac:dyDescent="0.35">
      <c r="A33" s="71"/>
      <c r="B33" s="166"/>
      <c r="C33" s="245" t="s">
        <v>308</v>
      </c>
      <c r="D33" s="246"/>
      <c r="E33" s="246"/>
      <c r="F33" s="264"/>
      <c r="G33" s="265"/>
      <c r="H33" s="266"/>
      <c r="I33" s="265"/>
      <c r="J33" s="267">
        <f t="shared" si="0"/>
        <v>0</v>
      </c>
      <c r="K33" s="178"/>
    </row>
    <row r="34" spans="1:11" ht="25" thickBot="1" x14ac:dyDescent="0.35">
      <c r="A34" s="71"/>
      <c r="B34" s="166"/>
      <c r="C34" s="245" t="s">
        <v>307</v>
      </c>
      <c r="D34" s="246"/>
      <c r="E34" s="246"/>
      <c r="F34" s="264"/>
      <c r="G34" s="265"/>
      <c r="H34" s="266"/>
      <c r="I34" s="265"/>
      <c r="J34" s="267">
        <f t="shared" si="0"/>
        <v>0</v>
      </c>
      <c r="K34" s="178"/>
    </row>
    <row r="35" spans="1:11" ht="25" thickBot="1" x14ac:dyDescent="0.35">
      <c r="A35" s="71"/>
      <c r="B35" s="166"/>
      <c r="C35" s="245" t="s">
        <v>306</v>
      </c>
      <c r="D35" s="246"/>
      <c r="E35" s="246"/>
      <c r="F35" s="264"/>
      <c r="G35" s="265"/>
      <c r="H35" s="266"/>
      <c r="I35" s="265"/>
      <c r="J35" s="267">
        <f t="shared" si="0"/>
        <v>0</v>
      </c>
      <c r="K35" s="178"/>
    </row>
    <row r="36" spans="1:11" ht="25" thickBot="1" x14ac:dyDescent="0.35">
      <c r="A36" s="71"/>
      <c r="B36" s="166"/>
      <c r="C36" s="245" t="s">
        <v>312</v>
      </c>
      <c r="D36" s="246"/>
      <c r="E36" s="246"/>
      <c r="F36" s="264"/>
      <c r="G36" s="265"/>
      <c r="H36" s="266"/>
      <c r="I36" s="265"/>
      <c r="J36" s="267">
        <f t="shared" si="0"/>
        <v>0</v>
      </c>
      <c r="K36" s="178"/>
    </row>
    <row r="37" spans="1:11" ht="25" thickBot="1" x14ac:dyDescent="0.35">
      <c r="A37" s="71"/>
      <c r="B37" s="166"/>
      <c r="C37" s="245" t="s">
        <v>309</v>
      </c>
      <c r="D37" s="246"/>
      <c r="E37" s="246"/>
      <c r="F37" s="264"/>
      <c r="G37" s="265"/>
      <c r="H37" s="266"/>
      <c r="I37" s="265"/>
      <c r="J37" s="267">
        <f t="shared" si="0"/>
        <v>0</v>
      </c>
      <c r="K37" s="178"/>
    </row>
    <row r="38" spans="1:11" ht="25" thickBot="1" x14ac:dyDescent="0.35">
      <c r="A38" s="71"/>
      <c r="B38" s="166"/>
      <c r="C38" s="245" t="s">
        <v>310</v>
      </c>
      <c r="D38" s="246"/>
      <c r="E38" s="246"/>
      <c r="F38" s="264"/>
      <c r="G38" s="265"/>
      <c r="H38" s="266"/>
      <c r="I38" s="265"/>
      <c r="J38" s="267">
        <f t="shared" si="0"/>
        <v>0</v>
      </c>
      <c r="K38" s="178"/>
    </row>
    <row r="39" spans="1:11" ht="25" thickBot="1" x14ac:dyDescent="0.35">
      <c r="A39" s="71"/>
      <c r="B39" s="166"/>
      <c r="C39" s="245" t="s">
        <v>301</v>
      </c>
      <c r="D39" s="246"/>
      <c r="E39" s="246"/>
      <c r="F39" s="264"/>
      <c r="G39" s="265"/>
      <c r="H39" s="266"/>
      <c r="I39" s="265"/>
      <c r="J39" s="267">
        <f t="shared" si="0"/>
        <v>0</v>
      </c>
      <c r="K39" s="178"/>
    </row>
    <row r="40" spans="1:11" ht="25" thickBot="1" x14ac:dyDescent="0.35">
      <c r="A40" s="71"/>
      <c r="B40" s="166"/>
      <c r="C40" s="245" t="s">
        <v>302</v>
      </c>
      <c r="D40" s="246"/>
      <c r="E40" s="246"/>
      <c r="F40" s="264"/>
      <c r="G40" s="265"/>
      <c r="H40" s="266"/>
      <c r="I40" s="265"/>
      <c r="J40" s="267">
        <f t="shared" si="0"/>
        <v>0</v>
      </c>
      <c r="K40" s="178"/>
    </row>
    <row r="41" spans="1:11" ht="25" thickBot="1" x14ac:dyDescent="0.35">
      <c r="A41" s="71"/>
      <c r="B41" s="166"/>
      <c r="C41" s="245" t="s">
        <v>269</v>
      </c>
      <c r="D41" s="246"/>
      <c r="E41" s="246"/>
      <c r="F41" s="264"/>
      <c r="G41" s="265"/>
      <c r="H41" s="266"/>
      <c r="I41" s="265"/>
      <c r="J41" s="267">
        <f t="shared" si="0"/>
        <v>0</v>
      </c>
      <c r="K41" s="178"/>
    </row>
    <row r="42" spans="1:11" ht="25" thickBot="1" x14ac:dyDescent="0.35">
      <c r="A42" s="71"/>
      <c r="B42" s="166"/>
      <c r="C42" s="245" t="s">
        <v>274</v>
      </c>
      <c r="D42" s="246"/>
      <c r="E42" s="246"/>
      <c r="F42" s="264"/>
      <c r="G42" s="265"/>
      <c r="H42" s="266"/>
      <c r="I42" s="265"/>
      <c r="J42" s="267">
        <f t="shared" si="0"/>
        <v>0</v>
      </c>
      <c r="K42" s="178"/>
    </row>
    <row r="43" spans="1:11" ht="25" thickBot="1" x14ac:dyDescent="0.35">
      <c r="A43" s="71"/>
      <c r="B43" s="166"/>
      <c r="C43" s="245" t="s">
        <v>304</v>
      </c>
      <c r="D43" s="246"/>
      <c r="E43" s="246"/>
      <c r="F43" s="264"/>
      <c r="G43" s="265"/>
      <c r="H43" s="266"/>
      <c r="I43" s="265"/>
      <c r="J43" s="267">
        <f t="shared" si="0"/>
        <v>0</v>
      </c>
      <c r="K43" s="178"/>
    </row>
    <row r="44" spans="1:11" ht="25" thickBot="1" x14ac:dyDescent="0.35">
      <c r="A44" s="71"/>
      <c r="B44" s="166"/>
      <c r="C44" s="245" t="s">
        <v>183</v>
      </c>
      <c r="D44" s="246"/>
      <c r="E44" s="246"/>
      <c r="F44" s="264"/>
      <c r="G44" s="265"/>
      <c r="H44" s="266"/>
      <c r="I44" s="265"/>
      <c r="J44" s="267">
        <f t="shared" si="0"/>
        <v>0</v>
      </c>
      <c r="K44" s="178"/>
    </row>
    <row r="45" spans="1:11" ht="25" thickBot="1" x14ac:dyDescent="0.35">
      <c r="A45" s="71"/>
      <c r="B45" s="166"/>
      <c r="C45" s="245" t="s">
        <v>313</v>
      </c>
      <c r="D45" s="246"/>
      <c r="E45" s="246"/>
      <c r="F45" s="264"/>
      <c r="G45" s="265"/>
      <c r="H45" s="266"/>
      <c r="I45" s="265"/>
      <c r="J45" s="267">
        <f t="shared" si="0"/>
        <v>0</v>
      </c>
      <c r="K45" s="178"/>
    </row>
    <row r="46" spans="1:11" ht="25" thickBot="1" x14ac:dyDescent="0.35">
      <c r="A46" s="71"/>
      <c r="B46" s="166"/>
      <c r="C46" s="245" t="s">
        <v>314</v>
      </c>
      <c r="D46" s="246"/>
      <c r="E46" s="246"/>
      <c r="F46" s="264"/>
      <c r="G46" s="265"/>
      <c r="H46" s="266"/>
      <c r="I46" s="265"/>
      <c r="J46" s="267">
        <f t="shared" si="0"/>
        <v>0</v>
      </c>
      <c r="K46" s="178"/>
    </row>
    <row r="47" spans="1:11" ht="25" thickBot="1" x14ac:dyDescent="0.35">
      <c r="A47" s="71"/>
      <c r="B47" s="166"/>
      <c r="C47" s="245" t="s">
        <v>315</v>
      </c>
      <c r="D47" s="246"/>
      <c r="E47" s="246"/>
      <c r="F47" s="264"/>
      <c r="G47" s="265"/>
      <c r="H47" s="266"/>
      <c r="I47" s="265"/>
      <c r="J47" s="267">
        <f t="shared" si="0"/>
        <v>0</v>
      </c>
      <c r="K47" s="178"/>
    </row>
    <row r="48" spans="1:11" ht="25" thickBot="1" x14ac:dyDescent="0.35">
      <c r="A48" s="71"/>
      <c r="B48" s="166"/>
      <c r="C48" s="245" t="s">
        <v>316</v>
      </c>
      <c r="D48" s="246"/>
      <c r="E48" s="246"/>
      <c r="F48" s="264"/>
      <c r="G48" s="265"/>
      <c r="H48" s="266"/>
      <c r="I48" s="265"/>
      <c r="J48" s="267">
        <f t="shared" si="0"/>
        <v>0</v>
      </c>
      <c r="K48" s="178"/>
    </row>
    <row r="49" spans="1:15" ht="25" thickBot="1" x14ac:dyDescent="0.35">
      <c r="A49" s="71"/>
      <c r="B49" s="166"/>
      <c r="C49" s="245" t="s">
        <v>317</v>
      </c>
      <c r="D49" s="246"/>
      <c r="E49" s="246"/>
      <c r="F49" s="264"/>
      <c r="G49" s="265"/>
      <c r="H49" s="266"/>
      <c r="I49" s="265"/>
      <c r="J49" s="267">
        <f t="shared" si="0"/>
        <v>0</v>
      </c>
      <c r="K49" s="178"/>
    </row>
    <row r="50" spans="1:15" ht="25" thickBot="1" x14ac:dyDescent="0.35">
      <c r="A50" s="71"/>
      <c r="B50" s="166"/>
      <c r="C50" s="245" t="s">
        <v>318</v>
      </c>
      <c r="D50" s="246"/>
      <c r="E50" s="246"/>
      <c r="F50" s="264"/>
      <c r="G50" s="265"/>
      <c r="H50" s="266"/>
      <c r="I50" s="265"/>
      <c r="J50" s="267">
        <f t="shared" si="0"/>
        <v>0</v>
      </c>
      <c r="K50" s="178"/>
    </row>
    <row r="51" spans="1:15" ht="25" thickBot="1" x14ac:dyDescent="0.35">
      <c r="A51" s="71"/>
      <c r="B51" s="166"/>
      <c r="C51" s="245" t="s">
        <v>319</v>
      </c>
      <c r="D51" s="246"/>
      <c r="E51" s="246"/>
      <c r="F51" s="264"/>
      <c r="G51" s="265"/>
      <c r="H51" s="266"/>
      <c r="I51" s="265"/>
      <c r="J51" s="267">
        <f t="shared" si="0"/>
        <v>0</v>
      </c>
      <c r="K51" s="178"/>
    </row>
    <row r="52" spans="1:15" ht="25" thickBot="1" x14ac:dyDescent="0.35">
      <c r="A52" s="71"/>
      <c r="B52" s="166"/>
      <c r="C52" s="245"/>
      <c r="D52" s="246"/>
      <c r="E52" s="246"/>
      <c r="F52" s="264"/>
      <c r="G52" s="265"/>
      <c r="H52" s="266"/>
      <c r="I52" s="265"/>
      <c r="J52" s="267">
        <f t="shared" si="0"/>
        <v>0</v>
      </c>
      <c r="K52" s="178"/>
    </row>
    <row r="53" spans="1:15" ht="25" thickBot="1" x14ac:dyDescent="0.35">
      <c r="A53" s="71"/>
      <c r="B53" s="166"/>
      <c r="C53" s="245"/>
      <c r="D53" s="246"/>
      <c r="E53" s="246"/>
      <c r="F53" s="264"/>
      <c r="G53" s="265"/>
      <c r="H53" s="266"/>
      <c r="I53" s="265"/>
      <c r="J53" s="267">
        <f t="shared" si="0"/>
        <v>0</v>
      </c>
      <c r="K53" s="178"/>
    </row>
    <row r="54" spans="1:15" ht="25" thickBot="1" x14ac:dyDescent="0.35">
      <c r="A54" s="71"/>
      <c r="B54" s="166"/>
      <c r="C54" s="245"/>
      <c r="D54" s="246"/>
      <c r="E54" s="246"/>
      <c r="F54" s="264"/>
      <c r="G54" s="265"/>
      <c r="H54" s="266"/>
      <c r="I54" s="265"/>
      <c r="J54" s="267">
        <f t="shared" si="0"/>
        <v>0</v>
      </c>
      <c r="K54" s="178"/>
    </row>
    <row r="55" spans="1:15" ht="25" thickBot="1" x14ac:dyDescent="0.35">
      <c r="A55" s="71"/>
      <c r="B55" s="166"/>
      <c r="C55" s="245"/>
      <c r="D55" s="246"/>
      <c r="E55" s="246"/>
      <c r="F55" s="264"/>
      <c r="G55" s="265"/>
      <c r="H55" s="266"/>
      <c r="I55" s="265"/>
      <c r="J55" s="267">
        <f t="shared" si="0"/>
        <v>0</v>
      </c>
      <c r="K55" s="178"/>
    </row>
    <row r="56" spans="1:15" ht="25" thickBot="1" x14ac:dyDescent="0.35">
      <c r="A56" s="71"/>
      <c r="B56" s="166"/>
      <c r="C56" s="245"/>
      <c r="D56" s="246"/>
      <c r="E56" s="246"/>
      <c r="F56" s="264"/>
      <c r="G56" s="265"/>
      <c r="H56" s="266"/>
      <c r="I56" s="265"/>
      <c r="J56" s="267">
        <f t="shared" si="0"/>
        <v>0</v>
      </c>
      <c r="K56" s="178"/>
    </row>
    <row r="57" spans="1:15" ht="25" thickBot="1" x14ac:dyDescent="0.35">
      <c r="A57" s="71"/>
      <c r="B57" s="166"/>
      <c r="C57" s="245"/>
      <c r="D57" s="246"/>
      <c r="E57" s="246"/>
      <c r="F57" s="264"/>
      <c r="G57" s="265"/>
      <c r="H57" s="266"/>
      <c r="I57" s="265"/>
      <c r="J57" s="267">
        <f t="shared" si="0"/>
        <v>0</v>
      </c>
      <c r="K57" s="178"/>
      <c r="N57" s="846"/>
      <c r="O57" s="846"/>
    </row>
    <row r="58" spans="1:15" ht="25" thickBot="1" x14ac:dyDescent="0.35">
      <c r="A58" s="71"/>
      <c r="B58" s="166"/>
      <c r="C58" s="839" t="str">
        <f>'Deck TakeOff'!C101</f>
        <v xml:space="preserve">Siding Repair </v>
      </c>
      <c r="D58" s="840"/>
      <c r="E58" s="840"/>
      <c r="F58" s="840"/>
      <c r="G58" s="840"/>
      <c r="H58" s="840"/>
      <c r="I58" s="841"/>
      <c r="J58" s="260">
        <f t="array" ref="J58:K58">'Deck TakeOff'!I101:J101</f>
        <v>0</v>
      </c>
      <c r="K58" s="178">
        <v>0</v>
      </c>
    </row>
    <row r="59" spans="1:15" s="37" customFormat="1" ht="25" thickBot="1" x14ac:dyDescent="0.35">
      <c r="A59" s="71"/>
      <c r="B59" s="166"/>
      <c r="C59" s="839">
        <f t="array" ref="C59:H59">'Deck TakeOff'!C102:H102</f>
        <v>0</v>
      </c>
      <c r="D59" s="840">
        <v>0</v>
      </c>
      <c r="E59" s="840">
        <v>0</v>
      </c>
      <c r="F59" s="840">
        <v>0</v>
      </c>
      <c r="G59" s="840">
        <v>0</v>
      </c>
      <c r="H59" s="840">
        <v>0</v>
      </c>
      <c r="I59" s="841"/>
      <c r="J59" s="260">
        <f t="array" ref="J59:K59">'Deck TakeOff'!I102:J102</f>
        <v>0</v>
      </c>
      <c r="K59" s="178">
        <v>0</v>
      </c>
      <c r="L59" s="1"/>
    </row>
    <row r="60" spans="1:15" s="37" customFormat="1" ht="25" thickBot="1" x14ac:dyDescent="0.35">
      <c r="A60" s="71"/>
      <c r="B60" s="166"/>
      <c r="C60" s="839">
        <f t="array" ref="C60:H60">'Deck TakeOff'!C103:H103</f>
        <v>0</v>
      </c>
      <c r="D60" s="840">
        <v>0</v>
      </c>
      <c r="E60" s="840">
        <v>0</v>
      </c>
      <c r="F60" s="840">
        <v>0</v>
      </c>
      <c r="G60" s="840">
        <v>0</v>
      </c>
      <c r="H60" s="840">
        <v>0</v>
      </c>
      <c r="I60" s="841"/>
      <c r="J60" s="260">
        <f t="array" ref="J60:K60">'Deck TakeOff'!I103:J103</f>
        <v>0</v>
      </c>
      <c r="K60" s="178">
        <v>0</v>
      </c>
      <c r="L60" s="1"/>
    </row>
    <row r="61" spans="1:15" s="37" customFormat="1" ht="25" thickBot="1" x14ac:dyDescent="0.35">
      <c r="A61" s="71"/>
      <c r="B61" s="166"/>
      <c r="C61" s="839">
        <f t="array" ref="C61:H61">'Deck TakeOff'!C104:H104</f>
        <v>0</v>
      </c>
      <c r="D61" s="840">
        <v>0</v>
      </c>
      <c r="E61" s="840">
        <v>0</v>
      </c>
      <c r="F61" s="840">
        <v>0</v>
      </c>
      <c r="G61" s="840">
        <v>0</v>
      </c>
      <c r="H61" s="840">
        <v>0</v>
      </c>
      <c r="I61" s="841"/>
      <c r="J61" s="260">
        <f t="array" ref="J61:K61">'Deck TakeOff'!I104:J104</f>
        <v>0</v>
      </c>
      <c r="K61" s="178">
        <v>0</v>
      </c>
      <c r="L61" s="1"/>
    </row>
    <row r="62" spans="1:15" s="37" customFormat="1" ht="25" thickBot="1" x14ac:dyDescent="0.35">
      <c r="A62" s="71"/>
      <c r="B62" s="166"/>
      <c r="C62" s="839">
        <f t="array" ref="C62:H62">'Deck TakeOff'!C105:H105</f>
        <v>0</v>
      </c>
      <c r="D62" s="840">
        <v>0</v>
      </c>
      <c r="E62" s="840">
        <v>0</v>
      </c>
      <c r="F62" s="840">
        <v>0</v>
      </c>
      <c r="G62" s="840">
        <v>0</v>
      </c>
      <c r="H62" s="840">
        <v>0</v>
      </c>
      <c r="I62" s="841"/>
      <c r="J62" s="260">
        <f t="array" ref="J62:K62">'Deck TakeOff'!I105:J105</f>
        <v>0</v>
      </c>
      <c r="K62" s="178">
        <v>0</v>
      </c>
      <c r="L62" s="1"/>
    </row>
    <row r="63" spans="1:15" s="37" customFormat="1" ht="25" thickBot="1" x14ac:dyDescent="0.35">
      <c r="A63" s="71"/>
      <c r="B63" s="166"/>
      <c r="C63" s="829" t="s">
        <v>357</v>
      </c>
      <c r="D63" s="830"/>
      <c r="E63" s="830"/>
      <c r="F63" s="830"/>
      <c r="G63" s="830"/>
      <c r="H63" s="830"/>
      <c r="I63" s="831"/>
      <c r="J63" s="258"/>
      <c r="K63" s="178"/>
      <c r="L63" s="1"/>
    </row>
    <row r="64" spans="1:15" s="37" customFormat="1" ht="25" thickBot="1" x14ac:dyDescent="0.35">
      <c r="A64" s="71"/>
      <c r="B64" s="166"/>
      <c r="C64" s="829" t="s">
        <v>320</v>
      </c>
      <c r="D64" s="830"/>
      <c r="E64" s="830"/>
      <c r="F64" s="830"/>
      <c r="G64" s="830"/>
      <c r="H64" s="830"/>
      <c r="I64" s="831"/>
      <c r="J64" s="258"/>
      <c r="K64" s="178"/>
      <c r="L64" s="1"/>
    </row>
    <row r="65" spans="1:15" s="37" customFormat="1" ht="25" thickBot="1" x14ac:dyDescent="0.35">
      <c r="A65" s="71"/>
      <c r="B65" s="166"/>
      <c r="C65" s="829" t="s">
        <v>321</v>
      </c>
      <c r="D65" s="830"/>
      <c r="E65" s="830"/>
      <c r="F65" s="830"/>
      <c r="G65" s="830"/>
      <c r="H65" s="830"/>
      <c r="I65" s="831"/>
      <c r="J65" s="259"/>
      <c r="K65" s="178"/>
      <c r="L65" s="1"/>
    </row>
    <row r="66" spans="1:15" s="37" customFormat="1" ht="25" thickBot="1" x14ac:dyDescent="0.35">
      <c r="A66" s="71"/>
      <c r="B66" s="166"/>
      <c r="C66" s="829" t="s">
        <v>322</v>
      </c>
      <c r="D66" s="830"/>
      <c r="E66" s="830"/>
      <c r="F66" s="830"/>
      <c r="G66" s="830"/>
      <c r="H66" s="830"/>
      <c r="I66" s="831"/>
      <c r="J66" s="259"/>
      <c r="K66" s="178"/>
      <c r="L66" s="1"/>
    </row>
    <row r="67" spans="1:15" s="37" customFormat="1" ht="25" thickBot="1" x14ac:dyDescent="0.35">
      <c r="A67" s="71"/>
      <c r="B67" s="166"/>
      <c r="C67" s="829" t="s">
        <v>323</v>
      </c>
      <c r="D67" s="830"/>
      <c r="E67" s="830"/>
      <c r="F67" s="830"/>
      <c r="G67" s="830"/>
      <c r="H67" s="830"/>
      <c r="I67" s="831"/>
      <c r="J67" s="259"/>
      <c r="K67" s="178"/>
      <c r="L67" s="1"/>
    </row>
    <row r="68" spans="1:15" s="37" customFormat="1" ht="25" thickBot="1" x14ac:dyDescent="0.35">
      <c r="A68" s="71"/>
      <c r="B68" s="166"/>
      <c r="C68" s="829" t="s">
        <v>324</v>
      </c>
      <c r="D68" s="830"/>
      <c r="E68" s="830"/>
      <c r="F68" s="830"/>
      <c r="G68" s="830"/>
      <c r="H68" s="830"/>
      <c r="I68" s="831"/>
      <c r="J68" s="259" t="s">
        <v>364</v>
      </c>
      <c r="K68" s="178"/>
      <c r="L68" s="1"/>
    </row>
    <row r="69" spans="1:15" s="37" customFormat="1" ht="25" thickBot="1" x14ac:dyDescent="0.35">
      <c r="A69" s="71"/>
      <c r="B69" s="166"/>
      <c r="C69" s="255"/>
      <c r="D69" s="256"/>
      <c r="E69" s="256"/>
      <c r="F69" s="256"/>
      <c r="G69" s="256"/>
      <c r="H69" s="256"/>
      <c r="I69" s="257" t="s">
        <v>325</v>
      </c>
      <c r="J69" s="259"/>
      <c r="K69" s="178"/>
      <c r="L69" s="1"/>
    </row>
    <row r="70" spans="1:15" s="37" customFormat="1" ht="25" thickBot="1" x14ac:dyDescent="0.35">
      <c r="A70" s="71"/>
      <c r="B70" s="166"/>
      <c r="C70" s="255"/>
      <c r="D70" s="256"/>
      <c r="E70" s="256"/>
      <c r="F70" s="256"/>
      <c r="G70" s="256"/>
      <c r="H70" s="256"/>
      <c r="I70" s="257" t="s">
        <v>326</v>
      </c>
      <c r="J70" s="259"/>
      <c r="K70" s="178"/>
      <c r="L70" s="1"/>
    </row>
    <row r="71" spans="1:15" s="37" customFormat="1" ht="25" thickBot="1" x14ac:dyDescent="0.35">
      <c r="A71" s="179"/>
      <c r="B71" s="166"/>
      <c r="C71" s="829" t="s">
        <v>327</v>
      </c>
      <c r="D71" s="830"/>
      <c r="E71" s="830"/>
      <c r="F71" s="830"/>
      <c r="G71" s="830"/>
      <c r="H71" s="830"/>
      <c r="I71" s="831"/>
      <c r="J71" s="259"/>
      <c r="K71" s="178"/>
    </row>
    <row r="72" spans="1:15" s="37" customFormat="1" x14ac:dyDescent="0.3">
      <c r="A72" s="179"/>
      <c r="B72" s="179"/>
      <c r="C72" s="832"/>
      <c r="D72" s="832"/>
      <c r="E72" s="832"/>
      <c r="F72" s="832"/>
      <c r="G72" s="247"/>
      <c r="H72" s="248"/>
      <c r="I72" s="247"/>
      <c r="J72" s="248"/>
      <c r="K72" s="207"/>
    </row>
    <row r="73" spans="1:15" s="37" customFormat="1" x14ac:dyDescent="0.3">
      <c r="A73" s="179"/>
      <c r="B73" s="179"/>
      <c r="C73" s="832"/>
      <c r="D73" s="832"/>
      <c r="E73" s="832"/>
      <c r="F73" s="832"/>
      <c r="G73" s="247"/>
      <c r="H73" s="248"/>
      <c r="I73" s="247"/>
      <c r="J73" s="248"/>
      <c r="K73" s="207"/>
    </row>
    <row r="74" spans="1:15" s="37" customFormat="1" x14ac:dyDescent="0.3">
      <c r="A74" s="179"/>
      <c r="B74" s="179"/>
      <c r="C74" s="832"/>
      <c r="D74" s="832"/>
      <c r="E74" s="832"/>
      <c r="F74" s="832"/>
      <c r="G74" s="247"/>
      <c r="H74" s="248"/>
      <c r="I74" s="247"/>
      <c r="J74" s="248"/>
      <c r="K74" s="207"/>
      <c r="O74" s="208"/>
    </row>
    <row r="75" spans="1:15" s="37" customFormat="1" x14ac:dyDescent="0.3">
      <c r="A75" s="179"/>
      <c r="B75" s="179"/>
      <c r="C75" s="832"/>
      <c r="D75" s="832"/>
      <c r="E75" s="832"/>
      <c r="F75" s="832"/>
      <c r="G75" s="247"/>
      <c r="H75" s="248"/>
      <c r="I75" s="247"/>
      <c r="J75" s="248"/>
      <c r="K75" s="207"/>
    </row>
    <row r="76" spans="1:15" s="37" customFormat="1" x14ac:dyDescent="0.3">
      <c r="A76" s="179"/>
      <c r="B76" s="179"/>
      <c r="C76" s="832"/>
      <c r="D76" s="832"/>
      <c r="E76" s="832"/>
      <c r="F76" s="832"/>
      <c r="G76" s="247"/>
      <c r="H76" s="248"/>
      <c r="I76" s="247"/>
      <c r="J76" s="248"/>
      <c r="K76" s="207"/>
    </row>
    <row r="77" spans="1:15" s="37" customFormat="1" x14ac:dyDescent="0.3">
      <c r="A77" s="179"/>
      <c r="B77" s="179"/>
      <c r="C77" s="832"/>
      <c r="D77" s="832"/>
      <c r="E77" s="832"/>
      <c r="F77" s="832"/>
      <c r="G77" s="247"/>
      <c r="H77" s="248"/>
      <c r="I77" s="247"/>
      <c r="J77" s="248"/>
      <c r="K77" s="207"/>
    </row>
    <row r="78" spans="1:15" s="37" customFormat="1" x14ac:dyDescent="0.3">
      <c r="A78" s="179"/>
      <c r="B78" s="179"/>
      <c r="C78" s="832"/>
      <c r="D78" s="832"/>
      <c r="E78" s="832"/>
      <c r="F78" s="832"/>
      <c r="G78" s="247"/>
      <c r="H78" s="248"/>
      <c r="I78" s="247"/>
      <c r="J78" s="248"/>
      <c r="K78" s="207"/>
    </row>
    <row r="79" spans="1:15" s="37" customFormat="1" x14ac:dyDescent="0.3">
      <c r="A79" s="179"/>
      <c r="B79" s="179"/>
      <c r="C79" s="832"/>
      <c r="D79" s="832"/>
      <c r="E79" s="832"/>
      <c r="F79" s="832"/>
      <c r="G79" s="247"/>
      <c r="H79" s="248"/>
      <c r="I79" s="247"/>
      <c r="J79" s="248"/>
      <c r="K79" s="207"/>
    </row>
    <row r="80" spans="1:15" s="37" customFormat="1" x14ac:dyDescent="0.3">
      <c r="A80" s="179"/>
      <c r="B80" s="179"/>
      <c r="C80" s="832"/>
      <c r="D80" s="832"/>
      <c r="E80" s="832"/>
      <c r="F80" s="832"/>
      <c r="G80" s="247"/>
      <c r="H80" s="248"/>
      <c r="I80" s="247"/>
      <c r="J80" s="248"/>
      <c r="K80" s="207"/>
    </row>
    <row r="81" spans="1:11" s="37" customFormat="1" x14ac:dyDescent="0.3">
      <c r="A81" s="179"/>
      <c r="B81" s="179"/>
      <c r="C81" s="832"/>
      <c r="D81" s="832"/>
      <c r="E81" s="832"/>
      <c r="F81" s="832"/>
      <c r="G81" s="247"/>
      <c r="H81" s="248"/>
      <c r="I81" s="247"/>
      <c r="J81" s="248"/>
      <c r="K81" s="207"/>
    </row>
    <row r="82" spans="1:11" s="37" customFormat="1" x14ac:dyDescent="0.3">
      <c r="A82" s="179"/>
      <c r="B82" s="179"/>
      <c r="C82" s="832"/>
      <c r="D82" s="832"/>
      <c r="E82" s="832"/>
      <c r="F82" s="832"/>
      <c r="G82" s="247"/>
      <c r="H82" s="248"/>
      <c r="I82" s="247"/>
      <c r="J82" s="248"/>
      <c r="K82" s="207"/>
    </row>
    <row r="83" spans="1:11" s="37" customFormat="1" x14ac:dyDescent="0.3">
      <c r="A83" s="179"/>
      <c r="B83" s="179"/>
      <c r="C83" s="832"/>
      <c r="D83" s="832"/>
      <c r="E83" s="832"/>
      <c r="F83" s="832"/>
      <c r="G83" s="247"/>
      <c r="H83" s="248"/>
      <c r="I83" s="247"/>
      <c r="J83" s="248"/>
      <c r="K83" s="207"/>
    </row>
    <row r="84" spans="1:11" s="37" customFormat="1" x14ac:dyDescent="0.3">
      <c r="A84" s="179"/>
      <c r="B84" s="179"/>
      <c r="C84" s="832"/>
      <c r="D84" s="832"/>
      <c r="E84" s="832"/>
      <c r="F84" s="832"/>
      <c r="G84" s="247"/>
      <c r="H84" s="248"/>
      <c r="I84" s="247"/>
      <c r="J84" s="248"/>
      <c r="K84" s="207"/>
    </row>
    <row r="85" spans="1:11" s="37" customFormat="1" x14ac:dyDescent="0.3">
      <c r="A85" s="179"/>
      <c r="B85" s="179"/>
      <c r="C85" s="832"/>
      <c r="D85" s="832"/>
      <c r="E85" s="832"/>
      <c r="F85" s="832"/>
      <c r="G85" s="247"/>
      <c r="H85" s="248"/>
      <c r="I85" s="247"/>
      <c r="J85" s="248"/>
      <c r="K85" s="207"/>
    </row>
    <row r="86" spans="1:11" s="37" customFormat="1" x14ac:dyDescent="0.3">
      <c r="A86" s="179"/>
      <c r="B86" s="179"/>
      <c r="C86" s="832"/>
      <c r="D86" s="832"/>
      <c r="E86" s="832"/>
      <c r="F86" s="832"/>
      <c r="G86" s="247"/>
      <c r="H86" s="248"/>
      <c r="I86" s="247"/>
      <c r="J86" s="248"/>
      <c r="K86" s="207"/>
    </row>
    <row r="87" spans="1:11" s="37" customFormat="1" x14ac:dyDescent="0.3">
      <c r="A87" s="179"/>
      <c r="B87" s="179"/>
      <c r="C87" s="832"/>
      <c r="D87" s="832"/>
      <c r="E87" s="832"/>
      <c r="F87" s="832"/>
      <c r="G87" s="247"/>
      <c r="H87" s="248"/>
      <c r="I87" s="247"/>
      <c r="J87" s="248"/>
      <c r="K87" s="207"/>
    </row>
    <row r="88" spans="1:11" s="37" customFormat="1" x14ac:dyDescent="0.3">
      <c r="A88" s="179"/>
      <c r="B88" s="179"/>
      <c r="C88" s="832"/>
      <c r="D88" s="832"/>
      <c r="E88" s="832"/>
      <c r="F88" s="832"/>
      <c r="G88" s="247"/>
      <c r="H88" s="248"/>
      <c r="I88" s="247"/>
      <c r="J88" s="248"/>
      <c r="K88" s="207"/>
    </row>
    <row r="89" spans="1:11" s="37" customFormat="1" x14ac:dyDescent="0.3">
      <c r="A89" s="179"/>
      <c r="B89" s="179"/>
      <c r="C89" s="832"/>
      <c r="D89" s="832"/>
      <c r="E89" s="832"/>
      <c r="F89" s="832"/>
      <c r="G89" s="247"/>
      <c r="H89" s="248"/>
      <c r="I89" s="247"/>
      <c r="J89" s="248"/>
      <c r="K89" s="207"/>
    </row>
    <row r="90" spans="1:11" s="37" customFormat="1" x14ac:dyDescent="0.3">
      <c r="A90" s="179"/>
      <c r="B90" s="179"/>
      <c r="C90" s="179"/>
      <c r="D90" s="249"/>
      <c r="E90" s="249"/>
      <c r="F90" s="249"/>
      <c r="G90" s="250"/>
      <c r="H90" s="251"/>
      <c r="I90" s="250"/>
      <c r="J90" s="251"/>
      <c r="K90" s="207"/>
    </row>
    <row r="91" spans="1:11" s="37" customFormat="1" x14ac:dyDescent="0.3">
      <c r="A91" s="179"/>
      <c r="B91" s="179"/>
      <c r="C91" s="179"/>
      <c r="D91" s="249"/>
      <c r="E91" s="249"/>
      <c r="F91" s="249"/>
      <c r="G91" s="250"/>
      <c r="H91" s="251"/>
      <c r="I91" s="250"/>
      <c r="J91" s="251"/>
      <c r="K91" s="207"/>
    </row>
    <row r="92" spans="1:11" s="37" customFormat="1" x14ac:dyDescent="0.3">
      <c r="A92" s="179"/>
      <c r="B92" s="179"/>
      <c r="C92" s="179"/>
      <c r="D92" s="249"/>
      <c r="E92" s="249"/>
      <c r="F92" s="249"/>
      <c r="G92" s="250"/>
      <c r="H92" s="251"/>
      <c r="I92" s="250"/>
      <c r="J92" s="251"/>
      <c r="K92" s="207"/>
    </row>
    <row r="93" spans="1:11" s="37" customFormat="1" x14ac:dyDescent="0.3">
      <c r="A93" s="179"/>
      <c r="B93" s="179"/>
      <c r="C93" s="179"/>
      <c r="D93" s="249"/>
      <c r="E93" s="249"/>
      <c r="F93" s="249"/>
      <c r="G93" s="250"/>
      <c r="H93" s="251"/>
      <c r="I93" s="250"/>
      <c r="J93" s="251"/>
      <c r="K93" s="207"/>
    </row>
    <row r="94" spans="1:11" s="37" customFormat="1" x14ac:dyDescent="0.3">
      <c r="A94" s="179"/>
      <c r="B94" s="179"/>
      <c r="C94" s="179"/>
      <c r="D94" s="249"/>
      <c r="E94" s="249"/>
      <c r="F94" s="249"/>
      <c r="G94" s="250"/>
      <c r="H94" s="251"/>
      <c r="I94" s="250"/>
      <c r="J94" s="251"/>
      <c r="K94" s="207"/>
    </row>
    <row r="95" spans="1:11" s="37" customFormat="1" x14ac:dyDescent="0.3">
      <c r="A95" s="179"/>
      <c r="B95" s="179"/>
      <c r="C95" s="179"/>
      <c r="D95" s="249"/>
      <c r="E95" s="249"/>
      <c r="F95" s="249"/>
      <c r="G95" s="250"/>
      <c r="H95" s="251"/>
      <c r="I95" s="250"/>
      <c r="J95" s="251"/>
      <c r="K95" s="207"/>
    </row>
    <row r="96" spans="1:11" s="37" customFormat="1" x14ac:dyDescent="0.3">
      <c r="A96" s="179"/>
      <c r="B96" s="179"/>
      <c r="C96" s="179"/>
      <c r="D96" s="249"/>
      <c r="E96" s="249"/>
      <c r="F96" s="249"/>
      <c r="G96" s="250"/>
      <c r="H96" s="251"/>
      <c r="I96" s="250"/>
      <c r="J96" s="251"/>
      <c r="K96" s="207"/>
    </row>
    <row r="97" spans="1:14" s="37" customFormat="1" x14ac:dyDescent="0.3">
      <c r="A97" s="179"/>
      <c r="B97" s="179"/>
      <c r="C97" s="179"/>
      <c r="D97" s="249"/>
      <c r="E97" s="249"/>
      <c r="F97" s="249"/>
      <c r="G97" s="250"/>
      <c r="H97" s="251"/>
      <c r="I97" s="250"/>
      <c r="J97" s="251"/>
      <c r="K97" s="207"/>
    </row>
    <row r="98" spans="1:14" s="37" customFormat="1" x14ac:dyDescent="0.3">
      <c r="A98" s="179"/>
      <c r="B98" s="179"/>
      <c r="C98" s="179"/>
      <c r="D98" s="249"/>
      <c r="E98" s="249"/>
      <c r="F98" s="249"/>
      <c r="G98" s="250"/>
      <c r="H98" s="251"/>
      <c r="I98" s="250"/>
      <c r="J98" s="251"/>
      <c r="K98" s="207"/>
    </row>
    <row r="99" spans="1:14" s="37" customFormat="1" x14ac:dyDescent="0.3">
      <c r="A99" s="179"/>
      <c r="B99" s="179"/>
      <c r="C99" s="179"/>
      <c r="D99" s="249"/>
      <c r="E99" s="249"/>
      <c r="F99" s="249"/>
      <c r="G99" s="250"/>
      <c r="H99" s="251"/>
      <c r="I99" s="250"/>
      <c r="J99" s="251"/>
      <c r="K99" s="207"/>
    </row>
    <row r="100" spans="1:14" s="37" customFormat="1" x14ac:dyDescent="0.3">
      <c r="A100" s="179"/>
      <c r="B100" s="179"/>
      <c r="C100" s="60"/>
      <c r="D100" s="60"/>
      <c r="E100" s="60"/>
      <c r="F100" s="60"/>
      <c r="G100" s="60"/>
      <c r="H100" s="60"/>
      <c r="I100" s="60"/>
      <c r="J100" s="252"/>
      <c r="K100" s="207"/>
    </row>
    <row r="101" spans="1:14" s="37" customFormat="1" x14ac:dyDescent="0.3">
      <c r="A101" s="179"/>
      <c r="B101" s="179"/>
      <c r="C101" s="60"/>
      <c r="D101" s="60"/>
      <c r="E101" s="60"/>
      <c r="F101" s="60"/>
      <c r="G101" s="60"/>
      <c r="H101" s="60"/>
      <c r="I101" s="60"/>
      <c r="J101" s="252"/>
      <c r="K101" s="207"/>
    </row>
    <row r="102" spans="1:14" s="37" customFormat="1" x14ac:dyDescent="0.3">
      <c r="A102" s="179"/>
      <c r="B102" s="179"/>
      <c r="C102" s="60"/>
      <c r="D102" s="60"/>
      <c r="E102" s="60"/>
      <c r="F102" s="60"/>
      <c r="G102" s="60"/>
      <c r="H102" s="60"/>
      <c r="I102" s="60"/>
      <c r="J102" s="252"/>
      <c r="K102" s="207"/>
    </row>
    <row r="103" spans="1:14" s="37" customFormat="1" x14ac:dyDescent="0.3">
      <c r="A103" s="179"/>
      <c r="B103" s="179"/>
      <c r="C103" s="833"/>
      <c r="D103" s="833"/>
      <c r="E103" s="833"/>
      <c r="F103" s="833"/>
      <c r="G103" s="833"/>
      <c r="H103" s="833"/>
      <c r="I103" s="833"/>
      <c r="J103" s="833"/>
      <c r="K103" s="207"/>
    </row>
    <row r="104" spans="1:14" s="37" customFormat="1" x14ac:dyDescent="0.3">
      <c r="A104" s="179"/>
      <c r="B104" s="179"/>
      <c r="C104" s="834"/>
      <c r="D104" s="834"/>
      <c r="E104" s="834"/>
      <c r="F104" s="834"/>
      <c r="G104" s="834"/>
      <c r="H104" s="834"/>
      <c r="I104" s="834"/>
      <c r="J104" s="252"/>
      <c r="K104" s="207"/>
    </row>
    <row r="105" spans="1:14" s="37" customFormat="1" x14ac:dyDescent="0.3">
      <c r="A105" s="179"/>
      <c r="B105" s="179"/>
      <c r="C105" s="838"/>
      <c r="D105" s="838"/>
      <c r="E105" s="838"/>
      <c r="F105" s="838"/>
      <c r="G105" s="838"/>
      <c r="H105" s="838"/>
      <c r="I105" s="838"/>
      <c r="J105" s="252"/>
      <c r="K105" s="207"/>
    </row>
    <row r="106" spans="1:14" s="37" customFormat="1" x14ac:dyDescent="0.3">
      <c r="A106" s="179"/>
      <c r="B106" s="179"/>
      <c r="C106" s="838"/>
      <c r="D106" s="838"/>
      <c r="E106" s="838"/>
      <c r="F106" s="838"/>
      <c r="G106" s="838"/>
      <c r="H106" s="838"/>
      <c r="I106" s="838"/>
      <c r="J106" s="252"/>
      <c r="K106" s="207"/>
    </row>
    <row r="107" spans="1:14" s="37" customFormat="1" x14ac:dyDescent="0.3">
      <c r="A107" s="179"/>
      <c r="B107" s="179"/>
      <c r="C107" s="670"/>
      <c r="D107" s="670"/>
      <c r="E107" s="670"/>
      <c r="F107" s="670"/>
      <c r="G107" s="670"/>
      <c r="H107" s="670"/>
      <c r="I107" s="670"/>
      <c r="J107" s="252"/>
      <c r="K107" s="207"/>
    </row>
    <row r="108" spans="1:14" s="37" customFormat="1" x14ac:dyDescent="0.3">
      <c r="A108" s="179"/>
      <c r="B108" s="179"/>
      <c r="C108" s="670"/>
      <c r="D108" s="670"/>
      <c r="E108" s="670"/>
      <c r="F108" s="670"/>
      <c r="G108" s="670"/>
      <c r="H108" s="670"/>
      <c r="I108" s="670"/>
      <c r="J108" s="252"/>
      <c r="K108" s="207"/>
    </row>
    <row r="109" spans="1:14" s="37" customFormat="1" x14ac:dyDescent="0.3">
      <c r="A109" s="179"/>
      <c r="B109" s="179"/>
      <c r="C109" s="179"/>
      <c r="D109" s="179"/>
      <c r="E109" s="179"/>
      <c r="F109" s="670"/>
      <c r="G109" s="670"/>
      <c r="H109" s="670"/>
      <c r="I109" s="670"/>
      <c r="J109" s="252"/>
      <c r="K109" s="207"/>
    </row>
    <row r="110" spans="1:14" s="37" customFormat="1" ht="10.5" customHeight="1" x14ac:dyDescent="0.3">
      <c r="A110" s="179"/>
      <c r="B110" s="179"/>
      <c r="C110" s="838"/>
      <c r="D110" s="838"/>
      <c r="E110" s="838"/>
      <c r="F110" s="838"/>
      <c r="G110" s="838"/>
      <c r="H110" s="838"/>
      <c r="I110" s="838"/>
      <c r="J110" s="838"/>
      <c r="K110" s="207"/>
    </row>
    <row r="111" spans="1:14" s="37" customFormat="1" ht="21" customHeight="1" x14ac:dyDescent="0.3">
      <c r="A111" s="179"/>
      <c r="B111" s="179"/>
      <c r="C111" s="842"/>
      <c r="D111" s="842"/>
      <c r="E111" s="842"/>
      <c r="F111" s="842"/>
      <c r="G111" s="842"/>
      <c r="H111" s="842"/>
      <c r="I111" s="842"/>
      <c r="J111" s="842"/>
      <c r="K111" s="207"/>
    </row>
    <row r="112" spans="1:14" s="37" customFormat="1" x14ac:dyDescent="0.3">
      <c r="A112" s="179"/>
      <c r="B112" s="179"/>
      <c r="C112" s="843"/>
      <c r="D112" s="843"/>
      <c r="E112" s="843"/>
      <c r="F112" s="843"/>
      <c r="G112" s="843"/>
      <c r="H112" s="843"/>
      <c r="I112" s="844"/>
      <c r="J112" s="844"/>
      <c r="K112" s="207"/>
      <c r="N112" s="209"/>
    </row>
    <row r="113" spans="1:14" s="37" customFormat="1" x14ac:dyDescent="0.3">
      <c r="A113" s="179"/>
      <c r="B113" s="179"/>
      <c r="C113" s="843"/>
      <c r="D113" s="843"/>
      <c r="E113" s="843"/>
      <c r="F113" s="843"/>
      <c r="G113" s="843"/>
      <c r="H113" s="843"/>
      <c r="I113" s="844"/>
      <c r="J113" s="844"/>
      <c r="K113" s="207"/>
      <c r="N113" s="209"/>
    </row>
    <row r="114" spans="1:14" s="37" customFormat="1" x14ac:dyDescent="0.3">
      <c r="A114" s="179"/>
      <c r="B114" s="179"/>
      <c r="C114" s="843"/>
      <c r="D114" s="843"/>
      <c r="E114" s="843"/>
      <c r="F114" s="843"/>
      <c r="G114" s="843"/>
      <c r="H114" s="843"/>
      <c r="I114" s="844"/>
      <c r="J114" s="844"/>
      <c r="K114" s="207"/>
      <c r="N114" s="209"/>
    </row>
    <row r="115" spans="1:14" s="37" customFormat="1" x14ac:dyDescent="0.3">
      <c r="A115" s="179"/>
      <c r="B115" s="179"/>
      <c r="C115" s="843"/>
      <c r="D115" s="843"/>
      <c r="E115" s="843"/>
      <c r="F115" s="843"/>
      <c r="G115" s="843"/>
      <c r="H115" s="843"/>
      <c r="I115" s="845"/>
      <c r="J115" s="845"/>
      <c r="K115" s="207"/>
    </row>
    <row r="116" spans="1:14" s="37" customFormat="1" x14ac:dyDescent="0.3">
      <c r="A116" s="179"/>
      <c r="B116" s="179"/>
      <c r="C116" s="843"/>
      <c r="D116" s="843"/>
      <c r="E116" s="843"/>
      <c r="F116" s="843"/>
      <c r="G116" s="843"/>
      <c r="H116" s="843"/>
      <c r="I116" s="844"/>
      <c r="J116" s="844"/>
      <c r="K116" s="207"/>
    </row>
    <row r="117" spans="1:14" s="37" customFormat="1" x14ac:dyDescent="0.3">
      <c r="A117" s="179"/>
      <c r="B117" s="179"/>
      <c r="C117" s="843"/>
      <c r="D117" s="843"/>
      <c r="E117" s="843"/>
      <c r="F117" s="843"/>
      <c r="G117" s="843"/>
      <c r="H117" s="843"/>
      <c r="I117" s="844"/>
      <c r="J117" s="844"/>
      <c r="K117" s="207"/>
    </row>
    <row r="118" spans="1:14" s="37" customFormat="1" x14ac:dyDescent="0.3">
      <c r="A118" s="179"/>
      <c r="B118" s="179"/>
      <c r="C118" s="843"/>
      <c r="D118" s="843"/>
      <c r="E118" s="843"/>
      <c r="F118" s="843"/>
      <c r="G118" s="843"/>
      <c r="H118" s="843"/>
      <c r="I118" s="844"/>
      <c r="J118" s="844"/>
      <c r="K118" s="207"/>
    </row>
    <row r="119" spans="1:14" s="37" customFormat="1" x14ac:dyDescent="0.3">
      <c r="A119" s="179"/>
      <c r="B119" s="179"/>
      <c r="C119" s="843"/>
      <c r="D119" s="843"/>
      <c r="E119" s="843"/>
      <c r="F119" s="843"/>
      <c r="G119" s="843"/>
      <c r="H119" s="843"/>
      <c r="I119" s="844"/>
      <c r="J119" s="844"/>
      <c r="K119" s="207"/>
    </row>
    <row r="120" spans="1:14" s="37" customFormat="1" ht="24" customHeight="1" x14ac:dyDescent="0.3">
      <c r="A120" s="179"/>
      <c r="B120" s="179"/>
      <c r="C120" s="843"/>
      <c r="D120" s="843"/>
      <c r="E120" s="843"/>
      <c r="F120" s="843"/>
      <c r="G120" s="843"/>
      <c r="H120" s="843"/>
      <c r="I120" s="844"/>
      <c r="J120" s="844"/>
      <c r="K120" s="207"/>
    </row>
    <row r="121" spans="1:14" s="37" customFormat="1" ht="11.25" customHeight="1" x14ac:dyDescent="0.3">
      <c r="A121" s="179"/>
      <c r="B121" s="179"/>
      <c r="C121" s="179"/>
      <c r="D121" s="179"/>
      <c r="E121" s="179"/>
      <c r="F121" s="179"/>
      <c r="G121" s="210"/>
      <c r="H121" s="210"/>
      <c r="I121" s="210"/>
      <c r="J121" s="210"/>
      <c r="K121" s="207"/>
    </row>
    <row r="122" spans="1:14" ht="12" customHeight="1" x14ac:dyDescent="0.3">
      <c r="A122" s="37"/>
      <c r="B122" s="37"/>
      <c r="C122" s="37"/>
      <c r="D122" s="37"/>
      <c r="E122" s="37"/>
      <c r="F122" s="37"/>
      <c r="G122" s="228"/>
      <c r="H122" s="228"/>
      <c r="I122" s="228"/>
      <c r="J122" s="228"/>
      <c r="K122" s="221"/>
      <c r="L122" s="37"/>
      <c r="M122" s="37"/>
      <c r="N122" s="37"/>
    </row>
    <row r="123" spans="1:14" ht="25" customHeight="1" x14ac:dyDescent="0.3">
      <c r="A123" s="37"/>
      <c r="B123" s="37"/>
      <c r="C123" s="37"/>
      <c r="D123" s="37"/>
      <c r="E123" s="37"/>
      <c r="F123" s="37"/>
      <c r="G123" s="228"/>
      <c r="H123" s="228"/>
      <c r="I123" s="228"/>
      <c r="J123" s="228"/>
      <c r="K123" s="221"/>
      <c r="L123" s="37"/>
      <c r="M123" s="37"/>
      <c r="N123" s="37"/>
    </row>
    <row r="124" spans="1:14" ht="25" customHeight="1" x14ac:dyDescent="0.3">
      <c r="A124" s="37"/>
      <c r="B124" s="37"/>
      <c r="C124" s="37"/>
      <c r="D124" s="37"/>
      <c r="E124" s="37"/>
      <c r="F124" s="37"/>
      <c r="G124" s="228"/>
      <c r="H124" s="228"/>
      <c r="I124" s="228"/>
      <c r="J124" s="228"/>
      <c r="K124" s="221"/>
      <c r="L124" s="37"/>
      <c r="M124" s="37"/>
      <c r="N124" s="37"/>
    </row>
    <row r="125" spans="1:14" ht="25" customHeight="1" x14ac:dyDescent="0.3">
      <c r="A125" s="37"/>
      <c r="B125" s="37"/>
      <c r="C125" s="37"/>
      <c r="D125" s="37"/>
      <c r="E125" s="37"/>
      <c r="F125" s="37"/>
      <c r="G125" s="228"/>
      <c r="H125" s="228"/>
      <c r="I125" s="228"/>
      <c r="J125" s="228"/>
      <c r="K125" s="221"/>
      <c r="L125" s="37"/>
      <c r="M125" s="37"/>
      <c r="N125" s="37"/>
    </row>
    <row r="126" spans="1:14" ht="25" customHeight="1" x14ac:dyDescent="0.3">
      <c r="A126" s="37"/>
      <c r="B126" s="37"/>
      <c r="C126" s="37"/>
      <c r="D126" s="37"/>
      <c r="E126" s="37"/>
      <c r="F126" s="37"/>
      <c r="G126" s="228"/>
      <c r="H126" s="228"/>
      <c r="I126" s="228"/>
      <c r="J126" s="228"/>
      <c r="K126" s="221"/>
      <c r="L126" s="37"/>
      <c r="M126" s="37"/>
      <c r="N126" s="37"/>
    </row>
    <row r="127" spans="1:14" ht="25" customHeight="1" x14ac:dyDescent="0.3">
      <c r="A127" s="37"/>
      <c r="B127" s="37"/>
      <c r="C127" s="37"/>
      <c r="D127" s="37"/>
      <c r="E127" s="37"/>
      <c r="F127" s="37"/>
      <c r="G127" s="228"/>
      <c r="H127" s="228"/>
      <c r="I127" s="228"/>
      <c r="J127" s="228"/>
      <c r="K127" s="221"/>
      <c r="L127" s="37"/>
      <c r="M127" s="37"/>
      <c r="N127" s="37"/>
    </row>
    <row r="128" spans="1:14" ht="25" customHeight="1" x14ac:dyDescent="0.3">
      <c r="A128" s="37"/>
      <c r="B128" s="37"/>
      <c r="C128" s="37"/>
      <c r="D128" s="37"/>
      <c r="E128" s="37"/>
      <c r="F128" s="37"/>
      <c r="G128" s="228"/>
      <c r="H128" s="228"/>
      <c r="I128" s="228"/>
      <c r="J128" s="228"/>
      <c r="K128" s="221"/>
      <c r="L128" s="37"/>
      <c r="M128" s="37"/>
      <c r="N128" s="37"/>
    </row>
    <row r="129" spans="1:14" ht="25" customHeight="1" x14ac:dyDescent="0.3">
      <c r="A129" s="37"/>
      <c r="B129" s="37"/>
      <c r="C129" s="37"/>
      <c r="D129" s="37"/>
      <c r="E129" s="37"/>
      <c r="F129" s="37"/>
      <c r="G129" s="228"/>
      <c r="H129" s="228"/>
      <c r="I129" s="228"/>
      <c r="J129" s="228"/>
      <c r="K129" s="221"/>
      <c r="L129" s="37"/>
      <c r="M129" s="37"/>
      <c r="N129" s="37"/>
    </row>
    <row r="130" spans="1:14" ht="25" customHeight="1" x14ac:dyDescent="0.3"/>
    <row r="131" spans="1:14" ht="25" customHeight="1" x14ac:dyDescent="0.3"/>
    <row r="132" spans="1:14" ht="25" customHeight="1" x14ac:dyDescent="0.3"/>
    <row r="133" spans="1:14" ht="25" customHeight="1" x14ac:dyDescent="0.3"/>
    <row r="134" spans="1:14" ht="25" customHeight="1" x14ac:dyDescent="0.3"/>
    <row r="135" spans="1:14" ht="25" customHeight="1" x14ac:dyDescent="0.3"/>
    <row r="136" spans="1:14" ht="25" customHeight="1" x14ac:dyDescent="0.3"/>
    <row r="137" spans="1:14" ht="25" customHeight="1" x14ac:dyDescent="0.3"/>
    <row r="138" spans="1:14" ht="25" customHeight="1" x14ac:dyDescent="0.3"/>
    <row r="139" spans="1:14" ht="25" customHeight="1" x14ac:dyDescent="0.3"/>
  </sheetData>
  <sheetProtection selectLockedCells="1"/>
  <mergeCells count="59">
    <mergeCell ref="N57:O57"/>
    <mergeCell ref="C58:I58"/>
    <mergeCell ref="C59:I59"/>
    <mergeCell ref="C60:I60"/>
    <mergeCell ref="C61:I61"/>
    <mergeCell ref="C119:H119"/>
    <mergeCell ref="I119:J119"/>
    <mergeCell ref="C120:H120"/>
    <mergeCell ref="I120:J120"/>
    <mergeCell ref="C79:F79"/>
    <mergeCell ref="C81:F81"/>
    <mergeCell ref="C82:F82"/>
    <mergeCell ref="C83:F83"/>
    <mergeCell ref="C116:H116"/>
    <mergeCell ref="I116:J116"/>
    <mergeCell ref="C117:H117"/>
    <mergeCell ref="I117:J117"/>
    <mergeCell ref="C118:H118"/>
    <mergeCell ref="C88:F88"/>
    <mergeCell ref="C89:F89"/>
    <mergeCell ref="C80:F80"/>
    <mergeCell ref="C110:J110"/>
    <mergeCell ref="C111:J111"/>
    <mergeCell ref="C112:H112"/>
    <mergeCell ref="I112:J112"/>
    <mergeCell ref="I118:J118"/>
    <mergeCell ref="C113:H113"/>
    <mergeCell ref="I113:J113"/>
    <mergeCell ref="C114:H114"/>
    <mergeCell ref="I114:J114"/>
    <mergeCell ref="C115:H115"/>
    <mergeCell ref="I115:J115"/>
    <mergeCell ref="C3:J3"/>
    <mergeCell ref="C105:I105"/>
    <mergeCell ref="C106:I106"/>
    <mergeCell ref="C108:I108"/>
    <mergeCell ref="F109:I109"/>
    <mergeCell ref="C62:I62"/>
    <mergeCell ref="C72:F72"/>
    <mergeCell ref="C73:F73"/>
    <mergeCell ref="C63:I63"/>
    <mergeCell ref="C64:I64"/>
    <mergeCell ref="C68:I68"/>
    <mergeCell ref="C65:I65"/>
    <mergeCell ref="C66:I66"/>
    <mergeCell ref="C67:I67"/>
    <mergeCell ref="C75:F75"/>
    <mergeCell ref="C76:F76"/>
    <mergeCell ref="C107:I107"/>
    <mergeCell ref="C71:I71"/>
    <mergeCell ref="C84:F84"/>
    <mergeCell ref="C85:F85"/>
    <mergeCell ref="C74:F74"/>
    <mergeCell ref="C103:J103"/>
    <mergeCell ref="C104:I104"/>
    <mergeCell ref="C77:F77"/>
    <mergeCell ref="C78:F78"/>
    <mergeCell ref="C86:F86"/>
    <mergeCell ref="C87:F87"/>
  </mergeCells>
  <printOptions horizontalCentered="1" verticalCentered="1"/>
  <pageMargins left="0" right="0" top="0" bottom="0" header="0" footer="0"/>
  <pageSetup scale="45" orientation="portrait" r:id="rId1"/>
  <headerFooter alignWithMargins="0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B0283-D498-4162-8B60-CC39664491B3}">
  <sheetPr codeName="Sheet24">
    <tabColor rgb="FFFFFF00"/>
    <pageSetUpPr fitToPage="1"/>
  </sheetPr>
  <dimension ref="A1:O67"/>
  <sheetViews>
    <sheetView showGridLines="0" showZeros="0" view="pageBreakPreview" topLeftCell="A40" zoomScaleNormal="100" zoomScaleSheetLayoutView="100" workbookViewId="0">
      <selection activeCell="L29" sqref="L29:M29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1139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958</v>
      </c>
      <c r="E11" s="679"/>
      <c r="F11" s="679"/>
      <c r="G11" s="679"/>
      <c r="H11" s="679"/>
      <c r="I11" s="679"/>
      <c r="J11" s="680"/>
      <c r="K11" s="152"/>
      <c r="L11" s="668">
        <f t="shared" ref="L11" si="0">K11*C11</f>
        <v>0</v>
      </c>
      <c r="M11" s="669"/>
      <c r="N11" s="178"/>
      <c r="O11" s="71"/>
    </row>
    <row r="12" spans="1:15" x14ac:dyDescent="0.3">
      <c r="A12" s="71"/>
      <c r="B12" s="166"/>
      <c r="C12" s="360">
        <f>'Deck TakeOff'!H55+'Deck TakeOff'!H54</f>
        <v>0</v>
      </c>
      <c r="D12" s="289" t="s">
        <v>920</v>
      </c>
      <c r="E12" s="218"/>
      <c r="F12" s="218"/>
      <c r="G12" s="218"/>
      <c r="H12" s="218"/>
      <c r="I12" s="218"/>
      <c r="J12" s="324"/>
      <c r="K12" s="152">
        <f>'Material Price'!J319</f>
        <v>52</v>
      </c>
      <c r="L12" s="668">
        <f>K12*C12</f>
        <v>0</v>
      </c>
      <c r="M12" s="669"/>
      <c r="N12" s="178"/>
      <c r="O12" s="71"/>
    </row>
    <row r="13" spans="1:15" x14ac:dyDescent="0.3">
      <c r="A13" s="71"/>
      <c r="B13" s="166"/>
      <c r="C13" s="360">
        <f>C12+Formulas!T111+Formulas!U111</f>
        <v>0</v>
      </c>
      <c r="D13" s="217" t="s">
        <v>919</v>
      </c>
      <c r="E13" s="218"/>
      <c r="F13" s="218"/>
      <c r="G13" s="218"/>
      <c r="H13" s="218"/>
      <c r="I13" s="218"/>
      <c r="J13" s="324"/>
      <c r="K13" s="152">
        <f>'Material Price'!J320</f>
        <v>14</v>
      </c>
      <c r="L13" s="668">
        <f t="shared" ref="L13:L36" si="1">K13*C13</f>
        <v>0</v>
      </c>
      <c r="M13" s="669"/>
      <c r="N13" s="178"/>
      <c r="O13" s="71"/>
    </row>
    <row r="14" spans="1:15" x14ac:dyDescent="0.3">
      <c r="A14" s="71"/>
      <c r="B14" s="166"/>
      <c r="C14" s="360">
        <f>Formulas!Q113+Formulas!Q117+Formulas!Q121+Formulas!Q111+Formulas!Q115+Formulas!Q119</f>
        <v>10</v>
      </c>
      <c r="D14" s="217" t="s">
        <v>921</v>
      </c>
      <c r="E14" s="218"/>
      <c r="F14" s="218"/>
      <c r="G14" s="218"/>
      <c r="H14" s="218"/>
      <c r="I14" s="218"/>
      <c r="J14" s="324"/>
      <c r="K14" s="152">
        <f>'Material Price'!J321</f>
        <v>62</v>
      </c>
      <c r="L14" s="668">
        <f t="shared" si="1"/>
        <v>620</v>
      </c>
      <c r="M14" s="669"/>
      <c r="N14" s="178"/>
      <c r="O14" s="71"/>
    </row>
    <row r="15" spans="1:15" x14ac:dyDescent="0.3">
      <c r="A15" s="71"/>
      <c r="B15" s="166"/>
      <c r="C15" s="360">
        <f>Formulas!Q114+Formulas!Q118+Formulas!Q122+Formulas!Q112+Formulas!Q116+Formulas!Q120</f>
        <v>0</v>
      </c>
      <c r="D15" s="217" t="s">
        <v>922</v>
      </c>
      <c r="E15" s="218"/>
      <c r="F15" s="218"/>
      <c r="G15" s="218"/>
      <c r="H15" s="218"/>
      <c r="I15" s="218"/>
      <c r="J15" s="324"/>
      <c r="K15" s="152">
        <f>'Material Price'!J322</f>
        <v>81</v>
      </c>
      <c r="L15" s="668">
        <f t="shared" si="1"/>
        <v>0</v>
      </c>
      <c r="M15" s="669"/>
      <c r="N15" s="178"/>
      <c r="O15" s="71"/>
    </row>
    <row r="16" spans="1:15" x14ac:dyDescent="0.3">
      <c r="A16" s="71"/>
      <c r="B16" s="166"/>
      <c r="C16" s="394">
        <f>ROUNDUP(((C14*5.6)+(C15*7.6))/16,0)</f>
        <v>4</v>
      </c>
      <c r="D16" s="289" t="s">
        <v>923</v>
      </c>
      <c r="E16" s="218"/>
      <c r="F16" s="218"/>
      <c r="G16" s="218"/>
      <c r="H16" s="218"/>
      <c r="I16" s="218"/>
      <c r="J16" s="324"/>
      <c r="K16" s="400">
        <f>'Material Price'!J323</f>
        <v>92</v>
      </c>
      <c r="L16" s="668">
        <f t="shared" si="1"/>
        <v>368</v>
      </c>
      <c r="M16" s="669"/>
      <c r="N16" s="178"/>
      <c r="O16" s="71"/>
    </row>
    <row r="17" spans="1:15" x14ac:dyDescent="0.3">
      <c r="A17" s="71"/>
      <c r="B17" s="166"/>
      <c r="C17" s="394">
        <f>'Deck TakeOff'!E64</f>
        <v>10</v>
      </c>
      <c r="D17" s="217" t="s">
        <v>924</v>
      </c>
      <c r="E17" s="218"/>
      <c r="F17" s="218"/>
      <c r="G17" s="218"/>
      <c r="H17" s="218"/>
      <c r="I17" s="218"/>
      <c r="J17" s="324"/>
      <c r="K17" s="152">
        <f>'Material Price'!J324</f>
        <v>25</v>
      </c>
      <c r="L17" s="668">
        <f t="shared" si="1"/>
        <v>250</v>
      </c>
      <c r="M17" s="669"/>
      <c r="N17" s="178"/>
      <c r="O17" s="71"/>
    </row>
    <row r="18" spans="1:15" x14ac:dyDescent="0.3">
      <c r="A18" s="71"/>
      <c r="B18" s="166"/>
      <c r="C18" s="394">
        <f>IF(C16&gt;0,1,0)</f>
        <v>1</v>
      </c>
      <c r="D18" s="217" t="s">
        <v>925</v>
      </c>
      <c r="E18" s="218"/>
      <c r="F18" s="218"/>
      <c r="G18" s="218"/>
      <c r="H18" s="218"/>
      <c r="I18" s="218"/>
      <c r="J18" s="324"/>
      <c r="K18" s="400">
        <f>'Material Price'!J325</f>
        <v>15</v>
      </c>
      <c r="L18" s="668">
        <f t="shared" si="1"/>
        <v>15</v>
      </c>
      <c r="M18" s="669"/>
      <c r="N18" s="178"/>
      <c r="O18" s="71"/>
    </row>
    <row r="19" spans="1:15" x14ac:dyDescent="0.3">
      <c r="A19" s="71"/>
      <c r="B19" s="166"/>
      <c r="C19" s="394">
        <f>ROUNDUP((Formulas!T111+Formulas!U111)/2,0)</f>
        <v>0</v>
      </c>
      <c r="D19" s="289" t="s">
        <v>936</v>
      </c>
      <c r="E19" s="218"/>
      <c r="F19" s="218"/>
      <c r="G19" s="218"/>
      <c r="H19" s="218"/>
      <c r="I19" s="218"/>
      <c r="J19" s="324"/>
      <c r="K19" s="356">
        <f>'Material Price'!J326</f>
        <v>120</v>
      </c>
      <c r="L19" s="668">
        <f t="shared" si="1"/>
        <v>0</v>
      </c>
      <c r="M19" s="669"/>
      <c r="N19" s="178"/>
      <c r="O19" s="71"/>
    </row>
    <row r="20" spans="1:15" x14ac:dyDescent="0.3">
      <c r="A20" s="71"/>
      <c r="B20" s="166"/>
      <c r="C20" s="394"/>
      <c r="D20" s="847" t="s">
        <v>941</v>
      </c>
      <c r="E20" s="848"/>
      <c r="F20" s="848"/>
      <c r="G20" s="848"/>
      <c r="H20" s="848"/>
      <c r="I20" s="848"/>
      <c r="J20" s="849"/>
      <c r="K20" s="356">
        <f>'Material Price'!J281</f>
        <v>166</v>
      </c>
      <c r="L20" s="668">
        <f t="shared" si="1"/>
        <v>0</v>
      </c>
      <c r="M20" s="669"/>
      <c r="N20" s="178"/>
      <c r="O20" s="71"/>
    </row>
    <row r="21" spans="1:15" x14ac:dyDescent="0.3">
      <c r="A21" s="71"/>
      <c r="B21" s="166"/>
      <c r="C21" s="394">
        <f>Formulas!M93</f>
        <v>0</v>
      </c>
      <c r="D21" s="847" t="s">
        <v>942</v>
      </c>
      <c r="E21" s="848"/>
      <c r="F21" s="848"/>
      <c r="G21" s="848"/>
      <c r="H21" s="848"/>
      <c r="I21" s="848"/>
      <c r="J21" s="849"/>
      <c r="K21" s="356">
        <f>'Material Price'!J292</f>
        <v>174</v>
      </c>
      <c r="L21" s="57"/>
      <c r="M21" s="58"/>
      <c r="N21" s="178"/>
      <c r="O21" s="71"/>
    </row>
    <row r="22" spans="1:15" x14ac:dyDescent="0.3">
      <c r="A22" s="71"/>
      <c r="B22" s="166"/>
      <c r="C22" s="394"/>
      <c r="D22" s="847" t="s">
        <v>943</v>
      </c>
      <c r="E22" s="848"/>
      <c r="F22" s="848"/>
      <c r="G22" s="848"/>
      <c r="H22" s="848"/>
      <c r="I22" s="848"/>
      <c r="J22" s="849"/>
      <c r="K22" s="356">
        <f>'Material Price'!J280</f>
        <v>143</v>
      </c>
      <c r="L22" s="668">
        <f t="shared" si="1"/>
        <v>0</v>
      </c>
      <c r="M22" s="669"/>
      <c r="N22" s="178"/>
      <c r="O22" s="71"/>
    </row>
    <row r="23" spans="1:15" x14ac:dyDescent="0.3">
      <c r="A23" s="71"/>
      <c r="B23" s="166"/>
      <c r="C23" s="360">
        <f>Formulas!M92</f>
        <v>8</v>
      </c>
      <c r="D23" s="847" t="s">
        <v>944</v>
      </c>
      <c r="E23" s="848"/>
      <c r="F23" s="848"/>
      <c r="G23" s="848"/>
      <c r="H23" s="848"/>
      <c r="I23" s="848"/>
      <c r="J23" s="849"/>
      <c r="K23" s="356">
        <f>'Material Price'!J291</f>
        <v>158</v>
      </c>
      <c r="L23" s="668">
        <f t="shared" si="1"/>
        <v>1264</v>
      </c>
      <c r="M23" s="669"/>
      <c r="N23" s="178"/>
      <c r="O23" s="71"/>
    </row>
    <row r="24" spans="1:15" x14ac:dyDescent="0.3">
      <c r="A24" s="71"/>
      <c r="B24" s="166"/>
      <c r="C24" s="360">
        <f>'Deck TakeOff'!H51</f>
        <v>0</v>
      </c>
      <c r="D24" s="217" t="s">
        <v>896</v>
      </c>
      <c r="E24" s="218"/>
      <c r="F24" s="218"/>
      <c r="G24" s="218"/>
      <c r="H24" s="218"/>
      <c r="I24" s="218"/>
      <c r="J24" s="324"/>
      <c r="K24" s="152">
        <f>'Material Price'!J295</f>
        <v>65</v>
      </c>
      <c r="L24" s="668">
        <f t="shared" si="1"/>
        <v>0</v>
      </c>
      <c r="M24" s="669"/>
      <c r="N24" s="178"/>
      <c r="O24" s="71"/>
    </row>
    <row r="25" spans="1:15" x14ac:dyDescent="0.3">
      <c r="A25" s="71"/>
      <c r="B25" s="166"/>
      <c r="C25" s="360">
        <f>'Deck TakeOff'!H52</f>
        <v>0</v>
      </c>
      <c r="D25" s="217" t="s">
        <v>897</v>
      </c>
      <c r="E25" s="218"/>
      <c r="F25" s="218"/>
      <c r="G25" s="218"/>
      <c r="H25" s="218"/>
      <c r="I25" s="218"/>
      <c r="J25" s="324"/>
      <c r="K25" s="152">
        <f>'Material Price'!J296</f>
        <v>70</v>
      </c>
      <c r="L25" s="668">
        <f t="shared" si="1"/>
        <v>0</v>
      </c>
      <c r="M25" s="669"/>
      <c r="N25" s="178"/>
      <c r="O25" s="71"/>
    </row>
    <row r="26" spans="1:15" x14ac:dyDescent="0.3">
      <c r="A26" s="71"/>
      <c r="B26" s="166"/>
      <c r="C26" s="360">
        <f>ROUNDUP((Formulas!J97+Formulas!I81)/18,0)</f>
        <v>0</v>
      </c>
      <c r="D26" s="217" t="s">
        <v>940</v>
      </c>
      <c r="E26" s="218"/>
      <c r="F26" s="218"/>
      <c r="G26" s="218"/>
      <c r="H26" s="218"/>
      <c r="I26" s="218"/>
      <c r="J26" s="324"/>
      <c r="K26" s="152">
        <f>'Material Price'!J282</f>
        <v>25</v>
      </c>
      <c r="L26" s="668">
        <f t="shared" si="1"/>
        <v>0</v>
      </c>
      <c r="M26" s="669"/>
      <c r="N26" s="178"/>
      <c r="O26" s="71"/>
    </row>
    <row r="27" spans="1:15" x14ac:dyDescent="0.3">
      <c r="A27" s="71"/>
      <c r="B27" s="166"/>
      <c r="C27" s="360">
        <f>Formulas!H131</f>
        <v>0</v>
      </c>
      <c r="D27" s="217" t="s">
        <v>1205</v>
      </c>
      <c r="E27" s="218"/>
      <c r="F27" s="218"/>
      <c r="G27" s="218"/>
      <c r="H27" s="218"/>
      <c r="I27" s="218"/>
      <c r="J27" s="324"/>
      <c r="K27" s="356">
        <f>'Material Price'!J342</f>
        <v>225</v>
      </c>
      <c r="L27" s="668">
        <f t="shared" ref="L27" si="2">K27*C27</f>
        <v>0</v>
      </c>
      <c r="M27" s="669"/>
      <c r="N27" s="178"/>
      <c r="O27" s="71"/>
    </row>
    <row r="28" spans="1:15" x14ac:dyDescent="0.3">
      <c r="A28" s="71"/>
      <c r="B28" s="166"/>
      <c r="C28" s="360">
        <f>Formulas!H132</f>
        <v>0</v>
      </c>
      <c r="D28" s="217" t="s">
        <v>1206</v>
      </c>
      <c r="E28" s="218"/>
      <c r="F28" s="218"/>
      <c r="G28" s="218"/>
      <c r="H28" s="218"/>
      <c r="I28" s="218"/>
      <c r="J28" s="324"/>
      <c r="K28" s="356">
        <f>'Material Price'!J343</f>
        <v>225</v>
      </c>
      <c r="L28" s="668">
        <f t="shared" si="1"/>
        <v>0</v>
      </c>
      <c r="M28" s="669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8">
        <f t="shared" si="1"/>
        <v>0</v>
      </c>
      <c r="M29" s="669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8">
        <f t="shared" si="1"/>
        <v>0</v>
      </c>
      <c r="M30" s="669"/>
      <c r="N30" s="178"/>
      <c r="O30" s="71"/>
    </row>
    <row r="31" spans="1:15" x14ac:dyDescent="0.3">
      <c r="A31" s="71"/>
      <c r="B31" s="166"/>
      <c r="C31" s="360"/>
      <c r="D31" s="217"/>
      <c r="E31" s="218"/>
      <c r="F31" s="218"/>
      <c r="G31" s="218"/>
      <c r="H31" s="218"/>
      <c r="I31" s="218"/>
      <c r="J31" s="324"/>
      <c r="K31" s="152"/>
      <c r="L31" s="668">
        <f t="shared" si="1"/>
        <v>0</v>
      </c>
      <c r="M31" s="669"/>
      <c r="N31" s="178"/>
      <c r="O31" s="71"/>
    </row>
    <row r="32" spans="1:15" x14ac:dyDescent="0.3">
      <c r="A32" s="71"/>
      <c r="B32" s="166"/>
      <c r="C32" s="360"/>
      <c r="D32" s="217"/>
      <c r="E32" s="218"/>
      <c r="F32" s="218"/>
      <c r="G32" s="218"/>
      <c r="H32" s="218"/>
      <c r="I32" s="218"/>
      <c r="J32" s="324"/>
      <c r="K32" s="152"/>
      <c r="L32" s="668">
        <f t="shared" si="1"/>
        <v>0</v>
      </c>
      <c r="M32" s="669"/>
      <c r="N32" s="178"/>
      <c r="O32" s="71"/>
    </row>
    <row r="33" spans="1:15" x14ac:dyDescent="0.3">
      <c r="A33" s="71"/>
      <c r="B33" s="166"/>
      <c r="C33" s="360"/>
      <c r="D33" s="678" t="s">
        <v>763</v>
      </c>
      <c r="E33" s="679"/>
      <c r="F33" s="679"/>
      <c r="G33" s="679"/>
      <c r="H33" s="679"/>
      <c r="I33" s="679"/>
      <c r="J33" s="680"/>
      <c r="K33" s="152"/>
      <c r="L33" s="668">
        <f t="shared" si="1"/>
        <v>0</v>
      </c>
      <c r="M33" s="669"/>
      <c r="N33" s="178"/>
      <c r="O33" s="71"/>
    </row>
    <row r="34" spans="1:15" x14ac:dyDescent="0.3">
      <c r="A34" s="71"/>
      <c r="B34" s="166"/>
      <c r="C34" s="360">
        <f>'Deck TakeOff'!E58</f>
        <v>0</v>
      </c>
      <c r="D34" s="217" t="s">
        <v>934</v>
      </c>
      <c r="E34" s="345"/>
      <c r="F34" s="345"/>
      <c r="G34" s="345"/>
      <c r="H34" s="345"/>
      <c r="I34" s="345"/>
      <c r="J34" s="346"/>
      <c r="K34" s="356">
        <f>'Material Price'!J227</f>
        <v>380</v>
      </c>
      <c r="L34" s="668">
        <f t="shared" si="1"/>
        <v>0</v>
      </c>
      <c r="M34" s="669"/>
      <c r="N34" s="178"/>
      <c r="O34" s="71"/>
    </row>
    <row r="35" spans="1:15" x14ac:dyDescent="0.3">
      <c r="A35" s="71"/>
      <c r="B35" s="166"/>
      <c r="C35" s="360">
        <f>'Deck TakeOff'!E59</f>
        <v>0</v>
      </c>
      <c r="D35" s="217" t="s">
        <v>935</v>
      </c>
      <c r="E35" s="345"/>
      <c r="F35" s="345"/>
      <c r="G35" s="345"/>
      <c r="H35" s="345"/>
      <c r="I35" s="345"/>
      <c r="J35" s="346"/>
      <c r="K35" s="356">
        <f>'Material Price'!J228</f>
        <v>420</v>
      </c>
      <c r="L35" s="668">
        <f t="shared" si="1"/>
        <v>0</v>
      </c>
      <c r="M35" s="669"/>
      <c r="N35" s="178"/>
      <c r="O35" s="71"/>
    </row>
    <row r="36" spans="1:15" x14ac:dyDescent="0.3">
      <c r="A36" s="71"/>
      <c r="B36" s="166"/>
      <c r="C36" s="360"/>
      <c r="D36" s="678" t="s">
        <v>601</v>
      </c>
      <c r="E36" s="679"/>
      <c r="F36" s="679"/>
      <c r="G36" s="679"/>
      <c r="H36" s="679"/>
      <c r="I36" s="679"/>
      <c r="J36" s="680"/>
      <c r="K36" s="152"/>
      <c r="L36" s="668">
        <f t="shared" si="1"/>
        <v>0</v>
      </c>
      <c r="M36" s="669"/>
      <c r="N36" s="178"/>
      <c r="O36" s="71"/>
    </row>
    <row r="37" spans="1:15" x14ac:dyDescent="0.3">
      <c r="A37" s="71"/>
      <c r="B37" s="166"/>
      <c r="C37" s="360">
        <f>(Formulas!D107+Formulas!D108)/1.1</f>
        <v>0</v>
      </c>
      <c r="D37" s="217" t="s">
        <v>741</v>
      </c>
      <c r="E37" s="345"/>
      <c r="F37" s="345"/>
      <c r="G37" s="345"/>
      <c r="H37" s="345"/>
      <c r="I37" s="345"/>
      <c r="J37" s="346"/>
      <c r="K37" s="152">
        <f>'Material Price'!J232</f>
        <v>10</v>
      </c>
      <c r="L37" s="668">
        <f>K37*C37</f>
        <v>0</v>
      </c>
      <c r="M37" s="669"/>
      <c r="N37" s="178"/>
      <c r="O37" s="71"/>
    </row>
    <row r="38" spans="1:15" x14ac:dyDescent="0.3">
      <c r="A38" s="71"/>
      <c r="B38" s="166"/>
      <c r="C38" s="360"/>
      <c r="D38" s="217" t="s">
        <v>926</v>
      </c>
      <c r="E38" s="345"/>
      <c r="F38" s="345"/>
      <c r="G38" s="345"/>
      <c r="H38" s="345"/>
      <c r="I38" s="345"/>
      <c r="J38" s="346"/>
      <c r="K38" s="152">
        <f>'Material Price'!J233</f>
        <v>75</v>
      </c>
      <c r="L38" s="668">
        <f t="shared" ref="L38:L47" si="3">K38*C38</f>
        <v>0</v>
      </c>
      <c r="M38" s="669"/>
      <c r="N38" s="178"/>
      <c r="O38" s="71"/>
    </row>
    <row r="39" spans="1:15" x14ac:dyDescent="0.3">
      <c r="A39" s="71"/>
      <c r="B39" s="166"/>
      <c r="C39" s="360"/>
      <c r="D39" s="217" t="s">
        <v>927</v>
      </c>
      <c r="E39" s="345"/>
      <c r="F39" s="345"/>
      <c r="G39" s="345"/>
      <c r="H39" s="345"/>
      <c r="I39" s="345"/>
      <c r="J39" s="346"/>
      <c r="K39" s="152">
        <f>'Material Price'!J234</f>
        <v>65</v>
      </c>
      <c r="L39" s="668">
        <f t="shared" si="3"/>
        <v>0</v>
      </c>
      <c r="M39" s="669"/>
      <c r="N39" s="178"/>
      <c r="O39" s="71"/>
    </row>
    <row r="40" spans="1:15" x14ac:dyDescent="0.3">
      <c r="A40" s="71"/>
      <c r="B40" s="166"/>
      <c r="C40" s="360"/>
      <c r="D40" s="217" t="s">
        <v>928</v>
      </c>
      <c r="E40" s="345"/>
      <c r="F40" s="345"/>
      <c r="G40" s="345"/>
      <c r="H40" s="345"/>
      <c r="I40" s="345"/>
      <c r="J40" s="346"/>
      <c r="K40" s="152">
        <f>'Material Price'!J235</f>
        <v>50</v>
      </c>
      <c r="L40" s="668">
        <f t="shared" si="3"/>
        <v>0</v>
      </c>
      <c r="M40" s="669"/>
      <c r="N40" s="178"/>
      <c r="O40" s="71"/>
    </row>
    <row r="41" spans="1:15" x14ac:dyDescent="0.3">
      <c r="A41" s="71"/>
      <c r="B41" s="166"/>
      <c r="C41" s="360"/>
      <c r="D41" s="347" t="s">
        <v>929</v>
      </c>
      <c r="E41" s="345"/>
      <c r="F41" s="345"/>
      <c r="G41" s="345"/>
      <c r="H41" s="345"/>
      <c r="I41" s="345"/>
      <c r="J41" s="346"/>
      <c r="K41" s="152">
        <f>'Material Price'!J236</f>
        <v>13</v>
      </c>
      <c r="L41" s="668">
        <f t="shared" si="3"/>
        <v>0</v>
      </c>
      <c r="M41" s="669"/>
      <c r="N41" s="178"/>
      <c r="O41" s="71"/>
    </row>
    <row r="42" spans="1:15" x14ac:dyDescent="0.3">
      <c r="A42" s="71"/>
      <c r="B42" s="166"/>
      <c r="C42" s="360"/>
      <c r="D42" s="347" t="s">
        <v>930</v>
      </c>
      <c r="E42" s="345"/>
      <c r="F42" s="345"/>
      <c r="G42" s="345"/>
      <c r="H42" s="345"/>
      <c r="I42" s="345"/>
      <c r="J42" s="346"/>
      <c r="K42" s="152">
        <f>'Material Price'!J237</f>
        <v>25</v>
      </c>
      <c r="L42" s="668">
        <f t="shared" si="3"/>
        <v>0</v>
      </c>
      <c r="M42" s="669"/>
      <c r="N42" s="178"/>
      <c r="O42" s="71"/>
    </row>
    <row r="43" spans="1:15" x14ac:dyDescent="0.3">
      <c r="A43" s="71"/>
      <c r="B43" s="166"/>
      <c r="C43" s="360"/>
      <c r="D43" s="347" t="s">
        <v>931</v>
      </c>
      <c r="E43" s="345"/>
      <c r="F43" s="345"/>
      <c r="G43" s="345"/>
      <c r="H43" s="345"/>
      <c r="I43" s="345"/>
      <c r="J43" s="346"/>
      <c r="K43" s="152">
        <f>'Material Price'!J238</f>
        <v>18</v>
      </c>
      <c r="L43" s="668">
        <f t="shared" si="3"/>
        <v>0</v>
      </c>
      <c r="M43" s="669"/>
      <c r="N43" s="178"/>
      <c r="O43" s="71"/>
    </row>
    <row r="44" spans="1:15" x14ac:dyDescent="0.3">
      <c r="A44" s="71"/>
      <c r="B44" s="166"/>
      <c r="C44" s="360"/>
      <c r="D44" s="347" t="s">
        <v>932</v>
      </c>
      <c r="E44" s="345"/>
      <c r="F44" s="345"/>
      <c r="G44" s="345"/>
      <c r="H44" s="345"/>
      <c r="I44" s="345"/>
      <c r="J44" s="346"/>
      <c r="K44" s="152">
        <f>'Material Price'!J239</f>
        <v>2</v>
      </c>
      <c r="L44" s="668">
        <f t="shared" si="3"/>
        <v>0</v>
      </c>
      <c r="M44" s="669"/>
      <c r="N44" s="178"/>
      <c r="O44" s="71"/>
    </row>
    <row r="45" spans="1:15" x14ac:dyDescent="0.3">
      <c r="A45" s="71"/>
      <c r="B45" s="166"/>
      <c r="C45" s="360"/>
      <c r="D45" s="347" t="s">
        <v>586</v>
      </c>
      <c r="E45" s="345"/>
      <c r="F45" s="345"/>
      <c r="G45" s="345"/>
      <c r="H45" s="345"/>
      <c r="I45" s="345"/>
      <c r="J45" s="346"/>
      <c r="K45" s="152">
        <f>'Material Price'!J240</f>
        <v>5</v>
      </c>
      <c r="L45" s="668">
        <f t="shared" si="3"/>
        <v>0</v>
      </c>
      <c r="M45" s="669"/>
      <c r="N45" s="178"/>
      <c r="O45" s="71"/>
    </row>
    <row r="46" spans="1:15" x14ac:dyDescent="0.3">
      <c r="A46" s="71"/>
      <c r="B46" s="166"/>
      <c r="C46" s="360"/>
      <c r="D46" s="347" t="s">
        <v>933</v>
      </c>
      <c r="E46" s="345"/>
      <c r="F46" s="345"/>
      <c r="G46" s="345"/>
      <c r="H46" s="345"/>
      <c r="I46" s="345"/>
      <c r="J46" s="346"/>
      <c r="K46" s="152">
        <f>'Material Price'!J241</f>
        <v>5</v>
      </c>
      <c r="L46" s="668">
        <f t="shared" si="3"/>
        <v>0</v>
      </c>
      <c r="M46" s="669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8">
        <f t="shared" si="3"/>
        <v>0</v>
      </c>
      <c r="M47" s="669"/>
      <c r="N47" s="178"/>
      <c r="O47" s="71"/>
    </row>
    <row r="48" spans="1:15" x14ac:dyDescent="0.3">
      <c r="A48" s="71"/>
      <c r="B48" s="166"/>
      <c r="C48" s="183"/>
      <c r="D48" s="681" t="s">
        <v>10</v>
      </c>
      <c r="E48" s="682"/>
      <c r="F48" s="682"/>
      <c r="G48" s="682"/>
      <c r="H48" s="682"/>
      <c r="I48" s="682"/>
      <c r="J48" s="682"/>
      <c r="K48" s="683"/>
      <c r="L48" s="686">
        <f>(SUM(L10:M47)*0.0625)</f>
        <v>157.3125</v>
      </c>
      <c r="M48" s="686"/>
      <c r="N48" s="178"/>
      <c r="O48" s="71"/>
    </row>
    <row r="49" spans="1:15" x14ac:dyDescent="0.3">
      <c r="A49" s="71"/>
      <c r="B49" s="166"/>
      <c r="C49" s="183"/>
      <c r="D49" s="681" t="s">
        <v>1</v>
      </c>
      <c r="E49" s="682"/>
      <c r="F49" s="682"/>
      <c r="G49" s="682"/>
      <c r="H49" s="682"/>
      <c r="I49" s="682"/>
      <c r="J49" s="682"/>
      <c r="K49" s="683"/>
      <c r="L49" s="684">
        <f>SUM(L10:M48)</f>
        <v>2674.3125</v>
      </c>
      <c r="M49" s="684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9">
    <mergeCell ref="D23:J23"/>
    <mergeCell ref="L46:M46"/>
    <mergeCell ref="L47:M47"/>
    <mergeCell ref="D48:K48"/>
    <mergeCell ref="L48:M48"/>
    <mergeCell ref="L34:M34"/>
    <mergeCell ref="L23:M23"/>
    <mergeCell ref="L24:M24"/>
    <mergeCell ref="L25:M25"/>
    <mergeCell ref="L26:M26"/>
    <mergeCell ref="L28:M28"/>
    <mergeCell ref="L29:M29"/>
    <mergeCell ref="L30:M30"/>
    <mergeCell ref="L31:M31"/>
    <mergeCell ref="L32:M32"/>
    <mergeCell ref="L27:M27"/>
    <mergeCell ref="D49:K49"/>
    <mergeCell ref="L49:M49"/>
    <mergeCell ref="D33:J33"/>
    <mergeCell ref="L33:M33"/>
    <mergeCell ref="L45:M45"/>
    <mergeCell ref="L35:M35"/>
    <mergeCell ref="D36:J36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22:M22"/>
    <mergeCell ref="D11:J11"/>
    <mergeCell ref="L11:M11"/>
    <mergeCell ref="L12:M12"/>
    <mergeCell ref="L13:M13"/>
    <mergeCell ref="L14:M14"/>
    <mergeCell ref="L15:M15"/>
    <mergeCell ref="L16:M16"/>
    <mergeCell ref="L17:M17"/>
    <mergeCell ref="L18:M18"/>
    <mergeCell ref="L19:M19"/>
    <mergeCell ref="L20:M20"/>
    <mergeCell ref="D20:J20"/>
    <mergeCell ref="D21:J21"/>
    <mergeCell ref="D22:J22"/>
    <mergeCell ref="E7:G7"/>
    <mergeCell ref="C8:M8"/>
    <mergeCell ref="D9:J9"/>
    <mergeCell ref="L9:M9"/>
    <mergeCell ref="D10:J10"/>
    <mergeCell ref="L10:M10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E1341E-57DB-4ECF-935A-9F05E05C1ED9}">
  <sheetPr codeName="Sheet25">
    <tabColor rgb="FFFFFF00"/>
    <pageSetUpPr fitToPage="1"/>
  </sheetPr>
  <dimension ref="A1:O67"/>
  <sheetViews>
    <sheetView showGridLines="0" showZeros="0" view="pageBreakPreview" topLeftCell="A40" zoomScaleNormal="100" zoomScaleSheetLayoutView="100" workbookViewId="0">
      <selection activeCell="I29" sqref="I29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954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954</v>
      </c>
      <c r="E11" s="679"/>
      <c r="F11" s="679"/>
      <c r="G11" s="679"/>
      <c r="H11" s="679"/>
      <c r="I11" s="679"/>
      <c r="J11" s="680"/>
      <c r="K11" s="152"/>
      <c r="L11" s="668">
        <f t="shared" ref="L11" si="0">K11*C11</f>
        <v>0</v>
      </c>
      <c r="M11" s="669"/>
      <c r="N11" s="178"/>
      <c r="O11" s="71"/>
    </row>
    <row r="12" spans="1:15" x14ac:dyDescent="0.3">
      <c r="A12" s="71"/>
      <c r="B12" s="166"/>
      <c r="C12" s="360">
        <f>'Deck TakeOff'!H55+'Deck TakeOff'!H54</f>
        <v>0</v>
      </c>
      <c r="D12" s="289" t="s">
        <v>920</v>
      </c>
      <c r="E12" s="218"/>
      <c r="F12" s="218"/>
      <c r="G12" s="218"/>
      <c r="H12" s="218"/>
      <c r="I12" s="218"/>
      <c r="J12" s="324"/>
      <c r="K12" s="152">
        <f>'Material Price'!J319</f>
        <v>52</v>
      </c>
      <c r="L12" s="668">
        <f>K12*C12</f>
        <v>0</v>
      </c>
      <c r="M12" s="669"/>
      <c r="N12" s="178"/>
      <c r="O12" s="71"/>
    </row>
    <row r="13" spans="1:15" x14ac:dyDescent="0.3">
      <c r="A13" s="71"/>
      <c r="B13" s="166"/>
      <c r="C13" s="360">
        <f>C12+Formulas!T111+Formulas!U111</f>
        <v>0</v>
      </c>
      <c r="D13" s="217" t="s">
        <v>919</v>
      </c>
      <c r="E13" s="218"/>
      <c r="F13" s="218"/>
      <c r="G13" s="218"/>
      <c r="H13" s="218"/>
      <c r="I13" s="218"/>
      <c r="J13" s="324"/>
      <c r="K13" s="152">
        <f>'Material Price'!J320</f>
        <v>14</v>
      </c>
      <c r="L13" s="668">
        <f t="shared" ref="L13:L36" si="1">K13*C13</f>
        <v>0</v>
      </c>
      <c r="M13" s="669"/>
      <c r="N13" s="178"/>
      <c r="O13" s="71"/>
    </row>
    <row r="14" spans="1:15" x14ac:dyDescent="0.3">
      <c r="A14" s="71"/>
      <c r="B14" s="166"/>
      <c r="C14" s="360">
        <f>Formulas!Q113+Formulas!Q117+Formulas!Q121+Formulas!Q111+Formulas!Q115+Formulas!Q119</f>
        <v>10</v>
      </c>
      <c r="D14" s="217" t="s">
        <v>921</v>
      </c>
      <c r="E14" s="218"/>
      <c r="F14" s="218"/>
      <c r="G14" s="218"/>
      <c r="H14" s="218"/>
      <c r="I14" s="218"/>
      <c r="J14" s="324"/>
      <c r="K14" s="152">
        <f>'Material Price'!J321</f>
        <v>62</v>
      </c>
      <c r="L14" s="668">
        <f t="shared" si="1"/>
        <v>620</v>
      </c>
      <c r="M14" s="669"/>
      <c r="N14" s="178"/>
      <c r="O14" s="71"/>
    </row>
    <row r="15" spans="1:15" x14ac:dyDescent="0.3">
      <c r="A15" s="71"/>
      <c r="B15" s="166"/>
      <c r="C15" s="360">
        <f>Formulas!Q114+Formulas!Q118+Formulas!Q122+Formulas!Q112+Formulas!Q116+Formulas!Q120</f>
        <v>0</v>
      </c>
      <c r="D15" s="217" t="s">
        <v>922</v>
      </c>
      <c r="E15" s="218"/>
      <c r="F15" s="218"/>
      <c r="G15" s="218"/>
      <c r="H15" s="218"/>
      <c r="I15" s="218"/>
      <c r="J15" s="324"/>
      <c r="K15" s="152">
        <f>'Material Price'!J322</f>
        <v>81</v>
      </c>
      <c r="L15" s="668">
        <f t="shared" si="1"/>
        <v>0</v>
      </c>
      <c r="M15" s="669"/>
      <c r="N15" s="178"/>
      <c r="O15" s="71"/>
    </row>
    <row r="16" spans="1:15" x14ac:dyDescent="0.3">
      <c r="A16" s="71"/>
      <c r="B16" s="166"/>
      <c r="C16" s="394">
        <f>ROUNDUP(((C14*5.6)+(C15*7.6))/16,0)</f>
        <v>4</v>
      </c>
      <c r="D16" s="289" t="s">
        <v>923</v>
      </c>
      <c r="E16" s="218"/>
      <c r="F16" s="218"/>
      <c r="G16" s="218"/>
      <c r="H16" s="218"/>
      <c r="I16" s="218"/>
      <c r="J16" s="324"/>
      <c r="K16" s="400">
        <f>'Material Price'!J323</f>
        <v>92</v>
      </c>
      <c r="L16" s="668">
        <f t="shared" si="1"/>
        <v>368</v>
      </c>
      <c r="M16" s="669"/>
      <c r="N16" s="178"/>
      <c r="O16" s="71"/>
    </row>
    <row r="17" spans="1:15" x14ac:dyDescent="0.3">
      <c r="A17" s="71"/>
      <c r="B17" s="166"/>
      <c r="C17" s="394">
        <f>'Deck TakeOff'!E64</f>
        <v>10</v>
      </c>
      <c r="D17" s="217" t="s">
        <v>924</v>
      </c>
      <c r="E17" s="218"/>
      <c r="F17" s="218"/>
      <c r="G17" s="218"/>
      <c r="H17" s="218"/>
      <c r="I17" s="218"/>
      <c r="J17" s="324"/>
      <c r="K17" s="152">
        <f>'Material Price'!J324</f>
        <v>25</v>
      </c>
      <c r="L17" s="668">
        <f t="shared" si="1"/>
        <v>250</v>
      </c>
      <c r="M17" s="669"/>
      <c r="N17" s="178"/>
      <c r="O17" s="71"/>
    </row>
    <row r="18" spans="1:15" x14ac:dyDescent="0.3">
      <c r="A18" s="71"/>
      <c r="B18" s="166"/>
      <c r="C18" s="394">
        <f>IF(C16&gt;0,1,0)</f>
        <v>1</v>
      </c>
      <c r="D18" s="217" t="s">
        <v>925</v>
      </c>
      <c r="E18" s="218"/>
      <c r="F18" s="218"/>
      <c r="G18" s="218"/>
      <c r="H18" s="218"/>
      <c r="I18" s="218"/>
      <c r="J18" s="324"/>
      <c r="K18" s="400">
        <f>'Material Price'!J325</f>
        <v>15</v>
      </c>
      <c r="L18" s="668">
        <f t="shared" si="1"/>
        <v>15</v>
      </c>
      <c r="M18" s="669"/>
      <c r="N18" s="178"/>
      <c r="O18" s="71"/>
    </row>
    <row r="19" spans="1:15" x14ac:dyDescent="0.3">
      <c r="A19" s="71"/>
      <c r="B19" s="166"/>
      <c r="C19" s="394">
        <f>ROUNDUP((Formulas!T111+Formulas!U111)/2,0)</f>
        <v>0</v>
      </c>
      <c r="D19" s="289" t="s">
        <v>936</v>
      </c>
      <c r="E19" s="218"/>
      <c r="F19" s="218"/>
      <c r="G19" s="218"/>
      <c r="H19" s="218"/>
      <c r="I19" s="218"/>
      <c r="J19" s="324"/>
      <c r="K19" s="356">
        <f>'Material Price'!J326</f>
        <v>120</v>
      </c>
      <c r="L19" s="668">
        <f t="shared" si="1"/>
        <v>0</v>
      </c>
      <c r="M19" s="669"/>
      <c r="N19" s="178"/>
      <c r="O19" s="71"/>
    </row>
    <row r="20" spans="1:15" x14ac:dyDescent="0.3">
      <c r="A20" s="71"/>
      <c r="B20" s="166"/>
      <c r="C20" s="394"/>
      <c r="D20" s="585" t="s">
        <v>949</v>
      </c>
      <c r="E20" s="577"/>
      <c r="F20" s="577"/>
      <c r="G20" s="577"/>
      <c r="H20" s="577"/>
      <c r="I20" s="577"/>
      <c r="J20" s="578"/>
      <c r="K20" s="356"/>
      <c r="L20" s="668">
        <f t="shared" si="1"/>
        <v>0</v>
      </c>
      <c r="M20" s="669"/>
      <c r="N20" s="178"/>
      <c r="O20" s="71"/>
    </row>
    <row r="21" spans="1:15" x14ac:dyDescent="0.3">
      <c r="A21" s="71"/>
      <c r="B21" s="166"/>
      <c r="C21" s="394">
        <f>ROUNDUP((Formulas!J97+Formulas!J89)/18,0)</f>
        <v>0</v>
      </c>
      <c r="D21" s="585" t="s">
        <v>948</v>
      </c>
      <c r="E21" s="577"/>
      <c r="F21" s="577"/>
      <c r="G21" s="577"/>
      <c r="H21" s="577"/>
      <c r="I21" s="577"/>
      <c r="J21" s="578"/>
      <c r="K21" s="356">
        <f>'Material Price'!J288</f>
        <v>210</v>
      </c>
      <c r="L21" s="57"/>
      <c r="M21" s="58"/>
      <c r="N21" s="178"/>
      <c r="O21" s="71"/>
    </row>
    <row r="22" spans="1:15" x14ac:dyDescent="0.3">
      <c r="A22" s="71"/>
      <c r="B22" s="166"/>
      <c r="C22" s="394"/>
      <c r="D22" s="585" t="s">
        <v>950</v>
      </c>
      <c r="E22" s="577"/>
      <c r="F22" s="577"/>
      <c r="G22" s="577"/>
      <c r="H22" s="577"/>
      <c r="I22" s="577"/>
      <c r="J22" s="578"/>
      <c r="K22" s="356"/>
      <c r="L22" s="668">
        <f t="shared" si="1"/>
        <v>0</v>
      </c>
      <c r="M22" s="669"/>
      <c r="N22" s="178"/>
      <c r="O22" s="71"/>
    </row>
    <row r="23" spans="1:15" x14ac:dyDescent="0.3">
      <c r="A23" s="71"/>
      <c r="B23" s="166"/>
      <c r="C23" s="360">
        <f>Formulas!I82</f>
        <v>8</v>
      </c>
      <c r="D23" s="585" t="s">
        <v>947</v>
      </c>
      <c r="E23" s="577"/>
      <c r="F23" s="577"/>
      <c r="G23" s="577"/>
      <c r="H23" s="577"/>
      <c r="I23" s="577"/>
      <c r="J23" s="578"/>
      <c r="K23" s="356">
        <f>'Material Price'!J287</f>
        <v>167</v>
      </c>
      <c r="L23" s="668">
        <f t="shared" si="1"/>
        <v>1336</v>
      </c>
      <c r="M23" s="669"/>
      <c r="N23" s="178"/>
      <c r="O23" s="71"/>
    </row>
    <row r="24" spans="1:15" x14ac:dyDescent="0.3">
      <c r="A24" s="71"/>
      <c r="B24" s="166"/>
      <c r="C24" s="360">
        <f>'Deck TakeOff'!H51</f>
        <v>0</v>
      </c>
      <c r="D24" s="217" t="s">
        <v>896</v>
      </c>
      <c r="E24" s="218"/>
      <c r="F24" s="218"/>
      <c r="G24" s="218"/>
      <c r="H24" s="218"/>
      <c r="I24" s="218"/>
      <c r="J24" s="324"/>
      <c r="K24" s="152"/>
      <c r="L24" s="668">
        <f t="shared" si="1"/>
        <v>0</v>
      </c>
      <c r="M24" s="669"/>
      <c r="N24" s="178"/>
      <c r="O24" s="71"/>
    </row>
    <row r="25" spans="1:15" x14ac:dyDescent="0.3">
      <c r="A25" s="71"/>
      <c r="B25" s="166"/>
      <c r="C25" s="360">
        <f>'Deck TakeOff'!H52</f>
        <v>0</v>
      </c>
      <c r="D25" s="217" t="s">
        <v>897</v>
      </c>
      <c r="E25" s="218"/>
      <c r="F25" s="218"/>
      <c r="G25" s="218"/>
      <c r="H25" s="218"/>
      <c r="I25" s="218"/>
      <c r="J25" s="324"/>
      <c r="K25" s="152"/>
      <c r="L25" s="668">
        <f t="shared" si="1"/>
        <v>0</v>
      </c>
      <c r="M25" s="669"/>
      <c r="N25" s="178"/>
      <c r="O25" s="71"/>
    </row>
    <row r="26" spans="1:15" x14ac:dyDescent="0.3">
      <c r="A26" s="71"/>
      <c r="B26" s="166"/>
      <c r="C26" s="360">
        <f>Formulas!H131</f>
        <v>0</v>
      </c>
      <c r="D26" s="217" t="s">
        <v>1205</v>
      </c>
      <c r="E26" s="218"/>
      <c r="F26" s="218"/>
      <c r="G26" s="218"/>
      <c r="H26" s="218"/>
      <c r="I26" s="218"/>
      <c r="J26" s="324"/>
      <c r="K26" s="356">
        <f>'Material Price'!J342</f>
        <v>225</v>
      </c>
      <c r="L26" s="668">
        <f t="shared" si="1"/>
        <v>0</v>
      </c>
      <c r="M26" s="669"/>
      <c r="N26" s="178"/>
      <c r="O26" s="71"/>
    </row>
    <row r="27" spans="1:15" x14ac:dyDescent="0.3">
      <c r="A27" s="71"/>
      <c r="B27" s="166"/>
      <c r="C27" s="360">
        <f>Formulas!H132</f>
        <v>0</v>
      </c>
      <c r="D27" s="217" t="s">
        <v>1206</v>
      </c>
      <c r="E27" s="218"/>
      <c r="F27" s="218"/>
      <c r="G27" s="218"/>
      <c r="H27" s="218"/>
      <c r="I27" s="218"/>
      <c r="J27" s="324"/>
      <c r="K27" s="356">
        <f>'Material Price'!J343</f>
        <v>225</v>
      </c>
      <c r="L27" s="668">
        <f t="shared" ref="L27" si="2">K27*C27</f>
        <v>0</v>
      </c>
      <c r="M27" s="669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8">
        <f t="shared" si="1"/>
        <v>0</v>
      </c>
      <c r="M28" s="669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8">
        <f t="shared" si="1"/>
        <v>0</v>
      </c>
      <c r="M29" s="669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8">
        <f t="shared" si="1"/>
        <v>0</v>
      </c>
      <c r="M30" s="669"/>
      <c r="N30" s="178"/>
      <c r="O30" s="71"/>
    </row>
    <row r="31" spans="1:15" x14ac:dyDescent="0.3">
      <c r="A31" s="71"/>
      <c r="B31" s="166"/>
      <c r="C31" s="360"/>
      <c r="D31" s="217"/>
      <c r="E31" s="218"/>
      <c r="F31" s="218"/>
      <c r="G31" s="218"/>
      <c r="H31" s="218"/>
      <c r="I31" s="218"/>
      <c r="J31" s="324"/>
      <c r="K31" s="152"/>
      <c r="L31" s="668">
        <f t="shared" si="1"/>
        <v>0</v>
      </c>
      <c r="M31" s="669"/>
      <c r="N31" s="178"/>
      <c r="O31" s="71"/>
    </row>
    <row r="32" spans="1:15" x14ac:dyDescent="0.3">
      <c r="A32" s="71"/>
      <c r="B32" s="166"/>
      <c r="C32" s="360"/>
      <c r="D32" s="217"/>
      <c r="E32" s="218"/>
      <c r="F32" s="218"/>
      <c r="G32" s="218"/>
      <c r="H32" s="218"/>
      <c r="I32" s="218"/>
      <c r="J32" s="324"/>
      <c r="K32" s="152"/>
      <c r="L32" s="668">
        <f t="shared" si="1"/>
        <v>0</v>
      </c>
      <c r="M32" s="669"/>
      <c r="N32" s="178"/>
      <c r="O32" s="71"/>
    </row>
    <row r="33" spans="1:15" x14ac:dyDescent="0.3">
      <c r="A33" s="71"/>
      <c r="B33" s="166"/>
      <c r="C33" s="360"/>
      <c r="D33" s="678" t="s">
        <v>763</v>
      </c>
      <c r="E33" s="679"/>
      <c r="F33" s="679"/>
      <c r="G33" s="679"/>
      <c r="H33" s="679"/>
      <c r="I33" s="679"/>
      <c r="J33" s="680"/>
      <c r="K33" s="152"/>
      <c r="L33" s="668">
        <f t="shared" si="1"/>
        <v>0</v>
      </c>
      <c r="M33" s="669"/>
      <c r="N33" s="178"/>
      <c r="O33" s="71"/>
    </row>
    <row r="34" spans="1:15" x14ac:dyDescent="0.3">
      <c r="A34" s="71"/>
      <c r="B34" s="166"/>
      <c r="C34" s="360">
        <f>'Deck TakeOff'!E58</f>
        <v>0</v>
      </c>
      <c r="D34" s="217" t="s">
        <v>934</v>
      </c>
      <c r="E34" s="345"/>
      <c r="F34" s="345"/>
      <c r="G34" s="345"/>
      <c r="H34" s="345"/>
      <c r="I34" s="345"/>
      <c r="J34" s="346"/>
      <c r="K34" s="356">
        <f>'Material Price'!J227</f>
        <v>380</v>
      </c>
      <c r="L34" s="668">
        <f t="shared" si="1"/>
        <v>0</v>
      </c>
      <c r="M34" s="669"/>
      <c r="N34" s="178"/>
      <c r="O34" s="71"/>
    </row>
    <row r="35" spans="1:15" x14ac:dyDescent="0.3">
      <c r="A35" s="71"/>
      <c r="B35" s="166"/>
      <c r="C35" s="360">
        <f>'Deck TakeOff'!E59</f>
        <v>0</v>
      </c>
      <c r="D35" s="217" t="s">
        <v>935</v>
      </c>
      <c r="E35" s="345"/>
      <c r="F35" s="345"/>
      <c r="G35" s="345"/>
      <c r="H35" s="345"/>
      <c r="I35" s="345"/>
      <c r="J35" s="346"/>
      <c r="K35" s="356">
        <f>'Material Price'!J228</f>
        <v>420</v>
      </c>
      <c r="L35" s="668">
        <f t="shared" si="1"/>
        <v>0</v>
      </c>
      <c r="M35" s="669"/>
      <c r="N35" s="178"/>
      <c r="O35" s="71"/>
    </row>
    <row r="36" spans="1:15" x14ac:dyDescent="0.3">
      <c r="A36" s="71"/>
      <c r="B36" s="166"/>
      <c r="C36" s="360"/>
      <c r="D36" s="678" t="s">
        <v>601</v>
      </c>
      <c r="E36" s="679"/>
      <c r="F36" s="679"/>
      <c r="G36" s="679"/>
      <c r="H36" s="679"/>
      <c r="I36" s="679"/>
      <c r="J36" s="680"/>
      <c r="K36" s="152"/>
      <c r="L36" s="668">
        <f t="shared" si="1"/>
        <v>0</v>
      </c>
      <c r="M36" s="669"/>
      <c r="N36" s="178"/>
      <c r="O36" s="71"/>
    </row>
    <row r="37" spans="1:15" x14ac:dyDescent="0.3">
      <c r="A37" s="71"/>
      <c r="B37" s="166"/>
      <c r="C37" s="360">
        <f>(Formulas!D107+Formulas!D108)/1.1</f>
        <v>0</v>
      </c>
      <c r="D37" s="217" t="s">
        <v>741</v>
      </c>
      <c r="E37" s="345"/>
      <c r="F37" s="345"/>
      <c r="G37" s="345"/>
      <c r="H37" s="345"/>
      <c r="I37" s="345"/>
      <c r="J37" s="346"/>
      <c r="K37" s="152">
        <f>'Material Price'!J232</f>
        <v>10</v>
      </c>
      <c r="L37" s="668">
        <f>K37*C37</f>
        <v>0</v>
      </c>
      <c r="M37" s="669"/>
      <c r="N37" s="178"/>
      <c r="O37" s="71"/>
    </row>
    <row r="38" spans="1:15" x14ac:dyDescent="0.3">
      <c r="A38" s="71"/>
      <c r="B38" s="166"/>
      <c r="C38" s="360"/>
      <c r="D38" s="217" t="s">
        <v>926</v>
      </c>
      <c r="E38" s="345"/>
      <c r="F38" s="345"/>
      <c r="G38" s="345"/>
      <c r="H38" s="345"/>
      <c r="I38" s="345"/>
      <c r="J38" s="346"/>
      <c r="K38" s="152">
        <f>'Material Price'!J233</f>
        <v>75</v>
      </c>
      <c r="L38" s="668">
        <f t="shared" ref="L38:L47" si="3">K38*C38</f>
        <v>0</v>
      </c>
      <c r="M38" s="669"/>
      <c r="N38" s="178"/>
      <c r="O38" s="71"/>
    </row>
    <row r="39" spans="1:15" x14ac:dyDescent="0.3">
      <c r="A39" s="71"/>
      <c r="B39" s="166"/>
      <c r="C39" s="360"/>
      <c r="D39" s="217" t="s">
        <v>927</v>
      </c>
      <c r="E39" s="345"/>
      <c r="F39" s="345"/>
      <c r="G39" s="345"/>
      <c r="H39" s="345"/>
      <c r="I39" s="345"/>
      <c r="J39" s="346"/>
      <c r="K39" s="152">
        <f>'Material Price'!J234</f>
        <v>65</v>
      </c>
      <c r="L39" s="668">
        <f t="shared" si="3"/>
        <v>0</v>
      </c>
      <c r="M39" s="669"/>
      <c r="N39" s="178"/>
      <c r="O39" s="71"/>
    </row>
    <row r="40" spans="1:15" x14ac:dyDescent="0.3">
      <c r="A40" s="71"/>
      <c r="B40" s="166"/>
      <c r="C40" s="360"/>
      <c r="D40" s="217" t="s">
        <v>928</v>
      </c>
      <c r="E40" s="345"/>
      <c r="F40" s="345"/>
      <c r="G40" s="345"/>
      <c r="H40" s="345"/>
      <c r="I40" s="345"/>
      <c r="J40" s="346"/>
      <c r="K40" s="152">
        <f>'Material Price'!J235</f>
        <v>50</v>
      </c>
      <c r="L40" s="668">
        <f t="shared" si="3"/>
        <v>0</v>
      </c>
      <c r="M40" s="669"/>
      <c r="N40" s="178"/>
      <c r="O40" s="71"/>
    </row>
    <row r="41" spans="1:15" x14ac:dyDescent="0.3">
      <c r="A41" s="71"/>
      <c r="B41" s="166"/>
      <c r="C41" s="360"/>
      <c r="D41" s="347" t="s">
        <v>929</v>
      </c>
      <c r="E41" s="345"/>
      <c r="F41" s="345"/>
      <c r="G41" s="345"/>
      <c r="H41" s="345"/>
      <c r="I41" s="345"/>
      <c r="J41" s="346"/>
      <c r="K41" s="152">
        <f>'Material Price'!J236</f>
        <v>13</v>
      </c>
      <c r="L41" s="668">
        <f t="shared" si="3"/>
        <v>0</v>
      </c>
      <c r="M41" s="669"/>
      <c r="N41" s="178"/>
      <c r="O41" s="71"/>
    </row>
    <row r="42" spans="1:15" x14ac:dyDescent="0.3">
      <c r="A42" s="71"/>
      <c r="B42" s="166"/>
      <c r="C42" s="360"/>
      <c r="D42" s="347" t="s">
        <v>930</v>
      </c>
      <c r="E42" s="345"/>
      <c r="F42" s="345"/>
      <c r="G42" s="345"/>
      <c r="H42" s="345"/>
      <c r="I42" s="345"/>
      <c r="J42" s="346"/>
      <c r="K42" s="152">
        <f>'Material Price'!J237</f>
        <v>25</v>
      </c>
      <c r="L42" s="668">
        <f t="shared" si="3"/>
        <v>0</v>
      </c>
      <c r="M42" s="669"/>
      <c r="N42" s="178"/>
      <c r="O42" s="71"/>
    </row>
    <row r="43" spans="1:15" x14ac:dyDescent="0.3">
      <c r="A43" s="71"/>
      <c r="B43" s="166"/>
      <c r="C43" s="360"/>
      <c r="D43" s="347" t="s">
        <v>931</v>
      </c>
      <c r="E43" s="345"/>
      <c r="F43" s="345"/>
      <c r="G43" s="345"/>
      <c r="H43" s="345"/>
      <c r="I43" s="345"/>
      <c r="J43" s="346"/>
      <c r="K43" s="152">
        <f>'Material Price'!J238</f>
        <v>18</v>
      </c>
      <c r="L43" s="668">
        <f t="shared" si="3"/>
        <v>0</v>
      </c>
      <c r="M43" s="669"/>
      <c r="N43" s="178"/>
      <c r="O43" s="71"/>
    </row>
    <row r="44" spans="1:15" x14ac:dyDescent="0.3">
      <c r="A44" s="71"/>
      <c r="B44" s="166"/>
      <c r="C44" s="360"/>
      <c r="D44" s="347" t="s">
        <v>932</v>
      </c>
      <c r="E44" s="345"/>
      <c r="F44" s="345"/>
      <c r="G44" s="345"/>
      <c r="H44" s="345"/>
      <c r="I44" s="345"/>
      <c r="J44" s="346"/>
      <c r="K44" s="152">
        <f>'Material Price'!J239</f>
        <v>2</v>
      </c>
      <c r="L44" s="668">
        <f t="shared" si="3"/>
        <v>0</v>
      </c>
      <c r="M44" s="669"/>
      <c r="N44" s="178"/>
      <c r="O44" s="71"/>
    </row>
    <row r="45" spans="1:15" x14ac:dyDescent="0.3">
      <c r="A45" s="71"/>
      <c r="B45" s="166"/>
      <c r="C45" s="360"/>
      <c r="D45" s="347" t="s">
        <v>586</v>
      </c>
      <c r="E45" s="345"/>
      <c r="F45" s="345"/>
      <c r="G45" s="345"/>
      <c r="H45" s="345"/>
      <c r="I45" s="345"/>
      <c r="J45" s="346"/>
      <c r="K45" s="152">
        <f>'Material Price'!J240</f>
        <v>5</v>
      </c>
      <c r="L45" s="668">
        <f t="shared" si="3"/>
        <v>0</v>
      </c>
      <c r="M45" s="669"/>
      <c r="N45" s="178"/>
      <c r="O45" s="71"/>
    </row>
    <row r="46" spans="1:15" x14ac:dyDescent="0.3">
      <c r="A46" s="71"/>
      <c r="B46" s="166"/>
      <c r="C46" s="360"/>
      <c r="D46" s="347" t="s">
        <v>933</v>
      </c>
      <c r="E46" s="345"/>
      <c r="F46" s="345"/>
      <c r="G46" s="345"/>
      <c r="H46" s="345"/>
      <c r="I46" s="345"/>
      <c r="J46" s="346"/>
      <c r="K46" s="152">
        <f>'Material Price'!J241</f>
        <v>5</v>
      </c>
      <c r="L46" s="668">
        <f t="shared" si="3"/>
        <v>0</v>
      </c>
      <c r="M46" s="669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8">
        <f t="shared" si="3"/>
        <v>0</v>
      </c>
      <c r="M47" s="669"/>
      <c r="N47" s="178"/>
      <c r="O47" s="71"/>
    </row>
    <row r="48" spans="1:15" x14ac:dyDescent="0.3">
      <c r="A48" s="71"/>
      <c r="B48" s="166"/>
      <c r="C48" s="183"/>
      <c r="D48" s="681" t="s">
        <v>10</v>
      </c>
      <c r="E48" s="682"/>
      <c r="F48" s="682"/>
      <c r="G48" s="682"/>
      <c r="H48" s="682"/>
      <c r="I48" s="682"/>
      <c r="J48" s="682"/>
      <c r="K48" s="683"/>
      <c r="L48" s="686">
        <f>(SUM(L10:M47)*0.0625)</f>
        <v>161.8125</v>
      </c>
      <c r="M48" s="686"/>
      <c r="N48" s="178"/>
      <c r="O48" s="71"/>
    </row>
    <row r="49" spans="1:15" x14ac:dyDescent="0.3">
      <c r="A49" s="71"/>
      <c r="B49" s="166"/>
      <c r="C49" s="183"/>
      <c r="D49" s="681" t="s">
        <v>1</v>
      </c>
      <c r="E49" s="682"/>
      <c r="F49" s="682"/>
      <c r="G49" s="682"/>
      <c r="H49" s="682"/>
      <c r="I49" s="682"/>
      <c r="J49" s="682"/>
      <c r="K49" s="683"/>
      <c r="L49" s="684">
        <f>SUM(L10:M48)</f>
        <v>2750.8125</v>
      </c>
      <c r="M49" s="684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9">
    <mergeCell ref="D49:K49"/>
    <mergeCell ref="L49:M49"/>
    <mergeCell ref="L43:M43"/>
    <mergeCell ref="L44:M44"/>
    <mergeCell ref="L45:M45"/>
    <mergeCell ref="L46:M46"/>
    <mergeCell ref="L47:M47"/>
    <mergeCell ref="D48:K48"/>
    <mergeCell ref="L48:M48"/>
    <mergeCell ref="L42:M42"/>
    <mergeCell ref="L32:M32"/>
    <mergeCell ref="D33:J33"/>
    <mergeCell ref="L33:M33"/>
    <mergeCell ref="L34:M34"/>
    <mergeCell ref="L35:M35"/>
    <mergeCell ref="D36:J36"/>
    <mergeCell ref="L36:M36"/>
    <mergeCell ref="L37:M37"/>
    <mergeCell ref="L38:M38"/>
    <mergeCell ref="L39:M39"/>
    <mergeCell ref="L40:M40"/>
    <mergeCell ref="L41:M41"/>
    <mergeCell ref="L31:M31"/>
    <mergeCell ref="D21:J21"/>
    <mergeCell ref="D22:J22"/>
    <mergeCell ref="L22:M22"/>
    <mergeCell ref="D23:J23"/>
    <mergeCell ref="L23:M23"/>
    <mergeCell ref="L24:M24"/>
    <mergeCell ref="L25:M25"/>
    <mergeCell ref="L26:M26"/>
    <mergeCell ref="L28:M28"/>
    <mergeCell ref="L29:M29"/>
    <mergeCell ref="L30:M30"/>
    <mergeCell ref="L27:M27"/>
    <mergeCell ref="L16:M16"/>
    <mergeCell ref="L17:M17"/>
    <mergeCell ref="L18:M18"/>
    <mergeCell ref="L19:M19"/>
    <mergeCell ref="D20:J20"/>
    <mergeCell ref="L20:M20"/>
    <mergeCell ref="L15:M15"/>
    <mergeCell ref="E7:G7"/>
    <mergeCell ref="C8:M8"/>
    <mergeCell ref="D9:J9"/>
    <mergeCell ref="L9:M9"/>
    <mergeCell ref="D10:J10"/>
    <mergeCell ref="L10:M10"/>
    <mergeCell ref="D11:J11"/>
    <mergeCell ref="L11:M11"/>
    <mergeCell ref="L12:M12"/>
    <mergeCell ref="L13:M13"/>
    <mergeCell ref="L14:M14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102DA-6526-46C3-A6A4-FF6EAC4F2175}">
  <sheetPr codeName="Sheet23">
    <tabColor rgb="FFFFFF00"/>
    <pageSetUpPr fitToPage="1"/>
  </sheetPr>
  <dimension ref="A1:O67"/>
  <sheetViews>
    <sheetView showGridLines="0" showZeros="0" view="pageBreakPreview" topLeftCell="A35" zoomScaleNormal="100" zoomScaleSheetLayoutView="100" workbookViewId="0">
      <selection activeCell="L50" sqref="L50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958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958</v>
      </c>
      <c r="E11" s="679"/>
      <c r="F11" s="679"/>
      <c r="G11" s="679"/>
      <c r="H11" s="679"/>
      <c r="I11" s="679"/>
      <c r="J11" s="680"/>
      <c r="K11" s="152"/>
      <c r="L11" s="668">
        <f t="shared" ref="L11" si="0">K11*C11</f>
        <v>0</v>
      </c>
      <c r="M11" s="669"/>
      <c r="N11" s="178"/>
      <c r="O11" s="71"/>
    </row>
    <row r="12" spans="1:15" x14ac:dyDescent="0.3">
      <c r="A12" s="71"/>
      <c r="B12" s="166"/>
      <c r="C12" s="360">
        <f>'Deck TakeOff'!H55+'Deck TakeOff'!H54</f>
        <v>0</v>
      </c>
      <c r="D12" s="289" t="s">
        <v>920</v>
      </c>
      <c r="E12" s="218"/>
      <c r="F12" s="218"/>
      <c r="G12" s="218"/>
      <c r="H12" s="218"/>
      <c r="I12" s="218"/>
      <c r="J12" s="324"/>
      <c r="K12" s="152">
        <f>'Material Price'!J319</f>
        <v>52</v>
      </c>
      <c r="L12" s="668">
        <f>K12*C12</f>
        <v>0</v>
      </c>
      <c r="M12" s="669"/>
      <c r="N12" s="178"/>
      <c r="O12" s="71"/>
    </row>
    <row r="13" spans="1:15" x14ac:dyDescent="0.3">
      <c r="A13" s="71"/>
      <c r="B13" s="166"/>
      <c r="C13" s="360">
        <f>C12+Formulas!T111+Formulas!U111</f>
        <v>0</v>
      </c>
      <c r="D13" s="217" t="s">
        <v>919</v>
      </c>
      <c r="E13" s="218"/>
      <c r="F13" s="218"/>
      <c r="G13" s="218"/>
      <c r="H13" s="218"/>
      <c r="I13" s="218"/>
      <c r="J13" s="324"/>
      <c r="K13" s="152">
        <f>'Material Price'!J320</f>
        <v>14</v>
      </c>
      <c r="L13" s="668">
        <f t="shared" ref="L13:L37" si="1">K13*C13</f>
        <v>0</v>
      </c>
      <c r="M13" s="669"/>
      <c r="N13" s="178"/>
      <c r="O13" s="71"/>
    </row>
    <row r="14" spans="1:15" x14ac:dyDescent="0.3">
      <c r="A14" s="71"/>
      <c r="B14" s="166"/>
      <c r="C14" s="360">
        <f>Formulas!Q113+Formulas!Q117+Formulas!Q121+Formulas!Q111+Formulas!Q115+Formulas!Q119</f>
        <v>10</v>
      </c>
      <c r="D14" s="217" t="s">
        <v>921</v>
      </c>
      <c r="E14" s="218"/>
      <c r="F14" s="218"/>
      <c r="G14" s="218"/>
      <c r="H14" s="218"/>
      <c r="I14" s="218"/>
      <c r="J14" s="324"/>
      <c r="K14" s="152">
        <f>'Material Price'!J321</f>
        <v>62</v>
      </c>
      <c r="L14" s="668">
        <f t="shared" si="1"/>
        <v>620</v>
      </c>
      <c r="M14" s="669"/>
      <c r="N14" s="178"/>
      <c r="O14" s="71"/>
    </row>
    <row r="15" spans="1:15" x14ac:dyDescent="0.3">
      <c r="A15" s="71"/>
      <c r="B15" s="166"/>
      <c r="C15" s="360">
        <f>Formulas!Q114+Formulas!Q118+Formulas!Q122+Formulas!Q112+Formulas!Q116+Formulas!Q120</f>
        <v>0</v>
      </c>
      <c r="D15" s="217" t="s">
        <v>922</v>
      </c>
      <c r="E15" s="218"/>
      <c r="F15" s="218"/>
      <c r="G15" s="218"/>
      <c r="H15" s="218"/>
      <c r="I15" s="218"/>
      <c r="J15" s="324"/>
      <c r="K15" s="152">
        <f>'Material Price'!J322</f>
        <v>81</v>
      </c>
      <c r="L15" s="668">
        <f t="shared" si="1"/>
        <v>0</v>
      </c>
      <c r="M15" s="669"/>
      <c r="N15" s="178"/>
      <c r="O15" s="71"/>
    </row>
    <row r="16" spans="1:15" x14ac:dyDescent="0.3">
      <c r="A16" s="71"/>
      <c r="B16" s="166"/>
      <c r="C16" s="394">
        <f>ROUNDUP(((C14*5.6)+(C15*7.6))/16,0)</f>
        <v>4</v>
      </c>
      <c r="D16" s="289" t="s">
        <v>923</v>
      </c>
      <c r="E16" s="218"/>
      <c r="F16" s="218"/>
      <c r="G16" s="218"/>
      <c r="H16" s="218"/>
      <c r="I16" s="218"/>
      <c r="J16" s="324"/>
      <c r="K16" s="400">
        <f>'Material Price'!J323</f>
        <v>92</v>
      </c>
      <c r="L16" s="668">
        <f t="shared" si="1"/>
        <v>368</v>
      </c>
      <c r="M16" s="669"/>
      <c r="N16" s="178"/>
      <c r="O16" s="71"/>
    </row>
    <row r="17" spans="1:15" x14ac:dyDescent="0.3">
      <c r="A17" s="71"/>
      <c r="B17" s="166"/>
      <c r="C17" s="394">
        <f>'Deck TakeOff'!E64</f>
        <v>10</v>
      </c>
      <c r="D17" s="217" t="s">
        <v>924</v>
      </c>
      <c r="E17" s="218"/>
      <c r="F17" s="218"/>
      <c r="G17" s="218"/>
      <c r="H17" s="218"/>
      <c r="I17" s="218"/>
      <c r="J17" s="324"/>
      <c r="K17" s="152">
        <f>'Material Price'!J324</f>
        <v>25</v>
      </c>
      <c r="L17" s="668">
        <f t="shared" si="1"/>
        <v>250</v>
      </c>
      <c r="M17" s="669"/>
      <c r="N17" s="178"/>
      <c r="O17" s="71"/>
    </row>
    <row r="18" spans="1:15" x14ac:dyDescent="0.3">
      <c r="A18" s="71"/>
      <c r="B18" s="166"/>
      <c r="C18" s="394">
        <f>IF(C16&gt;0,1,0)</f>
        <v>1</v>
      </c>
      <c r="D18" s="217" t="s">
        <v>925</v>
      </c>
      <c r="E18" s="218"/>
      <c r="F18" s="218"/>
      <c r="G18" s="218"/>
      <c r="H18" s="218"/>
      <c r="I18" s="218"/>
      <c r="J18" s="324"/>
      <c r="K18" s="400">
        <f>'Material Price'!J325</f>
        <v>15</v>
      </c>
      <c r="L18" s="668">
        <f t="shared" si="1"/>
        <v>15</v>
      </c>
      <c r="M18" s="669"/>
      <c r="N18" s="178"/>
      <c r="O18" s="71"/>
    </row>
    <row r="19" spans="1:15" x14ac:dyDescent="0.3">
      <c r="A19" s="71"/>
      <c r="B19" s="166"/>
      <c r="C19" s="394">
        <f>ROUNDUP(Formulas!C123/20,0)</f>
        <v>0</v>
      </c>
      <c r="D19" s="217" t="s">
        <v>592</v>
      </c>
      <c r="E19" s="218"/>
      <c r="F19" s="218"/>
      <c r="G19" s="218"/>
      <c r="H19" s="218"/>
      <c r="I19" s="218"/>
      <c r="J19" s="324"/>
      <c r="K19" s="152">
        <f>'Material Price'!J257</f>
        <v>15</v>
      </c>
      <c r="L19" s="668">
        <f t="shared" si="1"/>
        <v>0</v>
      </c>
      <c r="M19" s="669"/>
      <c r="N19" s="178"/>
      <c r="O19" s="71"/>
    </row>
    <row r="20" spans="1:15" x14ac:dyDescent="0.3">
      <c r="A20" s="71"/>
      <c r="B20" s="166"/>
      <c r="C20" s="394"/>
      <c r="D20" s="217" t="s">
        <v>593</v>
      </c>
      <c r="E20" s="345"/>
      <c r="F20" s="345"/>
      <c r="G20" s="345"/>
      <c r="H20" s="345"/>
      <c r="I20" s="345"/>
      <c r="J20" s="353"/>
      <c r="K20" s="152">
        <f>'Material Price'!J258</f>
        <v>58</v>
      </c>
      <c r="L20" s="668">
        <f t="shared" si="1"/>
        <v>0</v>
      </c>
      <c r="M20" s="669"/>
      <c r="N20" s="178"/>
      <c r="O20" s="71"/>
    </row>
    <row r="21" spans="1:15" x14ac:dyDescent="0.3">
      <c r="A21" s="71"/>
      <c r="B21" s="166"/>
      <c r="C21" s="394">
        <f>'Deck TakeOff'!H64</f>
        <v>10</v>
      </c>
      <c r="D21" s="217" t="s">
        <v>602</v>
      </c>
      <c r="E21" s="218"/>
      <c r="F21" s="218"/>
      <c r="G21" s="218"/>
      <c r="H21" s="218"/>
      <c r="I21" s="218"/>
      <c r="J21" s="324"/>
      <c r="K21" s="152">
        <f>'Material Price'!J247</f>
        <v>20</v>
      </c>
      <c r="L21" s="668">
        <f t="shared" ref="L21" si="2">K21*C21</f>
        <v>200</v>
      </c>
      <c r="M21" s="669"/>
      <c r="N21" s="178"/>
      <c r="O21" s="71"/>
    </row>
    <row r="22" spans="1:15" x14ac:dyDescent="0.3">
      <c r="A22" s="71"/>
      <c r="B22" s="166"/>
      <c r="C22" s="394">
        <f>'Deck TakeOff'!H65</f>
        <v>0</v>
      </c>
      <c r="D22" s="217" t="s">
        <v>603</v>
      </c>
      <c r="E22" s="218"/>
      <c r="F22" s="218"/>
      <c r="G22" s="218"/>
      <c r="H22" s="218"/>
      <c r="I22" s="218"/>
      <c r="J22" s="324"/>
      <c r="K22" s="152">
        <f>'Material Price'!J248</f>
        <v>36</v>
      </c>
      <c r="L22" s="668">
        <f t="shared" si="1"/>
        <v>0</v>
      </c>
      <c r="M22" s="669"/>
      <c r="N22" s="178"/>
      <c r="O22" s="71"/>
    </row>
    <row r="23" spans="1:15" x14ac:dyDescent="0.3">
      <c r="A23" s="71"/>
      <c r="B23" s="166"/>
      <c r="C23" s="360">
        <f>Formulas!C125</f>
        <v>0</v>
      </c>
      <c r="D23" s="217" t="s">
        <v>587</v>
      </c>
      <c r="E23" s="218"/>
      <c r="F23" s="218"/>
      <c r="G23" s="218"/>
      <c r="H23" s="218"/>
      <c r="I23" s="218"/>
      <c r="J23" s="324"/>
      <c r="K23" s="152">
        <f>'Material Price'!J249</f>
        <v>21.68</v>
      </c>
      <c r="L23" s="668">
        <f t="shared" si="1"/>
        <v>0</v>
      </c>
      <c r="M23" s="669"/>
      <c r="N23" s="178"/>
      <c r="O23" s="71"/>
    </row>
    <row r="24" spans="1:15" x14ac:dyDescent="0.3">
      <c r="A24" s="71"/>
      <c r="B24" s="166"/>
      <c r="C24" s="360">
        <f>Formulas!C124</f>
        <v>0</v>
      </c>
      <c r="D24" s="217" t="s">
        <v>588</v>
      </c>
      <c r="E24" s="218"/>
      <c r="F24" s="218"/>
      <c r="G24" s="218"/>
      <c r="H24" s="218"/>
      <c r="I24" s="218"/>
      <c r="J24" s="324"/>
      <c r="K24" s="152">
        <f>'Material Price'!J250</f>
        <v>40.380000000000003</v>
      </c>
      <c r="L24" s="668">
        <f t="shared" si="1"/>
        <v>0</v>
      </c>
      <c r="M24" s="669"/>
      <c r="N24" s="178"/>
      <c r="O24" s="71"/>
    </row>
    <row r="25" spans="1:15" x14ac:dyDescent="0.3">
      <c r="A25" s="71"/>
      <c r="B25" s="166"/>
      <c r="C25" s="360">
        <f>Formulas!C126</f>
        <v>110</v>
      </c>
      <c r="D25" s="217" t="s">
        <v>599</v>
      </c>
      <c r="E25" s="218"/>
      <c r="F25" s="218"/>
      <c r="G25" s="218"/>
      <c r="H25" s="218"/>
      <c r="I25" s="218"/>
      <c r="J25" s="324"/>
      <c r="K25" s="152">
        <f>'Material Price'!J251</f>
        <v>43.38</v>
      </c>
      <c r="L25" s="668">
        <f t="shared" si="1"/>
        <v>4771.8</v>
      </c>
      <c r="M25" s="669"/>
      <c r="N25" s="178"/>
      <c r="O25" s="71"/>
    </row>
    <row r="26" spans="1:15" x14ac:dyDescent="0.3">
      <c r="A26" s="71"/>
      <c r="B26" s="166"/>
      <c r="C26" s="360">
        <f>Formulas!C127</f>
        <v>110</v>
      </c>
      <c r="D26" s="217" t="s">
        <v>598</v>
      </c>
      <c r="E26" s="218"/>
      <c r="F26" s="218"/>
      <c r="G26" s="218"/>
      <c r="H26" s="218"/>
      <c r="I26" s="218"/>
      <c r="J26" s="324"/>
      <c r="K26" s="152">
        <f>'Material Price'!J252</f>
        <v>24.75</v>
      </c>
      <c r="L26" s="668">
        <f t="shared" si="1"/>
        <v>2722.5</v>
      </c>
      <c r="M26" s="669"/>
      <c r="N26" s="178"/>
      <c r="O26" s="71"/>
    </row>
    <row r="27" spans="1:15" x14ac:dyDescent="0.3">
      <c r="A27" s="71"/>
      <c r="B27" s="166"/>
      <c r="C27" s="360">
        <f>Formulas!C121</f>
        <v>1</v>
      </c>
      <c r="D27" s="217" t="s">
        <v>853</v>
      </c>
      <c r="E27" s="218"/>
      <c r="F27" s="218"/>
      <c r="G27" s="218"/>
      <c r="H27" s="218"/>
      <c r="I27" s="218"/>
      <c r="J27" s="324"/>
      <c r="K27" s="152">
        <f>'Material Price'!J254</f>
        <v>63</v>
      </c>
      <c r="L27" s="668">
        <f t="shared" ref="L27" si="3">K27*C27</f>
        <v>63</v>
      </c>
      <c r="M27" s="669"/>
      <c r="N27" s="178"/>
      <c r="O27" s="71"/>
    </row>
    <row r="28" spans="1:15" x14ac:dyDescent="0.3">
      <c r="A28" s="71"/>
      <c r="B28" s="166"/>
      <c r="C28" s="360">
        <f>Formulas!C122</f>
        <v>0</v>
      </c>
      <c r="D28" s="217" t="s">
        <v>589</v>
      </c>
      <c r="E28" s="218"/>
      <c r="F28" s="218"/>
      <c r="G28" s="218"/>
      <c r="H28" s="218"/>
      <c r="I28" s="218"/>
      <c r="J28" s="324"/>
      <c r="K28" s="356">
        <f>'Material Price'!J253</f>
        <v>260</v>
      </c>
      <c r="L28" s="668">
        <f t="shared" si="1"/>
        <v>0</v>
      </c>
      <c r="M28" s="669"/>
      <c r="N28" s="178"/>
      <c r="O28" s="71"/>
    </row>
    <row r="29" spans="1:15" x14ac:dyDescent="0.3">
      <c r="A29" s="71"/>
      <c r="B29" s="166"/>
      <c r="C29" s="360"/>
      <c r="D29" s="217" t="s">
        <v>590</v>
      </c>
      <c r="E29" s="218"/>
      <c r="F29" s="218"/>
      <c r="G29" s="218"/>
      <c r="H29" s="218"/>
      <c r="I29" s="218"/>
      <c r="J29" s="324"/>
      <c r="K29" s="152">
        <f>'Material Price'!J255</f>
        <v>37</v>
      </c>
      <c r="L29" s="668">
        <f t="shared" si="1"/>
        <v>0</v>
      </c>
      <c r="M29" s="669"/>
      <c r="N29" s="178"/>
      <c r="O29" s="71"/>
    </row>
    <row r="30" spans="1:15" x14ac:dyDescent="0.3">
      <c r="A30" s="71"/>
      <c r="B30" s="166"/>
      <c r="C30" s="360"/>
      <c r="D30" s="217" t="s">
        <v>591</v>
      </c>
      <c r="E30" s="218"/>
      <c r="F30" s="218"/>
      <c r="G30" s="218"/>
      <c r="H30" s="218"/>
      <c r="I30" s="218"/>
      <c r="J30" s="324"/>
      <c r="K30" s="152">
        <f>'Material Price'!J256</f>
        <v>12.75</v>
      </c>
      <c r="L30" s="668">
        <f t="shared" si="1"/>
        <v>0</v>
      </c>
      <c r="M30" s="669"/>
      <c r="N30" s="178"/>
      <c r="O30" s="71"/>
    </row>
    <row r="31" spans="1:15" x14ac:dyDescent="0.3">
      <c r="A31" s="71"/>
      <c r="B31" s="166"/>
      <c r="C31" s="360">
        <f>ROUNDUP((Formulas!T111+Formulas!U111)/2,0)</f>
        <v>0</v>
      </c>
      <c r="D31" s="289" t="s">
        <v>936</v>
      </c>
      <c r="E31" s="218"/>
      <c r="F31" s="218"/>
      <c r="G31" s="218"/>
      <c r="H31" s="218"/>
      <c r="I31" s="218"/>
      <c r="J31" s="324"/>
      <c r="K31" s="356">
        <f>'Material Price'!J326</f>
        <v>120</v>
      </c>
      <c r="L31" s="668">
        <f t="shared" si="1"/>
        <v>0</v>
      </c>
      <c r="M31" s="669"/>
      <c r="N31" s="178"/>
      <c r="O31" s="71"/>
    </row>
    <row r="32" spans="1:15" x14ac:dyDescent="0.3">
      <c r="A32" s="71"/>
      <c r="B32" s="166"/>
      <c r="C32" s="360">
        <f>Formulas!H131</f>
        <v>0</v>
      </c>
      <c r="D32" s="217" t="s">
        <v>1205</v>
      </c>
      <c r="E32" s="218"/>
      <c r="F32" s="218"/>
      <c r="G32" s="218"/>
      <c r="H32" s="218"/>
      <c r="I32" s="218"/>
      <c r="J32" s="324"/>
      <c r="K32" s="356">
        <f>'Material Price'!J342</f>
        <v>225</v>
      </c>
      <c r="L32" s="668">
        <f t="shared" ref="L32" si="4">K32*C32</f>
        <v>0</v>
      </c>
      <c r="M32" s="669"/>
      <c r="N32" s="178"/>
      <c r="O32" s="71"/>
    </row>
    <row r="33" spans="1:15" x14ac:dyDescent="0.3">
      <c r="A33" s="71"/>
      <c r="B33" s="166"/>
      <c r="C33" s="360">
        <f>Formulas!H132</f>
        <v>0</v>
      </c>
      <c r="D33" s="217" t="s">
        <v>1206</v>
      </c>
      <c r="E33" s="218"/>
      <c r="F33" s="218"/>
      <c r="G33" s="218"/>
      <c r="H33" s="218"/>
      <c r="I33" s="218"/>
      <c r="J33" s="324"/>
      <c r="K33" s="356">
        <f>'Material Price'!J343</f>
        <v>225</v>
      </c>
      <c r="L33" s="668">
        <f t="shared" si="1"/>
        <v>0</v>
      </c>
      <c r="M33" s="669"/>
      <c r="N33" s="178"/>
      <c r="O33" s="71"/>
    </row>
    <row r="34" spans="1:15" x14ac:dyDescent="0.3">
      <c r="A34" s="71"/>
      <c r="B34" s="166"/>
      <c r="C34" s="360"/>
      <c r="D34" s="678" t="s">
        <v>763</v>
      </c>
      <c r="E34" s="679"/>
      <c r="F34" s="679"/>
      <c r="G34" s="679"/>
      <c r="H34" s="679"/>
      <c r="I34" s="679"/>
      <c r="J34" s="680"/>
      <c r="K34" s="152"/>
      <c r="L34" s="668">
        <f t="shared" si="1"/>
        <v>0</v>
      </c>
      <c r="M34" s="669"/>
      <c r="N34" s="178"/>
      <c r="O34" s="71"/>
    </row>
    <row r="35" spans="1:15" x14ac:dyDescent="0.3">
      <c r="A35" s="71"/>
      <c r="B35" s="166"/>
      <c r="C35" s="360">
        <f>'Deck TakeOff'!E58</f>
        <v>0</v>
      </c>
      <c r="D35" s="217" t="s">
        <v>934</v>
      </c>
      <c r="E35" s="345"/>
      <c r="F35" s="345"/>
      <c r="G35" s="345"/>
      <c r="H35" s="345"/>
      <c r="I35" s="345"/>
      <c r="J35" s="346"/>
      <c r="K35" s="356">
        <f>'Material Price'!J227</f>
        <v>380</v>
      </c>
      <c r="L35" s="668">
        <f t="shared" si="1"/>
        <v>0</v>
      </c>
      <c r="M35" s="669"/>
      <c r="N35" s="178"/>
      <c r="O35" s="71"/>
    </row>
    <row r="36" spans="1:15" x14ac:dyDescent="0.3">
      <c r="A36" s="71"/>
      <c r="B36" s="166"/>
      <c r="C36" s="360">
        <f>'Deck TakeOff'!E59</f>
        <v>0</v>
      </c>
      <c r="D36" s="217" t="s">
        <v>935</v>
      </c>
      <c r="E36" s="345"/>
      <c r="F36" s="345"/>
      <c r="G36" s="345"/>
      <c r="H36" s="345"/>
      <c r="I36" s="345"/>
      <c r="J36" s="346"/>
      <c r="K36" s="356">
        <f>'Material Price'!J228</f>
        <v>420</v>
      </c>
      <c r="L36" s="668">
        <f t="shared" si="1"/>
        <v>0</v>
      </c>
      <c r="M36" s="669"/>
      <c r="N36" s="178"/>
      <c r="O36" s="71"/>
    </row>
    <row r="37" spans="1:15" x14ac:dyDescent="0.3">
      <c r="A37" s="71"/>
      <c r="B37" s="166"/>
      <c r="C37" s="360"/>
      <c r="D37" s="678" t="s">
        <v>601</v>
      </c>
      <c r="E37" s="679"/>
      <c r="F37" s="679"/>
      <c r="G37" s="679"/>
      <c r="H37" s="679"/>
      <c r="I37" s="679"/>
      <c r="J37" s="680"/>
      <c r="K37" s="152"/>
      <c r="L37" s="668">
        <f t="shared" si="1"/>
        <v>0</v>
      </c>
      <c r="M37" s="669"/>
      <c r="N37" s="178"/>
      <c r="O37" s="71"/>
    </row>
    <row r="38" spans="1:15" x14ac:dyDescent="0.3">
      <c r="A38" s="71"/>
      <c r="B38" s="166"/>
      <c r="C38" s="360">
        <f>(Formulas!D107+Formulas!D108)/1.1</f>
        <v>0</v>
      </c>
      <c r="D38" s="217" t="s">
        <v>741</v>
      </c>
      <c r="E38" s="345"/>
      <c r="F38" s="345"/>
      <c r="G38" s="345"/>
      <c r="H38" s="345"/>
      <c r="I38" s="345"/>
      <c r="J38" s="346"/>
      <c r="K38" s="152">
        <f>'Material Price'!J232</f>
        <v>10</v>
      </c>
      <c r="L38" s="668">
        <f>K38*C38</f>
        <v>0</v>
      </c>
      <c r="M38" s="669"/>
      <c r="N38" s="178"/>
      <c r="O38" s="71"/>
    </row>
    <row r="39" spans="1:15" x14ac:dyDescent="0.3">
      <c r="A39" s="71"/>
      <c r="B39" s="166"/>
      <c r="C39" s="360"/>
      <c r="D39" s="217" t="s">
        <v>926</v>
      </c>
      <c r="E39" s="345"/>
      <c r="F39" s="345"/>
      <c r="G39" s="345"/>
      <c r="H39" s="345"/>
      <c r="I39" s="345"/>
      <c r="J39" s="346"/>
      <c r="K39" s="152">
        <f>'Material Price'!J233</f>
        <v>75</v>
      </c>
      <c r="L39" s="668">
        <f t="shared" ref="L39:L47" si="5">K39*C39</f>
        <v>0</v>
      </c>
      <c r="M39" s="669"/>
      <c r="N39" s="178"/>
      <c r="O39" s="71"/>
    </row>
    <row r="40" spans="1:15" x14ac:dyDescent="0.3">
      <c r="A40" s="71"/>
      <c r="B40" s="166"/>
      <c r="C40" s="360"/>
      <c r="D40" s="217" t="s">
        <v>927</v>
      </c>
      <c r="E40" s="345"/>
      <c r="F40" s="345"/>
      <c r="G40" s="345"/>
      <c r="H40" s="345"/>
      <c r="I40" s="345"/>
      <c r="J40" s="346"/>
      <c r="K40" s="152">
        <f>'Material Price'!J234</f>
        <v>65</v>
      </c>
      <c r="L40" s="668">
        <f t="shared" si="5"/>
        <v>0</v>
      </c>
      <c r="M40" s="669"/>
      <c r="N40" s="178"/>
      <c r="O40" s="71"/>
    </row>
    <row r="41" spans="1:15" x14ac:dyDescent="0.3">
      <c r="A41" s="71"/>
      <c r="B41" s="166"/>
      <c r="C41" s="360"/>
      <c r="D41" s="217" t="s">
        <v>928</v>
      </c>
      <c r="E41" s="345"/>
      <c r="F41" s="345"/>
      <c r="G41" s="345"/>
      <c r="H41" s="345"/>
      <c r="I41" s="345"/>
      <c r="J41" s="346"/>
      <c r="K41" s="152">
        <f>'Material Price'!J235</f>
        <v>50</v>
      </c>
      <c r="L41" s="668">
        <f t="shared" si="5"/>
        <v>0</v>
      </c>
      <c r="M41" s="669"/>
      <c r="N41" s="178"/>
      <c r="O41" s="71"/>
    </row>
    <row r="42" spans="1:15" x14ac:dyDescent="0.3">
      <c r="A42" s="71"/>
      <c r="B42" s="166"/>
      <c r="C42" s="360"/>
      <c r="D42" s="347" t="s">
        <v>929</v>
      </c>
      <c r="E42" s="345"/>
      <c r="F42" s="345"/>
      <c r="G42" s="345"/>
      <c r="H42" s="345"/>
      <c r="I42" s="345"/>
      <c r="J42" s="346"/>
      <c r="K42" s="152">
        <f>'Material Price'!J236</f>
        <v>13</v>
      </c>
      <c r="L42" s="668">
        <f t="shared" si="5"/>
        <v>0</v>
      </c>
      <c r="M42" s="669"/>
      <c r="N42" s="178"/>
      <c r="O42" s="71"/>
    </row>
    <row r="43" spans="1:15" x14ac:dyDescent="0.3">
      <c r="A43" s="71"/>
      <c r="B43" s="166"/>
      <c r="C43" s="360"/>
      <c r="D43" s="347" t="s">
        <v>930</v>
      </c>
      <c r="E43" s="345"/>
      <c r="F43" s="345"/>
      <c r="G43" s="345"/>
      <c r="H43" s="345"/>
      <c r="I43" s="345"/>
      <c r="J43" s="346"/>
      <c r="K43" s="152">
        <f>'Material Price'!J237</f>
        <v>25</v>
      </c>
      <c r="L43" s="668">
        <f t="shared" si="5"/>
        <v>0</v>
      </c>
      <c r="M43" s="669"/>
      <c r="N43" s="178"/>
      <c r="O43" s="71"/>
    </row>
    <row r="44" spans="1:15" x14ac:dyDescent="0.3">
      <c r="A44" s="71"/>
      <c r="B44" s="166"/>
      <c r="C44" s="360"/>
      <c r="D44" s="347" t="s">
        <v>931</v>
      </c>
      <c r="E44" s="345"/>
      <c r="F44" s="345"/>
      <c r="G44" s="345"/>
      <c r="H44" s="345"/>
      <c r="I44" s="345"/>
      <c r="J44" s="346"/>
      <c r="K44" s="152">
        <f>'Material Price'!J238</f>
        <v>18</v>
      </c>
      <c r="L44" s="668">
        <f t="shared" si="5"/>
        <v>0</v>
      </c>
      <c r="M44" s="669"/>
      <c r="N44" s="178"/>
      <c r="O44" s="71"/>
    </row>
    <row r="45" spans="1:15" x14ac:dyDescent="0.3">
      <c r="A45" s="71"/>
      <c r="B45" s="166"/>
      <c r="C45" s="360"/>
      <c r="D45" s="347" t="s">
        <v>932</v>
      </c>
      <c r="E45" s="345"/>
      <c r="F45" s="345"/>
      <c r="G45" s="345"/>
      <c r="H45" s="345"/>
      <c r="I45" s="345"/>
      <c r="J45" s="346"/>
      <c r="K45" s="152">
        <f>'Material Price'!J239</f>
        <v>2</v>
      </c>
      <c r="L45" s="668">
        <f t="shared" si="5"/>
        <v>0</v>
      </c>
      <c r="M45" s="669"/>
      <c r="N45" s="178"/>
      <c r="O45" s="71"/>
    </row>
    <row r="46" spans="1:15" x14ac:dyDescent="0.3">
      <c r="A46" s="71"/>
      <c r="B46" s="166"/>
      <c r="C46" s="360"/>
      <c r="D46" s="347" t="s">
        <v>586</v>
      </c>
      <c r="E46" s="345"/>
      <c r="F46" s="345"/>
      <c r="G46" s="345"/>
      <c r="H46" s="345"/>
      <c r="I46" s="345"/>
      <c r="J46" s="346"/>
      <c r="K46" s="152">
        <f>'Material Price'!J240</f>
        <v>5</v>
      </c>
      <c r="L46" s="668">
        <f t="shared" si="5"/>
        <v>0</v>
      </c>
      <c r="M46" s="669"/>
      <c r="N46" s="178"/>
      <c r="O46" s="71"/>
    </row>
    <row r="47" spans="1:15" x14ac:dyDescent="0.3">
      <c r="A47" s="71"/>
      <c r="B47" s="166"/>
      <c r="C47" s="360"/>
      <c r="D47" s="347" t="s">
        <v>933</v>
      </c>
      <c r="E47" s="345"/>
      <c r="F47" s="345"/>
      <c r="G47" s="345"/>
      <c r="H47" s="345"/>
      <c r="I47" s="345"/>
      <c r="J47" s="346"/>
      <c r="K47" s="152">
        <f>'Material Price'!J241</f>
        <v>5</v>
      </c>
      <c r="L47" s="668">
        <f t="shared" si="5"/>
        <v>0</v>
      </c>
      <c r="M47" s="669"/>
      <c r="N47" s="178"/>
      <c r="O47" s="71"/>
    </row>
    <row r="48" spans="1:15" x14ac:dyDescent="0.3">
      <c r="A48" s="71"/>
      <c r="B48" s="166"/>
      <c r="C48" s="183"/>
      <c r="D48" s="681" t="s">
        <v>10</v>
      </c>
      <c r="E48" s="682"/>
      <c r="F48" s="682"/>
      <c r="G48" s="682"/>
      <c r="H48" s="682"/>
      <c r="I48" s="682"/>
      <c r="J48" s="682"/>
      <c r="K48" s="683"/>
      <c r="L48" s="686">
        <f>(SUM(L10:M47)*0.0625)</f>
        <v>563.14374999999995</v>
      </c>
      <c r="M48" s="686"/>
      <c r="N48" s="178"/>
      <c r="O48" s="71"/>
    </row>
    <row r="49" spans="1:15" x14ac:dyDescent="0.3">
      <c r="A49" s="71"/>
      <c r="B49" s="166"/>
      <c r="C49" s="183"/>
      <c r="D49" s="681" t="s">
        <v>1</v>
      </c>
      <c r="E49" s="682"/>
      <c r="F49" s="682"/>
      <c r="G49" s="682"/>
      <c r="H49" s="682"/>
      <c r="I49" s="682"/>
      <c r="J49" s="682"/>
      <c r="K49" s="683"/>
      <c r="L49" s="684">
        <f>SUM(L10:M48)</f>
        <v>9573.4437499999985</v>
      </c>
      <c r="M49" s="684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6">
    <mergeCell ref="L21:M21"/>
    <mergeCell ref="D3:M3"/>
    <mergeCell ref="D4:M4"/>
    <mergeCell ref="E5:G5"/>
    <mergeCell ref="I5:J5"/>
    <mergeCell ref="E6:G6"/>
    <mergeCell ref="I6:J6"/>
    <mergeCell ref="L15:M15"/>
    <mergeCell ref="E7:G7"/>
    <mergeCell ref="C8:M8"/>
    <mergeCell ref="D9:J9"/>
    <mergeCell ref="L9:M9"/>
    <mergeCell ref="D10:J10"/>
    <mergeCell ref="L10:M10"/>
    <mergeCell ref="D11:J11"/>
    <mergeCell ref="L11:M11"/>
    <mergeCell ref="L12:M12"/>
    <mergeCell ref="L13:M13"/>
    <mergeCell ref="L14:M14"/>
    <mergeCell ref="L16:M16"/>
    <mergeCell ref="L17:M17"/>
    <mergeCell ref="L18:M18"/>
    <mergeCell ref="L19:M19"/>
    <mergeCell ref="L20:M20"/>
    <mergeCell ref="L36:M36"/>
    <mergeCell ref="D34:J34"/>
    <mergeCell ref="L34:M34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33:M33"/>
    <mergeCell ref="L35:M35"/>
    <mergeCell ref="L32:M32"/>
    <mergeCell ref="L27:M27"/>
    <mergeCell ref="D37:J37"/>
    <mergeCell ref="L37:M37"/>
    <mergeCell ref="L38:M38"/>
    <mergeCell ref="D49:K49"/>
    <mergeCell ref="L49:M49"/>
    <mergeCell ref="L40:M40"/>
    <mergeCell ref="L41:M41"/>
    <mergeCell ref="L42:M42"/>
    <mergeCell ref="L43:M43"/>
    <mergeCell ref="L44:M44"/>
    <mergeCell ref="L45:M45"/>
    <mergeCell ref="L46:M46"/>
    <mergeCell ref="L47:M47"/>
    <mergeCell ref="D48:K48"/>
    <mergeCell ref="L48:M48"/>
    <mergeCell ref="L39:M39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75DE8-FA43-4A09-98B4-2C11ECED1F90}">
  <sheetPr codeName="Sheet20">
    <tabColor rgb="FFFFFF00"/>
    <pageSetUpPr fitToPage="1"/>
  </sheetPr>
  <dimension ref="A1:O67"/>
  <sheetViews>
    <sheetView showGridLines="0" showZeros="0" view="pageBreakPreview" topLeftCell="A16" zoomScaleNormal="100" zoomScaleSheetLayoutView="100" workbookViewId="0">
      <selection activeCell="D32" sqref="D3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955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955</v>
      </c>
      <c r="E11" s="679"/>
      <c r="F11" s="679"/>
      <c r="G11" s="679"/>
      <c r="H11" s="679"/>
      <c r="I11" s="679"/>
      <c r="J11" s="680"/>
      <c r="K11" s="152"/>
      <c r="L11" s="668">
        <f t="shared" ref="L11" si="0">K11*C11</f>
        <v>0</v>
      </c>
      <c r="M11" s="669"/>
      <c r="N11" s="178"/>
      <c r="O11" s="71"/>
    </row>
    <row r="12" spans="1:15" x14ac:dyDescent="0.3">
      <c r="A12" s="71"/>
      <c r="B12" s="166"/>
      <c r="C12" s="360">
        <f>'Deck TakeOff'!H55+Formulas!T111+Formulas!U111</f>
        <v>0</v>
      </c>
      <c r="D12" s="217" t="s">
        <v>755</v>
      </c>
      <c r="E12" s="218"/>
      <c r="F12" s="218"/>
      <c r="G12" s="218"/>
      <c r="H12" s="218"/>
      <c r="I12" s="218"/>
      <c r="J12" s="324"/>
      <c r="K12" s="152">
        <f>'Material Price'!J261</f>
        <v>66</v>
      </c>
      <c r="L12" s="668">
        <f>K12*C12</f>
        <v>0</v>
      </c>
      <c r="M12" s="669"/>
      <c r="N12" s="178"/>
      <c r="O12" s="71"/>
    </row>
    <row r="13" spans="1:15" x14ac:dyDescent="0.3">
      <c r="A13" s="71"/>
      <c r="B13" s="166"/>
      <c r="C13" s="360">
        <f>'Deck TakeOff'!H54</f>
        <v>0</v>
      </c>
      <c r="D13" s="217" t="s">
        <v>756</v>
      </c>
      <c r="E13" s="218"/>
      <c r="F13" s="218"/>
      <c r="G13" s="218"/>
      <c r="H13" s="218"/>
      <c r="I13" s="218"/>
      <c r="J13" s="324"/>
      <c r="K13" s="152">
        <f>'Material Price'!J262</f>
        <v>55</v>
      </c>
      <c r="L13" s="668">
        <f t="shared" ref="L13:L36" si="1">K13*C13</f>
        <v>0</v>
      </c>
      <c r="M13" s="669"/>
      <c r="N13" s="178"/>
      <c r="O13" s="71"/>
    </row>
    <row r="14" spans="1:15" x14ac:dyDescent="0.3">
      <c r="A14" s="71"/>
      <c r="B14" s="166"/>
      <c r="C14" s="360">
        <f>C12+C13</f>
        <v>0</v>
      </c>
      <c r="D14" s="217" t="s">
        <v>757</v>
      </c>
      <c r="E14" s="218"/>
      <c r="F14" s="218"/>
      <c r="G14" s="218"/>
      <c r="H14" s="218"/>
      <c r="I14" s="218"/>
      <c r="J14" s="324"/>
      <c r="K14" s="152">
        <f>'Material Price'!J263</f>
        <v>31.25</v>
      </c>
      <c r="L14" s="668">
        <f t="shared" si="1"/>
        <v>0</v>
      </c>
      <c r="M14" s="669"/>
      <c r="N14" s="178"/>
      <c r="O14" s="71"/>
    </row>
    <row r="15" spans="1:15" x14ac:dyDescent="0.3">
      <c r="A15" s="71"/>
      <c r="B15" s="166"/>
      <c r="C15" s="360">
        <f>C14</f>
        <v>0</v>
      </c>
      <c r="D15" s="217" t="s">
        <v>758</v>
      </c>
      <c r="E15" s="218"/>
      <c r="F15" s="218"/>
      <c r="G15" s="218"/>
      <c r="H15" s="218"/>
      <c r="I15" s="218"/>
      <c r="J15" s="324"/>
      <c r="K15" s="152">
        <f>'Material Price'!J264</f>
        <v>19.3</v>
      </c>
      <c r="L15" s="668">
        <f t="shared" si="1"/>
        <v>0</v>
      </c>
      <c r="M15" s="669"/>
      <c r="N15" s="178"/>
      <c r="O15" s="71"/>
    </row>
    <row r="16" spans="1:15" x14ac:dyDescent="0.3">
      <c r="A16" s="71"/>
      <c r="B16" s="166"/>
      <c r="C16" s="394">
        <f>Formulas!Q114+Formulas!Q118+Formulas!Q122+Formulas!Q112+Formulas!Q116+Formulas!Q120</f>
        <v>0</v>
      </c>
      <c r="D16" s="217" t="s">
        <v>1222</v>
      </c>
      <c r="E16" s="218"/>
      <c r="F16" s="218"/>
      <c r="G16" s="218"/>
      <c r="H16" s="218"/>
      <c r="I16" s="218"/>
      <c r="J16" s="324"/>
      <c r="K16" s="356">
        <f>'Material Price'!J265</f>
        <v>123</v>
      </c>
      <c r="L16" s="668">
        <f t="shared" si="1"/>
        <v>0</v>
      </c>
      <c r="M16" s="669"/>
      <c r="N16" s="178"/>
      <c r="O16" s="71"/>
    </row>
    <row r="17" spans="1:15" x14ac:dyDescent="0.3">
      <c r="A17" s="71"/>
      <c r="B17" s="166"/>
      <c r="C17" s="394">
        <f>C16</f>
        <v>0</v>
      </c>
      <c r="D17" s="217" t="s">
        <v>760</v>
      </c>
      <c r="E17" s="218"/>
      <c r="F17" s="218"/>
      <c r="G17" s="218"/>
      <c r="H17" s="218"/>
      <c r="I17" s="218"/>
      <c r="J17" s="324"/>
      <c r="K17" s="152">
        <f>'Material Price'!J266</f>
        <v>55.12</v>
      </c>
      <c r="L17" s="668">
        <f t="shared" si="1"/>
        <v>0</v>
      </c>
      <c r="M17" s="669"/>
      <c r="N17" s="178"/>
      <c r="O17" s="71"/>
    </row>
    <row r="18" spans="1:15" x14ac:dyDescent="0.3">
      <c r="A18" s="71"/>
      <c r="B18" s="166"/>
      <c r="C18" s="394">
        <f>Formulas!Q113+Formulas!Q117+Formulas!Q121+Formulas!Q111+Formulas!Q115+Formulas!Q119</f>
        <v>10</v>
      </c>
      <c r="D18" s="217" t="s">
        <v>1223</v>
      </c>
      <c r="E18" s="218"/>
      <c r="F18" s="218"/>
      <c r="G18" s="218"/>
      <c r="H18" s="218"/>
      <c r="I18" s="218"/>
      <c r="J18" s="324"/>
      <c r="K18" s="400">
        <f>'Material Price'!J267</f>
        <v>94.33</v>
      </c>
      <c r="L18" s="668">
        <f t="shared" si="1"/>
        <v>943.3</v>
      </c>
      <c r="M18" s="669"/>
      <c r="N18" s="178"/>
      <c r="O18" s="71"/>
    </row>
    <row r="19" spans="1:15" x14ac:dyDescent="0.3">
      <c r="A19" s="71"/>
      <c r="B19" s="166"/>
      <c r="C19" s="394">
        <f>C18</f>
        <v>10</v>
      </c>
      <c r="D19" s="217" t="s">
        <v>762</v>
      </c>
      <c r="E19" s="218"/>
      <c r="F19" s="218"/>
      <c r="G19" s="218"/>
      <c r="H19" s="218"/>
      <c r="I19" s="218"/>
      <c r="J19" s="324"/>
      <c r="K19" s="152">
        <f>'Material Price'!J268</f>
        <v>41.38</v>
      </c>
      <c r="L19" s="668">
        <f t="shared" si="1"/>
        <v>413.8</v>
      </c>
      <c r="M19" s="669"/>
      <c r="N19" s="178"/>
      <c r="O19" s="71"/>
    </row>
    <row r="20" spans="1:15" x14ac:dyDescent="0.3">
      <c r="A20" s="71"/>
      <c r="B20" s="166"/>
      <c r="C20" s="394">
        <f>'Deck TakeOff'!E64</f>
        <v>10</v>
      </c>
      <c r="D20" s="566" t="s">
        <v>608</v>
      </c>
      <c r="E20" s="567"/>
      <c r="F20" s="567"/>
      <c r="G20" s="567"/>
      <c r="H20" s="567"/>
      <c r="I20" s="567"/>
      <c r="J20" s="568"/>
      <c r="K20" s="152">
        <f>'Material Price'!J269</f>
        <v>29</v>
      </c>
      <c r="L20" s="668">
        <f t="shared" si="1"/>
        <v>290</v>
      </c>
      <c r="M20" s="669"/>
      <c r="N20" s="178"/>
      <c r="O20" s="71"/>
    </row>
    <row r="21" spans="1:15" x14ac:dyDescent="0.3">
      <c r="A21" s="71"/>
      <c r="B21" s="166"/>
      <c r="C21" s="394">
        <f>Formulas!J91</f>
        <v>0</v>
      </c>
      <c r="D21" s="585" t="s">
        <v>877</v>
      </c>
      <c r="E21" s="577"/>
      <c r="F21" s="577"/>
      <c r="G21" s="577"/>
      <c r="H21" s="577"/>
      <c r="I21" s="577"/>
      <c r="J21" s="578"/>
      <c r="K21" s="356">
        <f>'Material Price'!J273</f>
        <v>159</v>
      </c>
      <c r="L21" s="668">
        <f t="shared" ref="L21" si="2">K21*C21</f>
        <v>0</v>
      </c>
      <c r="M21" s="669"/>
      <c r="N21" s="178"/>
      <c r="O21" s="71"/>
    </row>
    <row r="22" spans="1:15" x14ac:dyDescent="0.3">
      <c r="A22" s="71"/>
      <c r="B22" s="166"/>
      <c r="C22" s="394">
        <f>Formulas!J98</f>
        <v>0</v>
      </c>
      <c r="D22" s="585" t="s">
        <v>876</v>
      </c>
      <c r="E22" s="577"/>
      <c r="F22" s="577"/>
      <c r="G22" s="577"/>
      <c r="H22" s="577"/>
      <c r="I22" s="577"/>
      <c r="J22" s="578"/>
      <c r="K22" s="356">
        <f>'Material Price'!J277</f>
        <v>170</v>
      </c>
      <c r="L22" s="668">
        <f t="shared" ref="L22:L24" si="3">K22*C22</f>
        <v>0</v>
      </c>
      <c r="M22" s="669"/>
      <c r="N22" s="178"/>
      <c r="O22" s="71"/>
    </row>
    <row r="23" spans="1:15" x14ac:dyDescent="0.3">
      <c r="A23" s="71"/>
      <c r="B23" s="166"/>
      <c r="C23" s="360">
        <f>Formulas!I80</f>
        <v>8</v>
      </c>
      <c r="D23" s="585" t="s">
        <v>875</v>
      </c>
      <c r="E23" s="577"/>
      <c r="F23" s="577"/>
      <c r="G23" s="577"/>
      <c r="H23" s="577"/>
      <c r="I23" s="577"/>
      <c r="J23" s="578"/>
      <c r="K23" s="356">
        <f>'Material Price'!J271</f>
        <v>128</v>
      </c>
      <c r="L23" s="668">
        <f t="shared" si="3"/>
        <v>1024</v>
      </c>
      <c r="M23" s="669"/>
      <c r="N23" s="178"/>
      <c r="O23" s="71"/>
    </row>
    <row r="24" spans="1:15" x14ac:dyDescent="0.3">
      <c r="A24" s="71"/>
      <c r="B24" s="166"/>
      <c r="C24" s="360">
        <f>Formulas!I81</f>
        <v>0</v>
      </c>
      <c r="D24" s="585" t="s">
        <v>874</v>
      </c>
      <c r="E24" s="577"/>
      <c r="F24" s="577"/>
      <c r="G24" s="577"/>
      <c r="H24" s="577"/>
      <c r="I24" s="577"/>
      <c r="J24" s="578"/>
      <c r="K24" s="356">
        <f>'Material Price'!J275</f>
        <v>137</v>
      </c>
      <c r="L24" s="668">
        <f t="shared" si="3"/>
        <v>0</v>
      </c>
      <c r="M24" s="669"/>
      <c r="N24" s="178"/>
      <c r="O24" s="71"/>
    </row>
    <row r="25" spans="1:15" x14ac:dyDescent="0.3">
      <c r="A25" s="71"/>
      <c r="B25" s="166"/>
      <c r="C25" s="360">
        <f>'Deck TakeOff'!H51</f>
        <v>0</v>
      </c>
      <c r="D25" s="217" t="s">
        <v>896</v>
      </c>
      <c r="E25" s="218"/>
      <c r="F25" s="218"/>
      <c r="G25" s="218"/>
      <c r="H25" s="218"/>
      <c r="I25" s="218"/>
      <c r="J25" s="324"/>
      <c r="K25" s="152">
        <f>'Material Price'!J295</f>
        <v>65</v>
      </c>
      <c r="L25" s="668">
        <f t="shared" si="1"/>
        <v>0</v>
      </c>
      <c r="M25" s="669"/>
      <c r="N25" s="178"/>
      <c r="O25" s="71"/>
    </row>
    <row r="26" spans="1:15" x14ac:dyDescent="0.3">
      <c r="A26" s="71"/>
      <c r="B26" s="166"/>
      <c r="C26" s="360">
        <f>'Deck TakeOff'!H52</f>
        <v>0</v>
      </c>
      <c r="D26" s="217" t="s">
        <v>897</v>
      </c>
      <c r="E26" s="218"/>
      <c r="F26" s="218"/>
      <c r="G26" s="218"/>
      <c r="H26" s="218"/>
      <c r="I26" s="218"/>
      <c r="J26" s="324"/>
      <c r="K26" s="152">
        <f>'Material Price'!J296</f>
        <v>70</v>
      </c>
      <c r="L26" s="668">
        <f t="shared" si="1"/>
        <v>0</v>
      </c>
      <c r="M26" s="669"/>
      <c r="N26" s="178"/>
      <c r="O26" s="71"/>
    </row>
    <row r="27" spans="1:15" x14ac:dyDescent="0.3">
      <c r="A27" s="71"/>
      <c r="B27" s="166"/>
      <c r="C27" s="360">
        <f>Formulas!H131</f>
        <v>0</v>
      </c>
      <c r="D27" s="217" t="s">
        <v>1205</v>
      </c>
      <c r="E27" s="218"/>
      <c r="F27" s="218"/>
      <c r="G27" s="218"/>
      <c r="H27" s="218"/>
      <c r="I27" s="218"/>
      <c r="J27" s="324"/>
      <c r="K27" s="356">
        <f>'Material Price'!J342</f>
        <v>225</v>
      </c>
      <c r="L27" s="668">
        <f t="shared" ref="L27" si="4">K27*C27</f>
        <v>0</v>
      </c>
      <c r="M27" s="669"/>
      <c r="N27" s="178"/>
      <c r="O27" s="71"/>
    </row>
    <row r="28" spans="1:15" x14ac:dyDescent="0.3">
      <c r="A28" s="71"/>
      <c r="B28" s="166"/>
      <c r="C28" s="360">
        <f>Formulas!H132</f>
        <v>0</v>
      </c>
      <c r="D28" s="217" t="s">
        <v>1206</v>
      </c>
      <c r="E28" s="218"/>
      <c r="F28" s="218"/>
      <c r="G28" s="218"/>
      <c r="H28" s="218"/>
      <c r="I28" s="218"/>
      <c r="J28" s="324"/>
      <c r="K28" s="356">
        <f>'Material Price'!J343</f>
        <v>225</v>
      </c>
      <c r="L28" s="668">
        <f t="shared" si="1"/>
        <v>0</v>
      </c>
      <c r="M28" s="669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8">
        <f t="shared" si="1"/>
        <v>0</v>
      </c>
      <c r="M29" s="669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8">
        <f t="shared" si="1"/>
        <v>0</v>
      </c>
      <c r="M30" s="669"/>
      <c r="N30" s="178"/>
      <c r="O30" s="71"/>
    </row>
    <row r="31" spans="1:15" x14ac:dyDescent="0.3">
      <c r="A31" s="71"/>
      <c r="B31" s="166"/>
      <c r="C31" s="360"/>
      <c r="D31" s="217"/>
      <c r="E31" s="218"/>
      <c r="F31" s="218"/>
      <c r="G31" s="218"/>
      <c r="H31" s="218"/>
      <c r="I31" s="218"/>
      <c r="J31" s="324"/>
      <c r="K31" s="152"/>
      <c r="L31" s="668">
        <f t="shared" si="1"/>
        <v>0</v>
      </c>
      <c r="M31" s="669"/>
      <c r="N31" s="178"/>
      <c r="O31" s="71"/>
    </row>
    <row r="32" spans="1:15" x14ac:dyDescent="0.3">
      <c r="A32" s="71"/>
      <c r="B32" s="166"/>
      <c r="C32" s="360"/>
      <c r="D32" s="217"/>
      <c r="E32" s="218"/>
      <c r="F32" s="218"/>
      <c r="G32" s="218"/>
      <c r="H32" s="218"/>
      <c r="I32" s="218"/>
      <c r="J32" s="324"/>
      <c r="K32" s="152"/>
      <c r="L32" s="668">
        <f t="shared" si="1"/>
        <v>0</v>
      </c>
      <c r="M32" s="669"/>
      <c r="N32" s="178"/>
      <c r="O32" s="71"/>
    </row>
    <row r="33" spans="1:15" x14ac:dyDescent="0.3">
      <c r="A33" s="71"/>
      <c r="B33" s="166"/>
      <c r="C33" s="360"/>
      <c r="D33" s="678" t="s">
        <v>763</v>
      </c>
      <c r="E33" s="679"/>
      <c r="F33" s="679"/>
      <c r="G33" s="679"/>
      <c r="H33" s="679"/>
      <c r="I33" s="679"/>
      <c r="J33" s="680"/>
      <c r="K33" s="152"/>
      <c r="L33" s="668">
        <f t="shared" si="1"/>
        <v>0</v>
      </c>
      <c r="M33" s="669"/>
      <c r="N33" s="178"/>
      <c r="O33" s="71"/>
    </row>
    <row r="34" spans="1:15" x14ac:dyDescent="0.3">
      <c r="A34" s="71"/>
      <c r="B34" s="166"/>
      <c r="C34" s="360">
        <f>'Deck TakeOff'!E58</f>
        <v>0</v>
      </c>
      <c r="D34" s="217" t="s">
        <v>764</v>
      </c>
      <c r="E34" s="345"/>
      <c r="F34" s="345"/>
      <c r="G34" s="345"/>
      <c r="H34" s="345"/>
      <c r="I34" s="345"/>
      <c r="J34" s="346"/>
      <c r="K34" s="356">
        <f>'Material Price'!J227</f>
        <v>380</v>
      </c>
      <c r="L34" s="668">
        <f t="shared" si="1"/>
        <v>0</v>
      </c>
      <c r="M34" s="669"/>
      <c r="N34" s="178"/>
      <c r="O34" s="71"/>
    </row>
    <row r="35" spans="1:15" x14ac:dyDescent="0.3">
      <c r="A35" s="71"/>
      <c r="B35" s="166"/>
      <c r="C35" s="360">
        <f>'Deck TakeOff'!E59</f>
        <v>0</v>
      </c>
      <c r="D35" s="217" t="s">
        <v>765</v>
      </c>
      <c r="E35" s="345"/>
      <c r="F35" s="345"/>
      <c r="G35" s="345"/>
      <c r="H35" s="345"/>
      <c r="I35" s="345"/>
      <c r="J35" s="346"/>
      <c r="K35" s="356">
        <f>'Material Price'!J228</f>
        <v>420</v>
      </c>
      <c r="L35" s="668">
        <f t="shared" si="1"/>
        <v>0</v>
      </c>
      <c r="M35" s="669"/>
      <c r="N35" s="178"/>
      <c r="O35" s="71"/>
    </row>
    <row r="36" spans="1:15" x14ac:dyDescent="0.3">
      <c r="A36" s="71"/>
      <c r="B36" s="166"/>
      <c r="C36" s="360"/>
      <c r="D36" s="678" t="s">
        <v>601</v>
      </c>
      <c r="E36" s="679"/>
      <c r="F36" s="679"/>
      <c r="G36" s="679"/>
      <c r="H36" s="679"/>
      <c r="I36" s="679"/>
      <c r="J36" s="680"/>
      <c r="K36" s="152"/>
      <c r="L36" s="668">
        <f t="shared" si="1"/>
        <v>0</v>
      </c>
      <c r="M36" s="669"/>
      <c r="N36" s="178"/>
      <c r="O36" s="71"/>
    </row>
    <row r="37" spans="1:15" x14ac:dyDescent="0.3">
      <c r="A37" s="71"/>
      <c r="B37" s="166"/>
      <c r="C37" s="360">
        <f>(Formulas!D107+Formulas!D108)/1.1</f>
        <v>0</v>
      </c>
      <c r="D37" s="217" t="s">
        <v>741</v>
      </c>
      <c r="E37" s="345"/>
      <c r="F37" s="345"/>
      <c r="G37" s="345"/>
      <c r="H37" s="345"/>
      <c r="I37" s="345"/>
      <c r="J37" s="346"/>
      <c r="K37" s="152">
        <f>'Material Price'!J232</f>
        <v>10</v>
      </c>
      <c r="L37" s="668">
        <f>K37*C37</f>
        <v>0</v>
      </c>
      <c r="M37" s="669"/>
      <c r="N37" s="178"/>
      <c r="O37" s="71"/>
    </row>
    <row r="38" spans="1:15" x14ac:dyDescent="0.3">
      <c r="A38" s="71"/>
      <c r="B38" s="166"/>
      <c r="C38" s="360"/>
      <c r="D38" s="217" t="s">
        <v>580</v>
      </c>
      <c r="E38" s="345"/>
      <c r="F38" s="345"/>
      <c r="G38" s="345"/>
      <c r="H38" s="345"/>
      <c r="I38" s="345"/>
      <c r="J38" s="346"/>
      <c r="K38" s="152">
        <f>'Material Price'!J233</f>
        <v>75</v>
      </c>
      <c r="L38" s="668">
        <f t="shared" ref="L38:L47" si="5">K38*C38</f>
        <v>0</v>
      </c>
      <c r="M38" s="669"/>
      <c r="N38" s="178"/>
      <c r="O38" s="71"/>
    </row>
    <row r="39" spans="1:15" x14ac:dyDescent="0.3">
      <c r="A39" s="71"/>
      <c r="B39" s="166"/>
      <c r="C39" s="360"/>
      <c r="D39" s="217" t="s">
        <v>581</v>
      </c>
      <c r="E39" s="345"/>
      <c r="F39" s="345"/>
      <c r="G39" s="345"/>
      <c r="H39" s="345"/>
      <c r="I39" s="345"/>
      <c r="J39" s="346"/>
      <c r="K39" s="152">
        <f>'Material Price'!J234</f>
        <v>65</v>
      </c>
      <c r="L39" s="668">
        <f t="shared" si="5"/>
        <v>0</v>
      </c>
      <c r="M39" s="669"/>
      <c r="N39" s="178"/>
      <c r="O39" s="71"/>
    </row>
    <row r="40" spans="1:15" x14ac:dyDescent="0.3">
      <c r="A40" s="71"/>
      <c r="B40" s="166"/>
      <c r="C40" s="360"/>
      <c r="D40" s="217" t="s">
        <v>582</v>
      </c>
      <c r="E40" s="345"/>
      <c r="F40" s="345"/>
      <c r="G40" s="345"/>
      <c r="H40" s="345"/>
      <c r="I40" s="345"/>
      <c r="J40" s="346"/>
      <c r="K40" s="152">
        <f>'Material Price'!J235</f>
        <v>50</v>
      </c>
      <c r="L40" s="668">
        <f t="shared" si="5"/>
        <v>0</v>
      </c>
      <c r="M40" s="669"/>
      <c r="N40" s="178"/>
      <c r="O40" s="71"/>
    </row>
    <row r="41" spans="1:15" x14ac:dyDescent="0.3">
      <c r="A41" s="71"/>
      <c r="B41" s="166"/>
      <c r="C41" s="360"/>
      <c r="D41" s="347" t="s">
        <v>600</v>
      </c>
      <c r="E41" s="345"/>
      <c r="F41" s="345"/>
      <c r="G41" s="345"/>
      <c r="H41" s="345"/>
      <c r="I41" s="345"/>
      <c r="J41" s="346"/>
      <c r="K41" s="152">
        <f>'Material Price'!J236</f>
        <v>13</v>
      </c>
      <c r="L41" s="668">
        <f t="shared" si="5"/>
        <v>0</v>
      </c>
      <c r="M41" s="669"/>
      <c r="N41" s="178"/>
      <c r="O41" s="71"/>
    </row>
    <row r="42" spans="1:15" x14ac:dyDescent="0.3">
      <c r="A42" s="71"/>
      <c r="B42" s="166"/>
      <c r="C42" s="360"/>
      <c r="D42" s="347" t="s">
        <v>583</v>
      </c>
      <c r="E42" s="345"/>
      <c r="F42" s="345"/>
      <c r="G42" s="345"/>
      <c r="H42" s="345"/>
      <c r="I42" s="345"/>
      <c r="J42" s="346"/>
      <c r="K42" s="152">
        <f>'Material Price'!J237</f>
        <v>25</v>
      </c>
      <c r="L42" s="668">
        <f t="shared" si="5"/>
        <v>0</v>
      </c>
      <c r="M42" s="669"/>
      <c r="N42" s="178"/>
      <c r="O42" s="71"/>
    </row>
    <row r="43" spans="1:15" x14ac:dyDescent="0.3">
      <c r="A43" s="71"/>
      <c r="B43" s="166"/>
      <c r="C43" s="360"/>
      <c r="D43" s="347" t="s">
        <v>584</v>
      </c>
      <c r="E43" s="345"/>
      <c r="F43" s="345"/>
      <c r="G43" s="345"/>
      <c r="H43" s="345"/>
      <c r="I43" s="345"/>
      <c r="J43" s="346"/>
      <c r="K43" s="152">
        <f>'Material Price'!J238</f>
        <v>18</v>
      </c>
      <c r="L43" s="668">
        <f t="shared" si="5"/>
        <v>0</v>
      </c>
      <c r="M43" s="669"/>
      <c r="N43" s="178"/>
      <c r="O43" s="71"/>
    </row>
    <row r="44" spans="1:15" x14ac:dyDescent="0.3">
      <c r="A44" s="71"/>
      <c r="B44" s="166"/>
      <c r="C44" s="360"/>
      <c r="D44" s="347" t="s">
        <v>585</v>
      </c>
      <c r="E44" s="345"/>
      <c r="F44" s="345"/>
      <c r="G44" s="345"/>
      <c r="H44" s="345"/>
      <c r="I44" s="345"/>
      <c r="J44" s="346"/>
      <c r="K44" s="152">
        <f>'Material Price'!J239</f>
        <v>2</v>
      </c>
      <c r="L44" s="668">
        <f t="shared" si="5"/>
        <v>0</v>
      </c>
      <c r="M44" s="669"/>
      <c r="N44" s="178"/>
      <c r="O44" s="71"/>
    </row>
    <row r="45" spans="1:15" x14ac:dyDescent="0.3">
      <c r="A45" s="71"/>
      <c r="B45" s="166"/>
      <c r="C45" s="360"/>
      <c r="D45" s="347" t="s">
        <v>586</v>
      </c>
      <c r="E45" s="345"/>
      <c r="F45" s="345"/>
      <c r="G45" s="345"/>
      <c r="H45" s="345"/>
      <c r="I45" s="345"/>
      <c r="J45" s="346"/>
      <c r="K45" s="152">
        <f>'Material Price'!J240</f>
        <v>5</v>
      </c>
      <c r="L45" s="668">
        <f t="shared" si="5"/>
        <v>0</v>
      </c>
      <c r="M45" s="669"/>
      <c r="N45" s="178"/>
      <c r="O45" s="71"/>
    </row>
    <row r="46" spans="1:15" x14ac:dyDescent="0.3">
      <c r="A46" s="71"/>
      <c r="B46" s="166"/>
      <c r="C46" s="360"/>
      <c r="D46" s="347" t="s">
        <v>740</v>
      </c>
      <c r="E46" s="345"/>
      <c r="F46" s="345"/>
      <c r="G46" s="345"/>
      <c r="H46" s="345"/>
      <c r="I46" s="345"/>
      <c r="J46" s="346"/>
      <c r="K46" s="152">
        <f>'Material Price'!J241</f>
        <v>5</v>
      </c>
      <c r="L46" s="668">
        <f t="shared" si="5"/>
        <v>0</v>
      </c>
      <c r="M46" s="669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8">
        <f t="shared" si="5"/>
        <v>0</v>
      </c>
      <c r="M47" s="669"/>
      <c r="N47" s="178"/>
      <c r="O47" s="71"/>
    </row>
    <row r="48" spans="1:15" x14ac:dyDescent="0.3">
      <c r="A48" s="71"/>
      <c r="B48" s="166"/>
      <c r="C48" s="183"/>
      <c r="D48" s="681" t="s">
        <v>10</v>
      </c>
      <c r="E48" s="682"/>
      <c r="F48" s="682"/>
      <c r="G48" s="682"/>
      <c r="H48" s="682"/>
      <c r="I48" s="682"/>
      <c r="J48" s="682"/>
      <c r="K48" s="683"/>
      <c r="L48" s="686">
        <f>(SUM(L10:M47)*0.0625)</f>
        <v>166.94374999999999</v>
      </c>
      <c r="M48" s="686"/>
      <c r="N48" s="178"/>
      <c r="O48" s="71"/>
    </row>
    <row r="49" spans="1:15" x14ac:dyDescent="0.3">
      <c r="A49" s="71"/>
      <c r="B49" s="166"/>
      <c r="C49" s="183"/>
      <c r="D49" s="681" t="s">
        <v>1</v>
      </c>
      <c r="E49" s="682"/>
      <c r="F49" s="682"/>
      <c r="G49" s="682"/>
      <c r="H49" s="682"/>
      <c r="I49" s="682"/>
      <c r="J49" s="682"/>
      <c r="K49" s="683"/>
      <c r="L49" s="684">
        <f>SUM(L10:M48)</f>
        <v>2838.0437499999998</v>
      </c>
      <c r="M49" s="684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61">
    <mergeCell ref="D3:M3"/>
    <mergeCell ref="D4:M4"/>
    <mergeCell ref="E5:G5"/>
    <mergeCell ref="I5:J5"/>
    <mergeCell ref="E6:G6"/>
    <mergeCell ref="I6:J6"/>
    <mergeCell ref="L15:M15"/>
    <mergeCell ref="E7:G7"/>
    <mergeCell ref="C8:M8"/>
    <mergeCell ref="D9:J9"/>
    <mergeCell ref="L9:M9"/>
    <mergeCell ref="D10:J10"/>
    <mergeCell ref="L10:M10"/>
    <mergeCell ref="D11:J11"/>
    <mergeCell ref="L11:M11"/>
    <mergeCell ref="L12:M12"/>
    <mergeCell ref="L13:M13"/>
    <mergeCell ref="L14:M14"/>
    <mergeCell ref="L16:M16"/>
    <mergeCell ref="L17:M17"/>
    <mergeCell ref="L18:M18"/>
    <mergeCell ref="L19:M19"/>
    <mergeCell ref="D20:J20"/>
    <mergeCell ref="L20:M20"/>
    <mergeCell ref="D33:J33"/>
    <mergeCell ref="L33:M33"/>
    <mergeCell ref="L22:M22"/>
    <mergeCell ref="L23:M23"/>
    <mergeCell ref="L24:M24"/>
    <mergeCell ref="L25:M25"/>
    <mergeCell ref="L26:M26"/>
    <mergeCell ref="L28:M28"/>
    <mergeCell ref="L27:M27"/>
    <mergeCell ref="L38:M38"/>
    <mergeCell ref="L29:M29"/>
    <mergeCell ref="L30:M30"/>
    <mergeCell ref="L31:M31"/>
    <mergeCell ref="L32:M32"/>
    <mergeCell ref="L34:M34"/>
    <mergeCell ref="L35:M35"/>
    <mergeCell ref="D36:J36"/>
    <mergeCell ref="L36:M36"/>
    <mergeCell ref="L37:M37"/>
    <mergeCell ref="D49:K49"/>
    <mergeCell ref="L49:M49"/>
    <mergeCell ref="L39:M39"/>
    <mergeCell ref="L40:M40"/>
    <mergeCell ref="L41:M41"/>
    <mergeCell ref="L42:M42"/>
    <mergeCell ref="L43:M43"/>
    <mergeCell ref="L44:M44"/>
    <mergeCell ref="L45:M45"/>
    <mergeCell ref="L46:M46"/>
    <mergeCell ref="L47:M47"/>
    <mergeCell ref="D48:K48"/>
    <mergeCell ref="L48:M48"/>
    <mergeCell ref="D21:J21"/>
    <mergeCell ref="D22:J22"/>
    <mergeCell ref="D23:J23"/>
    <mergeCell ref="D24:J24"/>
    <mergeCell ref="L21:M21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494C9-F732-4838-B893-097C1B89A87A}">
  <sheetPr codeName="Sheet21">
    <tabColor rgb="FFFFFF00"/>
    <pageSetUpPr fitToPage="1"/>
  </sheetPr>
  <dimension ref="A1:O67"/>
  <sheetViews>
    <sheetView showGridLines="0" showZeros="0" view="pageBreakPreview" topLeftCell="A37" zoomScaleNormal="100" zoomScaleSheetLayoutView="100" workbookViewId="0">
      <selection activeCell="C18" sqref="C18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956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956</v>
      </c>
      <c r="E11" s="679"/>
      <c r="F11" s="679"/>
      <c r="G11" s="679"/>
      <c r="H11" s="679"/>
      <c r="I11" s="679"/>
      <c r="J11" s="680"/>
      <c r="K11" s="152"/>
      <c r="L11" s="668">
        <f t="shared" ref="L11" si="0">K11*C11</f>
        <v>0</v>
      </c>
      <c r="M11" s="669"/>
      <c r="N11" s="178"/>
      <c r="O11" s="71"/>
    </row>
    <row r="12" spans="1:15" x14ac:dyDescent="0.3">
      <c r="A12" s="71"/>
      <c r="B12" s="166"/>
      <c r="C12" s="360">
        <f>'Deck TakeOff'!H55+Formulas!T111+Formulas!U111</f>
        <v>0</v>
      </c>
      <c r="D12" s="217" t="s">
        <v>755</v>
      </c>
      <c r="E12" s="218"/>
      <c r="F12" s="218"/>
      <c r="G12" s="218"/>
      <c r="H12" s="218"/>
      <c r="I12" s="218"/>
      <c r="J12" s="324"/>
      <c r="K12" s="152">
        <f>'Material Price'!J261</f>
        <v>66</v>
      </c>
      <c r="L12" s="668">
        <f>K12*C12</f>
        <v>0</v>
      </c>
      <c r="M12" s="669"/>
      <c r="N12" s="178"/>
      <c r="O12" s="71"/>
    </row>
    <row r="13" spans="1:15" x14ac:dyDescent="0.3">
      <c r="A13" s="71"/>
      <c r="B13" s="166"/>
      <c r="C13" s="360">
        <f>'Deck TakeOff'!H54</f>
        <v>0</v>
      </c>
      <c r="D13" s="217" t="s">
        <v>756</v>
      </c>
      <c r="E13" s="218"/>
      <c r="F13" s="218"/>
      <c r="G13" s="218"/>
      <c r="H13" s="218"/>
      <c r="I13" s="218"/>
      <c r="J13" s="324"/>
      <c r="K13" s="152">
        <f>'Material Price'!J262</f>
        <v>55</v>
      </c>
      <c r="L13" s="668">
        <f t="shared" ref="L13:L36" si="1">K13*C13</f>
        <v>0</v>
      </c>
      <c r="M13" s="669"/>
      <c r="N13" s="178"/>
      <c r="O13" s="71"/>
    </row>
    <row r="14" spans="1:15" x14ac:dyDescent="0.3">
      <c r="A14" s="71"/>
      <c r="B14" s="166"/>
      <c r="C14" s="360">
        <f>C12+C13</f>
        <v>0</v>
      </c>
      <c r="D14" s="217" t="s">
        <v>757</v>
      </c>
      <c r="E14" s="218"/>
      <c r="F14" s="218"/>
      <c r="G14" s="218"/>
      <c r="H14" s="218"/>
      <c r="I14" s="218"/>
      <c r="J14" s="324"/>
      <c r="K14" s="152">
        <f>'Material Price'!J263</f>
        <v>31.25</v>
      </c>
      <c r="L14" s="668">
        <f t="shared" si="1"/>
        <v>0</v>
      </c>
      <c r="M14" s="669"/>
      <c r="N14" s="178"/>
      <c r="O14" s="71"/>
    </row>
    <row r="15" spans="1:15" x14ac:dyDescent="0.3">
      <c r="A15" s="71"/>
      <c r="B15" s="166"/>
      <c r="C15" s="360">
        <f>C14</f>
        <v>0</v>
      </c>
      <c r="D15" s="217" t="s">
        <v>758</v>
      </c>
      <c r="E15" s="218"/>
      <c r="F15" s="218"/>
      <c r="G15" s="218"/>
      <c r="H15" s="218"/>
      <c r="I15" s="218"/>
      <c r="J15" s="324"/>
      <c r="K15" s="152">
        <f>'Material Price'!J264</f>
        <v>19.3</v>
      </c>
      <c r="L15" s="668">
        <f t="shared" si="1"/>
        <v>0</v>
      </c>
      <c r="M15" s="669"/>
      <c r="N15" s="178"/>
      <c r="O15" s="71"/>
    </row>
    <row r="16" spans="1:15" x14ac:dyDescent="0.3">
      <c r="A16" s="71"/>
      <c r="B16" s="166"/>
      <c r="C16" s="394">
        <f>Formulas!Q114+Formulas!Q118+Formulas!Q122+Formulas!Q112+Formulas!Q116+Formulas!Q120</f>
        <v>0</v>
      </c>
      <c r="D16" s="365" t="s">
        <v>1220</v>
      </c>
      <c r="E16" s="405"/>
      <c r="F16" s="405"/>
      <c r="G16" s="405"/>
      <c r="H16" s="405"/>
      <c r="I16" s="405"/>
      <c r="J16" s="406"/>
      <c r="K16" s="400">
        <f>'Material Price'!J265</f>
        <v>123</v>
      </c>
      <c r="L16" s="668">
        <f t="shared" si="1"/>
        <v>0</v>
      </c>
      <c r="M16" s="669"/>
      <c r="N16" s="178"/>
      <c r="O16" s="71"/>
    </row>
    <row r="17" spans="1:15" x14ac:dyDescent="0.3">
      <c r="A17" s="71"/>
      <c r="B17" s="166"/>
      <c r="C17" s="394">
        <f>C16</f>
        <v>0</v>
      </c>
      <c r="D17" s="217" t="s">
        <v>760</v>
      </c>
      <c r="E17" s="218"/>
      <c r="F17" s="218"/>
      <c r="G17" s="218"/>
      <c r="H17" s="218"/>
      <c r="I17" s="218"/>
      <c r="J17" s="324"/>
      <c r="K17" s="152">
        <f>'Material Price'!J266</f>
        <v>55.12</v>
      </c>
      <c r="L17" s="668">
        <f t="shared" si="1"/>
        <v>0</v>
      </c>
      <c r="M17" s="669"/>
      <c r="N17" s="178"/>
      <c r="O17" s="71"/>
    </row>
    <row r="18" spans="1:15" x14ac:dyDescent="0.3">
      <c r="A18" s="71"/>
      <c r="B18" s="166"/>
      <c r="C18" s="394">
        <f>Formulas!Q113+Formulas!Q117+Formulas!Q121+Formulas!Q111+Formulas!Q115+Formulas!Q119</f>
        <v>10</v>
      </c>
      <c r="D18" s="365" t="s">
        <v>1221</v>
      </c>
      <c r="E18" s="355"/>
      <c r="F18" s="355"/>
      <c r="G18" s="355"/>
      <c r="H18" s="218"/>
      <c r="I18" s="218"/>
      <c r="J18" s="324"/>
      <c r="K18" s="400">
        <f>'Material Price'!J267</f>
        <v>94.33</v>
      </c>
      <c r="L18" s="668">
        <f t="shared" si="1"/>
        <v>943.3</v>
      </c>
      <c r="M18" s="669"/>
      <c r="N18" s="178"/>
      <c r="O18" s="71"/>
    </row>
    <row r="19" spans="1:15" x14ac:dyDescent="0.3">
      <c r="A19" s="71"/>
      <c r="B19" s="166"/>
      <c r="C19" s="394">
        <f>C18</f>
        <v>10</v>
      </c>
      <c r="D19" s="217" t="s">
        <v>762</v>
      </c>
      <c r="E19" s="218"/>
      <c r="F19" s="218"/>
      <c r="G19" s="218"/>
      <c r="H19" s="218"/>
      <c r="I19" s="218"/>
      <c r="J19" s="324"/>
      <c r="K19" s="152">
        <f>'Material Price'!J268</f>
        <v>41.38</v>
      </c>
      <c r="L19" s="668">
        <f t="shared" si="1"/>
        <v>413.8</v>
      </c>
      <c r="M19" s="669"/>
      <c r="N19" s="178"/>
      <c r="O19" s="71"/>
    </row>
    <row r="20" spans="1:15" x14ac:dyDescent="0.3">
      <c r="A20" s="71"/>
      <c r="B20" s="166"/>
      <c r="C20" s="394">
        <f>'Deck TakeOff'!E64</f>
        <v>10</v>
      </c>
      <c r="D20" s="566" t="s">
        <v>608</v>
      </c>
      <c r="E20" s="567"/>
      <c r="F20" s="567"/>
      <c r="G20" s="567"/>
      <c r="H20" s="567"/>
      <c r="I20" s="567"/>
      <c r="J20" s="568"/>
      <c r="K20" s="152">
        <f>'Material Price'!J269</f>
        <v>29</v>
      </c>
      <c r="L20" s="668">
        <f t="shared" si="1"/>
        <v>290</v>
      </c>
      <c r="M20" s="669"/>
      <c r="N20" s="178"/>
      <c r="O20" s="71"/>
    </row>
    <row r="21" spans="1:15" x14ac:dyDescent="0.3">
      <c r="A21" s="71"/>
      <c r="B21" s="166"/>
      <c r="C21" s="394"/>
      <c r="D21" s="847" t="s">
        <v>884</v>
      </c>
      <c r="E21" s="848"/>
      <c r="F21" s="848"/>
      <c r="G21" s="848"/>
      <c r="H21" s="848"/>
      <c r="I21" s="848"/>
      <c r="J21" s="849"/>
      <c r="K21" s="407">
        <f>'Material Price'!J281</f>
        <v>166</v>
      </c>
      <c r="L21" s="668">
        <f t="shared" si="1"/>
        <v>0</v>
      </c>
      <c r="M21" s="669"/>
      <c r="N21" s="178"/>
      <c r="O21" s="71"/>
    </row>
    <row r="22" spans="1:15" x14ac:dyDescent="0.3">
      <c r="A22" s="71"/>
      <c r="B22" s="166"/>
      <c r="C22" s="394">
        <f>Formulas!M93</f>
        <v>0</v>
      </c>
      <c r="D22" s="847" t="s">
        <v>885</v>
      </c>
      <c r="E22" s="848"/>
      <c r="F22" s="848"/>
      <c r="G22" s="848"/>
      <c r="H22" s="848"/>
      <c r="I22" s="848"/>
      <c r="J22" s="849"/>
      <c r="K22" s="407">
        <f>'Material Price'!J292</f>
        <v>174</v>
      </c>
      <c r="L22" s="668">
        <f t="shared" si="1"/>
        <v>0</v>
      </c>
      <c r="M22" s="669"/>
      <c r="N22" s="178"/>
      <c r="O22" s="71"/>
    </row>
    <row r="23" spans="1:15" x14ac:dyDescent="0.3">
      <c r="A23" s="71"/>
      <c r="B23" s="166"/>
      <c r="C23" s="394"/>
      <c r="D23" s="847" t="s">
        <v>886</v>
      </c>
      <c r="E23" s="848"/>
      <c r="F23" s="848"/>
      <c r="G23" s="848"/>
      <c r="H23" s="848"/>
      <c r="I23" s="848"/>
      <c r="J23" s="849"/>
      <c r="K23" s="407">
        <f>'Material Price'!J280</f>
        <v>143</v>
      </c>
      <c r="L23" s="668">
        <f t="shared" si="1"/>
        <v>0</v>
      </c>
      <c r="M23" s="669"/>
      <c r="N23" s="178"/>
      <c r="O23" s="71"/>
    </row>
    <row r="24" spans="1:15" x14ac:dyDescent="0.3">
      <c r="A24" s="71"/>
      <c r="B24" s="166"/>
      <c r="C24" s="394">
        <f>Formulas!M92</f>
        <v>8</v>
      </c>
      <c r="D24" s="847" t="s">
        <v>887</v>
      </c>
      <c r="E24" s="848"/>
      <c r="F24" s="848"/>
      <c r="G24" s="848"/>
      <c r="H24" s="848"/>
      <c r="I24" s="848"/>
      <c r="J24" s="849"/>
      <c r="K24" s="407">
        <f>'Material Price'!J291</f>
        <v>158</v>
      </c>
      <c r="L24" s="668">
        <f t="shared" si="1"/>
        <v>1264</v>
      </c>
      <c r="M24" s="669"/>
      <c r="N24" s="178"/>
      <c r="O24" s="71"/>
    </row>
    <row r="25" spans="1:15" x14ac:dyDescent="0.3">
      <c r="A25" s="71"/>
      <c r="B25" s="166"/>
      <c r="C25" s="360">
        <f>'Deck TakeOff'!H51</f>
        <v>0</v>
      </c>
      <c r="D25" s="217" t="s">
        <v>896</v>
      </c>
      <c r="E25" s="218"/>
      <c r="F25" s="218"/>
      <c r="G25" s="218"/>
      <c r="H25" s="218"/>
      <c r="I25" s="218"/>
      <c r="J25" s="324"/>
      <c r="K25" s="152">
        <f>'Material Price'!J295</f>
        <v>65</v>
      </c>
      <c r="L25" s="668">
        <f t="shared" si="1"/>
        <v>0</v>
      </c>
      <c r="M25" s="669"/>
      <c r="N25" s="178"/>
      <c r="O25" s="71"/>
    </row>
    <row r="26" spans="1:15" x14ac:dyDescent="0.3">
      <c r="A26" s="71"/>
      <c r="B26" s="166"/>
      <c r="C26" s="360">
        <f>'Deck TakeOff'!H52</f>
        <v>0</v>
      </c>
      <c r="D26" s="217" t="s">
        <v>897</v>
      </c>
      <c r="E26" s="218"/>
      <c r="F26" s="218"/>
      <c r="G26" s="218"/>
      <c r="H26" s="218"/>
      <c r="I26" s="218"/>
      <c r="J26" s="324"/>
      <c r="K26" s="152">
        <f>'Material Price'!J296</f>
        <v>70</v>
      </c>
      <c r="L26" s="668">
        <f t="shared" si="1"/>
        <v>0</v>
      </c>
      <c r="M26" s="669"/>
      <c r="N26" s="178"/>
      <c r="O26" s="71"/>
    </row>
    <row r="27" spans="1:15" x14ac:dyDescent="0.3">
      <c r="A27" s="71"/>
      <c r="B27" s="166"/>
      <c r="C27" s="360">
        <f>Formulas!H131</f>
        <v>0</v>
      </c>
      <c r="D27" s="217" t="s">
        <v>1205</v>
      </c>
      <c r="E27" s="218"/>
      <c r="F27" s="218"/>
      <c r="G27" s="218"/>
      <c r="H27" s="218"/>
      <c r="I27" s="218"/>
      <c r="J27" s="324"/>
      <c r="K27" s="356">
        <f>'Material Price'!J342</f>
        <v>225</v>
      </c>
      <c r="L27" s="668">
        <f t="shared" ref="L27" si="2">K27*C27</f>
        <v>0</v>
      </c>
      <c r="M27" s="669"/>
      <c r="N27" s="178"/>
      <c r="O27" s="71"/>
    </row>
    <row r="28" spans="1:15" x14ac:dyDescent="0.3">
      <c r="A28" s="71"/>
      <c r="B28" s="166"/>
      <c r="C28" s="360">
        <f>Formulas!H132</f>
        <v>0</v>
      </c>
      <c r="D28" s="217" t="s">
        <v>1206</v>
      </c>
      <c r="E28" s="218"/>
      <c r="F28" s="218"/>
      <c r="G28" s="218"/>
      <c r="H28" s="218"/>
      <c r="I28" s="218"/>
      <c r="J28" s="324"/>
      <c r="K28" s="356">
        <f>'Material Price'!J343</f>
        <v>225</v>
      </c>
      <c r="L28" s="668">
        <f t="shared" si="1"/>
        <v>0</v>
      </c>
      <c r="M28" s="669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8">
        <f t="shared" si="1"/>
        <v>0</v>
      </c>
      <c r="M29" s="669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8">
        <f t="shared" si="1"/>
        <v>0</v>
      </c>
      <c r="M30" s="669"/>
      <c r="N30" s="178"/>
      <c r="O30" s="71"/>
    </row>
    <row r="31" spans="1:15" x14ac:dyDescent="0.3">
      <c r="A31" s="71"/>
      <c r="B31" s="166"/>
      <c r="C31" s="360"/>
      <c r="D31" s="217"/>
      <c r="E31" s="218"/>
      <c r="F31" s="218"/>
      <c r="G31" s="218"/>
      <c r="H31" s="218"/>
      <c r="I31" s="218"/>
      <c r="J31" s="324"/>
      <c r="K31" s="152"/>
      <c r="L31" s="668">
        <f t="shared" si="1"/>
        <v>0</v>
      </c>
      <c r="M31" s="669"/>
      <c r="N31" s="178"/>
      <c r="O31" s="71"/>
    </row>
    <row r="32" spans="1:15" x14ac:dyDescent="0.3">
      <c r="A32" s="71"/>
      <c r="B32" s="166"/>
      <c r="C32" s="360"/>
      <c r="D32" s="217"/>
      <c r="E32" s="218"/>
      <c r="F32" s="218"/>
      <c r="G32" s="218"/>
      <c r="H32" s="218"/>
      <c r="I32" s="218"/>
      <c r="J32" s="324"/>
      <c r="K32" s="152"/>
      <c r="L32" s="668">
        <f t="shared" si="1"/>
        <v>0</v>
      </c>
      <c r="M32" s="669"/>
      <c r="N32" s="178"/>
      <c r="O32" s="71"/>
    </row>
    <row r="33" spans="1:15" x14ac:dyDescent="0.3">
      <c r="A33" s="71"/>
      <c r="B33" s="166"/>
      <c r="C33" s="360"/>
      <c r="D33" s="678" t="s">
        <v>763</v>
      </c>
      <c r="E33" s="679"/>
      <c r="F33" s="679"/>
      <c r="G33" s="679"/>
      <c r="H33" s="679"/>
      <c r="I33" s="679"/>
      <c r="J33" s="680"/>
      <c r="K33" s="152"/>
      <c r="L33" s="668">
        <f t="shared" si="1"/>
        <v>0</v>
      </c>
      <c r="M33" s="669"/>
      <c r="N33" s="178"/>
      <c r="O33" s="71"/>
    </row>
    <row r="34" spans="1:15" x14ac:dyDescent="0.3">
      <c r="A34" s="71"/>
      <c r="B34" s="166"/>
      <c r="C34" s="360">
        <f>'Deck TakeOff'!E58</f>
        <v>0</v>
      </c>
      <c r="D34" s="217" t="s">
        <v>764</v>
      </c>
      <c r="E34" s="345"/>
      <c r="F34" s="345"/>
      <c r="G34" s="345"/>
      <c r="H34" s="345"/>
      <c r="I34" s="345"/>
      <c r="J34" s="346"/>
      <c r="K34" s="356">
        <f>'Material Price'!J227</f>
        <v>380</v>
      </c>
      <c r="L34" s="668">
        <f t="shared" si="1"/>
        <v>0</v>
      </c>
      <c r="M34" s="669"/>
      <c r="N34" s="178"/>
      <c r="O34" s="71"/>
    </row>
    <row r="35" spans="1:15" x14ac:dyDescent="0.3">
      <c r="A35" s="71"/>
      <c r="B35" s="166"/>
      <c r="C35" s="360">
        <f>'Deck TakeOff'!E59</f>
        <v>0</v>
      </c>
      <c r="D35" s="217" t="s">
        <v>765</v>
      </c>
      <c r="E35" s="345"/>
      <c r="F35" s="345"/>
      <c r="G35" s="345"/>
      <c r="H35" s="345"/>
      <c r="I35" s="345"/>
      <c r="J35" s="346"/>
      <c r="K35" s="356">
        <f>'Material Price'!J228</f>
        <v>420</v>
      </c>
      <c r="L35" s="668">
        <f t="shared" si="1"/>
        <v>0</v>
      </c>
      <c r="M35" s="669"/>
      <c r="N35" s="178"/>
      <c r="O35" s="71"/>
    </row>
    <row r="36" spans="1:15" x14ac:dyDescent="0.3">
      <c r="A36" s="71"/>
      <c r="B36" s="166"/>
      <c r="C36" s="360"/>
      <c r="D36" s="678" t="s">
        <v>601</v>
      </c>
      <c r="E36" s="679"/>
      <c r="F36" s="679"/>
      <c r="G36" s="679"/>
      <c r="H36" s="679"/>
      <c r="I36" s="679"/>
      <c r="J36" s="680"/>
      <c r="K36" s="152"/>
      <c r="L36" s="668">
        <f t="shared" si="1"/>
        <v>0</v>
      </c>
      <c r="M36" s="669"/>
      <c r="N36" s="178"/>
      <c r="O36" s="71"/>
    </row>
    <row r="37" spans="1:15" x14ac:dyDescent="0.3">
      <c r="A37" s="71"/>
      <c r="B37" s="166"/>
      <c r="C37" s="360">
        <f>(Formulas!D107+Formulas!D108)/1.1</f>
        <v>0</v>
      </c>
      <c r="D37" s="217" t="s">
        <v>741</v>
      </c>
      <c r="E37" s="345"/>
      <c r="F37" s="345"/>
      <c r="G37" s="345"/>
      <c r="H37" s="345"/>
      <c r="I37" s="345"/>
      <c r="J37" s="346"/>
      <c r="K37" s="152">
        <f>'Material Price'!J232</f>
        <v>10</v>
      </c>
      <c r="L37" s="668">
        <f>K37*C37</f>
        <v>0</v>
      </c>
      <c r="M37" s="669"/>
      <c r="N37" s="178"/>
      <c r="O37" s="71"/>
    </row>
    <row r="38" spans="1:15" x14ac:dyDescent="0.3">
      <c r="A38" s="71"/>
      <c r="B38" s="166"/>
      <c r="C38" s="360"/>
      <c r="D38" s="217" t="s">
        <v>580</v>
      </c>
      <c r="E38" s="345"/>
      <c r="F38" s="345"/>
      <c r="G38" s="345"/>
      <c r="H38" s="345"/>
      <c r="I38" s="345"/>
      <c r="J38" s="346"/>
      <c r="K38" s="152">
        <f>'Material Price'!J233</f>
        <v>75</v>
      </c>
      <c r="L38" s="668">
        <f t="shared" ref="L38:L47" si="3">K38*C38</f>
        <v>0</v>
      </c>
      <c r="M38" s="669"/>
      <c r="N38" s="178"/>
      <c r="O38" s="71"/>
    </row>
    <row r="39" spans="1:15" x14ac:dyDescent="0.3">
      <c r="A39" s="71"/>
      <c r="B39" s="166"/>
      <c r="C39" s="360"/>
      <c r="D39" s="217" t="s">
        <v>581</v>
      </c>
      <c r="E39" s="345"/>
      <c r="F39" s="345"/>
      <c r="G39" s="345"/>
      <c r="H39" s="345"/>
      <c r="I39" s="345"/>
      <c r="J39" s="346"/>
      <c r="K39" s="152">
        <f>'Material Price'!J234</f>
        <v>65</v>
      </c>
      <c r="L39" s="668">
        <f t="shared" si="3"/>
        <v>0</v>
      </c>
      <c r="M39" s="669"/>
      <c r="N39" s="178"/>
      <c r="O39" s="71"/>
    </row>
    <row r="40" spans="1:15" x14ac:dyDescent="0.3">
      <c r="A40" s="71"/>
      <c r="B40" s="166"/>
      <c r="C40" s="360"/>
      <c r="D40" s="217" t="s">
        <v>582</v>
      </c>
      <c r="E40" s="345"/>
      <c r="F40" s="345"/>
      <c r="G40" s="345"/>
      <c r="H40" s="345"/>
      <c r="I40" s="345"/>
      <c r="J40" s="346"/>
      <c r="K40" s="152">
        <f>'Material Price'!J235</f>
        <v>50</v>
      </c>
      <c r="L40" s="668">
        <f t="shared" si="3"/>
        <v>0</v>
      </c>
      <c r="M40" s="669"/>
      <c r="N40" s="178"/>
      <c r="O40" s="71"/>
    </row>
    <row r="41" spans="1:15" x14ac:dyDescent="0.3">
      <c r="A41" s="71"/>
      <c r="B41" s="166"/>
      <c r="C41" s="360"/>
      <c r="D41" s="347" t="s">
        <v>600</v>
      </c>
      <c r="E41" s="345"/>
      <c r="F41" s="345"/>
      <c r="G41" s="345"/>
      <c r="H41" s="345"/>
      <c r="I41" s="345"/>
      <c r="J41" s="346"/>
      <c r="K41" s="152">
        <f>'Material Price'!J236</f>
        <v>13</v>
      </c>
      <c r="L41" s="668">
        <f t="shared" si="3"/>
        <v>0</v>
      </c>
      <c r="M41" s="669"/>
      <c r="N41" s="178"/>
      <c r="O41" s="71"/>
    </row>
    <row r="42" spans="1:15" x14ac:dyDescent="0.3">
      <c r="A42" s="71"/>
      <c r="B42" s="166"/>
      <c r="C42" s="360"/>
      <c r="D42" s="347" t="s">
        <v>583</v>
      </c>
      <c r="E42" s="345"/>
      <c r="F42" s="345"/>
      <c r="G42" s="345"/>
      <c r="H42" s="345"/>
      <c r="I42" s="345"/>
      <c r="J42" s="346"/>
      <c r="K42" s="152">
        <f>'Material Price'!J237</f>
        <v>25</v>
      </c>
      <c r="L42" s="668">
        <f t="shared" si="3"/>
        <v>0</v>
      </c>
      <c r="M42" s="669"/>
      <c r="N42" s="178"/>
      <c r="O42" s="71"/>
    </row>
    <row r="43" spans="1:15" x14ac:dyDescent="0.3">
      <c r="A43" s="71"/>
      <c r="B43" s="166"/>
      <c r="C43" s="360"/>
      <c r="D43" s="347" t="s">
        <v>584</v>
      </c>
      <c r="E43" s="345"/>
      <c r="F43" s="345"/>
      <c r="G43" s="345"/>
      <c r="H43" s="345"/>
      <c r="I43" s="345"/>
      <c r="J43" s="346"/>
      <c r="K43" s="152">
        <f>'Material Price'!J238</f>
        <v>18</v>
      </c>
      <c r="L43" s="668">
        <f t="shared" si="3"/>
        <v>0</v>
      </c>
      <c r="M43" s="669"/>
      <c r="N43" s="178"/>
      <c r="O43" s="71"/>
    </row>
    <row r="44" spans="1:15" x14ac:dyDescent="0.3">
      <c r="A44" s="71"/>
      <c r="B44" s="166"/>
      <c r="C44" s="360"/>
      <c r="D44" s="347" t="s">
        <v>585</v>
      </c>
      <c r="E44" s="345"/>
      <c r="F44" s="345"/>
      <c r="G44" s="345"/>
      <c r="H44" s="345"/>
      <c r="I44" s="345"/>
      <c r="J44" s="346"/>
      <c r="K44" s="152">
        <f>'Material Price'!J239</f>
        <v>2</v>
      </c>
      <c r="L44" s="668">
        <f t="shared" si="3"/>
        <v>0</v>
      </c>
      <c r="M44" s="669"/>
      <c r="N44" s="178"/>
      <c r="O44" s="71"/>
    </row>
    <row r="45" spans="1:15" x14ac:dyDescent="0.3">
      <c r="A45" s="71"/>
      <c r="B45" s="166"/>
      <c r="C45" s="360"/>
      <c r="D45" s="347" t="s">
        <v>586</v>
      </c>
      <c r="E45" s="345"/>
      <c r="F45" s="345"/>
      <c r="G45" s="345"/>
      <c r="H45" s="345"/>
      <c r="I45" s="345"/>
      <c r="J45" s="346"/>
      <c r="K45" s="152">
        <f>'Material Price'!J240</f>
        <v>5</v>
      </c>
      <c r="L45" s="668">
        <f t="shared" si="3"/>
        <v>0</v>
      </c>
      <c r="M45" s="669"/>
      <c r="N45" s="178"/>
      <c r="O45" s="71"/>
    </row>
    <row r="46" spans="1:15" x14ac:dyDescent="0.3">
      <c r="A46" s="71"/>
      <c r="B46" s="166"/>
      <c r="C46" s="360"/>
      <c r="D46" s="347" t="s">
        <v>740</v>
      </c>
      <c r="E46" s="345"/>
      <c r="F46" s="345"/>
      <c r="G46" s="345"/>
      <c r="H46" s="345"/>
      <c r="I46" s="345"/>
      <c r="J46" s="346"/>
      <c r="K46" s="152">
        <f>'Material Price'!J241</f>
        <v>5</v>
      </c>
      <c r="L46" s="668">
        <f t="shared" si="3"/>
        <v>0</v>
      </c>
      <c r="M46" s="669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8">
        <f t="shared" si="3"/>
        <v>0</v>
      </c>
      <c r="M47" s="669"/>
      <c r="N47" s="178"/>
      <c r="O47" s="71"/>
    </row>
    <row r="48" spans="1:15" x14ac:dyDescent="0.3">
      <c r="A48" s="71"/>
      <c r="B48" s="166"/>
      <c r="C48" s="183"/>
      <c r="D48" s="681" t="s">
        <v>10</v>
      </c>
      <c r="E48" s="682"/>
      <c r="F48" s="682"/>
      <c r="G48" s="682"/>
      <c r="H48" s="682"/>
      <c r="I48" s="682"/>
      <c r="J48" s="682"/>
      <c r="K48" s="683"/>
      <c r="L48" s="686">
        <f>(SUM(L10:M47)*0.0625)</f>
        <v>181.94374999999999</v>
      </c>
      <c r="M48" s="686"/>
      <c r="N48" s="178"/>
      <c r="O48" s="71"/>
    </row>
    <row r="49" spans="1:15" x14ac:dyDescent="0.3">
      <c r="A49" s="71"/>
      <c r="B49" s="166"/>
      <c r="C49" s="183"/>
      <c r="D49" s="681" t="s">
        <v>1</v>
      </c>
      <c r="E49" s="682"/>
      <c r="F49" s="682"/>
      <c r="G49" s="682"/>
      <c r="H49" s="682"/>
      <c r="I49" s="682"/>
      <c r="J49" s="682"/>
      <c r="K49" s="683"/>
      <c r="L49" s="684">
        <f>SUM(L10:M48)</f>
        <v>3093.0437499999998</v>
      </c>
      <c r="M49" s="684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61">
    <mergeCell ref="D3:M3"/>
    <mergeCell ref="D4:M4"/>
    <mergeCell ref="E5:G5"/>
    <mergeCell ref="I5:J5"/>
    <mergeCell ref="E6:G6"/>
    <mergeCell ref="I6:J6"/>
    <mergeCell ref="L15:M15"/>
    <mergeCell ref="E7:G7"/>
    <mergeCell ref="C8:M8"/>
    <mergeCell ref="D9:J9"/>
    <mergeCell ref="L9:M9"/>
    <mergeCell ref="D10:J10"/>
    <mergeCell ref="L10:M10"/>
    <mergeCell ref="D11:J11"/>
    <mergeCell ref="L11:M11"/>
    <mergeCell ref="L12:M12"/>
    <mergeCell ref="L13:M13"/>
    <mergeCell ref="L14:M14"/>
    <mergeCell ref="L16:M16"/>
    <mergeCell ref="L17:M17"/>
    <mergeCell ref="L18:M18"/>
    <mergeCell ref="L19:M19"/>
    <mergeCell ref="D20:J20"/>
    <mergeCell ref="L20:M20"/>
    <mergeCell ref="D21:J21"/>
    <mergeCell ref="L21:M21"/>
    <mergeCell ref="D22:J22"/>
    <mergeCell ref="L22:M22"/>
    <mergeCell ref="D23:J23"/>
    <mergeCell ref="L23:M23"/>
    <mergeCell ref="L34:M34"/>
    <mergeCell ref="D24:J24"/>
    <mergeCell ref="L24:M24"/>
    <mergeCell ref="L25:M25"/>
    <mergeCell ref="L26:M26"/>
    <mergeCell ref="L28:M28"/>
    <mergeCell ref="L29:M29"/>
    <mergeCell ref="L30:M30"/>
    <mergeCell ref="L31:M31"/>
    <mergeCell ref="L32:M32"/>
    <mergeCell ref="D33:J33"/>
    <mergeCell ref="L33:M33"/>
    <mergeCell ref="L27:M27"/>
    <mergeCell ref="L45:M45"/>
    <mergeCell ref="L35:M35"/>
    <mergeCell ref="D36:J36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46:M46"/>
    <mergeCell ref="L47:M47"/>
    <mergeCell ref="D48:K48"/>
    <mergeCell ref="L48:M48"/>
    <mergeCell ref="D49:K49"/>
    <mergeCell ref="L49:M49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33ACB5-B2A0-4ABC-B1B2-157C53082194}">
  <sheetPr codeName="Sheet13">
    <tabColor rgb="FFFFFF00"/>
    <pageSetUpPr fitToPage="1"/>
  </sheetPr>
  <dimension ref="A1:O69"/>
  <sheetViews>
    <sheetView showGridLines="0" showZeros="0" view="pageBreakPreview" topLeftCell="A10" zoomScaleNormal="100" zoomScaleSheetLayoutView="100" workbookViewId="0">
      <selection activeCell="C19" sqref="C19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959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959</v>
      </c>
      <c r="E11" s="679"/>
      <c r="F11" s="679"/>
      <c r="G11" s="679"/>
      <c r="H11" s="679"/>
      <c r="I11" s="679"/>
      <c r="J11" s="680"/>
      <c r="K11" s="152"/>
      <c r="L11" s="668">
        <f t="shared" ref="L11" si="0">K11*C11</f>
        <v>0</v>
      </c>
      <c r="M11" s="669"/>
      <c r="N11" s="178"/>
      <c r="O11" s="71"/>
    </row>
    <row r="12" spans="1:15" x14ac:dyDescent="0.3">
      <c r="A12" s="71"/>
      <c r="B12" s="166"/>
      <c r="C12" s="360">
        <f>'Deck TakeOff'!H55+Formulas!T111+Formulas!U111</f>
        <v>0</v>
      </c>
      <c r="D12" s="217" t="s">
        <v>755</v>
      </c>
      <c r="E12" s="218"/>
      <c r="F12" s="218"/>
      <c r="G12" s="218"/>
      <c r="H12" s="218"/>
      <c r="I12" s="218"/>
      <c r="J12" s="324"/>
      <c r="K12" s="152">
        <f>'Material Price'!J261</f>
        <v>66</v>
      </c>
      <c r="L12" s="668">
        <f>K12*C12</f>
        <v>0</v>
      </c>
      <c r="M12" s="669"/>
      <c r="N12" s="178"/>
      <c r="O12" s="71"/>
    </row>
    <row r="13" spans="1:15" x14ac:dyDescent="0.3">
      <c r="A13" s="71"/>
      <c r="B13" s="166"/>
      <c r="C13" s="360">
        <f>'Deck TakeOff'!H54</f>
        <v>0</v>
      </c>
      <c r="D13" s="217" t="s">
        <v>756</v>
      </c>
      <c r="E13" s="218"/>
      <c r="F13" s="218"/>
      <c r="G13" s="218"/>
      <c r="H13" s="218"/>
      <c r="I13" s="218"/>
      <c r="J13" s="324"/>
      <c r="K13" s="152">
        <f>'Material Price'!J262</f>
        <v>55</v>
      </c>
      <c r="L13" s="668">
        <f t="shared" ref="L13:L37" si="1">K13*C13</f>
        <v>0</v>
      </c>
      <c r="M13" s="669"/>
      <c r="N13" s="178"/>
      <c r="O13" s="71"/>
    </row>
    <row r="14" spans="1:15" x14ac:dyDescent="0.3">
      <c r="A14" s="71"/>
      <c r="B14" s="166"/>
      <c r="C14" s="360">
        <f>C12+C13</f>
        <v>0</v>
      </c>
      <c r="D14" s="217" t="s">
        <v>757</v>
      </c>
      <c r="E14" s="218"/>
      <c r="F14" s="218"/>
      <c r="G14" s="218"/>
      <c r="H14" s="218"/>
      <c r="I14" s="218"/>
      <c r="J14" s="324"/>
      <c r="K14" s="152">
        <f>'Material Price'!J263</f>
        <v>31.25</v>
      </c>
      <c r="L14" s="668">
        <f t="shared" si="1"/>
        <v>0</v>
      </c>
      <c r="M14" s="669"/>
      <c r="N14" s="178"/>
      <c r="O14" s="71"/>
    </row>
    <row r="15" spans="1:15" x14ac:dyDescent="0.3">
      <c r="A15" s="71"/>
      <c r="B15" s="166"/>
      <c r="C15" s="360">
        <f>C14</f>
        <v>0</v>
      </c>
      <c r="D15" s="217" t="s">
        <v>758</v>
      </c>
      <c r="E15" s="218"/>
      <c r="F15" s="218"/>
      <c r="G15" s="218"/>
      <c r="H15" s="218"/>
      <c r="I15" s="218"/>
      <c r="J15" s="324"/>
      <c r="K15" s="152">
        <f>'Material Price'!J264</f>
        <v>19.3</v>
      </c>
      <c r="L15" s="668">
        <f t="shared" si="1"/>
        <v>0</v>
      </c>
      <c r="M15" s="669"/>
      <c r="N15" s="178"/>
      <c r="O15" s="71"/>
    </row>
    <row r="16" spans="1:15" x14ac:dyDescent="0.3">
      <c r="A16" s="71"/>
      <c r="B16" s="166"/>
      <c r="C16" s="394">
        <f>Formulas!Q114+Formulas!Q118+Formulas!Q122</f>
        <v>0</v>
      </c>
      <c r="D16" s="217" t="s">
        <v>759</v>
      </c>
      <c r="E16" s="218"/>
      <c r="F16" s="218"/>
      <c r="G16" s="218"/>
      <c r="H16" s="218"/>
      <c r="I16" s="218"/>
      <c r="J16" s="324"/>
      <c r="K16" s="356">
        <f>'Material Price'!J265</f>
        <v>123</v>
      </c>
      <c r="L16" s="668">
        <f t="shared" si="1"/>
        <v>0</v>
      </c>
      <c r="M16" s="669"/>
      <c r="N16" s="178"/>
      <c r="O16" s="71"/>
    </row>
    <row r="17" spans="1:15" x14ac:dyDescent="0.3">
      <c r="A17" s="71"/>
      <c r="B17" s="166"/>
      <c r="C17" s="394">
        <f>C16</f>
        <v>0</v>
      </c>
      <c r="D17" s="217" t="s">
        <v>760</v>
      </c>
      <c r="E17" s="218"/>
      <c r="F17" s="218"/>
      <c r="G17" s="218"/>
      <c r="H17" s="218"/>
      <c r="I17" s="218"/>
      <c r="J17" s="324"/>
      <c r="K17" s="152">
        <f>'Material Price'!J266</f>
        <v>55.12</v>
      </c>
      <c r="L17" s="668">
        <f t="shared" si="1"/>
        <v>0</v>
      </c>
      <c r="M17" s="669"/>
      <c r="N17" s="178"/>
      <c r="O17" s="71"/>
    </row>
    <row r="18" spans="1:15" x14ac:dyDescent="0.3">
      <c r="A18" s="71"/>
      <c r="B18" s="166"/>
      <c r="C18" s="394">
        <f>Formulas!Q113+Formulas!Q117+Formulas!Q121</f>
        <v>0</v>
      </c>
      <c r="D18" s="217" t="s">
        <v>761</v>
      </c>
      <c r="E18" s="218"/>
      <c r="F18" s="218"/>
      <c r="G18" s="218"/>
      <c r="H18" s="218"/>
      <c r="I18" s="218"/>
      <c r="J18" s="324"/>
      <c r="K18" s="356">
        <f>'Material Price'!J267</f>
        <v>94.33</v>
      </c>
      <c r="L18" s="668">
        <f t="shared" si="1"/>
        <v>0</v>
      </c>
      <c r="M18" s="669"/>
      <c r="N18" s="178"/>
      <c r="O18" s="71"/>
    </row>
    <row r="19" spans="1:15" x14ac:dyDescent="0.3">
      <c r="A19" s="71"/>
      <c r="B19" s="166"/>
      <c r="C19" s="394">
        <f>C18</f>
        <v>0</v>
      </c>
      <c r="D19" s="217" t="s">
        <v>762</v>
      </c>
      <c r="E19" s="218"/>
      <c r="F19" s="218"/>
      <c r="G19" s="218"/>
      <c r="H19" s="218"/>
      <c r="I19" s="218"/>
      <c r="J19" s="324"/>
      <c r="K19" s="152">
        <f>'Material Price'!J268</f>
        <v>41.38</v>
      </c>
      <c r="L19" s="668">
        <f t="shared" si="1"/>
        <v>0</v>
      </c>
      <c r="M19" s="669"/>
      <c r="N19" s="178"/>
      <c r="O19" s="71"/>
    </row>
    <row r="20" spans="1:15" x14ac:dyDescent="0.3">
      <c r="A20" s="71"/>
      <c r="B20" s="166"/>
      <c r="C20" s="394">
        <f>'Deck TakeOff'!E64</f>
        <v>10</v>
      </c>
      <c r="D20" s="566" t="s">
        <v>608</v>
      </c>
      <c r="E20" s="567"/>
      <c r="F20" s="567"/>
      <c r="G20" s="567"/>
      <c r="H20" s="567"/>
      <c r="I20" s="567"/>
      <c r="J20" s="568"/>
      <c r="K20" s="152">
        <f>'Material Price'!J269</f>
        <v>29</v>
      </c>
      <c r="L20" s="668">
        <f t="shared" si="1"/>
        <v>290</v>
      </c>
      <c r="M20" s="669"/>
      <c r="N20" s="178"/>
      <c r="O20" s="71"/>
    </row>
    <row r="21" spans="1:15" x14ac:dyDescent="0.3">
      <c r="A21" s="71"/>
      <c r="B21" s="166"/>
      <c r="C21" s="394">
        <f>Formulas!J91</f>
        <v>0</v>
      </c>
      <c r="D21" s="585" t="s">
        <v>878</v>
      </c>
      <c r="E21" s="577"/>
      <c r="F21" s="577"/>
      <c r="G21" s="577"/>
      <c r="H21" s="577"/>
      <c r="I21" s="577"/>
      <c r="J21" s="578"/>
      <c r="K21" s="356">
        <f>'Material Price'!J272</f>
        <v>144</v>
      </c>
      <c r="L21" s="668">
        <f t="shared" si="1"/>
        <v>0</v>
      </c>
      <c r="M21" s="669"/>
      <c r="N21" s="178"/>
      <c r="O21" s="71"/>
    </row>
    <row r="22" spans="1:15" x14ac:dyDescent="0.3">
      <c r="A22" s="71"/>
      <c r="B22" s="166"/>
      <c r="C22" s="360">
        <f>Formulas!J98</f>
        <v>0</v>
      </c>
      <c r="D22" s="585" t="s">
        <v>879</v>
      </c>
      <c r="E22" s="577"/>
      <c r="F22" s="577"/>
      <c r="G22" s="577"/>
      <c r="H22" s="577"/>
      <c r="I22" s="577"/>
      <c r="J22" s="578"/>
      <c r="K22" s="356">
        <f>'Material Price'!J276</f>
        <v>152</v>
      </c>
      <c r="L22" s="668">
        <f t="shared" si="1"/>
        <v>0</v>
      </c>
      <c r="M22" s="669"/>
      <c r="N22" s="178"/>
      <c r="O22" s="71"/>
    </row>
    <row r="23" spans="1:15" x14ac:dyDescent="0.3">
      <c r="A23" s="71"/>
      <c r="B23" s="166"/>
      <c r="C23" s="360"/>
      <c r="D23" s="585" t="s">
        <v>880</v>
      </c>
      <c r="E23" s="577"/>
      <c r="F23" s="577"/>
      <c r="G23" s="577"/>
      <c r="H23" s="577"/>
      <c r="I23" s="577"/>
      <c r="J23" s="578"/>
      <c r="K23" s="356">
        <f>'Material Price'!J270</f>
        <v>116</v>
      </c>
      <c r="L23" s="668">
        <f t="shared" si="1"/>
        <v>0</v>
      </c>
      <c r="M23" s="669"/>
      <c r="N23" s="178"/>
      <c r="O23" s="71"/>
    </row>
    <row r="24" spans="1:15" x14ac:dyDescent="0.3">
      <c r="A24" s="71"/>
      <c r="B24" s="166"/>
      <c r="C24" s="360"/>
      <c r="D24" s="585" t="s">
        <v>881</v>
      </c>
      <c r="E24" s="577"/>
      <c r="F24" s="577"/>
      <c r="G24" s="577"/>
      <c r="H24" s="577"/>
      <c r="I24" s="577"/>
      <c r="J24" s="578"/>
      <c r="K24" s="356">
        <f>'Material Price'!J274</f>
        <v>124</v>
      </c>
      <c r="L24" s="668">
        <f t="shared" si="1"/>
        <v>0</v>
      </c>
      <c r="M24" s="669"/>
      <c r="N24" s="178"/>
      <c r="O24" s="71"/>
    </row>
    <row r="25" spans="1:15" x14ac:dyDescent="0.3">
      <c r="A25" s="71"/>
      <c r="B25" s="166"/>
      <c r="C25" s="360">
        <f>Formulas!Q112+Formulas!Q116+Formulas!Q120</f>
        <v>0</v>
      </c>
      <c r="D25" s="847" t="s">
        <v>771</v>
      </c>
      <c r="E25" s="848"/>
      <c r="F25" s="848"/>
      <c r="G25" s="848"/>
      <c r="H25" s="848"/>
      <c r="I25" s="848"/>
      <c r="J25" s="849"/>
      <c r="K25" s="356">
        <f>'Material Price'!J283</f>
        <v>178</v>
      </c>
      <c r="L25" s="668">
        <f t="shared" si="1"/>
        <v>0</v>
      </c>
      <c r="M25" s="669"/>
      <c r="N25" s="178"/>
      <c r="O25" s="71"/>
    </row>
    <row r="26" spans="1:15" x14ac:dyDescent="0.3">
      <c r="A26" s="71"/>
      <c r="B26" s="166"/>
      <c r="C26" s="360">
        <f>Formulas!Q111+Formulas!Q115+Formulas!Q119</f>
        <v>10</v>
      </c>
      <c r="D26" s="847" t="s">
        <v>772</v>
      </c>
      <c r="E26" s="848"/>
      <c r="F26" s="848"/>
      <c r="G26" s="848"/>
      <c r="H26" s="848"/>
      <c r="I26" s="848"/>
      <c r="J26" s="849"/>
      <c r="K26" s="356">
        <f>'Material Price'!J284</f>
        <v>129</v>
      </c>
      <c r="L26" s="668">
        <f t="shared" si="1"/>
        <v>1290</v>
      </c>
      <c r="M26" s="669"/>
      <c r="N26" s="178"/>
      <c r="O26" s="71"/>
    </row>
    <row r="27" spans="1:15" x14ac:dyDescent="0.3">
      <c r="A27" s="71"/>
      <c r="B27" s="166"/>
      <c r="C27" s="360">
        <f>'Deck TakeOff'!H51</f>
        <v>0</v>
      </c>
      <c r="D27" s="217" t="s">
        <v>896</v>
      </c>
      <c r="E27" s="345"/>
      <c r="F27" s="345"/>
      <c r="G27" s="345"/>
      <c r="H27" s="345"/>
      <c r="I27" s="345"/>
      <c r="J27" s="346"/>
      <c r="K27" s="152">
        <f>'Material Price'!J295</f>
        <v>65</v>
      </c>
      <c r="L27" s="668">
        <f t="shared" si="1"/>
        <v>0</v>
      </c>
      <c r="M27" s="669"/>
      <c r="N27" s="178"/>
      <c r="O27" s="71"/>
    </row>
    <row r="28" spans="1:15" x14ac:dyDescent="0.3">
      <c r="A28" s="71"/>
      <c r="B28" s="166"/>
      <c r="C28" s="360">
        <f>'Deck TakeOff'!H52</f>
        <v>0</v>
      </c>
      <c r="D28" s="217" t="s">
        <v>897</v>
      </c>
      <c r="E28" s="345"/>
      <c r="F28" s="345"/>
      <c r="G28" s="345"/>
      <c r="H28" s="345"/>
      <c r="I28" s="345"/>
      <c r="J28" s="346"/>
      <c r="K28" s="152">
        <f>'Material Price'!J296</f>
        <v>70</v>
      </c>
      <c r="L28" s="668">
        <f t="shared" si="1"/>
        <v>0</v>
      </c>
      <c r="M28" s="669"/>
      <c r="N28" s="178"/>
      <c r="O28" s="71"/>
    </row>
    <row r="29" spans="1:15" x14ac:dyDescent="0.3">
      <c r="A29" s="71"/>
      <c r="B29" s="166"/>
      <c r="C29" s="360">
        <f>Formulas!H131</f>
        <v>0</v>
      </c>
      <c r="D29" s="217" t="s">
        <v>1205</v>
      </c>
      <c r="E29" s="218"/>
      <c r="F29" s="218"/>
      <c r="G29" s="218"/>
      <c r="H29" s="218"/>
      <c r="I29" s="218"/>
      <c r="J29" s="324"/>
      <c r="K29" s="356">
        <f>'Material Price'!J342</f>
        <v>225</v>
      </c>
      <c r="L29" s="668">
        <f t="shared" ref="L29:L30" si="2">K29*C29</f>
        <v>0</v>
      </c>
      <c r="M29" s="669"/>
      <c r="N29" s="178"/>
      <c r="O29" s="71"/>
    </row>
    <row r="30" spans="1:15" x14ac:dyDescent="0.3">
      <c r="A30" s="71"/>
      <c r="B30" s="166"/>
      <c r="C30" s="360">
        <f>Formulas!H132</f>
        <v>0</v>
      </c>
      <c r="D30" s="217" t="s">
        <v>1206</v>
      </c>
      <c r="E30" s="218"/>
      <c r="F30" s="218"/>
      <c r="G30" s="218"/>
      <c r="H30" s="218"/>
      <c r="I30" s="218"/>
      <c r="J30" s="324"/>
      <c r="K30" s="356">
        <f>'Material Price'!J343</f>
        <v>225</v>
      </c>
      <c r="L30" s="668">
        <f t="shared" si="2"/>
        <v>0</v>
      </c>
      <c r="M30" s="669"/>
      <c r="N30" s="178"/>
      <c r="O30" s="71"/>
    </row>
    <row r="31" spans="1:15" x14ac:dyDescent="0.3">
      <c r="A31" s="71"/>
      <c r="B31" s="166"/>
      <c r="C31" s="360"/>
      <c r="D31" s="569" t="s">
        <v>612</v>
      </c>
      <c r="E31" s="570"/>
      <c r="F31" s="570"/>
      <c r="G31" s="570"/>
      <c r="H31" s="570"/>
      <c r="I31" s="570"/>
      <c r="J31" s="571"/>
      <c r="K31" s="152"/>
      <c r="L31" s="668">
        <f t="shared" si="1"/>
        <v>0</v>
      </c>
      <c r="M31" s="669"/>
      <c r="N31" s="178"/>
      <c r="O31" s="71"/>
    </row>
    <row r="32" spans="1:15" x14ac:dyDescent="0.3">
      <c r="A32" s="71"/>
      <c r="B32" s="166"/>
      <c r="C32" s="360"/>
      <c r="D32" s="569" t="s">
        <v>618</v>
      </c>
      <c r="E32" s="570"/>
      <c r="F32" s="570"/>
      <c r="G32" s="570"/>
      <c r="H32" s="570"/>
      <c r="I32" s="570"/>
      <c r="J32" s="571"/>
      <c r="K32" s="152"/>
      <c r="L32" s="668">
        <f t="shared" si="1"/>
        <v>0</v>
      </c>
      <c r="M32" s="669"/>
      <c r="N32" s="178"/>
      <c r="O32" s="71"/>
    </row>
    <row r="33" spans="1:15" x14ac:dyDescent="0.3">
      <c r="A33" s="71"/>
      <c r="B33" s="166"/>
      <c r="C33" s="360"/>
      <c r="D33" s="678" t="s">
        <v>763</v>
      </c>
      <c r="E33" s="679"/>
      <c r="F33" s="679"/>
      <c r="G33" s="679"/>
      <c r="H33" s="679"/>
      <c r="I33" s="679"/>
      <c r="J33" s="680"/>
      <c r="K33" s="152"/>
      <c r="L33" s="668">
        <f t="shared" si="1"/>
        <v>0</v>
      </c>
      <c r="M33" s="669"/>
      <c r="N33" s="178"/>
      <c r="O33" s="71"/>
    </row>
    <row r="34" spans="1:15" x14ac:dyDescent="0.3">
      <c r="A34" s="71"/>
      <c r="B34" s="166"/>
      <c r="C34" s="360">
        <f>'Deck TakeOff'!E58</f>
        <v>0</v>
      </c>
      <c r="D34" s="217" t="s">
        <v>764</v>
      </c>
      <c r="E34" s="345"/>
      <c r="F34" s="345"/>
      <c r="G34" s="345"/>
      <c r="H34" s="345"/>
      <c r="I34" s="345"/>
      <c r="J34" s="346"/>
      <c r="K34" s="356">
        <f>'Material Price'!J227</f>
        <v>380</v>
      </c>
      <c r="L34" s="668">
        <f t="shared" si="1"/>
        <v>0</v>
      </c>
      <c r="M34" s="669"/>
      <c r="N34" s="178"/>
      <c r="O34" s="71"/>
    </row>
    <row r="35" spans="1:15" x14ac:dyDescent="0.3">
      <c r="A35" s="71"/>
      <c r="B35" s="166"/>
      <c r="C35" s="360">
        <f>'Deck TakeOff'!E59</f>
        <v>0</v>
      </c>
      <c r="D35" s="217" t="s">
        <v>765</v>
      </c>
      <c r="E35" s="345"/>
      <c r="F35" s="345"/>
      <c r="G35" s="345"/>
      <c r="H35" s="345"/>
      <c r="I35" s="345"/>
      <c r="J35" s="346"/>
      <c r="K35" s="356">
        <f>'Material Price'!J228</f>
        <v>420</v>
      </c>
      <c r="L35" s="668">
        <f t="shared" si="1"/>
        <v>0</v>
      </c>
      <c r="M35" s="669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152"/>
      <c r="L36" s="668">
        <f t="shared" si="1"/>
        <v>0</v>
      </c>
      <c r="M36" s="669"/>
      <c r="N36" s="178"/>
      <c r="O36" s="71"/>
    </row>
    <row r="37" spans="1:15" x14ac:dyDescent="0.3">
      <c r="A37" s="71"/>
      <c r="B37" s="166"/>
      <c r="C37" s="360"/>
      <c r="D37" s="678" t="s">
        <v>601</v>
      </c>
      <c r="E37" s="679"/>
      <c r="F37" s="679"/>
      <c r="G37" s="679"/>
      <c r="H37" s="679"/>
      <c r="I37" s="679"/>
      <c r="J37" s="680"/>
      <c r="K37" s="152"/>
      <c r="L37" s="668">
        <f t="shared" si="1"/>
        <v>0</v>
      </c>
      <c r="M37" s="669"/>
      <c r="N37" s="178"/>
      <c r="O37" s="71"/>
    </row>
    <row r="38" spans="1:15" x14ac:dyDescent="0.3">
      <c r="A38" s="71"/>
      <c r="B38" s="166"/>
      <c r="C38" s="360">
        <f>(Formulas!D107+Formulas!D108)/1.1</f>
        <v>0</v>
      </c>
      <c r="D38" s="217" t="s">
        <v>741</v>
      </c>
      <c r="E38" s="345"/>
      <c r="F38" s="345"/>
      <c r="G38" s="345"/>
      <c r="H38" s="345"/>
      <c r="I38" s="345"/>
      <c r="J38" s="346"/>
      <c r="K38" s="152">
        <f>'Material Price'!J232</f>
        <v>10</v>
      </c>
      <c r="L38" s="668">
        <f>K38*C38</f>
        <v>0</v>
      </c>
      <c r="M38" s="669"/>
      <c r="N38" s="178"/>
      <c r="O38" s="71"/>
    </row>
    <row r="39" spans="1:15" x14ac:dyDescent="0.3">
      <c r="A39" s="71"/>
      <c r="B39" s="166"/>
      <c r="C39" s="360"/>
      <c r="D39" s="217" t="s">
        <v>580</v>
      </c>
      <c r="E39" s="345"/>
      <c r="F39" s="345"/>
      <c r="G39" s="345"/>
      <c r="H39" s="345"/>
      <c r="I39" s="345"/>
      <c r="J39" s="346"/>
      <c r="K39" s="152">
        <f>'Material Price'!J233</f>
        <v>75</v>
      </c>
      <c r="L39" s="668">
        <f t="shared" ref="L39:L48" si="3">K39*C39</f>
        <v>0</v>
      </c>
      <c r="M39" s="669"/>
      <c r="N39" s="178"/>
      <c r="O39" s="71"/>
    </row>
    <row r="40" spans="1:15" x14ac:dyDescent="0.3">
      <c r="A40" s="71"/>
      <c r="B40" s="166"/>
      <c r="C40" s="360"/>
      <c r="D40" s="217" t="s">
        <v>581</v>
      </c>
      <c r="E40" s="345"/>
      <c r="F40" s="345"/>
      <c r="G40" s="345"/>
      <c r="H40" s="345"/>
      <c r="I40" s="345"/>
      <c r="J40" s="346"/>
      <c r="K40" s="152">
        <f>'Material Price'!J234</f>
        <v>65</v>
      </c>
      <c r="L40" s="668">
        <f t="shared" si="3"/>
        <v>0</v>
      </c>
      <c r="M40" s="669"/>
      <c r="N40" s="178"/>
      <c r="O40" s="71"/>
    </row>
    <row r="41" spans="1:15" x14ac:dyDescent="0.3">
      <c r="A41" s="71"/>
      <c r="B41" s="166"/>
      <c r="C41" s="360"/>
      <c r="D41" s="217" t="s">
        <v>582</v>
      </c>
      <c r="E41" s="345"/>
      <c r="F41" s="345"/>
      <c r="G41" s="345"/>
      <c r="H41" s="345"/>
      <c r="I41" s="345"/>
      <c r="J41" s="346"/>
      <c r="K41" s="152">
        <f>'Material Price'!J235</f>
        <v>50</v>
      </c>
      <c r="L41" s="668">
        <f t="shared" si="3"/>
        <v>0</v>
      </c>
      <c r="M41" s="669"/>
      <c r="N41" s="178"/>
      <c r="O41" s="71"/>
    </row>
    <row r="42" spans="1:15" x14ac:dyDescent="0.3">
      <c r="A42" s="71"/>
      <c r="B42" s="166"/>
      <c r="C42" s="360"/>
      <c r="D42" s="347" t="s">
        <v>600</v>
      </c>
      <c r="E42" s="345"/>
      <c r="F42" s="345"/>
      <c r="G42" s="345"/>
      <c r="H42" s="345"/>
      <c r="I42" s="345"/>
      <c r="J42" s="346"/>
      <c r="K42" s="152">
        <f>'Material Price'!J236</f>
        <v>13</v>
      </c>
      <c r="L42" s="668">
        <f t="shared" si="3"/>
        <v>0</v>
      </c>
      <c r="M42" s="669"/>
      <c r="N42" s="178"/>
      <c r="O42" s="71"/>
    </row>
    <row r="43" spans="1:15" x14ac:dyDescent="0.3">
      <c r="A43" s="71"/>
      <c r="B43" s="166"/>
      <c r="C43" s="360"/>
      <c r="D43" s="347" t="s">
        <v>583</v>
      </c>
      <c r="E43" s="345"/>
      <c r="F43" s="345"/>
      <c r="G43" s="345"/>
      <c r="H43" s="345"/>
      <c r="I43" s="345"/>
      <c r="J43" s="346"/>
      <c r="K43" s="152">
        <f>'Material Price'!J237</f>
        <v>25</v>
      </c>
      <c r="L43" s="668">
        <f t="shared" si="3"/>
        <v>0</v>
      </c>
      <c r="M43" s="669"/>
      <c r="N43" s="178"/>
      <c r="O43" s="71"/>
    </row>
    <row r="44" spans="1:15" x14ac:dyDescent="0.3">
      <c r="A44" s="71"/>
      <c r="B44" s="166"/>
      <c r="C44" s="360"/>
      <c r="D44" s="347" t="s">
        <v>584</v>
      </c>
      <c r="E44" s="345"/>
      <c r="F44" s="345"/>
      <c r="G44" s="345"/>
      <c r="H44" s="345"/>
      <c r="I44" s="345"/>
      <c r="J44" s="346"/>
      <c r="K44" s="152">
        <f>'Material Price'!J238</f>
        <v>18</v>
      </c>
      <c r="L44" s="668">
        <f t="shared" si="3"/>
        <v>0</v>
      </c>
      <c r="M44" s="669"/>
      <c r="N44" s="178"/>
      <c r="O44" s="71"/>
    </row>
    <row r="45" spans="1:15" x14ac:dyDescent="0.3">
      <c r="A45" s="71"/>
      <c r="B45" s="166"/>
      <c r="C45" s="360"/>
      <c r="D45" s="347" t="s">
        <v>585</v>
      </c>
      <c r="E45" s="345"/>
      <c r="F45" s="345"/>
      <c r="G45" s="345"/>
      <c r="H45" s="345"/>
      <c r="I45" s="345"/>
      <c r="J45" s="346"/>
      <c r="K45" s="152">
        <f>'Material Price'!J239</f>
        <v>2</v>
      </c>
      <c r="L45" s="668">
        <f t="shared" si="3"/>
        <v>0</v>
      </c>
      <c r="M45" s="669"/>
      <c r="N45" s="178"/>
      <c r="O45" s="71"/>
    </row>
    <row r="46" spans="1:15" x14ac:dyDescent="0.3">
      <c r="A46" s="71"/>
      <c r="B46" s="166"/>
      <c r="C46" s="360"/>
      <c r="D46" s="347" t="s">
        <v>586</v>
      </c>
      <c r="E46" s="345"/>
      <c r="F46" s="345"/>
      <c r="G46" s="345"/>
      <c r="H46" s="345"/>
      <c r="I46" s="345"/>
      <c r="J46" s="346"/>
      <c r="K46" s="152">
        <f>'Material Price'!J240</f>
        <v>5</v>
      </c>
      <c r="L46" s="668">
        <f t="shared" si="3"/>
        <v>0</v>
      </c>
      <c r="M46" s="669"/>
      <c r="N46" s="178"/>
      <c r="O46" s="71"/>
    </row>
    <row r="47" spans="1:15" x14ac:dyDescent="0.3">
      <c r="A47" s="71"/>
      <c r="B47" s="166"/>
      <c r="C47" s="360"/>
      <c r="D47" s="347" t="s">
        <v>740</v>
      </c>
      <c r="E47" s="345"/>
      <c r="F47" s="345"/>
      <c r="G47" s="345"/>
      <c r="H47" s="345"/>
      <c r="I47" s="345"/>
      <c r="J47" s="346"/>
      <c r="K47" s="152">
        <f>'Material Price'!J241</f>
        <v>5</v>
      </c>
      <c r="L47" s="668">
        <f t="shared" si="3"/>
        <v>0</v>
      </c>
      <c r="M47" s="669"/>
      <c r="N47" s="178"/>
      <c r="O47" s="71"/>
    </row>
    <row r="48" spans="1:15" x14ac:dyDescent="0.3">
      <c r="A48" s="71"/>
      <c r="B48" s="166"/>
      <c r="C48" s="360"/>
      <c r="D48" s="347"/>
      <c r="E48" s="345"/>
      <c r="F48" s="345"/>
      <c r="G48" s="345"/>
      <c r="H48" s="345"/>
      <c r="I48" s="345"/>
      <c r="J48" s="346"/>
      <c r="K48" s="152"/>
      <c r="L48" s="668">
        <f t="shared" si="3"/>
        <v>0</v>
      </c>
      <c r="M48" s="669"/>
      <c r="N48" s="178"/>
      <c r="O48" s="71"/>
    </row>
    <row r="49" spans="1:15" x14ac:dyDescent="0.3">
      <c r="A49" s="71"/>
      <c r="B49" s="166"/>
      <c r="C49" s="360"/>
      <c r="D49" s="347"/>
      <c r="E49" s="345"/>
      <c r="F49" s="345"/>
      <c r="G49" s="345"/>
      <c r="H49" s="345"/>
      <c r="I49" s="345"/>
      <c r="J49" s="346"/>
      <c r="K49" s="152"/>
      <c r="L49" s="668">
        <f>K49*C49</f>
        <v>0</v>
      </c>
      <c r="M49" s="669"/>
      <c r="N49" s="178"/>
      <c r="O49" s="71"/>
    </row>
    <row r="50" spans="1:15" x14ac:dyDescent="0.3">
      <c r="A50" s="71"/>
      <c r="B50" s="166"/>
      <c r="C50" s="183"/>
      <c r="D50" s="681" t="s">
        <v>10</v>
      </c>
      <c r="E50" s="682"/>
      <c r="F50" s="682"/>
      <c r="G50" s="682"/>
      <c r="H50" s="682"/>
      <c r="I50" s="682"/>
      <c r="J50" s="682"/>
      <c r="K50" s="683"/>
      <c r="L50" s="686">
        <f>(SUM(L10:M49)*0.0625)</f>
        <v>98.75</v>
      </c>
      <c r="M50" s="686"/>
      <c r="N50" s="178"/>
      <c r="O50" s="71"/>
    </row>
    <row r="51" spans="1:15" x14ac:dyDescent="0.3">
      <c r="A51" s="71"/>
      <c r="B51" s="166"/>
      <c r="C51" s="183"/>
      <c r="D51" s="681" t="s">
        <v>1</v>
      </c>
      <c r="E51" s="682"/>
      <c r="F51" s="682"/>
      <c r="G51" s="682"/>
      <c r="H51" s="682"/>
      <c r="I51" s="682"/>
      <c r="J51" s="682"/>
      <c r="K51" s="683"/>
      <c r="L51" s="684">
        <f>SUM(L10:M50)</f>
        <v>1678.75</v>
      </c>
      <c r="M51" s="684"/>
      <c r="N51" s="178"/>
      <c r="O51" s="71"/>
    </row>
    <row r="52" spans="1:15" ht="6" customHeight="1" x14ac:dyDescent="0.3">
      <c r="A52" s="71"/>
      <c r="B52" s="166"/>
      <c r="C52" s="184"/>
      <c r="D52" s="185"/>
      <c r="E52" s="185"/>
      <c r="F52" s="185"/>
      <c r="G52" s="185"/>
      <c r="H52" s="186"/>
      <c r="I52" s="186"/>
      <c r="J52" s="186"/>
      <c r="K52" s="185"/>
      <c r="L52" s="187"/>
      <c r="M52" s="187"/>
      <c r="N52" s="178"/>
      <c r="O52" s="71"/>
    </row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  <row r="68" ht="25" customHeight="1" x14ac:dyDescent="0.3"/>
    <row r="69" ht="25" customHeight="1" x14ac:dyDescent="0.3"/>
  </sheetData>
  <sheetProtection selectLockedCells="1" selectUnlockedCells="1"/>
  <mergeCells count="67">
    <mergeCell ref="D3:M3"/>
    <mergeCell ref="D4:M4"/>
    <mergeCell ref="E5:G5"/>
    <mergeCell ref="I5:J5"/>
    <mergeCell ref="E6:G6"/>
    <mergeCell ref="I6:J6"/>
    <mergeCell ref="L15:M15"/>
    <mergeCell ref="E7:G7"/>
    <mergeCell ref="C8:M8"/>
    <mergeCell ref="D9:J9"/>
    <mergeCell ref="L9:M9"/>
    <mergeCell ref="D10:J10"/>
    <mergeCell ref="L10:M10"/>
    <mergeCell ref="D11:J11"/>
    <mergeCell ref="L11:M11"/>
    <mergeCell ref="L12:M12"/>
    <mergeCell ref="L13:M13"/>
    <mergeCell ref="L14:M14"/>
    <mergeCell ref="L27:M27"/>
    <mergeCell ref="L16:M16"/>
    <mergeCell ref="L17:M17"/>
    <mergeCell ref="L18:M18"/>
    <mergeCell ref="L19:M19"/>
    <mergeCell ref="L20:M20"/>
    <mergeCell ref="L21:M21"/>
    <mergeCell ref="L22:M22"/>
    <mergeCell ref="L23:M23"/>
    <mergeCell ref="L24:M24"/>
    <mergeCell ref="L25:M25"/>
    <mergeCell ref="L26:M26"/>
    <mergeCell ref="L39:M39"/>
    <mergeCell ref="L28:M28"/>
    <mergeCell ref="L31:M31"/>
    <mergeCell ref="L32:M32"/>
    <mergeCell ref="D33:J33"/>
    <mergeCell ref="L33:M33"/>
    <mergeCell ref="L34:M34"/>
    <mergeCell ref="D31:J31"/>
    <mergeCell ref="D32:J32"/>
    <mergeCell ref="L35:M35"/>
    <mergeCell ref="L36:M36"/>
    <mergeCell ref="D37:J37"/>
    <mergeCell ref="L37:M37"/>
    <mergeCell ref="L38:M38"/>
    <mergeCell ref="L29:M29"/>
    <mergeCell ref="L30:M30"/>
    <mergeCell ref="L41:M41"/>
    <mergeCell ref="L42:M42"/>
    <mergeCell ref="L43:M43"/>
    <mergeCell ref="L44:M44"/>
    <mergeCell ref="L45:M45"/>
    <mergeCell ref="D51:K51"/>
    <mergeCell ref="L51:M51"/>
    <mergeCell ref="D20:J20"/>
    <mergeCell ref="D21:J21"/>
    <mergeCell ref="D23:J23"/>
    <mergeCell ref="D25:J25"/>
    <mergeCell ref="D22:J22"/>
    <mergeCell ref="D24:J24"/>
    <mergeCell ref="D26:J26"/>
    <mergeCell ref="L46:M46"/>
    <mergeCell ref="L47:M47"/>
    <mergeCell ref="L48:M48"/>
    <mergeCell ref="L49:M49"/>
    <mergeCell ref="D50:K50"/>
    <mergeCell ref="L50:M50"/>
    <mergeCell ref="L40:M40"/>
  </mergeCells>
  <printOptions horizontalCentered="1" verticalCentered="1"/>
  <pageMargins left="0" right="0" top="0" bottom="0" header="0" footer="0"/>
  <pageSetup scale="65" orientation="portrait" r:id="rId1"/>
  <headerFooter alignWithMargins="0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A953F-9A2F-4216-AE4D-C835EF5986F9}">
  <sheetPr codeName="Sheet14">
    <tabColor rgb="FFFFFF00"/>
    <pageSetUpPr fitToPage="1"/>
  </sheetPr>
  <dimension ref="A1:O69"/>
  <sheetViews>
    <sheetView showGridLines="0" showZeros="0" view="pageBreakPreview" zoomScaleNormal="100" zoomScaleSheetLayoutView="100" workbookViewId="0">
      <selection activeCell="L49" sqref="L49:M49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953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23"/>
      <c r="E3" s="623"/>
      <c r="F3" s="623"/>
      <c r="G3" s="623"/>
      <c r="H3" s="623"/>
      <c r="I3" s="623"/>
      <c r="J3" s="623"/>
      <c r="K3" s="623"/>
      <c r="L3" s="623"/>
      <c r="M3" s="623"/>
      <c r="N3" s="178"/>
      <c r="O3" s="71"/>
    </row>
    <row r="4" spans="1:15" ht="14.25" customHeight="1" thickTop="1" thickBot="1" x14ac:dyDescent="0.35">
      <c r="A4" s="71"/>
      <c r="B4" s="166"/>
      <c r="C4" s="71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62">
        <f>'Deck TakeOff'!E5:G5</f>
        <v>0</v>
      </c>
      <c r="F5" s="663"/>
      <c r="G5" s="664"/>
      <c r="H5" s="179"/>
      <c r="I5" s="665"/>
      <c r="J5" s="665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66">
        <f>'Deck TakeOff'!E6:G6</f>
        <v>0</v>
      </c>
      <c r="F6" s="666"/>
      <c r="G6" s="666"/>
      <c r="H6" s="60"/>
      <c r="I6" s="667"/>
      <c r="J6" s="667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6"/>
      <c r="E10" s="567"/>
      <c r="F10" s="567"/>
      <c r="G10" s="567"/>
      <c r="H10" s="567"/>
      <c r="I10" s="567"/>
      <c r="J10" s="575"/>
      <c r="K10" s="152"/>
      <c r="L10" s="668">
        <f>K10*C10</f>
        <v>0</v>
      </c>
      <c r="M10" s="669"/>
      <c r="N10" s="178"/>
      <c r="O10" s="71"/>
    </row>
    <row r="11" spans="1:15" x14ac:dyDescent="0.3">
      <c r="A11" s="71"/>
      <c r="B11" s="166"/>
      <c r="C11" s="360"/>
      <c r="D11" s="678" t="s">
        <v>953</v>
      </c>
      <c r="E11" s="679"/>
      <c r="F11" s="679"/>
      <c r="G11" s="679"/>
      <c r="H11" s="679"/>
      <c r="I11" s="679"/>
      <c r="J11" s="680"/>
      <c r="K11" s="152"/>
      <c r="L11" s="668">
        <f t="shared" ref="L11" si="0">K11*C11</f>
        <v>0</v>
      </c>
      <c r="M11" s="669"/>
      <c r="N11" s="178"/>
      <c r="O11" s="71"/>
    </row>
    <row r="12" spans="1:15" x14ac:dyDescent="0.3">
      <c r="A12" s="71"/>
      <c r="B12" s="166"/>
      <c r="C12" s="360">
        <f>'Deck TakeOff'!H55+Formulas!T111+Formulas!U111</f>
        <v>0</v>
      </c>
      <c r="D12" s="217" t="s">
        <v>755</v>
      </c>
      <c r="E12" s="218"/>
      <c r="F12" s="218"/>
      <c r="G12" s="218"/>
      <c r="H12" s="218"/>
      <c r="I12" s="218"/>
      <c r="J12" s="324"/>
      <c r="K12" s="152">
        <f>'Material Price'!J261</f>
        <v>66</v>
      </c>
      <c r="L12" s="668">
        <f>K12*C12</f>
        <v>0</v>
      </c>
      <c r="M12" s="669"/>
      <c r="N12" s="178"/>
      <c r="O12" s="71"/>
    </row>
    <row r="13" spans="1:15" x14ac:dyDescent="0.3">
      <c r="A13" s="71"/>
      <c r="B13" s="166"/>
      <c r="C13" s="360">
        <f>'Deck TakeOff'!H54</f>
        <v>0</v>
      </c>
      <c r="D13" s="217" t="s">
        <v>756</v>
      </c>
      <c r="E13" s="218"/>
      <c r="F13" s="218"/>
      <c r="G13" s="218"/>
      <c r="H13" s="218"/>
      <c r="I13" s="218"/>
      <c r="J13" s="324"/>
      <c r="K13" s="152">
        <f>'Material Price'!J262</f>
        <v>55</v>
      </c>
      <c r="L13" s="668">
        <f t="shared" ref="L13:L38" si="1">K13*C13</f>
        <v>0</v>
      </c>
      <c r="M13" s="669"/>
      <c r="N13" s="178"/>
      <c r="O13" s="71"/>
    </row>
    <row r="14" spans="1:15" x14ac:dyDescent="0.3">
      <c r="A14" s="71"/>
      <c r="B14" s="166"/>
      <c r="C14" s="360">
        <f>C12+C13</f>
        <v>0</v>
      </c>
      <c r="D14" s="217" t="s">
        <v>757</v>
      </c>
      <c r="E14" s="218"/>
      <c r="F14" s="218"/>
      <c r="G14" s="218"/>
      <c r="H14" s="218"/>
      <c r="I14" s="218"/>
      <c r="J14" s="324"/>
      <c r="K14" s="152">
        <f>'Material Price'!J263</f>
        <v>31.25</v>
      </c>
      <c r="L14" s="668">
        <f t="shared" si="1"/>
        <v>0</v>
      </c>
      <c r="M14" s="669"/>
      <c r="N14" s="178"/>
      <c r="O14" s="71"/>
    </row>
    <row r="15" spans="1:15" x14ac:dyDescent="0.3">
      <c r="A15" s="71"/>
      <c r="B15" s="166"/>
      <c r="C15" s="360">
        <f>C14</f>
        <v>0</v>
      </c>
      <c r="D15" s="217" t="s">
        <v>758</v>
      </c>
      <c r="E15" s="218"/>
      <c r="F15" s="218"/>
      <c r="G15" s="218"/>
      <c r="H15" s="218"/>
      <c r="I15" s="218"/>
      <c r="J15" s="324"/>
      <c r="K15" s="152">
        <f>'Material Price'!J264</f>
        <v>19.3</v>
      </c>
      <c r="L15" s="668">
        <f t="shared" si="1"/>
        <v>0</v>
      </c>
      <c r="M15" s="669"/>
      <c r="N15" s="178"/>
      <c r="O15" s="71"/>
    </row>
    <row r="16" spans="1:15" x14ac:dyDescent="0.3">
      <c r="A16" s="71"/>
      <c r="B16" s="166"/>
      <c r="C16" s="394">
        <f>Formulas!Q114+Formulas!Q118+Formulas!Q122+Formulas!Q112+Formulas!Q116+Formulas!Q120</f>
        <v>0</v>
      </c>
      <c r="D16" s="217" t="s">
        <v>1218</v>
      </c>
      <c r="E16" s="218"/>
      <c r="F16" s="218"/>
      <c r="G16" s="218"/>
      <c r="H16" s="218"/>
      <c r="I16" s="218"/>
      <c r="J16" s="324"/>
      <c r="K16" s="400">
        <f>'Material Price'!J265</f>
        <v>123</v>
      </c>
      <c r="L16" s="668">
        <f t="shared" si="1"/>
        <v>0</v>
      </c>
      <c r="M16" s="669"/>
      <c r="N16" s="178"/>
      <c r="O16" s="71"/>
    </row>
    <row r="17" spans="1:15" x14ac:dyDescent="0.3">
      <c r="A17" s="71"/>
      <c r="B17" s="166"/>
      <c r="C17" s="394">
        <f>C16</f>
        <v>0</v>
      </c>
      <c r="D17" s="217" t="s">
        <v>760</v>
      </c>
      <c r="E17" s="218"/>
      <c r="F17" s="218"/>
      <c r="G17" s="218"/>
      <c r="H17" s="218"/>
      <c r="I17" s="218"/>
      <c r="J17" s="324"/>
      <c r="K17" s="152">
        <f>'Material Price'!J266</f>
        <v>55.12</v>
      </c>
      <c r="L17" s="668">
        <f t="shared" si="1"/>
        <v>0</v>
      </c>
      <c r="M17" s="669"/>
      <c r="N17" s="178"/>
      <c r="O17" s="71"/>
    </row>
    <row r="18" spans="1:15" x14ac:dyDescent="0.3">
      <c r="A18" s="71"/>
      <c r="B18" s="166"/>
      <c r="C18" s="394">
        <f>Formulas!Q113+Formulas!Q117+Formulas!Q121+Formulas!Q111+Formulas!Q115+Formulas!Q119</f>
        <v>10</v>
      </c>
      <c r="D18" s="217" t="s">
        <v>1219</v>
      </c>
      <c r="E18" s="218"/>
      <c r="F18" s="218"/>
      <c r="G18" s="218"/>
      <c r="H18" s="218"/>
      <c r="I18" s="218"/>
      <c r="J18" s="324"/>
      <c r="K18" s="400">
        <f>'Material Price'!J267</f>
        <v>94.33</v>
      </c>
      <c r="L18" s="668">
        <f t="shared" si="1"/>
        <v>943.3</v>
      </c>
      <c r="M18" s="669"/>
      <c r="N18" s="178"/>
      <c r="O18" s="71"/>
    </row>
    <row r="19" spans="1:15" x14ac:dyDescent="0.3">
      <c r="A19" s="71"/>
      <c r="B19" s="166"/>
      <c r="C19" s="394">
        <f>C18</f>
        <v>10</v>
      </c>
      <c r="D19" s="217" t="s">
        <v>762</v>
      </c>
      <c r="E19" s="218"/>
      <c r="F19" s="218"/>
      <c r="G19" s="218"/>
      <c r="H19" s="218"/>
      <c r="I19" s="218"/>
      <c r="J19" s="324"/>
      <c r="K19" s="152">
        <f>'Material Price'!J268</f>
        <v>41.38</v>
      </c>
      <c r="L19" s="668">
        <f t="shared" si="1"/>
        <v>413.8</v>
      </c>
      <c r="M19" s="669"/>
      <c r="N19" s="178"/>
      <c r="O19" s="71"/>
    </row>
    <row r="20" spans="1:15" x14ac:dyDescent="0.3">
      <c r="A20" s="71"/>
      <c r="B20" s="166"/>
      <c r="C20" s="394">
        <f>'Deck TakeOff'!E64</f>
        <v>10</v>
      </c>
      <c r="D20" s="566" t="s">
        <v>740</v>
      </c>
      <c r="E20" s="567"/>
      <c r="F20" s="567"/>
      <c r="G20" s="567"/>
      <c r="H20" s="567"/>
      <c r="I20" s="567"/>
      <c r="J20" s="568"/>
      <c r="K20" s="152">
        <f>'Material Price'!J269</f>
        <v>29</v>
      </c>
      <c r="L20" s="668">
        <f t="shared" si="1"/>
        <v>290</v>
      </c>
      <c r="M20" s="669"/>
      <c r="N20" s="178"/>
      <c r="O20" s="71"/>
    </row>
    <row r="21" spans="1:15" x14ac:dyDescent="0.3">
      <c r="A21" s="71"/>
      <c r="B21" s="166"/>
      <c r="C21" s="394">
        <f>'Deck TakeOff'!H64</f>
        <v>10</v>
      </c>
      <c r="D21" s="217" t="s">
        <v>602</v>
      </c>
      <c r="E21" s="218"/>
      <c r="F21" s="218"/>
      <c r="G21" s="218"/>
      <c r="H21" s="218"/>
      <c r="I21" s="218"/>
      <c r="J21" s="324"/>
      <c r="K21" s="152">
        <f>'Material Price'!J247</f>
        <v>20</v>
      </c>
      <c r="L21" s="668">
        <f t="shared" ref="L21" si="2">K21*C21</f>
        <v>200</v>
      </c>
      <c r="M21" s="669"/>
      <c r="N21" s="178"/>
      <c r="O21" s="71"/>
    </row>
    <row r="22" spans="1:15" x14ac:dyDescent="0.3">
      <c r="A22" s="71"/>
      <c r="B22" s="166"/>
      <c r="C22" s="394">
        <f>'Deck TakeOff'!H65</f>
        <v>0</v>
      </c>
      <c r="D22" s="217" t="s">
        <v>603</v>
      </c>
      <c r="E22" s="218"/>
      <c r="F22" s="218"/>
      <c r="G22" s="218"/>
      <c r="H22" s="218"/>
      <c r="I22" s="218"/>
      <c r="J22" s="324"/>
      <c r="K22" s="152">
        <f>'Material Price'!J248</f>
        <v>36</v>
      </c>
      <c r="L22" s="668">
        <f t="shared" si="1"/>
        <v>0</v>
      </c>
      <c r="M22" s="669"/>
      <c r="N22" s="178"/>
      <c r="O22" s="71"/>
    </row>
    <row r="23" spans="1:15" x14ac:dyDescent="0.3">
      <c r="A23" s="71"/>
      <c r="B23" s="166"/>
      <c r="C23" s="360">
        <f>Formulas!C125</f>
        <v>0</v>
      </c>
      <c r="D23" s="217" t="s">
        <v>587</v>
      </c>
      <c r="E23" s="218"/>
      <c r="F23" s="218"/>
      <c r="G23" s="218"/>
      <c r="H23" s="218"/>
      <c r="I23" s="218"/>
      <c r="J23" s="324"/>
      <c r="K23" s="152">
        <f>'Material Price'!J249</f>
        <v>21.68</v>
      </c>
      <c r="L23" s="668">
        <f t="shared" si="1"/>
        <v>0</v>
      </c>
      <c r="M23" s="669"/>
      <c r="N23" s="178"/>
      <c r="O23" s="71"/>
    </row>
    <row r="24" spans="1:15" x14ac:dyDescent="0.3">
      <c r="A24" s="71"/>
      <c r="B24" s="166"/>
      <c r="C24" s="360">
        <f>Formulas!C124</f>
        <v>0</v>
      </c>
      <c r="D24" s="217" t="s">
        <v>588</v>
      </c>
      <c r="E24" s="218"/>
      <c r="F24" s="218"/>
      <c r="G24" s="218"/>
      <c r="H24" s="218"/>
      <c r="I24" s="218"/>
      <c r="J24" s="324"/>
      <c r="K24" s="152">
        <f>'Material Price'!J250</f>
        <v>40.380000000000003</v>
      </c>
      <c r="L24" s="668">
        <f t="shared" si="1"/>
        <v>0</v>
      </c>
      <c r="M24" s="669"/>
      <c r="N24" s="178"/>
      <c r="O24" s="71"/>
    </row>
    <row r="25" spans="1:15" x14ac:dyDescent="0.3">
      <c r="A25" s="71"/>
      <c r="B25" s="166"/>
      <c r="C25" s="360">
        <f>Formulas!C126</f>
        <v>110</v>
      </c>
      <c r="D25" s="217" t="s">
        <v>599</v>
      </c>
      <c r="E25" s="218"/>
      <c r="F25" s="218"/>
      <c r="G25" s="218"/>
      <c r="H25" s="218"/>
      <c r="I25" s="218"/>
      <c r="J25" s="324"/>
      <c r="K25" s="152">
        <f>'Material Price'!J251</f>
        <v>43.38</v>
      </c>
      <c r="L25" s="668">
        <f t="shared" si="1"/>
        <v>4771.8</v>
      </c>
      <c r="M25" s="669"/>
      <c r="N25" s="178"/>
      <c r="O25" s="71"/>
    </row>
    <row r="26" spans="1:15" x14ac:dyDescent="0.3">
      <c r="A26" s="71"/>
      <c r="B26" s="166"/>
      <c r="C26" s="360">
        <f>Formulas!C127</f>
        <v>110</v>
      </c>
      <c r="D26" s="217" t="s">
        <v>598</v>
      </c>
      <c r="E26" s="218"/>
      <c r="F26" s="218"/>
      <c r="G26" s="218"/>
      <c r="H26" s="218"/>
      <c r="I26" s="218"/>
      <c r="J26" s="324"/>
      <c r="K26" s="152">
        <f>'Material Price'!J252</f>
        <v>24.75</v>
      </c>
      <c r="L26" s="668">
        <f t="shared" si="1"/>
        <v>2722.5</v>
      </c>
      <c r="M26" s="669"/>
      <c r="N26" s="178"/>
      <c r="O26" s="71"/>
    </row>
    <row r="27" spans="1:15" x14ac:dyDescent="0.3">
      <c r="A27" s="71"/>
      <c r="B27" s="166"/>
      <c r="C27" s="360">
        <f>Formulas!C121</f>
        <v>1</v>
      </c>
      <c r="D27" s="217" t="s">
        <v>853</v>
      </c>
      <c r="E27" s="218"/>
      <c r="F27" s="218"/>
      <c r="G27" s="218"/>
      <c r="H27" s="218"/>
      <c r="I27" s="218"/>
      <c r="J27" s="324"/>
      <c r="K27" s="152">
        <f>'Material Price'!J254</f>
        <v>63</v>
      </c>
      <c r="L27" s="668">
        <f t="shared" ref="L27" si="3">K27*C27</f>
        <v>63</v>
      </c>
      <c r="M27" s="669"/>
      <c r="N27" s="178"/>
      <c r="O27" s="71"/>
    </row>
    <row r="28" spans="1:15" x14ac:dyDescent="0.3">
      <c r="A28" s="71"/>
      <c r="B28" s="166"/>
      <c r="C28" s="360">
        <f>Formulas!C122</f>
        <v>0</v>
      </c>
      <c r="D28" s="217" t="s">
        <v>589</v>
      </c>
      <c r="E28" s="218"/>
      <c r="F28" s="218"/>
      <c r="G28" s="218"/>
      <c r="H28" s="218"/>
      <c r="I28" s="218"/>
      <c r="J28" s="324"/>
      <c r="K28" s="356">
        <f>'Material Price'!J253</f>
        <v>260</v>
      </c>
      <c r="L28" s="668">
        <f t="shared" si="1"/>
        <v>0</v>
      </c>
      <c r="M28" s="669"/>
      <c r="N28" s="178"/>
      <c r="O28" s="71"/>
    </row>
    <row r="29" spans="1:15" x14ac:dyDescent="0.3">
      <c r="A29" s="71"/>
      <c r="B29" s="166"/>
      <c r="C29" s="360"/>
      <c r="D29" s="217" t="s">
        <v>590</v>
      </c>
      <c r="E29" s="218"/>
      <c r="F29" s="218"/>
      <c r="G29" s="218"/>
      <c r="H29" s="218"/>
      <c r="I29" s="218"/>
      <c r="J29" s="324"/>
      <c r="K29" s="152">
        <f>'Material Price'!J255</f>
        <v>37</v>
      </c>
      <c r="L29" s="668">
        <f t="shared" si="1"/>
        <v>0</v>
      </c>
      <c r="M29" s="669"/>
      <c r="N29" s="178"/>
      <c r="O29" s="71"/>
    </row>
    <row r="30" spans="1:15" x14ac:dyDescent="0.3">
      <c r="A30" s="71"/>
      <c r="B30" s="166"/>
      <c r="C30" s="360"/>
      <c r="D30" s="217" t="s">
        <v>591</v>
      </c>
      <c r="E30" s="218"/>
      <c r="F30" s="218"/>
      <c r="G30" s="218"/>
      <c r="H30" s="218"/>
      <c r="I30" s="218"/>
      <c r="J30" s="324"/>
      <c r="K30" s="152">
        <f>'Material Price'!J256</f>
        <v>12.75</v>
      </c>
      <c r="L30" s="668">
        <f t="shared" si="1"/>
        <v>0</v>
      </c>
      <c r="M30" s="669"/>
      <c r="N30" s="178"/>
      <c r="O30" s="71"/>
    </row>
    <row r="31" spans="1:15" x14ac:dyDescent="0.3">
      <c r="A31" s="71"/>
      <c r="B31" s="166"/>
      <c r="C31" s="360">
        <f>ROUNDUP(Formulas!C123/20,0)</f>
        <v>0</v>
      </c>
      <c r="D31" s="217" t="s">
        <v>592</v>
      </c>
      <c r="E31" s="218"/>
      <c r="F31" s="218"/>
      <c r="G31" s="218"/>
      <c r="H31" s="218"/>
      <c r="I31" s="218"/>
      <c r="J31" s="324"/>
      <c r="K31" s="152">
        <f>'Material Price'!J257</f>
        <v>15</v>
      </c>
      <c r="L31" s="668">
        <f t="shared" si="1"/>
        <v>0</v>
      </c>
      <c r="M31" s="669"/>
      <c r="N31" s="178"/>
      <c r="O31" s="71"/>
    </row>
    <row r="32" spans="1:15" x14ac:dyDescent="0.3">
      <c r="A32" s="71"/>
      <c r="B32" s="166"/>
      <c r="C32" s="360"/>
      <c r="D32" s="217" t="s">
        <v>593</v>
      </c>
      <c r="E32" s="218"/>
      <c r="F32" s="218"/>
      <c r="G32" s="218"/>
      <c r="H32" s="218"/>
      <c r="I32" s="218"/>
      <c r="J32" s="324"/>
      <c r="K32" s="152">
        <f>'Material Price'!J258</f>
        <v>58</v>
      </c>
      <c r="L32" s="668">
        <f t="shared" ref="L32" si="4">K32*C32</f>
        <v>0</v>
      </c>
      <c r="M32" s="669"/>
      <c r="N32" s="178"/>
      <c r="O32" s="71"/>
    </row>
    <row r="33" spans="1:15" x14ac:dyDescent="0.3">
      <c r="A33" s="71"/>
      <c r="B33" s="166"/>
      <c r="C33" s="360">
        <f>Formulas!H131</f>
        <v>0</v>
      </c>
      <c r="D33" s="217" t="s">
        <v>1205</v>
      </c>
      <c r="E33" s="218"/>
      <c r="F33" s="218"/>
      <c r="G33" s="218"/>
      <c r="H33" s="218"/>
      <c r="I33" s="218"/>
      <c r="J33" s="324"/>
      <c r="K33" s="356">
        <f>'Material Price'!J342</f>
        <v>225</v>
      </c>
      <c r="L33" s="668">
        <f t="shared" ref="L33" si="5">K33*C33</f>
        <v>0</v>
      </c>
      <c r="M33" s="669"/>
      <c r="N33" s="178"/>
      <c r="O33" s="71"/>
    </row>
    <row r="34" spans="1:15" x14ac:dyDescent="0.3">
      <c r="A34" s="71"/>
      <c r="B34" s="166"/>
      <c r="C34" s="360">
        <f>Formulas!H132</f>
        <v>0</v>
      </c>
      <c r="D34" s="217" t="s">
        <v>1206</v>
      </c>
      <c r="E34" s="218"/>
      <c r="F34" s="218"/>
      <c r="G34" s="218"/>
      <c r="H34" s="218"/>
      <c r="I34" s="218"/>
      <c r="J34" s="324"/>
      <c r="K34" s="356">
        <f>'Material Price'!J343</f>
        <v>225</v>
      </c>
      <c r="L34" s="668">
        <f t="shared" si="1"/>
        <v>0</v>
      </c>
      <c r="M34" s="669"/>
      <c r="N34" s="178"/>
      <c r="O34" s="71"/>
    </row>
    <row r="35" spans="1:15" x14ac:dyDescent="0.3">
      <c r="A35" s="71"/>
      <c r="B35" s="166"/>
      <c r="C35" s="360"/>
      <c r="D35" s="678" t="s">
        <v>763</v>
      </c>
      <c r="E35" s="679"/>
      <c r="F35" s="679"/>
      <c r="G35" s="679"/>
      <c r="H35" s="679"/>
      <c r="I35" s="679"/>
      <c r="J35" s="680"/>
      <c r="K35" s="152"/>
      <c r="L35" s="668">
        <f t="shared" si="1"/>
        <v>0</v>
      </c>
      <c r="M35" s="669"/>
      <c r="N35" s="178"/>
      <c r="O35" s="71"/>
    </row>
    <row r="36" spans="1:15" x14ac:dyDescent="0.3">
      <c r="A36" s="71"/>
      <c r="B36" s="166"/>
      <c r="C36" s="360">
        <f>'Deck TakeOff'!E58</f>
        <v>0</v>
      </c>
      <c r="D36" s="217" t="s">
        <v>764</v>
      </c>
      <c r="E36" s="345"/>
      <c r="F36" s="345"/>
      <c r="G36" s="345"/>
      <c r="H36" s="345"/>
      <c r="I36" s="345"/>
      <c r="J36" s="346"/>
      <c r="K36" s="356">
        <f>'Material Price'!J227</f>
        <v>380</v>
      </c>
      <c r="L36" s="668">
        <f t="shared" si="1"/>
        <v>0</v>
      </c>
      <c r="M36" s="669"/>
      <c r="N36" s="178"/>
      <c r="O36" s="71"/>
    </row>
    <row r="37" spans="1:15" x14ac:dyDescent="0.3">
      <c r="A37" s="71"/>
      <c r="B37" s="166"/>
      <c r="C37" s="360">
        <f>'Deck TakeOff'!E59</f>
        <v>0</v>
      </c>
      <c r="D37" s="217" t="s">
        <v>765</v>
      </c>
      <c r="E37" s="345"/>
      <c r="F37" s="345"/>
      <c r="G37" s="345"/>
      <c r="H37" s="345"/>
      <c r="I37" s="345"/>
      <c r="J37" s="346"/>
      <c r="K37" s="356">
        <f>'Material Price'!J228</f>
        <v>420</v>
      </c>
      <c r="L37" s="668">
        <f t="shared" si="1"/>
        <v>0</v>
      </c>
      <c r="M37" s="669"/>
      <c r="N37" s="178"/>
      <c r="O37" s="71"/>
    </row>
    <row r="38" spans="1:15" x14ac:dyDescent="0.3">
      <c r="A38" s="71"/>
      <c r="B38" s="166"/>
      <c r="C38" s="360"/>
      <c r="D38" s="678" t="s">
        <v>601</v>
      </c>
      <c r="E38" s="679"/>
      <c r="F38" s="679"/>
      <c r="G38" s="679"/>
      <c r="H38" s="679"/>
      <c r="I38" s="679"/>
      <c r="J38" s="680"/>
      <c r="K38" s="152"/>
      <c r="L38" s="668">
        <f t="shared" si="1"/>
        <v>0</v>
      </c>
      <c r="M38" s="669"/>
      <c r="N38" s="178"/>
      <c r="O38" s="71"/>
    </row>
    <row r="39" spans="1:15" x14ac:dyDescent="0.3">
      <c r="A39" s="71"/>
      <c r="B39" s="166"/>
      <c r="C39" s="360">
        <f>(Formulas!D107+Formulas!D108)/1.1</f>
        <v>0</v>
      </c>
      <c r="D39" s="217" t="s">
        <v>741</v>
      </c>
      <c r="E39" s="345"/>
      <c r="F39" s="345"/>
      <c r="G39" s="345"/>
      <c r="H39" s="345"/>
      <c r="I39" s="345"/>
      <c r="J39" s="346"/>
      <c r="K39" s="152">
        <f>'Material Price'!J232</f>
        <v>10</v>
      </c>
      <c r="L39" s="668">
        <f>K39*C39</f>
        <v>0</v>
      </c>
      <c r="M39" s="669"/>
      <c r="N39" s="178"/>
      <c r="O39" s="71"/>
    </row>
    <row r="40" spans="1:15" x14ac:dyDescent="0.3">
      <c r="A40" s="71"/>
      <c r="B40" s="166"/>
      <c r="C40" s="360"/>
      <c r="D40" s="217" t="s">
        <v>580</v>
      </c>
      <c r="E40" s="345"/>
      <c r="F40" s="345"/>
      <c r="G40" s="345"/>
      <c r="H40" s="345"/>
      <c r="I40" s="345"/>
      <c r="J40" s="346"/>
      <c r="K40" s="152">
        <f>'Material Price'!J233</f>
        <v>75</v>
      </c>
      <c r="L40" s="668">
        <f t="shared" ref="L40:L49" si="6">K40*C40</f>
        <v>0</v>
      </c>
      <c r="M40" s="669"/>
      <c r="N40" s="178"/>
      <c r="O40" s="71"/>
    </row>
    <row r="41" spans="1:15" x14ac:dyDescent="0.3">
      <c r="A41" s="71"/>
      <c r="B41" s="166"/>
      <c r="C41" s="360"/>
      <c r="D41" s="217" t="s">
        <v>581</v>
      </c>
      <c r="E41" s="345"/>
      <c r="F41" s="345"/>
      <c r="G41" s="345"/>
      <c r="H41" s="345"/>
      <c r="I41" s="345"/>
      <c r="J41" s="346"/>
      <c r="K41" s="152">
        <f>'Material Price'!J234</f>
        <v>65</v>
      </c>
      <c r="L41" s="668">
        <f t="shared" si="6"/>
        <v>0</v>
      </c>
      <c r="M41" s="669"/>
      <c r="N41" s="178"/>
      <c r="O41" s="71"/>
    </row>
    <row r="42" spans="1:15" x14ac:dyDescent="0.3">
      <c r="A42" s="71"/>
      <c r="B42" s="166"/>
      <c r="C42" s="360"/>
      <c r="D42" s="217" t="s">
        <v>582</v>
      </c>
      <c r="E42" s="345"/>
      <c r="F42" s="345"/>
      <c r="G42" s="345"/>
      <c r="H42" s="345"/>
      <c r="I42" s="345"/>
      <c r="J42" s="346"/>
      <c r="K42" s="152">
        <f>'Material Price'!J235</f>
        <v>50</v>
      </c>
      <c r="L42" s="668">
        <f t="shared" si="6"/>
        <v>0</v>
      </c>
      <c r="M42" s="669"/>
      <c r="N42" s="178"/>
      <c r="O42" s="71"/>
    </row>
    <row r="43" spans="1:15" x14ac:dyDescent="0.3">
      <c r="A43" s="71"/>
      <c r="B43" s="166"/>
      <c r="C43" s="360"/>
      <c r="D43" s="347" t="s">
        <v>600</v>
      </c>
      <c r="E43" s="345"/>
      <c r="F43" s="345"/>
      <c r="G43" s="345"/>
      <c r="H43" s="345"/>
      <c r="I43" s="345"/>
      <c r="J43" s="346"/>
      <c r="K43" s="152">
        <f>'Material Price'!J236</f>
        <v>13</v>
      </c>
      <c r="L43" s="668">
        <f t="shared" si="6"/>
        <v>0</v>
      </c>
      <c r="M43" s="669"/>
      <c r="N43" s="178"/>
      <c r="O43" s="71"/>
    </row>
    <row r="44" spans="1:15" x14ac:dyDescent="0.3">
      <c r="A44" s="71"/>
      <c r="B44" s="166"/>
      <c r="C44" s="360"/>
      <c r="D44" s="347" t="s">
        <v>583</v>
      </c>
      <c r="E44" s="345"/>
      <c r="F44" s="345"/>
      <c r="G44" s="345"/>
      <c r="H44" s="345"/>
      <c r="I44" s="345"/>
      <c r="J44" s="346"/>
      <c r="K44" s="152">
        <f>'Material Price'!J237</f>
        <v>25</v>
      </c>
      <c r="L44" s="668">
        <f t="shared" si="6"/>
        <v>0</v>
      </c>
      <c r="M44" s="669"/>
      <c r="N44" s="178"/>
      <c r="O44" s="71"/>
    </row>
    <row r="45" spans="1:15" x14ac:dyDescent="0.3">
      <c r="A45" s="71"/>
      <c r="B45" s="166"/>
      <c r="C45" s="360"/>
      <c r="D45" s="347" t="s">
        <v>584</v>
      </c>
      <c r="E45" s="345"/>
      <c r="F45" s="345"/>
      <c r="G45" s="345"/>
      <c r="H45" s="345"/>
      <c r="I45" s="345"/>
      <c r="J45" s="346"/>
      <c r="K45" s="152">
        <f>'Material Price'!J238</f>
        <v>18</v>
      </c>
      <c r="L45" s="668">
        <f t="shared" si="6"/>
        <v>0</v>
      </c>
      <c r="M45" s="669"/>
      <c r="N45" s="178"/>
      <c r="O45" s="71"/>
    </row>
    <row r="46" spans="1:15" x14ac:dyDescent="0.3">
      <c r="A46" s="71"/>
      <c r="B46" s="166"/>
      <c r="C46" s="360"/>
      <c r="D46" s="347" t="s">
        <v>585</v>
      </c>
      <c r="E46" s="345"/>
      <c r="F46" s="345"/>
      <c r="G46" s="345"/>
      <c r="H46" s="345"/>
      <c r="I46" s="345"/>
      <c r="J46" s="346"/>
      <c r="K46" s="152">
        <f>'Material Price'!J239</f>
        <v>2</v>
      </c>
      <c r="L46" s="668">
        <f t="shared" si="6"/>
        <v>0</v>
      </c>
      <c r="M46" s="669"/>
      <c r="N46" s="178"/>
      <c r="O46" s="71"/>
    </row>
    <row r="47" spans="1:15" x14ac:dyDescent="0.3">
      <c r="A47" s="71"/>
      <c r="B47" s="166"/>
      <c r="C47" s="360"/>
      <c r="D47" s="347" t="s">
        <v>586</v>
      </c>
      <c r="E47" s="345"/>
      <c r="F47" s="345"/>
      <c r="G47" s="345"/>
      <c r="H47" s="345"/>
      <c r="I47" s="345"/>
      <c r="J47" s="346"/>
      <c r="K47" s="152">
        <f>'Material Price'!J240</f>
        <v>5</v>
      </c>
      <c r="L47" s="668">
        <f t="shared" si="6"/>
        <v>0</v>
      </c>
      <c r="M47" s="669"/>
      <c r="N47" s="178"/>
      <c r="O47" s="71"/>
    </row>
    <row r="48" spans="1:15" x14ac:dyDescent="0.3">
      <c r="A48" s="71"/>
      <c r="B48" s="166"/>
      <c r="C48" s="360"/>
      <c r="D48" s="347" t="s">
        <v>740</v>
      </c>
      <c r="E48" s="345"/>
      <c r="F48" s="345"/>
      <c r="G48" s="345"/>
      <c r="H48" s="345"/>
      <c r="I48" s="345"/>
      <c r="J48" s="346"/>
      <c r="K48" s="152">
        <f>'Material Price'!J241</f>
        <v>5</v>
      </c>
      <c r="L48" s="668">
        <f t="shared" si="6"/>
        <v>0</v>
      </c>
      <c r="M48" s="669"/>
      <c r="N48" s="178"/>
      <c r="O48" s="71"/>
    </row>
    <row r="49" spans="1:15" x14ac:dyDescent="0.3">
      <c r="A49" s="71"/>
      <c r="B49" s="166"/>
      <c r="C49" s="360"/>
      <c r="D49" s="347"/>
      <c r="E49" s="345"/>
      <c r="F49" s="345"/>
      <c r="G49" s="345"/>
      <c r="H49" s="345"/>
      <c r="I49" s="345"/>
      <c r="J49" s="346"/>
      <c r="K49" s="152"/>
      <c r="L49" s="668">
        <f t="shared" si="6"/>
        <v>0</v>
      </c>
      <c r="M49" s="669"/>
      <c r="N49" s="178"/>
      <c r="O49" s="71"/>
    </row>
    <row r="50" spans="1:15" x14ac:dyDescent="0.3">
      <c r="A50" s="71"/>
      <c r="B50" s="166"/>
      <c r="C50" s="183"/>
      <c r="D50" s="681" t="s">
        <v>10</v>
      </c>
      <c r="E50" s="682"/>
      <c r="F50" s="682"/>
      <c r="G50" s="682"/>
      <c r="H50" s="682"/>
      <c r="I50" s="682"/>
      <c r="J50" s="682"/>
      <c r="K50" s="683"/>
      <c r="L50" s="686">
        <f>(SUM(L10:M49)*0.0625)</f>
        <v>587.77499999999998</v>
      </c>
      <c r="M50" s="686"/>
      <c r="N50" s="178"/>
      <c r="O50" s="71"/>
    </row>
    <row r="51" spans="1:15" x14ac:dyDescent="0.3">
      <c r="A51" s="71"/>
      <c r="B51" s="166"/>
      <c r="C51" s="183"/>
      <c r="D51" s="681" t="s">
        <v>1</v>
      </c>
      <c r="E51" s="682"/>
      <c r="F51" s="682"/>
      <c r="G51" s="682"/>
      <c r="H51" s="682"/>
      <c r="I51" s="682"/>
      <c r="J51" s="682"/>
      <c r="K51" s="683"/>
      <c r="L51" s="684">
        <f>SUM(L10:M50)</f>
        <v>9992.1749999999993</v>
      </c>
      <c r="M51" s="684"/>
      <c r="N51" s="178"/>
      <c r="O51" s="71"/>
    </row>
    <row r="52" spans="1:15" ht="6" customHeight="1" x14ac:dyDescent="0.3">
      <c r="A52" s="71"/>
      <c r="B52" s="166"/>
      <c r="C52" s="184"/>
      <c r="D52" s="185"/>
      <c r="E52" s="185"/>
      <c r="F52" s="185"/>
      <c r="G52" s="185"/>
      <c r="H52" s="186"/>
      <c r="I52" s="186"/>
      <c r="J52" s="186"/>
      <c r="K52" s="185"/>
      <c r="L52" s="187"/>
      <c r="M52" s="187"/>
      <c r="N52" s="178"/>
      <c r="O52" s="71"/>
    </row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  <row r="68" ht="25" customHeight="1" x14ac:dyDescent="0.3"/>
    <row r="69" ht="25" customHeight="1" x14ac:dyDescent="0.3"/>
  </sheetData>
  <sheetProtection selectLockedCells="1" selectUnlockedCells="1"/>
  <mergeCells count="59">
    <mergeCell ref="L21:M21"/>
    <mergeCell ref="L27:M27"/>
    <mergeCell ref="L32:M32"/>
    <mergeCell ref="D3:M3"/>
    <mergeCell ref="D4:M4"/>
    <mergeCell ref="E5:G5"/>
    <mergeCell ref="I5:J5"/>
    <mergeCell ref="E6:G6"/>
    <mergeCell ref="I6:J6"/>
    <mergeCell ref="L15:M15"/>
    <mergeCell ref="E7:G7"/>
    <mergeCell ref="C8:M8"/>
    <mergeCell ref="D9:J9"/>
    <mergeCell ref="L9:M9"/>
    <mergeCell ref="D10:J10"/>
    <mergeCell ref="L10:M10"/>
    <mergeCell ref="D11:J11"/>
    <mergeCell ref="L11:M11"/>
    <mergeCell ref="L12:M12"/>
    <mergeCell ref="L13:M13"/>
    <mergeCell ref="L14:M14"/>
    <mergeCell ref="L16:M16"/>
    <mergeCell ref="L17:M17"/>
    <mergeCell ref="L18:M18"/>
    <mergeCell ref="L19:M19"/>
    <mergeCell ref="D20:J20"/>
    <mergeCell ref="L20:M20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41:M41"/>
    <mergeCell ref="L34:M34"/>
    <mergeCell ref="L39:M39"/>
    <mergeCell ref="L40:M40"/>
    <mergeCell ref="L33:M33"/>
    <mergeCell ref="D35:J35"/>
    <mergeCell ref="L35:M35"/>
    <mergeCell ref="L36:M36"/>
    <mergeCell ref="L37:M37"/>
    <mergeCell ref="D38:J38"/>
    <mergeCell ref="L38:M38"/>
    <mergeCell ref="D51:K51"/>
    <mergeCell ref="L51:M51"/>
    <mergeCell ref="L42:M42"/>
    <mergeCell ref="L43:M43"/>
    <mergeCell ref="L44:M44"/>
    <mergeCell ref="L45:M45"/>
    <mergeCell ref="L46:M46"/>
    <mergeCell ref="L47:M47"/>
    <mergeCell ref="L48:M48"/>
    <mergeCell ref="L49:M49"/>
    <mergeCell ref="D50:K50"/>
    <mergeCell ref="L50:M50"/>
  </mergeCells>
  <printOptions horizontalCentered="1" verticalCentered="1"/>
  <pageMargins left="0" right="0" top="0" bottom="0" header="0" footer="0"/>
  <pageSetup scale="65" orientation="portrait" r:id="rId1"/>
  <headerFooter alignWithMargins="0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>
    <tabColor rgb="FFFF0000"/>
  </sheetPr>
  <dimension ref="A1:O18"/>
  <sheetViews>
    <sheetView workbookViewId="0">
      <selection activeCell="E10" sqref="E10"/>
    </sheetView>
  </sheetViews>
  <sheetFormatPr baseColWidth="10" defaultColWidth="9" defaultRowHeight="16" x14ac:dyDescent="0.2"/>
  <cols>
    <col min="4" max="4" width="11" customWidth="1"/>
    <col min="5" max="5" width="13" customWidth="1"/>
    <col min="7" max="7" width="9.19921875" customWidth="1"/>
    <col min="11" max="11" width="24.59765625" customWidth="1"/>
  </cols>
  <sheetData>
    <row r="1" spans="1:15" ht="23.25" customHeight="1" x14ac:dyDescent="0.2">
      <c r="A1" s="852" t="s">
        <v>119</v>
      </c>
      <c r="B1" s="852"/>
      <c r="C1" s="852"/>
      <c r="D1" s="852"/>
      <c r="E1" s="852"/>
      <c r="F1" s="852"/>
      <c r="G1" s="852"/>
      <c r="H1" s="852"/>
      <c r="I1" s="852"/>
      <c r="J1" s="144"/>
      <c r="L1" s="791" t="s">
        <v>131</v>
      </c>
      <c r="M1" s="791"/>
      <c r="N1" s="791"/>
      <c r="O1" s="791"/>
    </row>
    <row r="2" spans="1:15" ht="23.25" customHeight="1" x14ac:dyDescent="0.2">
      <c r="A2" s="851"/>
      <c r="B2" s="851"/>
      <c r="C2" s="851"/>
      <c r="D2" s="145" t="s">
        <v>66</v>
      </c>
      <c r="E2" s="145" t="s">
        <v>127</v>
      </c>
      <c r="F2" s="146"/>
      <c r="G2" s="146"/>
      <c r="H2" s="146"/>
      <c r="I2" s="146"/>
      <c r="J2" s="144"/>
      <c r="K2" t="s">
        <v>132</v>
      </c>
      <c r="L2" t="s">
        <v>89</v>
      </c>
      <c r="M2" t="s">
        <v>66</v>
      </c>
    </row>
    <row r="3" spans="1:15" ht="24" customHeight="1" x14ac:dyDescent="0.2">
      <c r="A3" s="850" t="s">
        <v>120</v>
      </c>
      <c r="B3" s="850"/>
      <c r="C3" s="850"/>
      <c r="D3" s="148">
        <v>70</v>
      </c>
      <c r="E3" s="145"/>
      <c r="F3" s="146"/>
      <c r="G3" s="149"/>
      <c r="H3" s="146"/>
      <c r="I3" s="146"/>
      <c r="J3" s="144"/>
      <c r="K3" t="s">
        <v>120</v>
      </c>
      <c r="L3" t="str">
        <f>'Deck TakeOff'!F41</f>
        <v>ft</v>
      </c>
    </row>
    <row r="4" spans="1:15" ht="23.25" customHeight="1" x14ac:dyDescent="0.2">
      <c r="A4" s="850" t="s">
        <v>121</v>
      </c>
      <c r="B4" s="850"/>
      <c r="C4" s="850"/>
      <c r="D4" s="145"/>
      <c r="E4" s="148">
        <v>9</v>
      </c>
      <c r="F4" s="146"/>
      <c r="G4" s="146"/>
      <c r="H4" s="146"/>
      <c r="I4" s="146"/>
      <c r="J4" s="144"/>
      <c r="K4" t="s">
        <v>121</v>
      </c>
      <c r="L4" t="str">
        <f>'Deck TakeOff'!F41</f>
        <v>ft</v>
      </c>
    </row>
    <row r="5" spans="1:15" ht="23.25" customHeight="1" x14ac:dyDescent="0.2">
      <c r="A5" s="147"/>
      <c r="B5" s="147"/>
      <c r="C5" s="147"/>
      <c r="D5" s="145"/>
      <c r="E5" s="145"/>
      <c r="F5" s="146"/>
      <c r="G5" s="146"/>
      <c r="H5" s="146"/>
      <c r="I5" s="146"/>
      <c r="J5" s="144"/>
      <c r="K5" t="s">
        <v>122</v>
      </c>
      <c r="L5" t="str">
        <f>'Deck TakeOff'!F41</f>
        <v>ft</v>
      </c>
    </row>
    <row r="6" spans="1:15" ht="23.25" customHeight="1" x14ac:dyDescent="0.2">
      <c r="A6" s="850" t="s">
        <v>122</v>
      </c>
      <c r="B6" s="850"/>
      <c r="C6" s="850"/>
      <c r="D6" s="145"/>
      <c r="E6" s="148">
        <v>9</v>
      </c>
      <c r="F6" s="146"/>
      <c r="G6" s="146"/>
      <c r="H6" s="146"/>
      <c r="I6" s="146"/>
      <c r="J6" s="144"/>
      <c r="K6" t="s">
        <v>133</v>
      </c>
      <c r="L6" t="str">
        <f>'Deck TakeOff'!F41</f>
        <v>ft</v>
      </c>
    </row>
    <row r="7" spans="1:15" ht="23.25" customHeight="1" x14ac:dyDescent="0.2">
      <c r="A7" s="147"/>
      <c r="B7" s="147"/>
      <c r="C7" s="147"/>
      <c r="D7" s="145"/>
      <c r="E7" s="145"/>
      <c r="F7" s="146"/>
      <c r="G7" s="146"/>
      <c r="H7" s="146"/>
      <c r="I7" s="146"/>
      <c r="J7" s="144"/>
      <c r="K7" t="s">
        <v>124</v>
      </c>
      <c r="L7" t="str">
        <f>'Deck TakeOff'!F41</f>
        <v>ft</v>
      </c>
    </row>
    <row r="8" spans="1:15" ht="23.25" customHeight="1" x14ac:dyDescent="0.2">
      <c r="A8" s="147"/>
      <c r="B8" s="147"/>
      <c r="C8" s="147"/>
      <c r="D8" s="145"/>
      <c r="E8" s="145"/>
      <c r="F8" s="146"/>
      <c r="G8" s="146"/>
      <c r="H8" s="146"/>
      <c r="I8" s="146"/>
      <c r="J8" s="144"/>
      <c r="K8" t="s">
        <v>125</v>
      </c>
      <c r="L8" t="str">
        <f>'Deck TakeOff'!F41</f>
        <v>ft</v>
      </c>
    </row>
    <row r="9" spans="1:15" ht="23.25" customHeight="1" x14ac:dyDescent="0.2">
      <c r="A9" s="850" t="s">
        <v>123</v>
      </c>
      <c r="B9" s="850"/>
      <c r="C9" s="850"/>
      <c r="D9" s="148">
        <v>0</v>
      </c>
      <c r="E9" s="145"/>
      <c r="F9" s="146"/>
      <c r="G9" s="146"/>
      <c r="H9" s="146"/>
      <c r="I9" s="146"/>
      <c r="J9" s="144"/>
    </row>
    <row r="10" spans="1:15" ht="23.25" customHeight="1" x14ac:dyDescent="0.2">
      <c r="A10" s="850" t="s">
        <v>124</v>
      </c>
      <c r="B10" s="850"/>
      <c r="C10" s="850"/>
      <c r="D10" s="145"/>
      <c r="E10" s="148">
        <v>3</v>
      </c>
      <c r="F10" s="146"/>
      <c r="G10" s="146"/>
      <c r="H10" s="146"/>
      <c r="I10" s="146"/>
      <c r="J10" s="144"/>
    </row>
    <row r="11" spans="1:15" ht="16.5" customHeight="1" x14ac:dyDescent="0.2">
      <c r="A11" s="850" t="s">
        <v>125</v>
      </c>
      <c r="B11" s="850"/>
      <c r="C11" s="850"/>
      <c r="D11" s="145"/>
      <c r="E11" s="148">
        <v>8</v>
      </c>
      <c r="F11" s="146"/>
      <c r="G11" s="146"/>
      <c r="H11" s="146"/>
      <c r="I11" s="146"/>
      <c r="J11" s="144"/>
    </row>
    <row r="12" spans="1:15" ht="23.25" customHeight="1" x14ac:dyDescent="0.2">
      <c r="A12" s="147"/>
      <c r="B12" s="147"/>
      <c r="C12" s="147"/>
      <c r="D12" s="145"/>
      <c r="E12" s="145"/>
      <c r="F12" s="146"/>
      <c r="G12" s="146"/>
      <c r="H12" s="146"/>
      <c r="I12" s="146"/>
      <c r="J12" s="144"/>
    </row>
    <row r="13" spans="1:15" ht="23.25" customHeight="1" x14ac:dyDescent="0.2">
      <c r="A13" s="850" t="s">
        <v>126</v>
      </c>
      <c r="B13" s="850"/>
      <c r="C13" s="850"/>
      <c r="D13" s="148">
        <v>0</v>
      </c>
      <c r="E13" s="145"/>
      <c r="F13" s="146"/>
      <c r="G13" s="146"/>
      <c r="H13" s="146"/>
      <c r="I13" s="146"/>
      <c r="J13" s="144"/>
    </row>
    <row r="14" spans="1:15" ht="23.25" customHeight="1" x14ac:dyDescent="0.2">
      <c r="A14" s="850"/>
      <c r="B14" s="850"/>
      <c r="C14" s="850"/>
      <c r="D14" s="145"/>
      <c r="E14" s="145"/>
      <c r="F14" s="146"/>
      <c r="G14" s="146"/>
      <c r="H14" s="146"/>
      <c r="I14" s="146"/>
      <c r="J14" s="144"/>
    </row>
    <row r="15" spans="1:15" ht="23.25" customHeight="1" x14ac:dyDescent="0.2">
      <c r="A15" s="796"/>
      <c r="B15" s="796"/>
      <c r="C15" s="796"/>
    </row>
    <row r="16" spans="1:15" ht="23.25" customHeight="1" x14ac:dyDescent="0.2">
      <c r="A16" s="796"/>
      <c r="B16" s="796"/>
      <c r="C16" s="796"/>
    </row>
    <row r="17" ht="23.25" customHeight="1" x14ac:dyDescent="0.2"/>
    <row r="18" ht="23.25" customHeight="1" x14ac:dyDescent="0.2"/>
  </sheetData>
  <mergeCells count="13">
    <mergeCell ref="L1:O1"/>
    <mergeCell ref="A1:I1"/>
    <mergeCell ref="A9:C9"/>
    <mergeCell ref="A10:C10"/>
    <mergeCell ref="A11:C11"/>
    <mergeCell ref="A13:C13"/>
    <mergeCell ref="A16:C16"/>
    <mergeCell ref="A14:C14"/>
    <mergeCell ref="A2:C2"/>
    <mergeCell ref="A6:C6"/>
    <mergeCell ref="A3:C3"/>
    <mergeCell ref="A4:C4"/>
    <mergeCell ref="A15:C15"/>
  </mergeCells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A1:K47"/>
  <sheetViews>
    <sheetView workbookViewId="0">
      <selection activeCell="G49" sqref="G49"/>
    </sheetView>
  </sheetViews>
  <sheetFormatPr baseColWidth="10" defaultColWidth="9" defaultRowHeight="16" x14ac:dyDescent="0.2"/>
  <sheetData>
    <row r="1" spans="1:11" x14ac:dyDescent="0.2">
      <c r="A1" s="154"/>
      <c r="B1" s="155"/>
      <c r="C1" s="155"/>
      <c r="D1" s="155"/>
      <c r="E1" s="155"/>
      <c r="F1" s="155"/>
      <c r="G1" s="155"/>
      <c r="H1" s="155"/>
      <c r="I1" s="155"/>
      <c r="J1" s="155"/>
      <c r="K1" s="156"/>
    </row>
    <row r="2" spans="1:11" x14ac:dyDescent="0.2">
      <c r="A2" s="157"/>
      <c r="K2" s="158"/>
    </row>
    <row r="3" spans="1:11" x14ac:dyDescent="0.2">
      <c r="A3" s="157"/>
      <c r="K3" s="158"/>
    </row>
    <row r="4" spans="1:11" x14ac:dyDescent="0.2">
      <c r="A4" s="157"/>
      <c r="K4" s="158"/>
    </row>
    <row r="5" spans="1:11" x14ac:dyDescent="0.2">
      <c r="A5" s="157"/>
      <c r="K5" s="158"/>
    </row>
    <row r="6" spans="1:11" x14ac:dyDescent="0.2">
      <c r="A6" s="157"/>
      <c r="K6" s="158"/>
    </row>
    <row r="7" spans="1:11" x14ac:dyDescent="0.2">
      <c r="A7" s="157"/>
      <c r="K7" s="158"/>
    </row>
    <row r="8" spans="1:11" x14ac:dyDescent="0.2">
      <c r="A8" s="157"/>
      <c r="K8" s="158"/>
    </row>
    <row r="9" spans="1:11" x14ac:dyDescent="0.2">
      <c r="A9" s="157"/>
      <c r="K9" s="158"/>
    </row>
    <row r="10" spans="1:11" x14ac:dyDescent="0.2">
      <c r="A10" s="157"/>
      <c r="K10" s="158"/>
    </row>
    <row r="11" spans="1:11" x14ac:dyDescent="0.2">
      <c r="A11" s="157"/>
      <c r="K11" s="158"/>
    </row>
    <row r="12" spans="1:11" x14ac:dyDescent="0.2">
      <c r="A12" s="157"/>
      <c r="K12" s="158"/>
    </row>
    <row r="13" spans="1:11" x14ac:dyDescent="0.2">
      <c r="A13" s="157"/>
      <c r="K13" s="158"/>
    </row>
    <row r="14" spans="1:11" x14ac:dyDescent="0.2">
      <c r="A14" s="157"/>
      <c r="K14" s="158"/>
    </row>
    <row r="15" spans="1:11" x14ac:dyDescent="0.2">
      <c r="A15" s="157"/>
      <c r="K15" s="158"/>
    </row>
    <row r="16" spans="1:11" x14ac:dyDescent="0.2">
      <c r="A16" s="157"/>
      <c r="K16" s="158"/>
    </row>
    <row r="17" spans="1:11" x14ac:dyDescent="0.2">
      <c r="A17" s="157"/>
      <c r="K17" s="158"/>
    </row>
    <row r="18" spans="1:11" x14ac:dyDescent="0.2">
      <c r="A18" s="157"/>
      <c r="K18" s="158"/>
    </row>
    <row r="19" spans="1:11" x14ac:dyDescent="0.2">
      <c r="A19" s="157"/>
      <c r="K19" s="158"/>
    </row>
    <row r="20" spans="1:11" x14ac:dyDescent="0.2">
      <c r="A20" s="157"/>
      <c r="K20" s="158"/>
    </row>
    <row r="21" spans="1:11" x14ac:dyDescent="0.2">
      <c r="A21" s="157"/>
      <c r="K21" s="158"/>
    </row>
    <row r="22" spans="1:11" x14ac:dyDescent="0.2">
      <c r="A22" s="157"/>
      <c r="K22" s="158"/>
    </row>
    <row r="23" spans="1:11" x14ac:dyDescent="0.2">
      <c r="A23" s="157"/>
      <c r="K23" s="158"/>
    </row>
    <row r="24" spans="1:11" x14ac:dyDescent="0.2">
      <c r="A24" s="157"/>
      <c r="K24" s="158"/>
    </row>
    <row r="25" spans="1:11" x14ac:dyDescent="0.2">
      <c r="A25" s="157"/>
      <c r="K25" s="158"/>
    </row>
    <row r="26" spans="1:11" x14ac:dyDescent="0.2">
      <c r="A26" s="157"/>
      <c r="K26" s="158"/>
    </row>
    <row r="27" spans="1:11" x14ac:dyDescent="0.2">
      <c r="A27" s="157"/>
      <c r="K27" s="158"/>
    </row>
    <row r="28" spans="1:11" x14ac:dyDescent="0.2">
      <c r="A28" s="157"/>
      <c r="K28" s="158"/>
    </row>
    <row r="29" spans="1:11" x14ac:dyDescent="0.2">
      <c r="A29" s="157"/>
      <c r="K29" s="158"/>
    </row>
    <row r="30" spans="1:11" x14ac:dyDescent="0.2">
      <c r="A30" s="157"/>
      <c r="K30" s="158"/>
    </row>
    <row r="31" spans="1:11" x14ac:dyDescent="0.2">
      <c r="A31" s="157"/>
      <c r="K31" s="158"/>
    </row>
    <row r="32" spans="1:11" x14ac:dyDescent="0.2">
      <c r="A32" s="157"/>
      <c r="K32" s="158"/>
    </row>
    <row r="33" spans="1:11" x14ac:dyDescent="0.2">
      <c r="A33" s="157"/>
      <c r="K33" s="158"/>
    </row>
    <row r="34" spans="1:11" x14ac:dyDescent="0.2">
      <c r="A34" s="157"/>
      <c r="K34" s="158"/>
    </row>
    <row r="35" spans="1:11" x14ac:dyDescent="0.2">
      <c r="A35" s="157"/>
      <c r="K35" s="158"/>
    </row>
    <row r="36" spans="1:11" x14ac:dyDescent="0.2">
      <c r="A36" s="157"/>
      <c r="K36" s="158"/>
    </row>
    <row r="37" spans="1:11" x14ac:dyDescent="0.2">
      <c r="A37" s="157"/>
      <c r="K37" s="158"/>
    </row>
    <row r="38" spans="1:11" x14ac:dyDescent="0.2">
      <c r="A38" s="157"/>
      <c r="K38" s="158"/>
    </row>
    <row r="39" spans="1:11" x14ac:dyDescent="0.2">
      <c r="A39" s="157"/>
      <c r="K39" s="158"/>
    </row>
    <row r="40" spans="1:11" x14ac:dyDescent="0.2">
      <c r="A40" s="157"/>
      <c r="K40" s="158"/>
    </row>
    <row r="41" spans="1:11" x14ac:dyDescent="0.2">
      <c r="A41" s="157"/>
      <c r="K41" s="158"/>
    </row>
    <row r="42" spans="1:11" x14ac:dyDescent="0.2">
      <c r="A42" s="157"/>
      <c r="K42" s="158"/>
    </row>
    <row r="43" spans="1:11" x14ac:dyDescent="0.2">
      <c r="A43" s="157"/>
      <c r="K43" s="158"/>
    </row>
    <row r="44" spans="1:11" x14ac:dyDescent="0.2">
      <c r="A44" s="157"/>
      <c r="K44" s="158"/>
    </row>
    <row r="45" spans="1:11" x14ac:dyDescent="0.2">
      <c r="A45" s="157"/>
      <c r="K45" s="158"/>
    </row>
    <row r="46" spans="1:11" x14ac:dyDescent="0.2">
      <c r="A46" s="157"/>
      <c r="K46" s="158"/>
    </row>
    <row r="47" spans="1:11" ht="17" thickBot="1" x14ac:dyDescent="0.25">
      <c r="A47" s="159"/>
      <c r="B47" s="160"/>
      <c r="C47" s="160"/>
      <c r="D47" s="160"/>
      <c r="E47" s="160"/>
      <c r="F47" s="160"/>
      <c r="G47" s="160"/>
      <c r="H47" s="160"/>
      <c r="I47" s="160"/>
      <c r="J47" s="160"/>
      <c r="K47" s="161"/>
    </row>
  </sheetData>
  <pageMargins left="0.5" right="0" top="0.5" bottom="0.5" header="0.3" footer="0.3"/>
  <pageSetup orientation="portrait" verticalDpi="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7">
    <tabColor rgb="FFFF0000"/>
  </sheetPr>
  <dimension ref="A1:S30"/>
  <sheetViews>
    <sheetView topLeftCell="A6" workbookViewId="0">
      <selection activeCell="C68" sqref="C68:G68"/>
    </sheetView>
  </sheetViews>
  <sheetFormatPr baseColWidth="10" defaultColWidth="9" defaultRowHeight="16" x14ac:dyDescent="0.2"/>
  <cols>
    <col min="1" max="1" width="41.3984375" customWidth="1"/>
    <col min="2" max="2" width="12.59765625" customWidth="1"/>
    <col min="3" max="3" width="11.19921875" customWidth="1"/>
    <col min="4" max="4" width="10.3984375" bestFit="1" customWidth="1"/>
    <col min="5" max="5" width="12.3984375" bestFit="1" customWidth="1"/>
    <col min="12" max="12" width="11.59765625" customWidth="1"/>
    <col min="13" max="13" width="12.3984375" bestFit="1" customWidth="1"/>
  </cols>
  <sheetData>
    <row r="1" spans="1:19" x14ac:dyDescent="0.2">
      <c r="A1" s="137" t="s">
        <v>65</v>
      </c>
      <c r="B1" s="137"/>
      <c r="C1" s="137"/>
      <c r="D1" s="137"/>
      <c r="E1" s="137"/>
      <c r="F1" s="137"/>
      <c r="G1" s="141" t="s">
        <v>10</v>
      </c>
      <c r="H1" s="151">
        <v>1.0625</v>
      </c>
      <c r="I1" s="853" t="s">
        <v>114</v>
      </c>
      <c r="J1" s="853"/>
      <c r="K1" s="853"/>
      <c r="L1" s="853"/>
      <c r="M1" s="853"/>
      <c r="N1" s="137"/>
      <c r="O1" s="137"/>
      <c r="P1" s="137" t="s">
        <v>130</v>
      </c>
      <c r="Q1" s="137"/>
      <c r="R1" s="137"/>
      <c r="S1" s="137"/>
    </row>
    <row r="2" spans="1:19" x14ac:dyDescent="0.2">
      <c r="A2" s="137" t="s">
        <v>67</v>
      </c>
      <c r="B2" s="138" t="s">
        <v>66</v>
      </c>
      <c r="C2" s="138" t="s">
        <v>68</v>
      </c>
      <c r="D2" s="137" t="s">
        <v>107</v>
      </c>
      <c r="E2" s="137" t="s">
        <v>112</v>
      </c>
      <c r="F2" s="137"/>
      <c r="G2" s="137"/>
      <c r="H2" s="137"/>
      <c r="I2" s="137"/>
      <c r="J2" s="137"/>
      <c r="K2" s="137"/>
      <c r="L2" s="137"/>
      <c r="M2" s="137"/>
      <c r="N2" s="137"/>
      <c r="O2" s="137"/>
      <c r="P2" s="137"/>
      <c r="Q2" s="141" t="s">
        <v>67</v>
      </c>
      <c r="R2" s="137" t="s">
        <v>129</v>
      </c>
      <c r="S2" s="137"/>
    </row>
    <row r="3" spans="1:19" x14ac:dyDescent="0.2">
      <c r="A3" s="137" t="s">
        <v>73</v>
      </c>
      <c r="B3" s="139" t="e">
        <f>#REF!</f>
        <v>#REF!</v>
      </c>
      <c r="C3" s="138" t="e">
        <f>'Material Price'!#REF!</f>
        <v>#REF!</v>
      </c>
      <c r="D3" s="140">
        <v>0</v>
      </c>
      <c r="E3" s="140">
        <v>0</v>
      </c>
      <c r="F3" s="137"/>
      <c r="G3" s="137"/>
      <c r="H3" s="137"/>
      <c r="I3" s="137"/>
      <c r="J3" s="137"/>
      <c r="K3" s="141" t="s">
        <v>73</v>
      </c>
      <c r="L3" s="140">
        <f>E3</f>
        <v>0</v>
      </c>
      <c r="M3" s="140"/>
      <c r="N3" s="137"/>
      <c r="O3" s="137"/>
      <c r="P3" s="137"/>
      <c r="Q3" s="141" t="s">
        <v>73</v>
      </c>
      <c r="R3" s="137" t="e">
        <f>#REF!</f>
        <v>#REF!</v>
      </c>
      <c r="S3" s="137"/>
    </row>
    <row r="4" spans="1:19" x14ac:dyDescent="0.2">
      <c r="A4" s="137" t="s">
        <v>69</v>
      </c>
      <c r="B4" s="139" t="e">
        <f>#REF!-B3</f>
        <v>#REF!</v>
      </c>
      <c r="C4" s="138" t="e">
        <f>'Material Price'!#REF!</f>
        <v>#REF!</v>
      </c>
      <c r="D4" s="142" t="e">
        <f>B4*C4*H1</f>
        <v>#REF!</v>
      </c>
      <c r="E4" s="140" t="e">
        <f>((D4*100)*100)/(100-#REF!)/100</f>
        <v>#REF!</v>
      </c>
      <c r="F4" s="137"/>
      <c r="G4" s="137"/>
      <c r="H4" s="137"/>
      <c r="I4" s="140"/>
      <c r="J4" s="137"/>
      <c r="K4" s="141" t="s">
        <v>69</v>
      </c>
      <c r="L4" s="140" t="e">
        <f>E4</f>
        <v>#REF!</v>
      </c>
      <c r="M4" s="137"/>
      <c r="N4" s="137"/>
      <c r="O4" s="137"/>
      <c r="P4" s="137"/>
      <c r="Q4" s="141" t="s">
        <v>69</v>
      </c>
      <c r="R4" s="137" t="e">
        <f>#REF!</f>
        <v>#REF!</v>
      </c>
      <c r="S4" s="137"/>
    </row>
    <row r="5" spans="1:19" x14ac:dyDescent="0.2">
      <c r="A5" s="137" t="s">
        <v>106</v>
      </c>
      <c r="B5" s="139">
        <v>0</v>
      </c>
      <c r="C5" s="138">
        <v>0</v>
      </c>
      <c r="D5" s="137">
        <f>B5*C5</f>
        <v>0</v>
      </c>
      <c r="E5" s="137">
        <f>C5*D5</f>
        <v>0</v>
      </c>
      <c r="F5" s="137"/>
      <c r="G5" s="137"/>
      <c r="H5" s="137"/>
      <c r="I5" s="137"/>
      <c r="J5" s="137"/>
      <c r="K5" s="137"/>
      <c r="L5" s="137"/>
      <c r="M5" s="137"/>
      <c r="N5" s="137"/>
      <c r="O5" s="137"/>
      <c r="P5" s="137"/>
      <c r="Q5" s="141" t="s">
        <v>106</v>
      </c>
      <c r="R5" s="137"/>
      <c r="S5" s="137"/>
    </row>
    <row r="6" spans="1:19" x14ac:dyDescent="0.2">
      <c r="A6" s="137"/>
      <c r="B6" s="138"/>
      <c r="C6" s="138"/>
      <c r="D6" s="137"/>
      <c r="E6" s="137"/>
      <c r="F6" s="137"/>
      <c r="G6" s="137"/>
      <c r="H6" s="137"/>
      <c r="I6" s="137"/>
      <c r="J6" s="137"/>
      <c r="K6" s="137"/>
      <c r="L6" s="137"/>
      <c r="M6" s="137"/>
      <c r="N6" s="137"/>
      <c r="O6" s="137"/>
      <c r="P6" s="137"/>
      <c r="Q6" s="141"/>
      <c r="R6" s="137"/>
      <c r="S6" s="137"/>
    </row>
    <row r="7" spans="1:19" x14ac:dyDescent="0.2">
      <c r="A7" s="137" t="s">
        <v>63</v>
      </c>
      <c r="B7" s="138"/>
      <c r="C7" s="138"/>
      <c r="D7" s="137"/>
      <c r="E7" s="137"/>
      <c r="F7" s="137"/>
      <c r="G7" s="137"/>
      <c r="H7" s="137"/>
      <c r="I7" s="137"/>
      <c r="J7" s="137"/>
      <c r="K7" s="137"/>
      <c r="L7" s="137"/>
      <c r="M7" s="137"/>
      <c r="N7" s="137"/>
      <c r="O7" s="137"/>
      <c r="P7" s="137"/>
      <c r="Q7" s="141" t="s">
        <v>63</v>
      </c>
      <c r="R7" s="137"/>
      <c r="S7" s="137"/>
    </row>
    <row r="8" spans="1:19" x14ac:dyDescent="0.2">
      <c r="A8" s="137" t="s">
        <v>74</v>
      </c>
      <c r="B8" s="139" t="e">
        <f>#REF!</f>
        <v>#REF!</v>
      </c>
      <c r="C8" s="138" t="e">
        <f>'Material Price'!#REF!</f>
        <v>#REF!</v>
      </c>
      <c r="D8" s="140" t="e">
        <f>B8*C8</f>
        <v>#REF!</v>
      </c>
      <c r="E8" s="140">
        <v>0</v>
      </c>
      <c r="F8" s="137"/>
      <c r="G8" s="137"/>
      <c r="H8" s="137"/>
      <c r="I8" s="137"/>
      <c r="J8" s="137"/>
      <c r="K8" s="141" t="s">
        <v>74</v>
      </c>
      <c r="L8" s="140">
        <f>E8</f>
        <v>0</v>
      </c>
      <c r="M8" s="137"/>
      <c r="N8" s="137"/>
      <c r="O8" s="137"/>
      <c r="P8" s="137"/>
      <c r="Q8" s="141" t="s">
        <v>74</v>
      </c>
      <c r="R8" s="137" t="e">
        <f>#REF!</f>
        <v>#REF!</v>
      </c>
      <c r="S8" s="137"/>
    </row>
    <row r="9" spans="1:19" x14ac:dyDescent="0.2">
      <c r="A9" s="137" t="s">
        <v>70</v>
      </c>
      <c r="B9" s="139" t="e">
        <f>#REF!-B8</f>
        <v>#REF!</v>
      </c>
      <c r="C9" s="138" t="e">
        <f>'Material Price'!#REF!</f>
        <v>#REF!</v>
      </c>
      <c r="D9" s="140" t="e">
        <f>B9*C9*H1</f>
        <v>#REF!</v>
      </c>
      <c r="E9" s="140" t="e">
        <f>((D9)*100)/(100-#REF!)</f>
        <v>#REF!</v>
      </c>
      <c r="F9" s="137"/>
      <c r="G9" s="137"/>
      <c r="H9" s="137"/>
      <c r="I9" s="137"/>
      <c r="J9" s="137"/>
      <c r="K9" s="141" t="s">
        <v>70</v>
      </c>
      <c r="L9" s="140" t="e">
        <f>E9</f>
        <v>#REF!</v>
      </c>
      <c r="M9" s="137"/>
      <c r="N9" s="137"/>
      <c r="O9" s="137"/>
      <c r="P9" s="137"/>
      <c r="Q9" s="141" t="s">
        <v>70</v>
      </c>
      <c r="R9" s="137" t="e">
        <f>#REF!</f>
        <v>#REF!</v>
      </c>
      <c r="S9" s="137"/>
    </row>
    <row r="10" spans="1:19" x14ac:dyDescent="0.2">
      <c r="A10" s="137"/>
      <c r="B10" s="138"/>
      <c r="C10" s="138"/>
      <c r="D10" s="137"/>
      <c r="E10" s="137"/>
      <c r="F10" s="137"/>
      <c r="G10" s="137"/>
      <c r="H10" s="137"/>
      <c r="I10" s="137"/>
      <c r="J10" s="137"/>
      <c r="K10" s="137"/>
      <c r="L10" s="137"/>
      <c r="M10" s="137"/>
      <c r="N10" s="137"/>
      <c r="O10" s="137"/>
      <c r="P10" s="137"/>
      <c r="Q10" s="141"/>
      <c r="R10" s="137"/>
      <c r="S10" s="137"/>
    </row>
    <row r="11" spans="1:19" x14ac:dyDescent="0.2">
      <c r="A11" s="137"/>
      <c r="B11" s="138"/>
      <c r="C11" s="138"/>
      <c r="D11" s="137"/>
      <c r="E11" s="137"/>
      <c r="F11" s="137"/>
      <c r="G11" s="137"/>
      <c r="H11" s="137"/>
      <c r="I11" s="137"/>
      <c r="J11" s="137"/>
      <c r="K11" s="137"/>
      <c r="L11" s="137"/>
      <c r="M11" s="137"/>
      <c r="N11" s="137"/>
      <c r="O11" s="137"/>
      <c r="P11" s="137"/>
      <c r="Q11" s="141"/>
      <c r="R11" s="137"/>
      <c r="S11" s="137"/>
    </row>
    <row r="12" spans="1:19" x14ac:dyDescent="0.2">
      <c r="A12" s="137" t="s">
        <v>71</v>
      </c>
      <c r="B12" s="138"/>
      <c r="C12" s="138"/>
      <c r="D12" s="137"/>
      <c r="E12" s="137"/>
      <c r="F12" s="137"/>
      <c r="G12" s="137"/>
      <c r="H12" s="137"/>
      <c r="I12" s="137"/>
      <c r="J12" s="137"/>
      <c r="K12" s="137"/>
      <c r="L12" s="137"/>
      <c r="M12" s="137"/>
      <c r="N12" s="137"/>
      <c r="O12" s="137"/>
      <c r="P12" s="137"/>
      <c r="Q12" s="141" t="s">
        <v>71</v>
      </c>
      <c r="R12" s="137"/>
      <c r="S12" s="137"/>
    </row>
    <row r="13" spans="1:19" x14ac:dyDescent="0.2">
      <c r="A13" s="137" t="s">
        <v>72</v>
      </c>
      <c r="B13" s="139" t="e">
        <f>#REF!</f>
        <v>#REF!</v>
      </c>
      <c r="C13" s="138" t="e">
        <f>'Material Price'!#REF!</f>
        <v>#REF!</v>
      </c>
      <c r="D13" s="140" t="e">
        <f>B13*C13</f>
        <v>#REF!</v>
      </c>
      <c r="E13" s="140">
        <v>0</v>
      </c>
      <c r="F13" s="137"/>
      <c r="G13" s="137"/>
      <c r="H13" s="137"/>
      <c r="I13" s="137"/>
      <c r="J13" s="137"/>
      <c r="K13" s="141" t="s">
        <v>72</v>
      </c>
      <c r="L13" s="140">
        <f>E13</f>
        <v>0</v>
      </c>
      <c r="M13" s="137"/>
      <c r="N13" s="137"/>
      <c r="O13" s="137"/>
      <c r="P13" s="137"/>
      <c r="Q13" s="141" t="s">
        <v>72</v>
      </c>
      <c r="R13" s="137" t="e">
        <f>#REF!</f>
        <v>#REF!</v>
      </c>
      <c r="S13" s="137" t="e">
        <f>'Material Price'!#REF!</f>
        <v>#REF!</v>
      </c>
    </row>
    <row r="14" spans="1:19" x14ac:dyDescent="0.2">
      <c r="A14" s="137" t="s">
        <v>75</v>
      </c>
      <c r="B14" s="139" t="e">
        <f>#REF!-B13</f>
        <v>#REF!</v>
      </c>
      <c r="C14" s="138" t="e">
        <f>'Material Price'!#REF!</f>
        <v>#REF!</v>
      </c>
      <c r="D14" s="140" t="e">
        <f>B14*C14*H1</f>
        <v>#REF!</v>
      </c>
      <c r="E14" s="140" t="e">
        <f>((D14)*100)/(100-#REF!)</f>
        <v>#REF!</v>
      </c>
      <c r="F14" s="137"/>
      <c r="G14" s="137"/>
      <c r="H14" s="137"/>
      <c r="I14" s="137"/>
      <c r="J14" s="137"/>
      <c r="K14" s="141" t="s">
        <v>75</v>
      </c>
      <c r="L14" s="140" t="e">
        <f>E14</f>
        <v>#REF!</v>
      </c>
      <c r="M14" s="137"/>
      <c r="N14" s="137"/>
      <c r="O14" s="137"/>
      <c r="P14" s="137"/>
      <c r="Q14" s="141" t="s">
        <v>75</v>
      </c>
      <c r="R14" s="137" t="e">
        <f>#REF!</f>
        <v>#REF!</v>
      </c>
      <c r="S14" s="137" t="e">
        <f>'Material Price'!#REF!</f>
        <v>#REF!</v>
      </c>
    </row>
    <row r="15" spans="1:19" x14ac:dyDescent="0.2">
      <c r="A15" s="137" t="s">
        <v>76</v>
      </c>
      <c r="B15" s="139" t="e">
        <f>#REF!-B13</f>
        <v>#REF!</v>
      </c>
      <c r="C15" s="138" t="e">
        <f>'Material Price'!#REF!</f>
        <v>#REF!</v>
      </c>
      <c r="D15" s="140" t="e">
        <f>C15*B15*H1</f>
        <v>#REF!</v>
      </c>
      <c r="E15" s="140" t="e">
        <f>((D15)*100)/(100-#REF!)</f>
        <v>#REF!</v>
      </c>
      <c r="F15" s="137"/>
      <c r="G15" s="137"/>
      <c r="H15" s="137"/>
      <c r="I15" s="137"/>
      <c r="J15" s="137"/>
      <c r="K15" s="141" t="s">
        <v>76</v>
      </c>
      <c r="L15" s="140" t="e">
        <f>E15</f>
        <v>#REF!</v>
      </c>
      <c r="M15" s="137"/>
      <c r="N15" s="137"/>
      <c r="O15" s="137"/>
      <c r="P15" s="137"/>
      <c r="Q15" s="141" t="s">
        <v>76</v>
      </c>
      <c r="R15" s="137" t="e">
        <f>#REF!</f>
        <v>#REF!</v>
      </c>
      <c r="S15" s="137" t="e">
        <f>S14</f>
        <v>#REF!</v>
      </c>
    </row>
    <row r="16" spans="1:19" x14ac:dyDescent="0.2">
      <c r="A16" s="137" t="s">
        <v>78</v>
      </c>
      <c r="B16" s="139" t="e">
        <f>#REF!-B13</f>
        <v>#REF!</v>
      </c>
      <c r="C16" s="138" t="e">
        <f>'Material Price'!#REF!</f>
        <v>#REF!</v>
      </c>
      <c r="D16" s="140" t="e">
        <f>C16*B16*H1</f>
        <v>#REF!</v>
      </c>
      <c r="E16" s="140" t="e">
        <f>((D16)*100)/(100-#REF!)</f>
        <v>#REF!</v>
      </c>
      <c r="F16" s="137"/>
      <c r="G16" s="137"/>
      <c r="H16" s="137"/>
      <c r="I16" s="137"/>
      <c r="J16" s="137"/>
      <c r="K16" s="141" t="s">
        <v>78</v>
      </c>
      <c r="L16" s="140" t="e">
        <f>E16</f>
        <v>#REF!</v>
      </c>
      <c r="M16" s="137"/>
      <c r="N16" s="137"/>
      <c r="O16" s="137"/>
      <c r="P16" s="137"/>
      <c r="Q16" s="141" t="s">
        <v>78</v>
      </c>
      <c r="R16" s="137" t="e">
        <f>#REF!</f>
        <v>#REF!</v>
      </c>
      <c r="S16" s="137" t="e">
        <f>S15</f>
        <v>#REF!</v>
      </c>
    </row>
    <row r="17" spans="1:19" x14ac:dyDescent="0.2">
      <c r="A17" s="137"/>
      <c r="B17" s="138"/>
      <c r="C17" s="138"/>
      <c r="D17" s="137"/>
      <c r="E17" s="137"/>
      <c r="F17" s="137"/>
      <c r="G17" s="137"/>
      <c r="H17" s="137"/>
      <c r="I17" s="137"/>
      <c r="J17" s="137"/>
      <c r="K17" s="137"/>
      <c r="L17" s="137"/>
      <c r="M17" s="137"/>
      <c r="N17" s="137"/>
      <c r="O17" s="137"/>
      <c r="P17" s="137"/>
      <c r="Q17" s="141"/>
      <c r="R17" s="137"/>
      <c r="S17" s="137"/>
    </row>
    <row r="18" spans="1:19" x14ac:dyDescent="0.2">
      <c r="A18" s="137"/>
      <c r="B18" s="138"/>
      <c r="C18" s="138"/>
      <c r="D18" s="137"/>
      <c r="E18" s="137"/>
      <c r="F18" s="137"/>
      <c r="G18" s="137"/>
      <c r="H18" s="137"/>
      <c r="I18" s="137"/>
      <c r="J18" s="137"/>
      <c r="K18" s="137"/>
      <c r="L18" s="137"/>
      <c r="M18" s="137"/>
      <c r="N18" s="137"/>
      <c r="O18" s="137"/>
      <c r="P18" s="137"/>
      <c r="Q18" s="141"/>
      <c r="R18" s="137"/>
      <c r="S18" s="137"/>
    </row>
    <row r="19" spans="1:19" x14ac:dyDescent="0.2">
      <c r="A19" s="137" t="s">
        <v>59</v>
      </c>
      <c r="B19" s="138"/>
      <c r="C19" s="138"/>
      <c r="D19" s="137"/>
      <c r="E19" s="137"/>
      <c r="F19" s="137"/>
      <c r="G19" s="137"/>
      <c r="H19" s="137"/>
      <c r="I19" s="137"/>
      <c r="J19" s="137"/>
      <c r="K19" s="137"/>
      <c r="L19" s="137"/>
      <c r="M19" s="137"/>
      <c r="N19" s="137"/>
      <c r="O19" s="137"/>
      <c r="P19" s="137"/>
      <c r="Q19" s="141" t="s">
        <v>59</v>
      </c>
      <c r="R19" s="137"/>
      <c r="S19" s="137"/>
    </row>
    <row r="20" spans="1:19" x14ac:dyDescent="0.2">
      <c r="A20" s="137" t="s">
        <v>116</v>
      </c>
      <c r="B20" s="139" t="e">
        <f>#REF!</f>
        <v>#REF!</v>
      </c>
      <c r="C20" s="138" t="e">
        <f>'Material Price'!#REF!</f>
        <v>#REF!</v>
      </c>
      <c r="D20" s="140" t="e">
        <f>B20*C20</f>
        <v>#REF!</v>
      </c>
      <c r="E20" s="140">
        <v>0</v>
      </c>
      <c r="F20" s="137"/>
      <c r="G20" s="137"/>
      <c r="H20" s="137"/>
      <c r="I20" s="137"/>
      <c r="J20" s="137"/>
      <c r="K20" s="141" t="str">
        <f>A20</f>
        <v>Cobra® Exhaust Vent (included)</v>
      </c>
      <c r="L20" s="140">
        <f>E20</f>
        <v>0</v>
      </c>
      <c r="M20" s="137"/>
      <c r="N20" s="137"/>
      <c r="O20" s="137"/>
      <c r="P20" s="137"/>
      <c r="Q20" s="141" t="s">
        <v>116</v>
      </c>
      <c r="R20" s="137" t="e">
        <f>#REF!</f>
        <v>#REF!</v>
      </c>
      <c r="S20" s="137" t="e">
        <f>'Material Price'!#REF!</f>
        <v>#REF!</v>
      </c>
    </row>
    <row r="21" spans="1:19" ht="16.5" customHeight="1" x14ac:dyDescent="0.2">
      <c r="A21" s="137" t="s">
        <v>77</v>
      </c>
      <c r="B21" s="139" t="e">
        <f>#REF!</f>
        <v>#REF!</v>
      </c>
      <c r="C21" s="138" t="e">
        <f>'Material Price'!#REF!</f>
        <v>#REF!</v>
      </c>
      <c r="D21" s="140" t="e">
        <f>B21*C21*H1</f>
        <v>#REF!</v>
      </c>
      <c r="E21" s="140" t="e">
        <f>((D21)*100)/(100-#REF!)</f>
        <v>#REF!</v>
      </c>
      <c r="F21" s="137"/>
      <c r="G21" s="137"/>
      <c r="H21" s="137"/>
      <c r="I21" s="137"/>
      <c r="J21" s="137"/>
      <c r="K21" s="141" t="str">
        <f>A21</f>
        <v>Cobra® Snow Country™</v>
      </c>
      <c r="L21" s="140" t="e">
        <f>E21</f>
        <v>#REF!</v>
      </c>
      <c r="M21" s="137"/>
      <c r="N21" s="137"/>
      <c r="O21" s="137"/>
      <c r="P21" s="137"/>
      <c r="Q21" s="141" t="s">
        <v>77</v>
      </c>
      <c r="R21" s="137" t="e">
        <f>#REF!</f>
        <v>#REF!</v>
      </c>
      <c r="S21" s="137" t="e">
        <f>'Material Price'!#REF!</f>
        <v>#REF!</v>
      </c>
    </row>
    <row r="22" spans="1:19" x14ac:dyDescent="0.2">
      <c r="A22" s="137"/>
      <c r="B22" s="137"/>
      <c r="C22" s="137"/>
      <c r="D22" s="137"/>
      <c r="E22" s="137"/>
      <c r="F22" s="137"/>
      <c r="G22" s="137"/>
      <c r="H22" s="137"/>
      <c r="I22" s="137"/>
      <c r="J22" s="137"/>
      <c r="K22" s="137"/>
      <c r="L22" s="137"/>
      <c r="M22" s="137"/>
      <c r="N22" s="137"/>
      <c r="O22" s="137"/>
      <c r="P22" s="137"/>
      <c r="Q22" s="141"/>
      <c r="R22" s="137"/>
      <c r="S22" s="137"/>
    </row>
    <row r="23" spans="1:19" x14ac:dyDescent="0.2">
      <c r="A23" s="137"/>
      <c r="B23" s="137"/>
      <c r="C23" s="137"/>
      <c r="D23" s="137"/>
      <c r="E23" s="137"/>
      <c r="F23" s="137"/>
      <c r="G23" s="137"/>
      <c r="H23" s="137"/>
      <c r="I23" s="137"/>
      <c r="J23" s="137"/>
      <c r="K23" s="137"/>
      <c r="L23" s="137"/>
      <c r="M23" s="140"/>
      <c r="N23" s="137"/>
      <c r="O23" s="137"/>
      <c r="P23" s="137"/>
      <c r="Q23" s="141"/>
      <c r="R23" s="137"/>
      <c r="S23" s="137"/>
    </row>
    <row r="24" spans="1:19" x14ac:dyDescent="0.2">
      <c r="A24" s="137" t="s">
        <v>89</v>
      </c>
      <c r="B24" s="137"/>
      <c r="C24" s="137"/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41" t="s">
        <v>89</v>
      </c>
      <c r="R24" s="137"/>
      <c r="S24" s="137"/>
    </row>
    <row r="25" spans="1:19" x14ac:dyDescent="0.2">
      <c r="A25" s="137" t="s">
        <v>109</v>
      </c>
      <c r="B25" s="143">
        <f>'Warranties Prices'!D3</f>
        <v>70</v>
      </c>
      <c r="C25" s="137">
        <v>0</v>
      </c>
      <c r="D25" s="140">
        <f>B25*C25</f>
        <v>0</v>
      </c>
      <c r="E25" s="140">
        <f>D25</f>
        <v>0</v>
      </c>
      <c r="F25" s="137"/>
      <c r="G25" s="137"/>
      <c r="H25" s="137"/>
      <c r="I25" s="137"/>
      <c r="J25" s="137"/>
      <c r="K25" s="141" t="s">
        <v>117</v>
      </c>
      <c r="L25" s="140">
        <f>$E$25</f>
        <v>0</v>
      </c>
      <c r="M25" s="137"/>
      <c r="N25" s="137"/>
      <c r="O25" s="137"/>
      <c r="P25" s="137"/>
      <c r="Q25" s="141" t="s">
        <v>117</v>
      </c>
      <c r="R25" s="137">
        <f>'Warranties Prices'!D3</f>
        <v>70</v>
      </c>
      <c r="S25" s="137"/>
    </row>
    <row r="26" spans="1:19" x14ac:dyDescent="0.2">
      <c r="A26" s="137" t="s">
        <v>113</v>
      </c>
      <c r="B26" s="143">
        <f>'Warranties Prices'!E4</f>
        <v>9</v>
      </c>
      <c r="C26" s="137">
        <f>'Deck TakeOff'!$H$118</f>
        <v>0</v>
      </c>
      <c r="D26" s="140">
        <f>(B26*C26)-B25</f>
        <v>-70</v>
      </c>
      <c r="E26" s="140" t="e">
        <f>((D26)*100)/(100-#REF!)</f>
        <v>#REF!</v>
      </c>
      <c r="F26" s="137"/>
      <c r="G26" s="137"/>
      <c r="H26" s="137"/>
      <c r="I26" s="137"/>
      <c r="J26" s="137"/>
      <c r="K26" s="141" t="s">
        <v>85</v>
      </c>
      <c r="L26" s="140" t="e">
        <f>$E$28</f>
        <v>#REF!</v>
      </c>
      <c r="M26" s="137"/>
      <c r="N26" s="137"/>
      <c r="O26" s="137"/>
      <c r="P26" s="137"/>
      <c r="Q26" s="141" t="s">
        <v>85</v>
      </c>
      <c r="R26" s="137">
        <f>'Material Price'!$I$166</f>
        <v>0</v>
      </c>
      <c r="S26" s="137"/>
    </row>
    <row r="27" spans="1:19" x14ac:dyDescent="0.2">
      <c r="A27" s="137" t="s">
        <v>110</v>
      </c>
      <c r="B27" s="137"/>
      <c r="C27" s="137"/>
      <c r="D27" s="140">
        <f>'Deck TakeOff'!K130</f>
        <v>0</v>
      </c>
      <c r="E27" s="140" t="e">
        <f>((D27)*100)/(100-#REF!)</f>
        <v>#REF!</v>
      </c>
      <c r="F27" s="137"/>
      <c r="G27" s="137"/>
      <c r="H27" s="137"/>
      <c r="I27" s="137"/>
      <c r="J27" s="137"/>
      <c r="K27" s="137"/>
      <c r="L27" s="137"/>
      <c r="M27" s="137"/>
      <c r="N27" s="137"/>
      <c r="O27" s="137"/>
      <c r="P27" s="137"/>
      <c r="Q27" s="141"/>
      <c r="R27" s="137"/>
      <c r="S27" s="137"/>
    </row>
    <row r="28" spans="1:19" x14ac:dyDescent="0.2">
      <c r="A28" s="137" t="s">
        <v>111</v>
      </c>
      <c r="B28" s="137"/>
      <c r="C28" s="137"/>
      <c r="D28" s="140">
        <f>D26+D27</f>
        <v>-70</v>
      </c>
      <c r="E28" s="140" t="e">
        <f>((D28)*100)/(100-#REF!)</f>
        <v>#REF!</v>
      </c>
      <c r="F28" s="137"/>
      <c r="G28" s="137"/>
      <c r="H28" s="137"/>
      <c r="I28" s="137"/>
      <c r="J28" s="137"/>
      <c r="K28" s="137"/>
      <c r="L28" s="137"/>
      <c r="M28" s="137"/>
      <c r="N28" s="137"/>
      <c r="O28" s="137"/>
      <c r="P28" s="137"/>
      <c r="Q28" s="137"/>
      <c r="R28" s="137"/>
      <c r="S28" s="137"/>
    </row>
    <row r="29" spans="1:19" x14ac:dyDescent="0.2">
      <c r="A29" s="137"/>
      <c r="B29" s="137"/>
      <c r="C29" s="137"/>
      <c r="D29" s="137"/>
      <c r="E29" s="137"/>
      <c r="F29" s="137"/>
      <c r="G29" s="137"/>
      <c r="H29" s="137"/>
      <c r="I29" s="137"/>
      <c r="J29" s="137"/>
      <c r="K29" s="137"/>
      <c r="L29" s="137"/>
      <c r="M29" s="137"/>
      <c r="N29" s="137"/>
      <c r="O29" s="137"/>
      <c r="P29" s="137"/>
      <c r="Q29" s="137"/>
      <c r="R29" s="137"/>
      <c r="S29" s="137"/>
    </row>
    <row r="30" spans="1:19" x14ac:dyDescent="0.2">
      <c r="A30" s="137"/>
      <c r="B30" s="137"/>
      <c r="C30" s="137"/>
      <c r="D30" s="137"/>
      <c r="E30" s="137"/>
      <c r="F30" s="137"/>
      <c r="G30" s="137"/>
      <c r="H30" s="137"/>
      <c r="I30" s="137"/>
      <c r="J30" s="137"/>
      <c r="K30" s="137"/>
      <c r="L30" s="137"/>
      <c r="M30" s="137"/>
      <c r="N30" s="137"/>
      <c r="O30" s="137"/>
      <c r="P30" s="137"/>
      <c r="Q30" s="137"/>
      <c r="R30" s="137"/>
      <c r="S30" s="137"/>
    </row>
  </sheetData>
  <mergeCells count="1">
    <mergeCell ref="I1:M1"/>
  </mergeCells>
  <dataValidations count="1">
    <dataValidation type="list" allowBlank="1" showInputMessage="1" showErrorMessage="1" sqref="I3" xr:uid="{00000000-0002-0000-0C00-000000000000}">
      <formula1>$A$3:$A$4</formula1>
    </dataValidation>
  </dataValidations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8">
    <tabColor rgb="FFFF0000"/>
    <pageSetUpPr fitToPage="1"/>
  </sheetPr>
  <dimension ref="A1:AM116"/>
  <sheetViews>
    <sheetView showGridLines="0" showZeros="0" view="pageBreakPreview" topLeftCell="A13" zoomScale="70" zoomScaleNormal="100" zoomScaleSheetLayoutView="70" workbookViewId="0">
      <selection activeCell="C68" sqref="C68:G68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2.3984375" style="1" customWidth="1"/>
    <col min="5" max="7" width="11.59765625" style="1" customWidth="1"/>
    <col min="8" max="8" width="37" style="1" customWidth="1"/>
    <col min="9" max="9" width="14.3984375" style="1" customWidth="1"/>
    <col min="10" max="10" width="9.796875" style="1" customWidth="1"/>
    <col min="11" max="11" width="18.59765625" style="2" customWidth="1"/>
    <col min="12" max="12" width="4.19921875" style="2" customWidth="1"/>
    <col min="13" max="13" width="7.59765625" style="2" customWidth="1"/>
    <col min="14" max="14" width="6.3984375" style="2" customWidth="1"/>
    <col min="15" max="15" width="2.59765625" style="3" customWidth="1"/>
    <col min="16" max="16" width="10.3984375" style="1" customWidth="1"/>
    <col min="17" max="17" width="3.3984375" style="1" customWidth="1"/>
    <col min="18" max="18" width="7.3984375" style="1" customWidth="1"/>
    <col min="19" max="19" width="1.59765625" style="1" customWidth="1"/>
    <col min="20" max="20" width="6" style="1" customWidth="1"/>
    <col min="21" max="21" width="3.3984375" style="1" customWidth="1"/>
    <col min="22" max="22" width="6" style="1" customWidth="1"/>
    <col min="23" max="23" width="3.3984375" style="1" customWidth="1"/>
    <col min="24" max="24" width="6.59765625" style="1" customWidth="1"/>
    <col min="25" max="25" width="3.3984375" style="1" customWidth="1"/>
    <col min="26" max="26" width="4.59765625" style="1" customWidth="1"/>
    <col min="27" max="27" width="2.19921875" style="1" customWidth="1"/>
    <col min="28" max="28" width="9.19921875" style="1" customWidth="1"/>
    <col min="29" max="30" width="8.796875" style="1"/>
    <col min="31" max="31" width="17.796875" style="1" customWidth="1"/>
    <col min="32" max="16384" width="8.796875" style="1"/>
  </cols>
  <sheetData>
    <row r="1" spans="1:28" ht="15" customHeight="1" thickBot="1" x14ac:dyDescent="0.35">
      <c r="A1" s="75"/>
      <c r="B1" s="75"/>
      <c r="C1" s="75"/>
      <c r="D1" s="75"/>
      <c r="E1" s="75"/>
      <c r="F1" s="75"/>
      <c r="G1" s="75"/>
      <c r="H1" s="75"/>
      <c r="I1" s="75"/>
      <c r="J1" s="75"/>
      <c r="K1" s="77"/>
      <c r="L1" s="77"/>
      <c r="M1" s="77"/>
      <c r="N1" s="77"/>
      <c r="O1" s="78"/>
      <c r="P1" s="79"/>
      <c r="Q1" s="79"/>
      <c r="R1" s="79"/>
      <c r="S1" s="79"/>
      <c r="T1" s="79"/>
      <c r="U1" s="79"/>
      <c r="V1" s="79"/>
      <c r="W1" s="79"/>
      <c r="X1" s="79"/>
      <c r="Y1" s="79"/>
      <c r="Z1" s="79"/>
      <c r="AA1" s="75"/>
      <c r="AB1" s="75"/>
    </row>
    <row r="2" spans="1:28" ht="34.5" customHeight="1" thickBot="1" x14ac:dyDescent="0.35">
      <c r="A2" s="75"/>
      <c r="B2" s="80"/>
      <c r="C2" s="81"/>
      <c r="D2" s="72" t="s">
        <v>79</v>
      </c>
      <c r="E2" s="72"/>
      <c r="F2" s="72"/>
      <c r="G2" s="72"/>
      <c r="H2" s="72"/>
      <c r="I2" s="72"/>
      <c r="J2" s="72"/>
      <c r="K2" s="72"/>
      <c r="L2" s="72"/>
      <c r="M2" s="72"/>
      <c r="N2" s="72"/>
      <c r="O2" s="82"/>
      <c r="P2" s="75"/>
      <c r="Q2" s="75"/>
      <c r="R2" s="75"/>
      <c r="S2" s="75"/>
      <c r="T2" s="75"/>
      <c r="U2" s="81"/>
      <c r="V2" s="81"/>
      <c r="W2" s="81"/>
      <c r="X2" s="75"/>
      <c r="Y2" s="81"/>
      <c r="Z2" s="76"/>
      <c r="AA2" s="75"/>
      <c r="AB2" s="75"/>
    </row>
    <row r="3" spans="1:28" ht="28" thickTop="1" thickBot="1" x14ac:dyDescent="0.35">
      <c r="A3" s="75"/>
      <c r="B3" s="83"/>
      <c r="C3" s="75"/>
      <c r="D3" s="882"/>
      <c r="E3" s="882"/>
      <c r="F3" s="882"/>
      <c r="G3" s="882"/>
      <c r="H3" s="882"/>
      <c r="I3" s="882"/>
      <c r="J3" s="882"/>
      <c r="K3" s="882"/>
      <c r="L3" s="882"/>
      <c r="M3" s="882"/>
      <c r="N3" s="882"/>
      <c r="O3" s="882"/>
      <c r="P3" s="882"/>
      <c r="Q3" s="882"/>
      <c r="R3" s="882"/>
      <c r="S3" s="882"/>
      <c r="T3" s="882"/>
      <c r="U3" s="882"/>
      <c r="V3" s="882"/>
      <c r="W3" s="882"/>
      <c r="X3" s="882"/>
      <c r="Y3" s="882"/>
      <c r="Z3" s="76"/>
      <c r="AA3" s="75"/>
      <c r="AB3" s="75"/>
    </row>
    <row r="4" spans="1:28" ht="14.25" customHeight="1" thickTop="1" thickBot="1" x14ac:dyDescent="0.35">
      <c r="A4" s="75"/>
      <c r="B4" s="83"/>
      <c r="C4" s="75"/>
      <c r="D4" s="894"/>
      <c r="E4" s="894"/>
      <c r="F4" s="894"/>
      <c r="G4" s="894"/>
      <c r="H4" s="894"/>
      <c r="I4" s="894"/>
      <c r="J4" s="894"/>
      <c r="K4" s="894"/>
      <c r="L4" s="894"/>
      <c r="M4" s="894"/>
      <c r="N4" s="894"/>
      <c r="O4" s="78"/>
      <c r="P4" s="75"/>
      <c r="Q4" s="75"/>
      <c r="R4" s="75"/>
      <c r="S4" s="75"/>
      <c r="T4" s="75"/>
      <c r="U4" s="75"/>
      <c r="V4" s="75"/>
      <c r="W4" s="75"/>
      <c r="X4" s="75"/>
      <c r="Y4" s="75"/>
      <c r="Z4" s="76"/>
      <c r="AA4" s="75"/>
      <c r="AB4" s="75"/>
    </row>
    <row r="5" spans="1:28" ht="27" thickBot="1" x14ac:dyDescent="0.35">
      <c r="A5" s="75"/>
      <c r="B5" s="83"/>
      <c r="C5" s="84" t="s">
        <v>53</v>
      </c>
      <c r="D5" s="85"/>
      <c r="E5" s="895">
        <f>'Deck TakeOff'!$E$5</f>
        <v>0</v>
      </c>
      <c r="F5" s="878"/>
      <c r="G5" s="878"/>
      <c r="H5" s="896"/>
      <c r="I5" s="75" t="s">
        <v>52</v>
      </c>
      <c r="J5" s="877">
        <f>'Deck TakeOff'!$I$5</f>
        <v>0</v>
      </c>
      <c r="K5" s="877"/>
      <c r="L5" s="77"/>
      <c r="M5" s="77"/>
      <c r="N5" s="77"/>
      <c r="O5" s="78"/>
      <c r="P5" s="75"/>
      <c r="Q5" s="75"/>
      <c r="R5" s="75"/>
      <c r="S5" s="75"/>
      <c r="T5" s="75"/>
      <c r="U5" s="75"/>
      <c r="V5" s="75"/>
      <c r="W5" s="75"/>
      <c r="X5" s="75"/>
      <c r="Y5" s="75"/>
      <c r="Z5" s="76"/>
      <c r="AA5" s="75"/>
      <c r="AB5" s="75"/>
    </row>
    <row r="6" spans="1:28" ht="27" thickBot="1" x14ac:dyDescent="0.35">
      <c r="A6" s="75"/>
      <c r="B6" s="83"/>
      <c r="C6" s="84" t="s">
        <v>48</v>
      </c>
      <c r="D6" s="86"/>
      <c r="E6" s="878" t="e">
        <f>'Deck TakeOff'!#REF!</f>
        <v>#REF!</v>
      </c>
      <c r="F6" s="878"/>
      <c r="G6" s="878"/>
      <c r="H6" s="878"/>
      <c r="I6" s="84" t="s">
        <v>51</v>
      </c>
      <c r="J6" s="879" t="e">
        <f>'Deck TakeOff'!#REF!</f>
        <v>#REF!</v>
      </c>
      <c r="K6" s="879"/>
      <c r="L6" s="880"/>
      <c r="M6" s="881"/>
      <c r="N6" s="87"/>
      <c r="O6" s="78"/>
      <c r="P6" s="75"/>
      <c r="Q6" s="75"/>
      <c r="R6" s="75"/>
      <c r="S6" s="75"/>
      <c r="T6" s="75"/>
      <c r="U6" s="75"/>
      <c r="V6" s="75"/>
      <c r="W6" s="75"/>
      <c r="X6" s="75"/>
      <c r="Y6" s="75"/>
      <c r="Z6" s="76"/>
      <c r="AA6" s="75"/>
      <c r="AB6" s="75"/>
    </row>
    <row r="7" spans="1:28" ht="26" x14ac:dyDescent="0.3">
      <c r="A7" s="75"/>
      <c r="B7" s="83"/>
      <c r="C7" s="84" t="s">
        <v>54</v>
      </c>
      <c r="D7" s="86"/>
      <c r="E7" s="892">
        <f>'Deck TakeOff'!$E$6</f>
        <v>0</v>
      </c>
      <c r="F7" s="892"/>
      <c r="G7" s="892"/>
      <c r="H7" s="892"/>
      <c r="I7" s="84" t="s">
        <v>47</v>
      </c>
      <c r="J7" s="893">
        <f>'Deck TakeOff'!$I$6</f>
        <v>0</v>
      </c>
      <c r="K7" s="893"/>
      <c r="L7" s="88"/>
      <c r="M7" s="89"/>
      <c r="N7" s="87"/>
      <c r="O7" s="78"/>
      <c r="P7" s="75"/>
      <c r="Q7" s="75"/>
      <c r="R7" s="75"/>
      <c r="S7" s="75"/>
      <c r="T7" s="75"/>
      <c r="U7" s="75"/>
      <c r="V7" s="75"/>
      <c r="W7" s="75"/>
      <c r="X7" s="75"/>
      <c r="Y7" s="75"/>
      <c r="Z7" s="76"/>
      <c r="AA7" s="75"/>
      <c r="AB7" s="75"/>
    </row>
    <row r="8" spans="1:28" ht="27" thickBot="1" x14ac:dyDescent="0.35">
      <c r="A8" s="75"/>
      <c r="B8" s="83"/>
      <c r="C8" s="84" t="s">
        <v>55</v>
      </c>
      <c r="D8" s="90"/>
      <c r="E8" s="888" t="e">
        <f>'Deck TakeOff'!#REF!</f>
        <v>#REF!</v>
      </c>
      <c r="F8" s="889"/>
      <c r="G8" s="889"/>
      <c r="H8" s="890"/>
      <c r="I8" s="891"/>
      <c r="J8" s="891"/>
      <c r="K8" s="891"/>
      <c r="L8" s="897"/>
      <c r="M8" s="897"/>
      <c r="N8" s="77"/>
      <c r="O8" s="78"/>
      <c r="P8" s="75"/>
      <c r="Q8" s="75"/>
      <c r="R8" s="75"/>
      <c r="S8" s="75"/>
      <c r="T8" s="75"/>
      <c r="U8" s="75"/>
      <c r="V8" s="75"/>
      <c r="W8" s="75"/>
      <c r="X8" s="75"/>
      <c r="Y8" s="75"/>
      <c r="Z8" s="76"/>
      <c r="AA8" s="75"/>
      <c r="AB8" s="75"/>
    </row>
    <row r="9" spans="1:28" ht="21" customHeight="1" x14ac:dyDescent="0.3">
      <c r="A9" s="75"/>
      <c r="B9" s="83"/>
      <c r="C9" s="84"/>
      <c r="D9" s="75"/>
      <c r="E9" s="75"/>
      <c r="F9" s="75"/>
      <c r="G9" s="75"/>
      <c r="H9" s="75"/>
      <c r="I9" s="891"/>
      <c r="J9" s="891"/>
      <c r="K9" s="891"/>
      <c r="L9" s="897"/>
      <c r="M9" s="897"/>
      <c r="N9" s="77"/>
      <c r="O9" s="78"/>
      <c r="P9" s="75"/>
      <c r="Q9" s="75"/>
      <c r="R9" s="75"/>
      <c r="S9" s="75"/>
      <c r="T9" s="75"/>
      <c r="U9" s="75"/>
      <c r="V9" s="75"/>
      <c r="W9" s="75"/>
      <c r="X9" s="75"/>
      <c r="Y9" s="75"/>
      <c r="Z9" s="76"/>
      <c r="AA9" s="75"/>
      <c r="AB9" s="75"/>
    </row>
    <row r="10" spans="1:28" ht="23.25" customHeight="1" x14ac:dyDescent="0.3">
      <c r="A10" s="75"/>
      <c r="B10" s="83"/>
      <c r="C10" s="885" t="s">
        <v>99</v>
      </c>
      <c r="D10" s="886"/>
      <c r="E10" s="886"/>
      <c r="F10" s="886"/>
      <c r="G10" s="886"/>
      <c r="H10" s="886"/>
      <c r="I10" s="886"/>
      <c r="J10" s="886"/>
      <c r="K10" s="886"/>
      <c r="L10" s="886"/>
      <c r="M10" s="886"/>
      <c r="N10" s="886"/>
      <c r="O10" s="886"/>
      <c r="P10" s="886"/>
      <c r="Q10" s="886"/>
      <c r="R10" s="886"/>
      <c r="S10" s="886"/>
      <c r="T10" s="886"/>
      <c r="U10" s="886"/>
      <c r="V10" s="886"/>
      <c r="W10" s="886"/>
      <c r="X10" s="886"/>
      <c r="Y10" s="886"/>
      <c r="Z10" s="91"/>
      <c r="AA10" s="75"/>
      <c r="AB10" s="75"/>
    </row>
    <row r="11" spans="1:28" ht="26" x14ac:dyDescent="0.3">
      <c r="A11" s="75"/>
      <c r="B11" s="83"/>
      <c r="C11" s="75"/>
      <c r="D11" s="75"/>
      <c r="E11" s="75"/>
      <c r="F11" s="75"/>
      <c r="G11" s="75"/>
      <c r="H11" s="75"/>
      <c r="I11" s="75"/>
      <c r="J11" s="75"/>
      <c r="K11" s="77"/>
      <c r="L11" s="77"/>
      <c r="M11" s="77"/>
      <c r="N11" s="77"/>
      <c r="O11" s="74"/>
      <c r="P11" s="75"/>
      <c r="Q11" s="75"/>
      <c r="R11" s="75"/>
      <c r="S11" s="75"/>
      <c r="T11" s="75"/>
      <c r="U11" s="75"/>
      <c r="V11" s="75"/>
      <c r="W11" s="75"/>
      <c r="X11" s="75"/>
      <c r="Y11" s="75"/>
      <c r="Z11" s="76"/>
      <c r="AA11" s="75"/>
      <c r="AB11" s="75"/>
    </row>
    <row r="12" spans="1:28" ht="26" x14ac:dyDescent="0.3">
      <c r="A12" s="75"/>
      <c r="B12" s="83"/>
      <c r="C12" s="75"/>
      <c r="D12" s="92"/>
      <c r="E12" s="898" t="s">
        <v>80</v>
      </c>
      <c r="F12" s="898"/>
      <c r="G12" s="898"/>
      <c r="H12" s="898"/>
      <c r="I12" s="898"/>
      <c r="J12" s="898"/>
      <c r="K12" s="898"/>
      <c r="L12" s="898"/>
      <c r="M12" s="898"/>
      <c r="N12" s="92"/>
      <c r="O12" s="92"/>
      <c r="P12" s="92"/>
      <c r="Q12" s="92"/>
      <c r="R12" s="92"/>
      <c r="S12" s="92"/>
      <c r="T12" s="92"/>
      <c r="U12" s="92"/>
      <c r="V12" s="92"/>
      <c r="W12" s="92"/>
      <c r="X12" s="92"/>
      <c r="Y12" s="92"/>
      <c r="Z12" s="134"/>
      <c r="AA12" s="75"/>
      <c r="AB12" s="75"/>
    </row>
    <row r="13" spans="1:28" ht="26" x14ac:dyDescent="0.3">
      <c r="A13" s="75"/>
      <c r="B13" s="83"/>
      <c r="C13" s="75"/>
      <c r="D13" s="93"/>
      <c r="E13" s="93"/>
      <c r="F13" s="93"/>
      <c r="G13" s="93"/>
      <c r="H13" s="93"/>
      <c r="I13" s="75"/>
      <c r="J13" s="75"/>
      <c r="K13" s="77"/>
      <c r="L13" s="75"/>
      <c r="M13" s="94"/>
      <c r="N13" s="77"/>
      <c r="O13" s="74"/>
      <c r="P13" s="75"/>
      <c r="Q13" s="75"/>
      <c r="R13" s="75"/>
      <c r="S13" s="75"/>
      <c r="T13" s="75"/>
      <c r="U13" s="75"/>
      <c r="V13" s="75"/>
      <c r="W13" s="75"/>
      <c r="X13" s="75"/>
      <c r="Y13" s="75"/>
      <c r="Z13" s="76"/>
      <c r="AA13" s="75"/>
      <c r="AB13" s="75"/>
    </row>
    <row r="14" spans="1:28" ht="26" x14ac:dyDescent="0.3">
      <c r="A14" s="75"/>
      <c r="B14" s="83"/>
      <c r="C14" s="75"/>
      <c r="D14" s="95" t="s">
        <v>84</v>
      </c>
      <c r="E14" s="95"/>
      <c r="F14" s="95"/>
      <c r="G14" s="95"/>
      <c r="H14" s="75"/>
      <c r="I14" s="75"/>
      <c r="J14" s="75"/>
      <c r="K14" s="92"/>
      <c r="L14" s="899" t="s">
        <v>60</v>
      </c>
      <c r="M14" s="899"/>
      <c r="N14" s="899"/>
      <c r="O14" s="899"/>
      <c r="P14" s="899"/>
      <c r="Q14" s="899"/>
      <c r="R14" s="899"/>
      <c r="S14" s="899"/>
      <c r="T14" s="899"/>
      <c r="U14" s="899"/>
      <c r="V14" s="75"/>
      <c r="W14" s="75"/>
      <c r="X14" s="75"/>
      <c r="Y14" s="75"/>
      <c r="Z14" s="76"/>
      <c r="AA14" s="75"/>
      <c r="AB14" s="75"/>
    </row>
    <row r="15" spans="1:28" ht="26" x14ac:dyDescent="0.3">
      <c r="A15" s="75"/>
      <c r="B15" s="83"/>
      <c r="C15" s="75"/>
      <c r="D15" s="84" t="s">
        <v>90</v>
      </c>
      <c r="E15" s="84"/>
      <c r="F15" s="84"/>
      <c r="G15" s="84"/>
      <c r="H15" s="75"/>
      <c r="I15" s="75"/>
      <c r="J15" s="75"/>
      <c r="K15" s="92"/>
      <c r="L15" s="874" t="s">
        <v>118</v>
      </c>
      <c r="M15" s="874"/>
      <c r="N15" s="874"/>
      <c r="O15" s="874"/>
      <c r="P15" s="874"/>
      <c r="Q15" s="874"/>
      <c r="R15" s="874"/>
      <c r="S15" s="874"/>
      <c r="T15" s="874"/>
      <c r="U15" s="874"/>
      <c r="V15" s="874"/>
      <c r="W15" s="75"/>
      <c r="X15" s="75"/>
      <c r="Y15" s="75"/>
      <c r="Z15" s="76"/>
      <c r="AA15" s="75"/>
      <c r="AB15" s="75"/>
    </row>
    <row r="16" spans="1:28" ht="26" x14ac:dyDescent="0.3">
      <c r="A16" s="75"/>
      <c r="B16" s="83"/>
      <c r="C16" s="75"/>
      <c r="D16" s="11" t="s">
        <v>103</v>
      </c>
      <c r="E16" s="84"/>
      <c r="F16" s="84"/>
      <c r="G16" s="84"/>
      <c r="H16" s="110" t="s">
        <v>81</v>
      </c>
      <c r="I16" s="861" t="e">
        <f>'UPGRADES TABLE'!$E$4</f>
        <v>#REF!</v>
      </c>
      <c r="J16" s="861"/>
      <c r="K16" s="135"/>
      <c r="L16" s="874" t="s">
        <v>85</v>
      </c>
      <c r="M16" s="874"/>
      <c r="N16" s="874"/>
      <c r="O16" s="874"/>
      <c r="P16" s="874"/>
      <c r="Q16" s="883" t="s">
        <v>81</v>
      </c>
      <c r="R16" s="883"/>
      <c r="S16" s="75"/>
      <c r="T16" s="884"/>
      <c r="U16" s="884"/>
      <c r="V16" s="884"/>
      <c r="W16" s="75"/>
      <c r="X16" s="75"/>
      <c r="Y16" s="75"/>
      <c r="Z16" s="76"/>
      <c r="AA16" s="75"/>
      <c r="AB16" s="75"/>
    </row>
    <row r="17" spans="1:39" ht="26" x14ac:dyDescent="0.3">
      <c r="A17" s="75"/>
      <c r="B17" s="83"/>
      <c r="C17" s="75"/>
      <c r="D17" s="1" t="s">
        <v>82</v>
      </c>
      <c r="E17" s="109"/>
      <c r="F17" s="901" t="s">
        <v>115</v>
      </c>
      <c r="G17" s="901"/>
      <c r="H17" s="901"/>
      <c r="I17" s="857">
        <f>VLOOKUP(F17,'UPGRADES TABLE'!K3:L4,2,FALSE)</f>
        <v>0</v>
      </c>
      <c r="J17" s="857"/>
      <c r="K17" s="77"/>
      <c r="L17" s="846" t="s">
        <v>82</v>
      </c>
      <c r="M17" s="846"/>
      <c r="N17" s="846"/>
      <c r="O17" s="133"/>
      <c r="P17" s="900" t="s">
        <v>117</v>
      </c>
      <c r="Q17" s="900"/>
      <c r="R17" s="900"/>
      <c r="S17" s="900"/>
      <c r="T17" s="900"/>
      <c r="U17" s="900"/>
      <c r="V17" s="868">
        <f>VLOOKUP(P17,'UPGRADES TABLE'!K25:L26,2,FALSE)</f>
        <v>0</v>
      </c>
      <c r="W17" s="868"/>
      <c r="X17" s="868"/>
      <c r="Y17" s="868"/>
      <c r="Z17" s="136"/>
      <c r="AA17" s="75"/>
      <c r="AB17" s="75"/>
    </row>
    <row r="18" spans="1:39" ht="23.25" customHeight="1" x14ac:dyDescent="0.3">
      <c r="A18" s="75"/>
      <c r="B18" s="83"/>
      <c r="C18" s="75"/>
      <c r="D18" s="75"/>
      <c r="E18" s="75"/>
      <c r="F18" s="75"/>
      <c r="G18" s="75"/>
      <c r="H18" s="96"/>
      <c r="I18" s="96"/>
      <c r="J18" s="75"/>
      <c r="K18" s="77"/>
      <c r="L18" s="92"/>
      <c r="M18" s="94"/>
      <c r="N18" s="77"/>
      <c r="O18" s="74"/>
      <c r="P18" s="75"/>
      <c r="Q18" s="75"/>
      <c r="R18" s="75"/>
      <c r="S18" s="75"/>
      <c r="T18" s="75"/>
      <c r="U18" s="75"/>
      <c r="V18" s="75"/>
      <c r="W18" s="75"/>
      <c r="X18" s="75"/>
      <c r="Y18" s="75"/>
      <c r="Z18" s="76"/>
      <c r="AA18" s="75"/>
      <c r="AB18" s="75"/>
      <c r="AE18"/>
    </row>
    <row r="19" spans="1:39" ht="26" x14ac:dyDescent="0.3">
      <c r="A19" s="75"/>
      <c r="B19" s="83"/>
      <c r="C19" s="75"/>
      <c r="D19" s="95" t="s">
        <v>57</v>
      </c>
      <c r="E19" s="84"/>
      <c r="F19" s="84"/>
      <c r="G19" s="84"/>
      <c r="H19" s="96"/>
      <c r="I19" s="96"/>
      <c r="J19" s="75"/>
      <c r="K19" s="97"/>
      <c r="L19" s="73"/>
      <c r="M19" s="111"/>
      <c r="N19" s="97"/>
      <c r="O19" s="74"/>
      <c r="P19" s="73"/>
      <c r="Q19" s="73"/>
      <c r="R19" s="73"/>
      <c r="S19" s="73"/>
      <c r="T19" s="73"/>
      <c r="U19" s="73"/>
      <c r="V19" s="73"/>
      <c r="W19" s="73"/>
      <c r="X19" s="73"/>
      <c r="Y19" s="73"/>
      <c r="Z19" s="76"/>
      <c r="AA19" s="75"/>
      <c r="AB19" s="75"/>
      <c r="AE19"/>
      <c r="AF19" s="128"/>
      <c r="AJ19" s="128"/>
      <c r="AM19" s="128">
        <v>0</v>
      </c>
    </row>
    <row r="20" spans="1:39" ht="24" customHeight="1" x14ac:dyDescent="0.3">
      <c r="A20" s="75"/>
      <c r="B20" s="83"/>
      <c r="C20" s="75"/>
      <c r="D20" s="84" t="s">
        <v>91</v>
      </c>
      <c r="E20" s="84"/>
      <c r="F20" s="84"/>
      <c r="G20" s="84"/>
      <c r="H20" s="96"/>
      <c r="I20" s="96"/>
      <c r="J20" s="75"/>
      <c r="K20" s="77"/>
      <c r="L20" s="887"/>
      <c r="M20" s="887"/>
      <c r="N20" s="887"/>
      <c r="O20" s="887"/>
      <c r="P20" s="887"/>
      <c r="Q20" s="887"/>
      <c r="R20" s="887"/>
      <c r="S20" s="887"/>
      <c r="T20" s="887"/>
      <c r="U20" s="887"/>
      <c r="V20" s="887"/>
      <c r="W20" s="887"/>
      <c r="X20" s="887"/>
      <c r="Y20" s="887"/>
      <c r="Z20" s="76"/>
      <c r="AA20" s="75"/>
      <c r="AB20" s="75"/>
      <c r="AE20"/>
      <c r="AF20" s="129"/>
      <c r="AJ20" s="129"/>
      <c r="AM20" s="128"/>
    </row>
    <row r="21" spans="1:39" ht="24" customHeight="1" thickBot="1" x14ac:dyDescent="0.35">
      <c r="A21" s="75"/>
      <c r="B21" s="83"/>
      <c r="C21" s="75"/>
      <c r="D21" s="11" t="s">
        <v>70</v>
      </c>
      <c r="E21" s="84"/>
      <c r="F21" s="84"/>
      <c r="G21" s="84"/>
      <c r="H21" s="110" t="s">
        <v>81</v>
      </c>
      <c r="I21" s="131" t="e">
        <f>'UPGRADES TABLE'!$E$9</f>
        <v>#REF!</v>
      </c>
      <c r="J21" s="75"/>
      <c r="K21" s="97"/>
      <c r="L21" s="73"/>
      <c r="M21" s="111"/>
      <c r="N21" s="97"/>
      <c r="O21" s="74"/>
      <c r="P21" s="112"/>
      <c r="Q21" s="113"/>
      <c r="R21" s="73"/>
      <c r="S21" s="73"/>
      <c r="T21" s="73"/>
      <c r="U21" s="73"/>
      <c r="V21" s="73"/>
      <c r="W21" s="114"/>
      <c r="X21" s="114"/>
      <c r="Y21" s="73"/>
      <c r="Z21" s="76"/>
      <c r="AA21" s="75"/>
      <c r="AB21" s="75"/>
    </row>
    <row r="22" spans="1:39" ht="27" thickBot="1" x14ac:dyDescent="0.35">
      <c r="A22" s="75"/>
      <c r="B22" s="83"/>
      <c r="C22" s="75"/>
      <c r="D22" s="37" t="s">
        <v>82</v>
      </c>
      <c r="E22" s="109"/>
      <c r="F22" s="902" t="s">
        <v>70</v>
      </c>
      <c r="G22" s="902"/>
      <c r="H22" s="902"/>
      <c r="I22" s="132" t="e">
        <f>VLOOKUP(F22,'UPGRADES TABLE'!K8:L9,2,FALSE)</f>
        <v>#REF!</v>
      </c>
      <c r="J22" s="130"/>
      <c r="K22" s="73"/>
      <c r="L22" s="73"/>
      <c r="M22" s="865"/>
      <c r="N22" s="866"/>
      <c r="O22" s="866"/>
      <c r="P22" s="866"/>
      <c r="Q22" s="866"/>
      <c r="R22" s="866"/>
      <c r="S22" s="866"/>
      <c r="T22" s="866"/>
      <c r="U22" s="866"/>
      <c r="V22" s="867"/>
      <c r="W22" s="869"/>
      <c r="X22" s="870"/>
      <c r="Y22" s="73"/>
      <c r="Z22" s="76"/>
      <c r="AA22" s="75"/>
      <c r="AB22" s="75"/>
    </row>
    <row r="23" spans="1:39" ht="26" x14ac:dyDescent="0.3">
      <c r="A23" s="75"/>
      <c r="B23" s="83"/>
      <c r="C23" s="75"/>
      <c r="D23" s="84"/>
      <c r="E23" s="84"/>
      <c r="F23" s="84"/>
      <c r="G23" s="84"/>
      <c r="H23" s="96"/>
      <c r="I23" s="96"/>
      <c r="J23" s="75"/>
      <c r="K23" s="97"/>
      <c r="L23" s="73"/>
      <c r="M23" s="111"/>
      <c r="N23" s="97"/>
      <c r="O23" s="74"/>
      <c r="P23" s="112"/>
      <c r="Q23" s="113"/>
      <c r="R23" s="73"/>
      <c r="S23" s="73"/>
      <c r="T23" s="73"/>
      <c r="U23" s="73"/>
      <c r="V23" s="73"/>
      <c r="W23" s="73"/>
      <c r="X23" s="73"/>
      <c r="Y23" s="73"/>
      <c r="Z23" s="76"/>
      <c r="AA23" s="75"/>
      <c r="AB23" s="75"/>
    </row>
    <row r="24" spans="1:39" ht="27" thickBot="1" x14ac:dyDescent="0.35">
      <c r="A24" s="75"/>
      <c r="B24" s="83"/>
      <c r="C24" s="75"/>
      <c r="D24" s="95" t="s">
        <v>83</v>
      </c>
      <c r="E24" s="84"/>
      <c r="F24" s="84"/>
      <c r="G24" s="84"/>
      <c r="H24" s="96"/>
      <c r="I24" s="96"/>
      <c r="J24" s="75"/>
      <c r="K24" s="97"/>
      <c r="L24" s="73"/>
      <c r="M24" s="111"/>
      <c r="N24" s="97"/>
      <c r="O24" s="74"/>
      <c r="P24" s="112"/>
      <c r="Q24" s="113"/>
      <c r="R24" s="73"/>
      <c r="S24" s="73"/>
      <c r="T24" s="73"/>
      <c r="U24" s="73"/>
      <c r="V24" s="73"/>
      <c r="W24" s="114"/>
      <c r="X24" s="73"/>
      <c r="Y24" s="73"/>
      <c r="Z24" s="76"/>
      <c r="AA24" s="75"/>
      <c r="AB24" s="75"/>
    </row>
    <row r="25" spans="1:39" ht="27" thickBot="1" x14ac:dyDescent="0.35">
      <c r="A25" s="75"/>
      <c r="B25" s="83"/>
      <c r="C25" s="75"/>
      <c r="D25" s="84" t="s">
        <v>92</v>
      </c>
      <c r="E25" s="84"/>
      <c r="F25" s="84"/>
      <c r="G25" s="84"/>
      <c r="H25" s="96"/>
      <c r="I25" s="96"/>
      <c r="J25" s="75"/>
      <c r="K25" s="97"/>
      <c r="L25" s="73"/>
      <c r="M25" s="858"/>
      <c r="N25" s="859"/>
      <c r="O25" s="859"/>
      <c r="P25" s="859"/>
      <c r="Q25" s="859"/>
      <c r="R25" s="859"/>
      <c r="S25" s="859"/>
      <c r="T25" s="859"/>
      <c r="U25" s="859"/>
      <c r="V25" s="860"/>
      <c r="W25" s="869"/>
      <c r="X25" s="870"/>
      <c r="Y25" s="73"/>
      <c r="Z25" s="76"/>
      <c r="AA25" s="75"/>
      <c r="AB25" s="75"/>
      <c r="AE25"/>
      <c r="AF25" s="128"/>
    </row>
    <row r="26" spans="1:39" ht="27" thickBot="1" x14ac:dyDescent="0.35">
      <c r="A26" s="75"/>
      <c r="B26" s="83"/>
      <c r="C26" s="75"/>
      <c r="D26" s="75" t="s">
        <v>75</v>
      </c>
      <c r="E26" s="84"/>
      <c r="F26" s="84"/>
      <c r="G26" s="84"/>
      <c r="H26" s="110" t="s">
        <v>81</v>
      </c>
      <c r="I26" s="131" t="e">
        <f>'UPGRADES TABLE'!E14</f>
        <v>#REF!</v>
      </c>
      <c r="J26" s="75"/>
      <c r="K26" s="97"/>
      <c r="L26" s="73"/>
      <c r="M26" s="858"/>
      <c r="N26" s="859"/>
      <c r="O26" s="859"/>
      <c r="P26" s="859"/>
      <c r="Q26" s="859"/>
      <c r="R26" s="859"/>
      <c r="S26" s="859"/>
      <c r="T26" s="859"/>
      <c r="U26" s="859"/>
      <c r="V26" s="860"/>
      <c r="W26" s="869"/>
      <c r="X26" s="870"/>
      <c r="Y26" s="73"/>
      <c r="Z26" s="76"/>
      <c r="AA26" s="75"/>
      <c r="AB26" s="75"/>
      <c r="AE26"/>
      <c r="AF26" s="129"/>
    </row>
    <row r="27" spans="1:39" ht="27" thickBot="1" x14ac:dyDescent="0.35">
      <c r="A27" s="75"/>
      <c r="B27" s="83"/>
      <c r="C27" s="75"/>
      <c r="D27" s="84" t="s">
        <v>76</v>
      </c>
      <c r="E27" s="84"/>
      <c r="F27" s="84"/>
      <c r="G27" s="84"/>
      <c r="H27" s="110" t="s">
        <v>81</v>
      </c>
      <c r="I27" s="131" t="e">
        <f>'UPGRADES TABLE'!E15</f>
        <v>#REF!</v>
      </c>
      <c r="J27" s="75"/>
      <c r="K27" s="97"/>
      <c r="L27" s="73"/>
      <c r="M27" s="858"/>
      <c r="N27" s="859"/>
      <c r="O27" s="859"/>
      <c r="P27" s="859"/>
      <c r="Q27" s="859"/>
      <c r="R27" s="859"/>
      <c r="S27" s="859"/>
      <c r="T27" s="859"/>
      <c r="U27" s="859"/>
      <c r="V27" s="860"/>
      <c r="W27" s="869"/>
      <c r="X27" s="870"/>
      <c r="Y27" s="73"/>
      <c r="Z27" s="76"/>
      <c r="AA27" s="75"/>
      <c r="AB27" s="75"/>
    </row>
    <row r="28" spans="1:39" ht="27" thickBot="1" x14ac:dyDescent="0.35">
      <c r="A28" s="75"/>
      <c r="B28" s="83"/>
      <c r="C28" s="75"/>
      <c r="D28" s="84" t="s">
        <v>78</v>
      </c>
      <c r="E28" s="84"/>
      <c r="F28" s="84"/>
      <c r="G28" s="84"/>
      <c r="H28" s="110" t="s">
        <v>81</v>
      </c>
      <c r="I28" s="861" t="e">
        <f>'UPGRADES TABLE'!E16</f>
        <v>#REF!</v>
      </c>
      <c r="J28" s="861"/>
      <c r="K28" s="97"/>
      <c r="L28" s="73"/>
      <c r="M28" s="858"/>
      <c r="N28" s="859"/>
      <c r="O28" s="859"/>
      <c r="P28" s="859"/>
      <c r="Q28" s="859"/>
      <c r="R28" s="859"/>
      <c r="S28" s="859"/>
      <c r="T28" s="859"/>
      <c r="U28" s="859"/>
      <c r="V28" s="860"/>
      <c r="W28" s="869"/>
      <c r="X28" s="870"/>
      <c r="Y28" s="73"/>
      <c r="Z28" s="76"/>
      <c r="AA28" s="75"/>
      <c r="AB28" s="75"/>
    </row>
    <row r="29" spans="1:39" ht="27" thickBot="1" x14ac:dyDescent="0.35">
      <c r="A29" s="75"/>
      <c r="B29" s="83"/>
      <c r="C29" s="75"/>
      <c r="D29" s="1" t="s">
        <v>82</v>
      </c>
      <c r="E29" s="109"/>
      <c r="F29" s="901" t="s">
        <v>78</v>
      </c>
      <c r="G29" s="901"/>
      <c r="H29" s="901"/>
      <c r="I29" s="857" t="e">
        <f>VLOOKUP(F29,'UPGRADES TABLE'!K13:L16,2,FALSE)</f>
        <v>#REF!</v>
      </c>
      <c r="J29" s="857"/>
      <c r="K29" s="97"/>
      <c r="L29" s="73"/>
      <c r="M29" s="858"/>
      <c r="N29" s="859"/>
      <c r="O29" s="859"/>
      <c r="P29" s="859"/>
      <c r="Q29" s="859"/>
      <c r="R29" s="859"/>
      <c r="S29" s="859"/>
      <c r="T29" s="859"/>
      <c r="U29" s="859"/>
      <c r="V29" s="860"/>
      <c r="W29" s="869"/>
      <c r="X29" s="870"/>
      <c r="Y29" s="73"/>
      <c r="Z29" s="76"/>
      <c r="AA29" s="75"/>
      <c r="AB29" s="75"/>
    </row>
    <row r="30" spans="1:39" ht="26" x14ac:dyDescent="0.3">
      <c r="A30" s="75"/>
      <c r="B30" s="83"/>
      <c r="C30" s="75"/>
      <c r="D30" s="84"/>
      <c r="E30" s="84"/>
      <c r="F30" s="84"/>
      <c r="G30" s="84"/>
      <c r="H30" s="96"/>
      <c r="I30" s="96"/>
      <c r="J30" s="75"/>
      <c r="K30" s="97"/>
      <c r="L30" s="73"/>
      <c r="M30" s="111"/>
      <c r="N30" s="97"/>
      <c r="O30" s="74"/>
      <c r="P30" s="73"/>
      <c r="Q30" s="73"/>
      <c r="R30" s="73"/>
      <c r="S30" s="73"/>
      <c r="T30" s="73"/>
      <c r="U30" s="73"/>
      <c r="V30" s="73"/>
      <c r="W30" s="73"/>
      <c r="X30" s="73"/>
      <c r="Y30" s="73"/>
      <c r="Z30" s="76"/>
      <c r="AA30" s="75"/>
      <c r="AB30" s="75"/>
    </row>
    <row r="31" spans="1:39" ht="27" thickBot="1" x14ac:dyDescent="0.35">
      <c r="A31" s="75"/>
      <c r="B31" s="83"/>
      <c r="C31" s="75"/>
      <c r="D31" s="95" t="s">
        <v>58</v>
      </c>
      <c r="E31" s="84"/>
      <c r="F31" s="84"/>
      <c r="G31" s="84"/>
      <c r="H31" s="96"/>
      <c r="I31" s="96"/>
      <c r="J31" s="75"/>
      <c r="K31" s="102"/>
      <c r="L31" s="73"/>
      <c r="M31" s="111"/>
      <c r="N31" s="97"/>
      <c r="O31" s="74"/>
      <c r="P31" s="73"/>
      <c r="Q31" s="73"/>
      <c r="R31" s="73"/>
      <c r="S31" s="73"/>
      <c r="T31" s="73"/>
      <c r="U31" s="73"/>
      <c r="V31" s="73"/>
      <c r="W31" s="73"/>
      <c r="X31" s="73"/>
      <c r="Y31" s="73"/>
      <c r="Z31" s="76"/>
      <c r="AA31" s="75"/>
      <c r="AB31" s="75"/>
    </row>
    <row r="32" spans="1:39" ht="27" thickBot="1" x14ac:dyDescent="0.35">
      <c r="A32" s="75"/>
      <c r="B32" s="83"/>
      <c r="C32" s="75"/>
      <c r="D32" s="84" t="s">
        <v>93</v>
      </c>
      <c r="E32" s="84"/>
      <c r="F32" s="84"/>
      <c r="G32" s="84"/>
      <c r="H32" s="96"/>
      <c r="I32" s="96"/>
      <c r="J32" s="75"/>
      <c r="K32" s="97"/>
      <c r="L32" s="73"/>
      <c r="M32" s="858"/>
      <c r="N32" s="859"/>
      <c r="O32" s="859"/>
      <c r="P32" s="859"/>
      <c r="Q32" s="859"/>
      <c r="R32" s="859"/>
      <c r="S32" s="859"/>
      <c r="T32" s="859"/>
      <c r="U32" s="859"/>
      <c r="V32" s="860"/>
      <c r="W32" s="869"/>
      <c r="X32" s="870"/>
      <c r="Y32" s="73"/>
      <c r="Z32" s="76"/>
      <c r="AA32" s="75"/>
      <c r="AB32" s="75"/>
    </row>
    <row r="33" spans="1:28" ht="27" thickBot="1" x14ac:dyDescent="0.35">
      <c r="A33" s="75"/>
      <c r="B33" s="83"/>
      <c r="C33" s="75"/>
      <c r="D33" s="84" t="s">
        <v>77</v>
      </c>
      <c r="E33" s="84"/>
      <c r="F33" s="84"/>
      <c r="G33" s="84"/>
      <c r="H33" s="110" t="s">
        <v>81</v>
      </c>
      <c r="I33" s="861" t="e">
        <f>'UPGRADES TABLE'!$E$21</f>
        <v>#REF!</v>
      </c>
      <c r="J33" s="861"/>
      <c r="K33" s="97"/>
      <c r="L33" s="73"/>
      <c r="M33" s="858"/>
      <c r="N33" s="859"/>
      <c r="O33" s="859"/>
      <c r="P33" s="859"/>
      <c r="Q33" s="859"/>
      <c r="R33" s="859"/>
      <c r="S33" s="859"/>
      <c r="T33" s="859"/>
      <c r="U33" s="859"/>
      <c r="V33" s="860"/>
      <c r="W33" s="869"/>
      <c r="X33" s="870"/>
      <c r="Y33" s="73"/>
      <c r="Z33" s="76"/>
      <c r="AA33" s="75"/>
      <c r="AB33" s="75"/>
    </row>
    <row r="34" spans="1:28" ht="27" thickBot="1" x14ac:dyDescent="0.35">
      <c r="A34" s="75"/>
      <c r="B34" s="83"/>
      <c r="C34" s="75"/>
      <c r="D34" s="1" t="s">
        <v>82</v>
      </c>
      <c r="E34" s="109"/>
      <c r="F34" s="901" t="s">
        <v>116</v>
      </c>
      <c r="G34" s="901"/>
      <c r="H34" s="901"/>
      <c r="I34" s="857">
        <f>VLOOKUP(F34,'UPGRADES TABLE'!K20:L21,2,FALSE)</f>
        <v>0</v>
      </c>
      <c r="J34" s="857"/>
      <c r="K34" s="97"/>
      <c r="L34" s="73"/>
      <c r="M34" s="858"/>
      <c r="N34" s="859"/>
      <c r="O34" s="859"/>
      <c r="P34" s="859"/>
      <c r="Q34" s="859"/>
      <c r="R34" s="859"/>
      <c r="S34" s="859"/>
      <c r="T34" s="859"/>
      <c r="U34" s="859"/>
      <c r="V34" s="860"/>
      <c r="W34" s="869"/>
      <c r="X34" s="870"/>
      <c r="Y34" s="73"/>
      <c r="Z34" s="76"/>
      <c r="AA34" s="75"/>
      <c r="AB34" s="75"/>
    </row>
    <row r="35" spans="1:28" ht="26" x14ac:dyDescent="0.3">
      <c r="A35" s="75"/>
      <c r="B35" s="83"/>
      <c r="C35" s="75"/>
      <c r="D35" s="84"/>
      <c r="E35" s="84"/>
      <c r="F35" s="84"/>
      <c r="G35" s="84"/>
      <c r="H35" s="75"/>
      <c r="I35" s="75"/>
      <c r="J35" s="75"/>
      <c r="K35" s="97"/>
      <c r="L35" s="73"/>
      <c r="M35" s="111"/>
      <c r="N35" s="97"/>
      <c r="O35" s="74"/>
      <c r="P35" s="73"/>
      <c r="Q35" s="73"/>
      <c r="R35" s="73"/>
      <c r="S35" s="73"/>
      <c r="T35" s="73"/>
      <c r="U35" s="73"/>
      <c r="V35" s="73"/>
      <c r="W35" s="73"/>
      <c r="X35" s="73"/>
      <c r="Y35" s="73"/>
      <c r="Z35" s="76"/>
      <c r="AA35" s="75"/>
      <c r="AB35" s="75"/>
    </row>
    <row r="36" spans="1:28" ht="26" x14ac:dyDescent="0.3">
      <c r="A36" s="75"/>
      <c r="B36" s="83"/>
      <c r="C36" s="75"/>
      <c r="D36" s="84" t="s">
        <v>94</v>
      </c>
      <c r="E36" s="84"/>
      <c r="F36" s="84"/>
      <c r="G36" s="84"/>
      <c r="H36" s="75"/>
      <c r="I36" s="75"/>
      <c r="J36" s="75"/>
      <c r="K36" s="97"/>
      <c r="L36" s="73"/>
      <c r="M36" s="97"/>
      <c r="N36" s="97"/>
      <c r="O36" s="74"/>
      <c r="P36" s="73"/>
      <c r="Q36" s="73"/>
      <c r="R36" s="73"/>
      <c r="S36" s="73"/>
      <c r="T36" s="73"/>
      <c r="U36" s="73"/>
      <c r="V36" s="73"/>
      <c r="W36" s="73"/>
      <c r="X36" s="73"/>
      <c r="Y36" s="73"/>
      <c r="Z36" s="76"/>
      <c r="AA36" s="75"/>
      <c r="AB36" s="75"/>
    </row>
    <row r="37" spans="1:28" ht="26" x14ac:dyDescent="0.3">
      <c r="A37" s="75"/>
      <c r="B37" s="83"/>
      <c r="C37" s="75"/>
      <c r="D37" s="84" t="s">
        <v>95</v>
      </c>
      <c r="E37" s="84"/>
      <c r="F37" s="84"/>
      <c r="G37" s="84"/>
      <c r="H37" s="75"/>
      <c r="I37" s="75"/>
      <c r="J37" s="75"/>
      <c r="K37" s="97"/>
      <c r="L37" s="73"/>
      <c r="M37" s="111"/>
      <c r="N37" s="97"/>
      <c r="O37" s="74"/>
      <c r="P37" s="73"/>
      <c r="Q37" s="73"/>
      <c r="R37" s="73"/>
      <c r="S37" s="73"/>
      <c r="T37" s="73"/>
      <c r="U37" s="73"/>
      <c r="V37" s="73"/>
      <c r="W37" s="73"/>
      <c r="X37" s="73"/>
      <c r="Y37" s="73"/>
      <c r="Z37" s="76"/>
      <c r="AA37" s="75"/>
      <c r="AB37" s="75"/>
    </row>
    <row r="38" spans="1:28" ht="26" x14ac:dyDescent="0.3">
      <c r="A38" s="75"/>
      <c r="B38" s="83"/>
      <c r="C38" s="75"/>
      <c r="D38" s="84" t="s">
        <v>96</v>
      </c>
      <c r="E38" s="84"/>
      <c r="F38" s="84"/>
      <c r="G38" s="84"/>
      <c r="H38" s="75"/>
      <c r="I38" s="75"/>
      <c r="J38" s="75"/>
      <c r="K38" s="97"/>
      <c r="L38" s="97"/>
      <c r="M38" s="97"/>
      <c r="N38" s="97"/>
      <c r="O38" s="74"/>
      <c r="P38" s="73"/>
      <c r="Q38" s="73"/>
      <c r="R38" s="73"/>
      <c r="S38" s="73"/>
      <c r="T38" s="73"/>
      <c r="U38" s="73"/>
      <c r="V38" s="73"/>
      <c r="W38" s="73"/>
      <c r="X38" s="73"/>
      <c r="Y38" s="73"/>
      <c r="Z38" s="76"/>
      <c r="AA38" s="75"/>
      <c r="AB38" s="75"/>
    </row>
    <row r="39" spans="1:28" ht="26" x14ac:dyDescent="0.3">
      <c r="A39" s="75"/>
      <c r="B39" s="83"/>
      <c r="C39" s="75"/>
      <c r="D39" s="84" t="s">
        <v>97</v>
      </c>
      <c r="E39" s="84"/>
      <c r="F39" s="84"/>
      <c r="G39" s="84"/>
      <c r="H39" s="84"/>
      <c r="I39" s="84"/>
      <c r="J39" s="75"/>
      <c r="K39" s="97"/>
      <c r="L39" s="97"/>
      <c r="M39" s="97"/>
      <c r="N39" s="97"/>
      <c r="O39" s="74"/>
      <c r="P39" s="73"/>
      <c r="Q39" s="73"/>
      <c r="R39" s="73"/>
      <c r="S39" s="73"/>
      <c r="T39" s="73"/>
      <c r="U39" s="73"/>
      <c r="V39" s="73"/>
      <c r="W39" s="73"/>
      <c r="X39" s="73"/>
      <c r="Y39" s="73"/>
      <c r="Z39" s="76"/>
      <c r="AA39" s="75"/>
      <c r="AB39" s="75"/>
    </row>
    <row r="40" spans="1:28" ht="26" x14ac:dyDescent="0.3">
      <c r="A40" s="75"/>
      <c r="B40" s="83"/>
      <c r="C40" s="75"/>
      <c r="D40" s="84" t="s">
        <v>102</v>
      </c>
      <c r="E40" s="84"/>
      <c r="F40" s="84"/>
      <c r="G40" s="84"/>
      <c r="H40" s="84"/>
      <c r="I40" s="84"/>
      <c r="J40" s="75"/>
      <c r="K40" s="97"/>
      <c r="L40" s="97"/>
      <c r="M40" s="97"/>
      <c r="N40" s="97"/>
      <c r="O40" s="74"/>
      <c r="P40" s="73"/>
      <c r="Q40" s="73"/>
      <c r="R40" s="73"/>
      <c r="S40" s="73"/>
      <c r="T40" s="73"/>
      <c r="U40" s="73"/>
      <c r="V40" s="73"/>
      <c r="W40" s="73"/>
      <c r="X40" s="73"/>
      <c r="Y40" s="73"/>
      <c r="Z40" s="76"/>
      <c r="AA40" s="75"/>
      <c r="AB40" s="75"/>
    </row>
    <row r="41" spans="1:28" ht="26" x14ac:dyDescent="0.3">
      <c r="A41" s="75"/>
      <c r="B41" s="83"/>
      <c r="C41" s="905"/>
      <c r="D41" s="905"/>
      <c r="E41" s="905"/>
      <c r="F41" s="905"/>
      <c r="G41" s="905"/>
      <c r="H41" s="905"/>
      <c r="I41" s="905"/>
      <c r="J41" s="905"/>
      <c r="K41" s="905"/>
      <c r="L41" s="905"/>
      <c r="M41" s="905"/>
      <c r="N41" s="905"/>
      <c r="O41" s="74"/>
      <c r="P41" s="75"/>
      <c r="Q41" s="75"/>
      <c r="R41" s="75"/>
      <c r="S41" s="75"/>
      <c r="T41" s="75"/>
      <c r="U41" s="75"/>
      <c r="V41" s="75"/>
      <c r="W41" s="75"/>
      <c r="X41" s="75"/>
      <c r="Y41" s="75"/>
      <c r="Z41" s="76"/>
      <c r="AA41" s="75"/>
      <c r="AB41" s="75"/>
    </row>
    <row r="42" spans="1:28" ht="30" thickBot="1" x14ac:dyDescent="0.35">
      <c r="A42" s="75"/>
      <c r="B42" s="83"/>
      <c r="C42" s="73"/>
      <c r="D42" s="98"/>
      <c r="E42" s="862" t="s">
        <v>86</v>
      </c>
      <c r="F42" s="862"/>
      <c r="G42" s="862"/>
      <c r="H42" s="862"/>
      <c r="I42" s="862"/>
      <c r="J42" s="862"/>
      <c r="K42" s="862"/>
      <c r="L42" s="862"/>
      <c r="M42" s="862"/>
      <c r="N42" s="862"/>
      <c r="O42" s="862"/>
      <c r="P42" s="862"/>
      <c r="Q42" s="862"/>
      <c r="R42" s="862"/>
      <c r="S42" s="98"/>
      <c r="T42" s="98"/>
      <c r="U42" s="98"/>
      <c r="V42" s="98"/>
      <c r="W42" s="98"/>
      <c r="X42" s="98"/>
      <c r="Y42" s="75"/>
      <c r="Z42" s="76"/>
      <c r="AA42" s="75"/>
      <c r="AB42" s="75"/>
    </row>
    <row r="43" spans="1:28" ht="30" thickBot="1" x14ac:dyDescent="0.35">
      <c r="A43" s="75"/>
      <c r="B43" s="83"/>
      <c r="C43" s="73"/>
      <c r="D43" s="98"/>
      <c r="E43" s="906" t="s">
        <v>100</v>
      </c>
      <c r="F43" s="907"/>
      <c r="G43" s="907"/>
      <c r="H43" s="907"/>
      <c r="I43" s="907"/>
      <c r="J43" s="907"/>
      <c r="K43" s="907"/>
      <c r="L43" s="907"/>
      <c r="M43" s="907"/>
      <c r="N43" s="908" t="s">
        <v>56</v>
      </c>
      <c r="O43" s="909"/>
      <c r="P43" s="909"/>
      <c r="Q43" s="909"/>
      <c r="R43" s="909"/>
      <c r="S43" s="909"/>
      <c r="T43" s="909"/>
      <c r="U43" s="910"/>
      <c r="V43" s="98"/>
      <c r="W43" s="98"/>
      <c r="X43" s="98"/>
      <c r="Y43" s="75"/>
      <c r="Z43" s="76"/>
      <c r="AA43" s="75"/>
      <c r="AB43" s="75"/>
    </row>
    <row r="44" spans="1:28" ht="30" thickBot="1" x14ac:dyDescent="0.35">
      <c r="A44" s="75"/>
      <c r="B44" s="83"/>
      <c r="C44" s="73"/>
      <c r="D44" s="98"/>
      <c r="E44" s="903" t="s">
        <v>87</v>
      </c>
      <c r="F44" s="904"/>
      <c r="G44" s="904"/>
      <c r="H44" s="904"/>
      <c r="I44" s="904"/>
      <c r="J44" s="904"/>
      <c r="K44" s="904"/>
      <c r="L44" s="904"/>
      <c r="M44" s="904"/>
      <c r="N44" s="871" t="e">
        <f>#REF!</f>
        <v>#REF!</v>
      </c>
      <c r="O44" s="872"/>
      <c r="P44" s="872"/>
      <c r="Q44" s="872"/>
      <c r="R44" s="872"/>
      <c r="S44" s="872"/>
      <c r="T44" s="872"/>
      <c r="U44" s="873"/>
      <c r="V44" s="98"/>
      <c r="W44" s="98"/>
      <c r="X44" s="98"/>
      <c r="Y44" s="75"/>
      <c r="Z44" s="76"/>
      <c r="AA44" s="75"/>
      <c r="AB44" s="75"/>
    </row>
    <row r="45" spans="1:28" ht="30" thickBot="1" x14ac:dyDescent="0.4">
      <c r="A45" s="75"/>
      <c r="B45" s="83"/>
      <c r="C45" s="75"/>
      <c r="D45" s="98"/>
      <c r="E45" s="911" t="s">
        <v>88</v>
      </c>
      <c r="F45" s="911"/>
      <c r="G45" s="911"/>
      <c r="H45" s="911"/>
      <c r="I45" s="911"/>
      <c r="J45" s="911"/>
      <c r="K45" s="911"/>
      <c r="L45" s="911"/>
      <c r="M45" s="911"/>
      <c r="N45" s="118"/>
      <c r="O45" s="118"/>
      <c r="P45" s="118"/>
      <c r="Q45" s="118"/>
      <c r="R45" s="98"/>
      <c r="S45" s="98"/>
      <c r="T45" s="98"/>
      <c r="U45" s="98"/>
      <c r="V45" s="98"/>
      <c r="W45" s="98"/>
      <c r="X45" s="98"/>
      <c r="Y45" s="75"/>
      <c r="Z45" s="76"/>
      <c r="AA45" s="75"/>
      <c r="AB45" s="75"/>
    </row>
    <row r="46" spans="1:28" ht="30" thickBot="1" x14ac:dyDescent="0.35">
      <c r="A46" s="75"/>
      <c r="B46" s="83"/>
      <c r="C46" s="75"/>
      <c r="D46" s="98"/>
      <c r="E46" s="119" t="s">
        <v>50</v>
      </c>
      <c r="F46" s="120"/>
      <c r="G46" s="120"/>
      <c r="H46" s="863" t="str">
        <f>F17</f>
        <v>Timberline HD® Arc Shingles (included)</v>
      </c>
      <c r="I46" s="863"/>
      <c r="J46" s="863"/>
      <c r="K46" s="863"/>
      <c r="L46" s="863"/>
      <c r="M46" s="864"/>
      <c r="N46" s="854">
        <f>I17</f>
        <v>0</v>
      </c>
      <c r="O46" s="855"/>
      <c r="P46" s="855"/>
      <c r="Q46" s="855"/>
      <c r="R46" s="855"/>
      <c r="S46" s="855"/>
      <c r="T46" s="855"/>
      <c r="U46" s="856"/>
      <c r="V46" s="98"/>
      <c r="W46" s="98"/>
      <c r="X46" s="98"/>
      <c r="Y46" s="75"/>
      <c r="Z46" s="76"/>
      <c r="AA46" s="75"/>
      <c r="AB46" s="75"/>
    </row>
    <row r="47" spans="1:28" ht="30" thickBot="1" x14ac:dyDescent="0.35">
      <c r="A47" s="75"/>
      <c r="B47" s="83"/>
      <c r="C47" s="75"/>
      <c r="D47" s="121"/>
      <c r="E47" s="119" t="s">
        <v>63</v>
      </c>
      <c r="F47" s="120"/>
      <c r="G47" s="120"/>
      <c r="H47" s="863" t="str">
        <f>F22</f>
        <v>STORM GUARD ICE&amp;WATER™</v>
      </c>
      <c r="I47" s="863"/>
      <c r="J47" s="863"/>
      <c r="K47" s="863"/>
      <c r="L47" s="863"/>
      <c r="M47" s="864"/>
      <c r="N47" s="854" t="e">
        <f>I22</f>
        <v>#REF!</v>
      </c>
      <c r="O47" s="855"/>
      <c r="P47" s="855"/>
      <c r="Q47" s="855"/>
      <c r="R47" s="855"/>
      <c r="S47" s="855"/>
      <c r="T47" s="855"/>
      <c r="U47" s="856"/>
      <c r="V47" s="98"/>
      <c r="W47" s="98"/>
      <c r="X47" s="98"/>
      <c r="Y47" s="75"/>
      <c r="Z47" s="76"/>
      <c r="AA47" s="75"/>
      <c r="AB47" s="75"/>
    </row>
    <row r="48" spans="1:28" ht="30" thickBot="1" x14ac:dyDescent="0.35">
      <c r="A48" s="75"/>
      <c r="B48" s="83"/>
      <c r="C48" s="75"/>
      <c r="D48" s="98"/>
      <c r="E48" s="119" t="s">
        <v>64</v>
      </c>
      <c r="F48" s="120"/>
      <c r="G48" s="120"/>
      <c r="H48" s="863" t="str">
        <f>F29</f>
        <v>TigerPaw™</v>
      </c>
      <c r="I48" s="863"/>
      <c r="J48" s="863"/>
      <c r="K48" s="863"/>
      <c r="L48" s="863"/>
      <c r="M48" s="864"/>
      <c r="N48" s="854" t="e">
        <f>I29</f>
        <v>#REF!</v>
      </c>
      <c r="O48" s="855"/>
      <c r="P48" s="855"/>
      <c r="Q48" s="855"/>
      <c r="R48" s="855"/>
      <c r="S48" s="855"/>
      <c r="T48" s="855"/>
      <c r="U48" s="856"/>
      <c r="V48" s="98"/>
      <c r="W48" s="98"/>
      <c r="X48" s="98"/>
      <c r="Y48" s="75"/>
      <c r="Z48" s="76"/>
      <c r="AA48" s="75"/>
      <c r="AB48" s="75"/>
    </row>
    <row r="49" spans="1:28" ht="30" thickBot="1" x14ac:dyDescent="0.35">
      <c r="A49" s="75"/>
      <c r="B49" s="83"/>
      <c r="C49" s="75"/>
      <c r="D49" s="98"/>
      <c r="E49" s="119" t="s">
        <v>59</v>
      </c>
      <c r="F49" s="120"/>
      <c r="G49" s="120"/>
      <c r="H49" s="863" t="str">
        <f>F34</f>
        <v>Cobra® Exhaust Vent (included)</v>
      </c>
      <c r="I49" s="863"/>
      <c r="J49" s="863"/>
      <c r="K49" s="863"/>
      <c r="L49" s="863"/>
      <c r="M49" s="864"/>
      <c r="N49" s="854">
        <f>I34</f>
        <v>0</v>
      </c>
      <c r="O49" s="855"/>
      <c r="P49" s="855"/>
      <c r="Q49" s="855"/>
      <c r="R49" s="855"/>
      <c r="S49" s="855"/>
      <c r="T49" s="855"/>
      <c r="U49" s="856"/>
      <c r="V49" s="98"/>
      <c r="W49" s="98"/>
      <c r="X49" s="98"/>
      <c r="Y49" s="75"/>
      <c r="Z49" s="76"/>
      <c r="AA49" s="75"/>
      <c r="AB49" s="75"/>
    </row>
    <row r="50" spans="1:28" ht="30" thickBot="1" x14ac:dyDescent="0.35">
      <c r="A50" s="75"/>
      <c r="B50" s="83"/>
      <c r="C50" s="75"/>
      <c r="D50" s="98"/>
      <c r="E50" s="119" t="s">
        <v>89</v>
      </c>
      <c r="F50" s="120"/>
      <c r="G50" s="120"/>
      <c r="H50" s="863" t="str">
        <f>P17</f>
        <v>System Plus (included)</v>
      </c>
      <c r="I50" s="863"/>
      <c r="J50" s="863"/>
      <c r="K50" s="863"/>
      <c r="L50" s="863"/>
      <c r="M50" s="864"/>
      <c r="N50" s="854">
        <f>V17</f>
        <v>0</v>
      </c>
      <c r="O50" s="855"/>
      <c r="P50" s="855"/>
      <c r="Q50" s="855"/>
      <c r="R50" s="855"/>
      <c r="S50" s="855"/>
      <c r="T50" s="855"/>
      <c r="U50" s="856"/>
      <c r="V50" s="98"/>
      <c r="W50" s="98"/>
      <c r="X50" s="98"/>
      <c r="Y50" s="75"/>
      <c r="Z50" s="76"/>
      <c r="AA50" s="75"/>
      <c r="AB50" s="75"/>
    </row>
    <row r="51" spans="1:28" ht="30" thickBot="1" x14ac:dyDescent="0.4">
      <c r="A51" s="75"/>
      <c r="B51" s="83"/>
      <c r="C51" s="75"/>
      <c r="D51" s="98"/>
      <c r="E51" s="98"/>
      <c r="F51" s="115"/>
      <c r="G51" s="116"/>
      <c r="H51" s="117"/>
      <c r="I51" s="118"/>
      <c r="J51" s="118"/>
      <c r="K51" s="118"/>
      <c r="L51" s="118"/>
      <c r="M51" s="150" t="s">
        <v>128</v>
      </c>
      <c r="N51" s="875" t="e">
        <f>N50+N49+N48+N47+N46</f>
        <v>#REF!</v>
      </c>
      <c r="O51" s="876"/>
      <c r="P51" s="876"/>
      <c r="Q51" s="876"/>
      <c r="R51" s="876"/>
      <c r="S51" s="876"/>
      <c r="T51" s="876"/>
      <c r="U51" s="876"/>
      <c r="V51" s="98"/>
      <c r="W51" s="98"/>
      <c r="X51" s="98"/>
      <c r="Y51" s="75"/>
      <c r="Z51" s="76"/>
      <c r="AA51" s="75"/>
      <c r="AB51" s="75"/>
    </row>
    <row r="52" spans="1:28" ht="30" thickBot="1" x14ac:dyDescent="0.35">
      <c r="A52" s="75"/>
      <c r="B52" s="83"/>
      <c r="C52" s="75"/>
      <c r="D52" s="98"/>
      <c r="E52" s="903" t="s">
        <v>101</v>
      </c>
      <c r="F52" s="904" t="s">
        <v>98</v>
      </c>
      <c r="G52" s="904"/>
      <c r="H52" s="904"/>
      <c r="I52" s="904"/>
      <c r="J52" s="904"/>
      <c r="K52" s="904"/>
      <c r="L52" s="904"/>
      <c r="M52" s="912"/>
      <c r="N52" s="871" t="e">
        <f>N50+N49+N48+N47+N46+N44</f>
        <v>#REF!</v>
      </c>
      <c r="O52" s="872"/>
      <c r="P52" s="872"/>
      <c r="Q52" s="872"/>
      <c r="R52" s="872"/>
      <c r="S52" s="872"/>
      <c r="T52" s="872"/>
      <c r="U52" s="873"/>
      <c r="V52" s="98"/>
      <c r="W52" s="98"/>
      <c r="X52" s="98"/>
      <c r="Y52" s="75"/>
      <c r="Z52" s="76"/>
      <c r="AA52" s="75"/>
      <c r="AB52" s="75"/>
    </row>
    <row r="53" spans="1:28" ht="26" x14ac:dyDescent="0.3">
      <c r="A53" s="75"/>
      <c r="B53" s="83"/>
      <c r="C53" s="75"/>
      <c r="D53" s="98"/>
      <c r="E53" s="98"/>
      <c r="F53" s="99"/>
      <c r="G53" s="100"/>
      <c r="H53" s="101"/>
      <c r="I53" s="98"/>
      <c r="J53" s="98"/>
      <c r="K53" s="98"/>
      <c r="L53" s="98"/>
      <c r="M53" s="98"/>
      <c r="N53" s="98"/>
      <c r="O53" s="98"/>
      <c r="P53" s="98"/>
      <c r="Q53" s="98"/>
      <c r="R53" s="98"/>
      <c r="S53" s="98"/>
      <c r="T53" s="98"/>
      <c r="U53" s="98"/>
      <c r="V53" s="98"/>
      <c r="W53" s="98"/>
      <c r="X53" s="98"/>
      <c r="Y53" s="75"/>
      <c r="Z53" s="76"/>
      <c r="AA53" s="75"/>
      <c r="AB53" s="75"/>
    </row>
    <row r="54" spans="1:28" ht="26" x14ac:dyDescent="0.3">
      <c r="A54" s="75"/>
      <c r="B54" s="83"/>
      <c r="C54" s="75"/>
      <c r="D54" s="98"/>
      <c r="E54" s="98"/>
      <c r="F54" s="99"/>
      <c r="G54" s="100"/>
      <c r="H54" s="101"/>
      <c r="I54" s="98"/>
      <c r="J54" s="98"/>
      <c r="K54" s="98"/>
      <c r="L54" s="98"/>
      <c r="M54" s="98"/>
      <c r="N54" s="98"/>
      <c r="O54" s="98"/>
      <c r="P54" s="98"/>
      <c r="Q54" s="98"/>
      <c r="R54" s="98"/>
      <c r="S54" s="98"/>
      <c r="T54" s="98"/>
      <c r="U54" s="98"/>
      <c r="V54" s="98"/>
      <c r="W54" s="98"/>
      <c r="X54" s="98"/>
      <c r="Y54" s="75"/>
      <c r="Z54" s="76"/>
      <c r="AA54" s="75"/>
      <c r="AB54" s="75"/>
    </row>
    <row r="55" spans="1:28" ht="26" x14ac:dyDescent="0.3">
      <c r="A55" s="75"/>
      <c r="B55" s="83"/>
      <c r="C55" s="75"/>
      <c r="D55" s="75"/>
      <c r="E55" s="75"/>
      <c r="F55" s="75"/>
      <c r="G55" s="75"/>
      <c r="H55" s="75"/>
      <c r="I55" s="75"/>
      <c r="J55" s="75"/>
      <c r="K55" s="77"/>
      <c r="L55" s="77"/>
      <c r="M55" s="77"/>
      <c r="N55" s="77"/>
      <c r="O55" s="74"/>
      <c r="P55" s="75"/>
      <c r="Q55" s="75"/>
      <c r="R55" s="75"/>
      <c r="S55" s="75"/>
      <c r="T55" s="75"/>
      <c r="U55" s="75"/>
      <c r="V55" s="75"/>
      <c r="W55" s="75"/>
      <c r="X55" s="75"/>
      <c r="Y55" s="75"/>
      <c r="Z55" s="76"/>
      <c r="AA55" s="75"/>
      <c r="AB55" s="75"/>
    </row>
    <row r="56" spans="1:28" ht="26" x14ac:dyDescent="0.3">
      <c r="A56" s="75"/>
      <c r="B56" s="83"/>
      <c r="C56" s="75"/>
      <c r="D56" s="874"/>
      <c r="E56" s="874"/>
      <c r="F56" s="874"/>
      <c r="G56" s="84"/>
      <c r="H56" s="75"/>
      <c r="I56" s="75"/>
      <c r="J56" s="75"/>
      <c r="K56" s="77"/>
      <c r="L56" s="77"/>
      <c r="M56" s="94"/>
      <c r="N56" s="77"/>
      <c r="O56" s="74"/>
      <c r="P56" s="75"/>
      <c r="Q56" s="75"/>
      <c r="R56" s="75"/>
      <c r="S56" s="75"/>
      <c r="T56" s="75"/>
      <c r="U56" s="75"/>
      <c r="V56" s="75"/>
      <c r="W56" s="75"/>
      <c r="X56" s="75"/>
      <c r="Y56" s="75"/>
      <c r="Z56" s="76"/>
      <c r="AA56" s="75"/>
      <c r="AB56" s="75"/>
    </row>
    <row r="57" spans="1:28" ht="26" x14ac:dyDescent="0.3">
      <c r="A57" s="75"/>
      <c r="B57" s="83"/>
      <c r="C57" s="75"/>
      <c r="D57" s="874"/>
      <c r="E57" s="874"/>
      <c r="F57" s="874"/>
      <c r="G57" s="874"/>
      <c r="H57" s="874"/>
      <c r="I57" s="75"/>
      <c r="J57" s="75"/>
      <c r="K57" s="77"/>
      <c r="L57" s="77"/>
      <c r="M57" s="94"/>
      <c r="N57" s="77"/>
      <c r="O57" s="74"/>
      <c r="P57" s="75"/>
      <c r="Q57" s="75"/>
      <c r="R57" s="75"/>
      <c r="S57" s="75"/>
      <c r="T57" s="75"/>
      <c r="U57" s="75"/>
      <c r="V57" s="75"/>
      <c r="W57" s="75"/>
      <c r="X57" s="75"/>
      <c r="Y57" s="75"/>
      <c r="Z57" s="76"/>
      <c r="AA57" s="75"/>
      <c r="AB57" s="75"/>
    </row>
    <row r="58" spans="1:28" ht="26" x14ac:dyDescent="0.3">
      <c r="A58" s="75"/>
      <c r="B58" s="83"/>
      <c r="C58" s="75"/>
      <c r="D58" s="874"/>
      <c r="E58" s="874"/>
      <c r="F58" s="874"/>
      <c r="G58" s="84"/>
      <c r="H58" s="75"/>
      <c r="I58" s="75"/>
      <c r="J58" s="75"/>
      <c r="K58" s="77"/>
      <c r="L58" s="77"/>
      <c r="M58" s="103"/>
      <c r="N58" s="77"/>
      <c r="O58" s="74"/>
      <c r="P58" s="75"/>
      <c r="Q58" s="75"/>
      <c r="R58" s="75"/>
      <c r="S58" s="75"/>
      <c r="T58" s="75"/>
      <c r="U58" s="75"/>
      <c r="V58" s="75"/>
      <c r="W58" s="75"/>
      <c r="X58" s="75"/>
      <c r="Y58" s="75"/>
      <c r="Z58" s="76"/>
      <c r="AA58" s="75"/>
      <c r="AB58" s="75"/>
    </row>
    <row r="59" spans="1:28" ht="26" x14ac:dyDescent="0.3">
      <c r="A59" s="75"/>
      <c r="B59" s="83"/>
      <c r="C59" s="75"/>
      <c r="D59" s="874"/>
      <c r="E59" s="874"/>
      <c r="F59" s="874"/>
      <c r="G59" s="84"/>
      <c r="H59" s="75"/>
      <c r="I59" s="75"/>
      <c r="J59" s="75"/>
      <c r="K59" s="77"/>
      <c r="L59" s="77"/>
      <c r="M59" s="103"/>
      <c r="N59" s="77"/>
      <c r="O59" s="74"/>
      <c r="P59" s="75"/>
      <c r="Q59" s="75"/>
      <c r="R59" s="75"/>
      <c r="S59" s="75"/>
      <c r="T59" s="75"/>
      <c r="U59" s="75"/>
      <c r="V59" s="75"/>
      <c r="W59" s="75"/>
      <c r="X59" s="75"/>
      <c r="Y59" s="75"/>
      <c r="Z59" s="76"/>
      <c r="AA59" s="75"/>
      <c r="AB59" s="75"/>
    </row>
    <row r="60" spans="1:28" ht="26" x14ac:dyDescent="0.3">
      <c r="A60" s="75"/>
      <c r="B60" s="83"/>
      <c r="C60" s="75"/>
      <c r="D60" s="874"/>
      <c r="E60" s="874"/>
      <c r="F60" s="874"/>
      <c r="G60" s="84"/>
      <c r="H60" s="75"/>
      <c r="I60" s="75"/>
      <c r="J60" s="75"/>
      <c r="K60" s="77"/>
      <c r="L60" s="77"/>
      <c r="M60" s="103"/>
      <c r="N60" s="77"/>
      <c r="O60" s="74"/>
      <c r="P60" s="75"/>
      <c r="Q60" s="75"/>
      <c r="R60" s="75"/>
      <c r="S60" s="75"/>
      <c r="T60" s="75"/>
      <c r="U60" s="75"/>
      <c r="V60" s="75"/>
      <c r="W60" s="75"/>
      <c r="X60" s="75"/>
      <c r="Y60" s="75"/>
      <c r="Z60" s="76"/>
      <c r="AA60" s="75"/>
      <c r="AB60" s="75"/>
    </row>
    <row r="61" spans="1:28" ht="32.25" customHeight="1" x14ac:dyDescent="0.3">
      <c r="A61" s="75"/>
      <c r="B61" s="83"/>
      <c r="C61" s="75"/>
      <c r="D61" s="874"/>
      <c r="E61" s="874"/>
      <c r="F61" s="874"/>
      <c r="G61" s="84"/>
      <c r="H61" s="75"/>
      <c r="I61" s="75"/>
      <c r="J61" s="75"/>
      <c r="K61" s="77"/>
      <c r="L61" s="77"/>
      <c r="M61" s="77"/>
      <c r="N61" s="77"/>
      <c r="O61" s="74"/>
      <c r="P61" s="75"/>
      <c r="Q61" s="75"/>
      <c r="R61" s="75"/>
      <c r="S61" s="75"/>
      <c r="T61" s="75"/>
      <c r="U61" s="75"/>
      <c r="V61" s="75"/>
      <c r="W61" s="75"/>
      <c r="X61" s="75"/>
      <c r="Y61" s="75"/>
      <c r="Z61" s="76"/>
      <c r="AA61" s="75"/>
      <c r="AB61" s="75"/>
    </row>
    <row r="62" spans="1:28" ht="12.75" customHeight="1" x14ac:dyDescent="0.3">
      <c r="A62" s="75"/>
      <c r="B62" s="83"/>
      <c r="C62" s="75"/>
      <c r="D62" s="874"/>
      <c r="E62" s="874"/>
      <c r="F62" s="874"/>
      <c r="G62" s="84"/>
      <c r="H62" s="75"/>
      <c r="I62" s="75"/>
      <c r="J62" s="75"/>
      <c r="K62" s="77"/>
      <c r="L62" s="77"/>
      <c r="M62" s="77"/>
      <c r="N62" s="77"/>
      <c r="O62" s="74"/>
      <c r="P62" s="75"/>
      <c r="Q62" s="75"/>
      <c r="R62" s="75"/>
      <c r="S62" s="75"/>
      <c r="T62" s="75"/>
      <c r="U62" s="75"/>
      <c r="V62" s="75"/>
      <c r="W62" s="75"/>
      <c r="X62" s="75"/>
      <c r="Y62" s="75"/>
      <c r="Z62" s="76"/>
      <c r="AA62" s="75"/>
      <c r="AB62" s="75"/>
    </row>
    <row r="63" spans="1:28" ht="14.25" customHeight="1" thickBot="1" x14ac:dyDescent="0.35">
      <c r="A63" s="75"/>
      <c r="B63" s="105"/>
      <c r="C63" s="79"/>
      <c r="D63" s="79"/>
      <c r="E63" s="79"/>
      <c r="F63" s="79"/>
      <c r="G63" s="79"/>
      <c r="H63" s="79"/>
      <c r="I63" s="79"/>
      <c r="J63" s="79"/>
      <c r="K63" s="106"/>
      <c r="L63" s="106"/>
      <c r="M63" s="106"/>
      <c r="N63" s="106"/>
      <c r="O63" s="107"/>
      <c r="P63" s="79"/>
      <c r="Q63" s="79"/>
      <c r="R63" s="79"/>
      <c r="S63" s="79"/>
      <c r="T63" s="79"/>
      <c r="U63" s="79"/>
      <c r="V63" s="79"/>
      <c r="W63" s="79"/>
      <c r="X63" s="79"/>
      <c r="Y63" s="79"/>
      <c r="Z63" s="108"/>
      <c r="AA63" s="75"/>
      <c r="AB63" s="75"/>
    </row>
    <row r="64" spans="1:28" ht="26" x14ac:dyDescent="0.3">
      <c r="A64" s="75"/>
      <c r="B64" s="83"/>
      <c r="C64" s="75"/>
      <c r="D64" s="75"/>
      <c r="E64" s="75"/>
      <c r="F64" s="75"/>
      <c r="G64" s="75"/>
      <c r="H64" s="75"/>
      <c r="I64" s="75"/>
      <c r="J64" s="75"/>
      <c r="K64" s="77"/>
      <c r="L64" s="77"/>
      <c r="M64" s="77"/>
      <c r="N64" s="77"/>
      <c r="O64" s="74"/>
      <c r="P64" s="75"/>
      <c r="Q64" s="75"/>
      <c r="R64" s="75"/>
      <c r="S64" s="75"/>
      <c r="T64" s="75"/>
      <c r="U64" s="75"/>
      <c r="V64" s="75"/>
      <c r="W64" s="75"/>
      <c r="X64" s="75"/>
      <c r="Y64" s="75"/>
      <c r="Z64" s="76"/>
      <c r="AA64" s="75"/>
      <c r="AB64" s="75"/>
    </row>
    <row r="65" spans="1:28" ht="26" x14ac:dyDescent="0.3">
      <c r="A65" s="75"/>
      <c r="B65" s="83"/>
      <c r="C65" s="75"/>
      <c r="D65" s="75"/>
      <c r="E65" s="75"/>
      <c r="F65" s="75"/>
      <c r="G65" s="75"/>
      <c r="H65" s="75"/>
      <c r="I65" s="75"/>
      <c r="J65" s="75"/>
      <c r="K65" s="77"/>
      <c r="L65" s="77"/>
      <c r="M65" s="77"/>
      <c r="N65" s="77"/>
      <c r="O65" s="74"/>
      <c r="P65" s="75"/>
      <c r="Q65" s="75"/>
      <c r="R65" s="75"/>
      <c r="S65" s="75"/>
      <c r="T65" s="75"/>
      <c r="U65" s="75"/>
      <c r="V65" s="75"/>
      <c r="W65" s="75"/>
      <c r="X65" s="75"/>
      <c r="Y65" s="75"/>
      <c r="Z65" s="76"/>
      <c r="AA65" s="75"/>
      <c r="AB65" s="75"/>
    </row>
    <row r="66" spans="1:28" ht="26" x14ac:dyDescent="0.3">
      <c r="A66" s="75"/>
      <c r="B66" s="83"/>
      <c r="C66" s="75"/>
      <c r="D66" s="75"/>
      <c r="E66" s="75"/>
      <c r="F66" s="75"/>
      <c r="G66" s="75"/>
      <c r="H66" s="75"/>
      <c r="I66" s="75"/>
      <c r="J66" s="75"/>
      <c r="K66" s="77"/>
      <c r="L66" s="77"/>
      <c r="M66" s="77"/>
      <c r="N66" s="77"/>
      <c r="O66" s="74"/>
      <c r="P66" s="75"/>
      <c r="Q66" s="75"/>
      <c r="R66" s="75"/>
      <c r="S66" s="75"/>
      <c r="T66" s="75"/>
      <c r="U66" s="75"/>
      <c r="V66" s="75"/>
      <c r="W66" s="75"/>
      <c r="X66" s="75"/>
      <c r="Y66" s="75"/>
      <c r="Z66" s="76"/>
      <c r="AA66" s="75"/>
      <c r="AB66" s="75"/>
    </row>
    <row r="67" spans="1:28" ht="26" x14ac:dyDescent="0.3">
      <c r="A67" s="75"/>
      <c r="B67" s="83"/>
      <c r="C67" s="75"/>
      <c r="D67" s="75"/>
      <c r="E67" s="75"/>
      <c r="F67" s="75"/>
      <c r="G67" s="75"/>
      <c r="H67" s="75"/>
      <c r="I67" s="75"/>
      <c r="J67" s="75"/>
      <c r="K67" s="77"/>
      <c r="L67" s="77"/>
      <c r="M67" s="77"/>
      <c r="N67" s="77"/>
      <c r="O67" s="104"/>
      <c r="P67" s="75"/>
      <c r="Q67" s="75"/>
      <c r="R67" s="75"/>
      <c r="S67" s="75"/>
      <c r="T67" s="75"/>
      <c r="U67" s="75"/>
      <c r="V67" s="75"/>
      <c r="W67" s="75"/>
      <c r="X67" s="75"/>
      <c r="Y67" s="75"/>
      <c r="Z67" s="76"/>
      <c r="AA67" s="75"/>
      <c r="AB67" s="75"/>
    </row>
    <row r="68" spans="1:28" ht="26" x14ac:dyDescent="0.3">
      <c r="A68" s="75"/>
      <c r="B68" s="83"/>
      <c r="C68" s="75"/>
      <c r="D68" s="75"/>
      <c r="E68" s="75"/>
      <c r="F68" s="75"/>
      <c r="G68" s="75"/>
      <c r="H68" s="75"/>
      <c r="I68" s="75"/>
      <c r="J68" s="75"/>
      <c r="K68" s="77"/>
      <c r="L68" s="77"/>
      <c r="M68" s="77"/>
      <c r="N68" s="77"/>
      <c r="O68" s="74"/>
      <c r="P68" s="75"/>
      <c r="Q68" s="75"/>
      <c r="R68" s="75"/>
      <c r="S68" s="75"/>
      <c r="T68" s="75"/>
      <c r="U68" s="75"/>
      <c r="V68" s="75"/>
      <c r="W68" s="75"/>
      <c r="X68" s="75"/>
      <c r="Y68" s="75"/>
      <c r="Z68" s="76"/>
      <c r="AA68" s="75"/>
      <c r="AB68" s="75"/>
    </row>
    <row r="69" spans="1:28" ht="26" x14ac:dyDescent="0.3">
      <c r="A69" s="75"/>
      <c r="B69" s="83"/>
      <c r="C69" s="75"/>
      <c r="D69" s="75"/>
      <c r="E69" s="75"/>
      <c r="F69" s="75"/>
      <c r="G69" s="75"/>
      <c r="H69" s="75"/>
      <c r="I69" s="75"/>
      <c r="J69" s="75"/>
      <c r="K69" s="77"/>
      <c r="L69" s="77"/>
      <c r="M69" s="77"/>
      <c r="N69" s="77"/>
      <c r="O69" s="74"/>
      <c r="P69" s="75"/>
      <c r="Q69" s="75"/>
      <c r="R69" s="75"/>
      <c r="S69" s="75"/>
      <c r="T69" s="75"/>
      <c r="U69" s="75"/>
      <c r="V69" s="75"/>
      <c r="W69" s="75"/>
      <c r="X69" s="75"/>
      <c r="Y69" s="75"/>
      <c r="Z69" s="76"/>
      <c r="AA69" s="75"/>
      <c r="AB69" s="75"/>
    </row>
    <row r="70" spans="1:28" ht="26" x14ac:dyDescent="0.3">
      <c r="A70" s="75"/>
      <c r="B70" s="83"/>
      <c r="C70" s="75"/>
      <c r="D70" s="75"/>
      <c r="E70" s="75"/>
      <c r="F70" s="75"/>
      <c r="G70" s="75"/>
      <c r="H70" s="75"/>
      <c r="I70" s="75"/>
      <c r="J70" s="75"/>
      <c r="K70" s="77"/>
      <c r="L70" s="77"/>
      <c r="M70" s="77"/>
      <c r="N70" s="77"/>
      <c r="O70" s="74"/>
      <c r="P70" s="75"/>
      <c r="Q70" s="75"/>
      <c r="R70" s="75"/>
      <c r="S70" s="75"/>
      <c r="T70" s="75"/>
      <c r="U70" s="75"/>
      <c r="V70" s="75"/>
      <c r="W70" s="75"/>
      <c r="X70" s="75"/>
      <c r="Y70" s="75"/>
      <c r="Z70" s="76"/>
      <c r="AA70" s="75"/>
      <c r="AB70" s="75"/>
    </row>
    <row r="71" spans="1:28" ht="26" x14ac:dyDescent="0.3">
      <c r="A71" s="75"/>
      <c r="B71" s="83"/>
      <c r="C71" s="75"/>
      <c r="D71" s="75"/>
      <c r="E71" s="75"/>
      <c r="F71" s="75"/>
      <c r="G71" s="75"/>
      <c r="H71" s="75"/>
      <c r="I71" s="75"/>
      <c r="J71" s="75"/>
      <c r="K71" s="77"/>
      <c r="L71" s="77"/>
      <c r="M71" s="77"/>
      <c r="N71" s="77"/>
      <c r="O71" s="74"/>
      <c r="P71" s="75"/>
      <c r="Q71" s="75"/>
      <c r="R71" s="75"/>
      <c r="S71" s="75"/>
      <c r="T71" s="75"/>
      <c r="U71" s="75"/>
      <c r="V71" s="75"/>
      <c r="W71" s="75"/>
      <c r="X71" s="75"/>
      <c r="Y71" s="75"/>
      <c r="Z71" s="76"/>
      <c r="AA71" s="75"/>
      <c r="AB71" s="75"/>
    </row>
    <row r="72" spans="1:28" ht="26" x14ac:dyDescent="0.3">
      <c r="A72" s="75"/>
      <c r="B72" s="83"/>
      <c r="C72" s="75"/>
      <c r="D72" s="75"/>
      <c r="E72" s="75"/>
      <c r="F72" s="75"/>
      <c r="G72" s="75"/>
      <c r="H72" s="75"/>
      <c r="I72" s="75"/>
      <c r="J72" s="75"/>
      <c r="K72" s="77"/>
      <c r="L72" s="77"/>
      <c r="M72" s="77"/>
      <c r="N72" s="77"/>
      <c r="O72" s="74"/>
      <c r="P72" s="75"/>
      <c r="Q72" s="75"/>
      <c r="R72" s="75"/>
      <c r="S72" s="75"/>
      <c r="T72" s="75"/>
      <c r="U72" s="75"/>
      <c r="V72" s="75"/>
      <c r="W72" s="75"/>
      <c r="X72" s="75"/>
      <c r="Y72" s="75"/>
      <c r="Z72" s="76"/>
      <c r="AA72" s="75"/>
      <c r="AB72" s="75"/>
    </row>
    <row r="73" spans="1:28" ht="26" x14ac:dyDescent="0.3">
      <c r="A73" s="75"/>
      <c r="B73" s="83"/>
      <c r="C73" s="75"/>
      <c r="D73" s="75"/>
      <c r="E73" s="75"/>
      <c r="F73" s="75"/>
      <c r="G73" s="75"/>
      <c r="H73" s="75"/>
      <c r="I73" s="75"/>
      <c r="J73" s="75"/>
      <c r="K73" s="77"/>
      <c r="L73" s="77"/>
      <c r="M73" s="77"/>
      <c r="N73" s="77"/>
      <c r="O73" s="74"/>
      <c r="P73" s="75"/>
      <c r="Q73" s="75"/>
      <c r="R73" s="75"/>
      <c r="S73" s="75"/>
      <c r="T73" s="75"/>
      <c r="U73" s="75"/>
      <c r="V73" s="75"/>
      <c r="W73" s="75"/>
      <c r="X73" s="75"/>
      <c r="Y73" s="75"/>
      <c r="Z73" s="76"/>
      <c r="AA73" s="75"/>
      <c r="AB73" s="75"/>
    </row>
    <row r="74" spans="1:28" ht="26" x14ac:dyDescent="0.3">
      <c r="A74" s="75"/>
      <c r="B74" s="83"/>
      <c r="C74" s="75"/>
      <c r="D74" s="75"/>
      <c r="E74" s="75"/>
      <c r="F74" s="75"/>
      <c r="G74" s="75"/>
      <c r="H74" s="75"/>
      <c r="I74" s="75"/>
      <c r="J74" s="75"/>
      <c r="K74" s="77"/>
      <c r="L74" s="77"/>
      <c r="M74" s="77"/>
      <c r="N74" s="77"/>
      <c r="O74" s="74"/>
      <c r="P74" s="75"/>
      <c r="Q74" s="75"/>
      <c r="R74" s="75"/>
      <c r="S74" s="75"/>
      <c r="T74" s="75"/>
      <c r="U74" s="75"/>
      <c r="V74" s="75"/>
      <c r="W74" s="75"/>
      <c r="X74" s="75"/>
      <c r="Y74" s="75"/>
      <c r="Z74" s="76"/>
      <c r="AA74" s="75"/>
      <c r="AB74" s="75"/>
    </row>
    <row r="75" spans="1:28" ht="26" x14ac:dyDescent="0.3">
      <c r="A75" s="75"/>
      <c r="B75" s="83"/>
      <c r="C75" s="75"/>
      <c r="D75" s="75"/>
      <c r="E75" s="75"/>
      <c r="F75" s="75"/>
      <c r="G75" s="75"/>
      <c r="H75" s="75"/>
      <c r="I75" s="75"/>
      <c r="J75" s="75"/>
      <c r="K75" s="77"/>
      <c r="L75" s="77"/>
      <c r="M75" s="77"/>
      <c r="N75" s="77"/>
      <c r="O75" s="74"/>
      <c r="P75" s="75"/>
      <c r="Q75" s="75"/>
      <c r="R75" s="75"/>
      <c r="S75" s="75"/>
      <c r="T75" s="75"/>
      <c r="U75" s="75"/>
      <c r="V75" s="75"/>
      <c r="W75" s="75"/>
      <c r="X75" s="75"/>
      <c r="Y75" s="75"/>
      <c r="Z75" s="76"/>
      <c r="AA75" s="75"/>
      <c r="AB75" s="75"/>
    </row>
    <row r="76" spans="1:28" ht="26" x14ac:dyDescent="0.3">
      <c r="A76" s="75"/>
      <c r="B76" s="83"/>
      <c r="C76" s="75"/>
      <c r="D76" s="75"/>
      <c r="E76" s="75"/>
      <c r="F76" s="75"/>
      <c r="G76" s="75"/>
      <c r="H76" s="75"/>
      <c r="I76" s="75"/>
      <c r="J76" s="75"/>
      <c r="K76" s="77"/>
      <c r="L76" s="77"/>
      <c r="M76" s="77"/>
      <c r="N76" s="77"/>
      <c r="O76" s="74"/>
      <c r="P76" s="75"/>
      <c r="Q76" s="75"/>
      <c r="R76" s="75"/>
      <c r="S76" s="75"/>
      <c r="T76" s="75"/>
      <c r="U76" s="75"/>
      <c r="V76" s="75"/>
      <c r="W76" s="75"/>
      <c r="X76" s="75"/>
      <c r="Y76" s="75"/>
      <c r="Z76" s="76"/>
      <c r="AA76" s="75"/>
      <c r="AB76" s="75"/>
    </row>
    <row r="77" spans="1:28" ht="26" x14ac:dyDescent="0.3">
      <c r="A77" s="75"/>
      <c r="B77" s="83"/>
      <c r="C77" s="75"/>
      <c r="D77" s="75"/>
      <c r="E77" s="75"/>
      <c r="F77" s="75"/>
      <c r="G77" s="75"/>
      <c r="H77" s="75"/>
      <c r="I77" s="75"/>
      <c r="J77" s="75"/>
      <c r="K77" s="77"/>
      <c r="L77" s="77"/>
      <c r="M77" s="77"/>
      <c r="N77" s="77"/>
      <c r="O77" s="74"/>
      <c r="P77" s="75"/>
      <c r="Q77" s="75"/>
      <c r="R77" s="75"/>
      <c r="S77" s="75"/>
      <c r="T77" s="75"/>
      <c r="U77" s="75"/>
      <c r="V77" s="75"/>
      <c r="W77" s="75"/>
      <c r="X77" s="75"/>
      <c r="Y77" s="75"/>
      <c r="Z77" s="76"/>
      <c r="AA77" s="75"/>
      <c r="AB77" s="75"/>
    </row>
    <row r="78" spans="1:28" ht="26" x14ac:dyDescent="0.3">
      <c r="A78" s="75"/>
      <c r="B78" s="83"/>
      <c r="C78" s="75"/>
      <c r="D78" s="75"/>
      <c r="E78" s="75"/>
      <c r="F78" s="75"/>
      <c r="G78" s="75"/>
      <c r="H78" s="75"/>
      <c r="I78" s="75"/>
      <c r="J78" s="75"/>
      <c r="K78" s="77"/>
      <c r="L78" s="77"/>
      <c r="M78" s="77"/>
      <c r="N78" s="77"/>
      <c r="O78" s="74"/>
      <c r="P78" s="75"/>
      <c r="Q78" s="75"/>
      <c r="R78" s="75"/>
      <c r="S78" s="75"/>
      <c r="T78" s="75"/>
      <c r="U78" s="75"/>
      <c r="V78" s="75"/>
      <c r="W78" s="75"/>
      <c r="X78" s="75"/>
      <c r="Y78" s="75"/>
      <c r="Z78" s="76"/>
      <c r="AA78" s="75"/>
      <c r="AB78" s="75"/>
    </row>
    <row r="79" spans="1:28" ht="26" x14ac:dyDescent="0.3">
      <c r="A79" s="75"/>
      <c r="B79" s="83"/>
      <c r="C79" s="75"/>
      <c r="D79" s="75"/>
      <c r="E79" s="75"/>
      <c r="F79" s="75"/>
      <c r="G79" s="75"/>
      <c r="H79" s="75"/>
      <c r="I79" s="75"/>
      <c r="J79" s="75"/>
      <c r="K79" s="77"/>
      <c r="L79" s="77"/>
      <c r="M79" s="77"/>
      <c r="N79" s="77"/>
      <c r="O79" s="74"/>
      <c r="P79" s="75"/>
      <c r="Q79" s="75"/>
      <c r="R79" s="75"/>
      <c r="S79" s="75"/>
      <c r="T79" s="75"/>
      <c r="U79" s="75"/>
      <c r="V79" s="75"/>
      <c r="W79" s="75"/>
      <c r="X79" s="75"/>
      <c r="Y79" s="75"/>
      <c r="Z79" s="76"/>
      <c r="AA79" s="75"/>
      <c r="AB79" s="75"/>
    </row>
    <row r="80" spans="1:28" ht="26" x14ac:dyDescent="0.3">
      <c r="A80" s="75"/>
      <c r="B80" s="83"/>
      <c r="C80" s="75"/>
      <c r="D80" s="75"/>
      <c r="E80" s="75"/>
      <c r="F80" s="75"/>
      <c r="G80" s="75"/>
      <c r="H80" s="75"/>
      <c r="I80" s="75"/>
      <c r="J80" s="75"/>
      <c r="K80" s="77"/>
      <c r="L80" s="77"/>
      <c r="M80" s="77"/>
      <c r="N80" s="77"/>
      <c r="O80" s="74"/>
      <c r="P80" s="75"/>
      <c r="Q80" s="75"/>
      <c r="R80" s="75"/>
      <c r="S80" s="75"/>
      <c r="T80" s="75"/>
      <c r="U80" s="75"/>
      <c r="V80" s="75"/>
      <c r="W80" s="75"/>
      <c r="X80" s="75"/>
      <c r="Y80" s="75"/>
      <c r="Z80" s="76"/>
      <c r="AA80" s="75"/>
      <c r="AB80" s="75"/>
    </row>
    <row r="81" spans="1:28" ht="26" x14ac:dyDescent="0.3">
      <c r="A81" s="75"/>
      <c r="B81" s="83"/>
      <c r="C81" s="75"/>
      <c r="D81" s="75"/>
      <c r="E81" s="75"/>
      <c r="F81" s="75"/>
      <c r="G81" s="75"/>
      <c r="H81" s="75"/>
      <c r="I81" s="75"/>
      <c r="J81" s="75"/>
      <c r="K81" s="77"/>
      <c r="L81" s="77"/>
      <c r="M81" s="77"/>
      <c r="N81" s="77"/>
      <c r="O81" s="74"/>
      <c r="P81" s="75"/>
      <c r="Q81" s="75"/>
      <c r="R81" s="75"/>
      <c r="S81" s="75"/>
      <c r="T81" s="75"/>
      <c r="U81" s="75"/>
      <c r="V81" s="75"/>
      <c r="W81" s="75"/>
      <c r="X81" s="75"/>
      <c r="Y81" s="75"/>
      <c r="Z81" s="76"/>
      <c r="AA81" s="75"/>
      <c r="AB81" s="75"/>
    </row>
    <row r="82" spans="1:28" ht="26" x14ac:dyDescent="0.3">
      <c r="A82" s="75"/>
      <c r="B82" s="83"/>
      <c r="C82" s="75"/>
      <c r="D82" s="75"/>
      <c r="E82" s="75"/>
      <c r="F82" s="75"/>
      <c r="G82" s="75"/>
      <c r="H82" s="75"/>
      <c r="I82" s="75"/>
      <c r="J82" s="75"/>
      <c r="K82" s="77"/>
      <c r="L82" s="77"/>
      <c r="M82" s="77"/>
      <c r="N82" s="77"/>
      <c r="O82" s="74"/>
      <c r="P82" s="75"/>
      <c r="Q82" s="75"/>
      <c r="R82" s="75"/>
      <c r="S82" s="75"/>
      <c r="T82" s="75"/>
      <c r="U82" s="75"/>
      <c r="V82" s="75"/>
      <c r="W82" s="75"/>
      <c r="X82" s="75"/>
      <c r="Y82" s="75"/>
      <c r="Z82" s="76"/>
      <c r="AA82" s="75"/>
      <c r="AB82" s="75"/>
    </row>
    <row r="83" spans="1:28" ht="26" x14ac:dyDescent="0.3">
      <c r="A83" s="75"/>
      <c r="B83" s="83"/>
      <c r="C83" s="75"/>
      <c r="D83" s="75"/>
      <c r="E83" s="75"/>
      <c r="F83" s="75"/>
      <c r="G83" s="75"/>
      <c r="H83" s="75"/>
      <c r="I83" s="75"/>
      <c r="J83" s="75"/>
      <c r="K83" s="77"/>
      <c r="L83" s="77"/>
      <c r="M83" s="77"/>
      <c r="N83" s="77"/>
      <c r="O83" s="74"/>
      <c r="P83" s="75"/>
      <c r="Q83" s="75"/>
      <c r="R83" s="75"/>
      <c r="S83" s="75"/>
      <c r="T83" s="75"/>
      <c r="U83" s="75"/>
      <c r="V83" s="75"/>
      <c r="W83" s="75"/>
      <c r="X83" s="75"/>
      <c r="Y83" s="75"/>
      <c r="Z83" s="76"/>
      <c r="AA83" s="75"/>
      <c r="AB83" s="75"/>
    </row>
    <row r="84" spans="1:28" ht="26" x14ac:dyDescent="0.3">
      <c r="A84" s="75"/>
      <c r="B84" s="83"/>
      <c r="C84" s="75"/>
      <c r="D84" s="75"/>
      <c r="E84" s="75"/>
      <c r="F84" s="75"/>
      <c r="G84" s="75"/>
      <c r="H84" s="75"/>
      <c r="I84" s="75"/>
      <c r="J84" s="75"/>
      <c r="K84" s="77"/>
      <c r="L84" s="77"/>
      <c r="M84" s="77"/>
      <c r="N84" s="77"/>
      <c r="O84" s="74"/>
      <c r="P84" s="75"/>
      <c r="Q84" s="75"/>
      <c r="R84" s="75"/>
      <c r="S84" s="75"/>
      <c r="T84" s="75"/>
      <c r="U84" s="75"/>
      <c r="V84" s="75"/>
      <c r="W84" s="75"/>
      <c r="X84" s="75"/>
      <c r="Y84" s="75"/>
      <c r="Z84" s="76"/>
      <c r="AA84" s="75"/>
      <c r="AB84" s="75"/>
    </row>
    <row r="85" spans="1:28" ht="26" x14ac:dyDescent="0.3">
      <c r="A85" s="75"/>
      <c r="B85" s="83"/>
      <c r="C85" s="75"/>
      <c r="D85" s="75"/>
      <c r="E85" s="75"/>
      <c r="F85" s="75"/>
      <c r="G85" s="75"/>
      <c r="H85" s="75"/>
      <c r="I85" s="75"/>
      <c r="J85" s="75"/>
      <c r="K85" s="77"/>
      <c r="L85" s="77"/>
      <c r="M85" s="77"/>
      <c r="N85" s="77"/>
      <c r="O85" s="74"/>
      <c r="P85" s="75"/>
      <c r="Q85" s="75"/>
      <c r="R85" s="75"/>
      <c r="S85" s="75"/>
      <c r="T85" s="75"/>
      <c r="U85" s="75"/>
      <c r="V85" s="75"/>
      <c r="W85" s="75"/>
      <c r="X85" s="75"/>
      <c r="Y85" s="75"/>
      <c r="Z85" s="76"/>
      <c r="AA85" s="75"/>
      <c r="AB85" s="75"/>
    </row>
    <row r="86" spans="1:28" ht="26" x14ac:dyDescent="0.3">
      <c r="A86" s="75"/>
      <c r="B86" s="83"/>
      <c r="C86" s="75"/>
      <c r="D86" s="75"/>
      <c r="E86" s="75"/>
      <c r="F86" s="75"/>
      <c r="G86" s="75"/>
      <c r="H86" s="75"/>
      <c r="I86" s="75"/>
      <c r="J86" s="75"/>
      <c r="K86" s="77"/>
      <c r="L86" s="77"/>
      <c r="M86" s="77"/>
      <c r="N86" s="77"/>
      <c r="O86" s="74"/>
      <c r="P86" s="75"/>
      <c r="Q86" s="75"/>
      <c r="R86" s="75"/>
      <c r="S86" s="75"/>
      <c r="T86" s="75"/>
      <c r="U86" s="75"/>
      <c r="V86" s="75"/>
      <c r="W86" s="75"/>
      <c r="X86" s="75"/>
      <c r="Y86" s="75"/>
      <c r="Z86" s="76"/>
      <c r="AA86" s="75"/>
      <c r="AB86" s="75"/>
    </row>
    <row r="87" spans="1:28" ht="26" x14ac:dyDescent="0.3">
      <c r="A87" s="75"/>
      <c r="B87" s="83"/>
      <c r="C87" s="75"/>
      <c r="D87" s="75"/>
      <c r="E87" s="75"/>
      <c r="F87" s="75"/>
      <c r="G87" s="75"/>
      <c r="H87" s="75"/>
      <c r="I87" s="75"/>
      <c r="J87" s="75"/>
      <c r="K87" s="77"/>
      <c r="L87" s="77"/>
      <c r="M87" s="77"/>
      <c r="N87" s="77"/>
      <c r="O87" s="74"/>
      <c r="P87" s="75"/>
      <c r="Q87" s="75"/>
      <c r="R87" s="75"/>
      <c r="S87" s="75"/>
      <c r="T87" s="75"/>
      <c r="U87" s="75"/>
      <c r="V87" s="75"/>
      <c r="W87" s="75"/>
      <c r="X87" s="75"/>
      <c r="Y87" s="75"/>
      <c r="Z87" s="76"/>
      <c r="AA87" s="75"/>
      <c r="AB87" s="75"/>
    </row>
    <row r="88" spans="1:28" ht="26" x14ac:dyDescent="0.3">
      <c r="A88" s="75"/>
      <c r="B88" s="83"/>
      <c r="C88" s="75"/>
      <c r="D88" s="75"/>
      <c r="E88" s="75"/>
      <c r="F88" s="75"/>
      <c r="G88" s="75"/>
      <c r="H88" s="75"/>
      <c r="I88" s="75"/>
      <c r="J88" s="75"/>
      <c r="K88" s="77"/>
      <c r="L88" s="77"/>
      <c r="M88" s="77"/>
      <c r="N88" s="77"/>
      <c r="O88" s="74"/>
      <c r="P88" s="75"/>
      <c r="Q88" s="75"/>
      <c r="R88" s="75"/>
      <c r="S88" s="75"/>
      <c r="T88" s="75"/>
      <c r="U88" s="75"/>
      <c r="V88" s="75"/>
      <c r="W88" s="75"/>
      <c r="X88" s="75"/>
      <c r="Y88" s="75"/>
      <c r="Z88" s="76"/>
      <c r="AA88" s="75"/>
      <c r="AB88" s="75"/>
    </row>
    <row r="89" spans="1:28" ht="26" x14ac:dyDescent="0.3">
      <c r="A89" s="75"/>
      <c r="B89" s="83"/>
      <c r="C89" s="75"/>
      <c r="D89" s="75"/>
      <c r="E89" s="75"/>
      <c r="F89" s="75"/>
      <c r="G89" s="75"/>
      <c r="H89" s="75"/>
      <c r="I89" s="75"/>
      <c r="J89" s="75"/>
      <c r="K89" s="77"/>
      <c r="L89" s="77"/>
      <c r="M89" s="77"/>
      <c r="N89" s="77"/>
      <c r="O89" s="74"/>
      <c r="P89" s="75"/>
      <c r="Q89" s="75"/>
      <c r="R89" s="75"/>
      <c r="S89" s="75"/>
      <c r="T89" s="75"/>
      <c r="U89" s="75"/>
      <c r="V89" s="75"/>
      <c r="W89" s="75"/>
      <c r="X89" s="75"/>
      <c r="Y89" s="75"/>
      <c r="Z89" s="76"/>
      <c r="AA89" s="75"/>
      <c r="AB89" s="75"/>
    </row>
    <row r="90" spans="1:28" ht="27" thickBot="1" x14ac:dyDescent="0.35">
      <c r="A90" s="75"/>
      <c r="B90" s="83"/>
      <c r="C90" s="79"/>
      <c r="D90" s="79"/>
      <c r="E90" s="79"/>
      <c r="F90" s="79"/>
      <c r="G90" s="79"/>
      <c r="H90" s="79"/>
      <c r="I90" s="79"/>
      <c r="J90" s="79"/>
      <c r="K90" s="106"/>
      <c r="L90" s="106"/>
      <c r="M90" s="106"/>
      <c r="N90" s="106"/>
      <c r="O90" s="107"/>
      <c r="P90" s="79"/>
      <c r="Q90" s="79"/>
      <c r="R90" s="79"/>
      <c r="S90" s="79"/>
      <c r="T90" s="79"/>
      <c r="U90" s="79"/>
      <c r="V90" s="79"/>
      <c r="W90" s="79"/>
      <c r="X90" s="79"/>
      <c r="Y90" s="79"/>
      <c r="Z90" s="76"/>
      <c r="AA90" s="75"/>
      <c r="AB90" s="75"/>
    </row>
    <row r="91" spans="1:28" ht="26" x14ac:dyDescent="0.3">
      <c r="A91" s="75"/>
      <c r="B91" s="83"/>
      <c r="Z91" s="76"/>
      <c r="AA91" s="75"/>
      <c r="AB91" s="75"/>
    </row>
    <row r="92" spans="1:28" ht="26" x14ac:dyDescent="0.3">
      <c r="A92" s="75"/>
      <c r="B92" s="83"/>
      <c r="Z92" s="76"/>
      <c r="AA92" s="75"/>
      <c r="AB92" s="75"/>
    </row>
    <row r="93" spans="1:28" ht="26" x14ac:dyDescent="0.3">
      <c r="A93" s="75"/>
      <c r="B93" s="83"/>
      <c r="Z93" s="76"/>
      <c r="AA93" s="75"/>
      <c r="AB93" s="75"/>
    </row>
    <row r="94" spans="1:28" ht="26" x14ac:dyDescent="0.3">
      <c r="A94" s="75"/>
      <c r="B94" s="83"/>
      <c r="Z94" s="76"/>
      <c r="AA94" s="75"/>
      <c r="AB94" s="75"/>
    </row>
    <row r="95" spans="1:28" ht="26" x14ac:dyDescent="0.3">
      <c r="A95" s="75"/>
      <c r="B95" s="83"/>
      <c r="Z95" s="76"/>
      <c r="AA95" s="75"/>
      <c r="AB95" s="75"/>
    </row>
    <row r="96" spans="1:28" ht="10.5" customHeight="1" x14ac:dyDescent="0.3">
      <c r="A96" s="75"/>
      <c r="B96" s="83"/>
      <c r="Z96" s="76"/>
      <c r="AA96" s="75"/>
      <c r="AB96" s="75"/>
    </row>
    <row r="97" spans="1:28" ht="24" customHeight="1" x14ac:dyDescent="0.3">
      <c r="A97" s="75"/>
      <c r="B97" s="83"/>
      <c r="Z97" s="76"/>
      <c r="AA97" s="75"/>
      <c r="AB97" s="75"/>
    </row>
    <row r="98" spans="1:28" ht="11.25" customHeight="1" thickBot="1" x14ac:dyDescent="0.35">
      <c r="A98" s="75"/>
      <c r="B98" s="105"/>
      <c r="Z98" s="108"/>
      <c r="AA98" s="75"/>
      <c r="AB98" s="75"/>
    </row>
    <row r="99" spans="1:28" ht="12" customHeight="1" x14ac:dyDescent="0.3"/>
    <row r="100" spans="1:28" ht="25" customHeight="1" x14ac:dyDescent="0.3"/>
    <row r="101" spans="1:28" ht="25" customHeight="1" x14ac:dyDescent="0.3"/>
    <row r="102" spans="1:28" ht="25" customHeight="1" x14ac:dyDescent="0.3"/>
    <row r="103" spans="1:28" ht="25" customHeight="1" x14ac:dyDescent="0.3"/>
    <row r="104" spans="1:28" ht="25" customHeight="1" x14ac:dyDescent="0.3"/>
    <row r="105" spans="1:28" ht="25" customHeight="1" x14ac:dyDescent="0.3"/>
    <row r="106" spans="1:28" ht="25" customHeight="1" x14ac:dyDescent="0.3"/>
    <row r="107" spans="1:28" ht="25" customHeight="1" x14ac:dyDescent="0.3"/>
    <row r="108" spans="1:28" ht="25" customHeight="1" x14ac:dyDescent="0.3"/>
    <row r="109" spans="1:28" ht="25" customHeight="1" x14ac:dyDescent="0.3"/>
    <row r="110" spans="1:28" ht="25" customHeight="1" x14ac:dyDescent="0.3"/>
    <row r="111" spans="1:28" ht="25" customHeight="1" x14ac:dyDescent="0.3"/>
    <row r="112" spans="1:28" ht="25" customHeight="1" x14ac:dyDescent="0.3"/>
    <row r="113" ht="25" customHeight="1" x14ac:dyDescent="0.3"/>
    <row r="114" ht="25" customHeight="1" x14ac:dyDescent="0.3"/>
    <row r="115" ht="25" customHeight="1" x14ac:dyDescent="0.3"/>
    <row r="116" ht="25" customHeight="1" x14ac:dyDescent="0.3"/>
  </sheetData>
  <mergeCells count="82">
    <mergeCell ref="D61:F61"/>
    <mergeCell ref="D62:F62"/>
    <mergeCell ref="F17:H17"/>
    <mergeCell ref="F34:H34"/>
    <mergeCell ref="F29:H29"/>
    <mergeCell ref="F22:H22"/>
    <mergeCell ref="E44:M44"/>
    <mergeCell ref="C41:N41"/>
    <mergeCell ref="E43:M43"/>
    <mergeCell ref="D59:F59"/>
    <mergeCell ref="D60:F60"/>
    <mergeCell ref="I17:J17"/>
    <mergeCell ref="N43:U43"/>
    <mergeCell ref="E45:M45"/>
    <mergeCell ref="H46:M46"/>
    <mergeCell ref="E52:M52"/>
    <mergeCell ref="L8:M9"/>
    <mergeCell ref="E12:M12"/>
    <mergeCell ref="L14:U14"/>
    <mergeCell ref="L15:V15"/>
    <mergeCell ref="L17:N17"/>
    <mergeCell ref="P17:U17"/>
    <mergeCell ref="I16:J16"/>
    <mergeCell ref="R3:T3"/>
    <mergeCell ref="U3:W3"/>
    <mergeCell ref="Q16:R16"/>
    <mergeCell ref="T16:V16"/>
    <mergeCell ref="W25:X25"/>
    <mergeCell ref="X3:Y3"/>
    <mergeCell ref="C10:Y10"/>
    <mergeCell ref="L20:Y20"/>
    <mergeCell ref="L16:P16"/>
    <mergeCell ref="O3:Q3"/>
    <mergeCell ref="E8:H8"/>
    <mergeCell ref="I8:K9"/>
    <mergeCell ref="E7:H7"/>
    <mergeCell ref="J7:K7"/>
    <mergeCell ref="D4:N4"/>
    <mergeCell ref="E5:H5"/>
    <mergeCell ref="J5:K5"/>
    <mergeCell ref="E6:H6"/>
    <mergeCell ref="J6:K6"/>
    <mergeCell ref="L6:M6"/>
    <mergeCell ref="D3:N3"/>
    <mergeCell ref="W32:X32"/>
    <mergeCell ref="M25:V25"/>
    <mergeCell ref="M26:V26"/>
    <mergeCell ref="M27:V27"/>
    <mergeCell ref="M28:V28"/>
    <mergeCell ref="W29:X29"/>
    <mergeCell ref="W26:X26"/>
    <mergeCell ref="M32:V32"/>
    <mergeCell ref="M29:V29"/>
    <mergeCell ref="N52:U52"/>
    <mergeCell ref="D56:F56"/>
    <mergeCell ref="D57:H57"/>
    <mergeCell ref="D58:F58"/>
    <mergeCell ref="W33:X33"/>
    <mergeCell ref="M34:V34"/>
    <mergeCell ref="W34:X34"/>
    <mergeCell ref="N44:U44"/>
    <mergeCell ref="H50:M50"/>
    <mergeCell ref="N51:U51"/>
    <mergeCell ref="N49:U49"/>
    <mergeCell ref="N50:U50"/>
    <mergeCell ref="H48:M48"/>
    <mergeCell ref="H49:M49"/>
    <mergeCell ref="N46:U46"/>
    <mergeCell ref="N47:U47"/>
    <mergeCell ref="M22:V22"/>
    <mergeCell ref="V17:Y17"/>
    <mergeCell ref="W27:X27"/>
    <mergeCell ref="W28:X28"/>
    <mergeCell ref="W22:X22"/>
    <mergeCell ref="N48:U48"/>
    <mergeCell ref="I29:J29"/>
    <mergeCell ref="I34:J34"/>
    <mergeCell ref="M33:V33"/>
    <mergeCell ref="I28:J28"/>
    <mergeCell ref="E42:R42"/>
    <mergeCell ref="I33:J33"/>
    <mergeCell ref="H47:M47"/>
  </mergeCells>
  <printOptions horizontalCentered="1" verticalCentered="1"/>
  <pageMargins left="0" right="0" top="0" bottom="0" header="0" footer="0"/>
  <pageSetup scale="52" fitToHeight="0" orientation="portrait" r:id="rId1"/>
  <headerFooter alignWithMargins="0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9">
    <tabColor indexed="23"/>
    <pageSetUpPr fitToPage="1"/>
  </sheetPr>
  <dimension ref="B1:S90"/>
  <sheetViews>
    <sheetView showGridLines="0" showZeros="0" view="pageBreakPreview" topLeftCell="A43" zoomScaleNormal="100" zoomScaleSheetLayoutView="100" workbookViewId="0">
      <selection activeCell="C68" sqref="C68:G68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37" customWidth="1"/>
    <col min="4" max="4" width="10.19921875" style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18.59765625" style="2" customWidth="1"/>
    <col min="11" max="11" width="14" style="2" customWidth="1"/>
    <col min="12" max="12" width="14.59765625" style="2" customWidth="1"/>
    <col min="13" max="13" width="2.59765625" style="2" customWidth="1"/>
    <col min="14" max="14" width="2.19921875" style="3" customWidth="1"/>
    <col min="15" max="15" width="2.3984375" style="1" customWidth="1"/>
    <col min="16" max="18" width="8.796875" style="1"/>
    <col min="19" max="19" width="15.19921875" style="1" customWidth="1"/>
    <col min="20" max="16384" width="8.796875" style="1"/>
  </cols>
  <sheetData>
    <row r="1" spans="2:14" ht="9.75" customHeight="1" thickBot="1" x14ac:dyDescent="0.35"/>
    <row r="2" spans="2:14" ht="25" thickBot="1" x14ac:dyDescent="0.35">
      <c r="B2" s="4"/>
      <c r="C2" s="5"/>
      <c r="D2" s="6" t="s">
        <v>49</v>
      </c>
      <c r="E2" s="6"/>
      <c r="F2" s="6"/>
      <c r="G2" s="6"/>
      <c r="H2" s="6"/>
      <c r="I2" s="6"/>
      <c r="J2" s="6"/>
      <c r="K2" s="6"/>
      <c r="L2" s="6"/>
      <c r="M2" s="6"/>
      <c r="N2" s="7"/>
    </row>
    <row r="3" spans="2:14" ht="26" thickTop="1" thickBot="1" x14ac:dyDescent="0.35">
      <c r="B3" s="8"/>
      <c r="C3" s="1"/>
      <c r="D3" s="913"/>
      <c r="E3" s="913"/>
      <c r="F3" s="913"/>
      <c r="G3" s="913"/>
      <c r="H3" s="913"/>
      <c r="I3" s="913"/>
      <c r="J3" s="913"/>
      <c r="K3" s="913"/>
      <c r="L3" s="913"/>
      <c r="M3" s="913"/>
      <c r="N3" s="9"/>
    </row>
    <row r="4" spans="2:14" ht="14.25" customHeight="1" thickTop="1" thickBot="1" x14ac:dyDescent="0.35">
      <c r="B4" s="8"/>
      <c r="C4" s="1"/>
      <c r="D4" s="914"/>
      <c r="E4" s="914"/>
      <c r="F4" s="914"/>
      <c r="G4" s="914"/>
      <c r="H4" s="914"/>
      <c r="I4" s="914"/>
      <c r="J4" s="914"/>
      <c r="K4" s="914"/>
      <c r="L4" s="914"/>
      <c r="M4" s="914"/>
      <c r="N4" s="9"/>
    </row>
    <row r="5" spans="2:14" ht="25" thickBot="1" x14ac:dyDescent="0.35">
      <c r="B5" s="8"/>
      <c r="C5" s="10" t="s">
        <v>53</v>
      </c>
      <c r="E5" s="915"/>
      <c r="F5" s="916"/>
      <c r="G5" s="917"/>
      <c r="H5" s="1" t="s">
        <v>52</v>
      </c>
      <c r="I5" s="918"/>
      <c r="J5" s="918"/>
      <c r="N5" s="9"/>
    </row>
    <row r="6" spans="2:14" ht="25" thickBot="1" x14ac:dyDescent="0.35">
      <c r="B6" s="8"/>
      <c r="C6" s="11" t="s">
        <v>48</v>
      </c>
      <c r="D6" s="12"/>
      <c r="E6" s="916"/>
      <c r="F6" s="916"/>
      <c r="G6" s="916"/>
      <c r="H6" s="11" t="s">
        <v>51</v>
      </c>
      <c r="I6" s="916"/>
      <c r="J6" s="916"/>
      <c r="K6" s="919"/>
      <c r="L6" s="920"/>
      <c r="M6" s="13"/>
      <c r="N6" s="9"/>
    </row>
    <row r="7" spans="2:14" ht="25" thickBot="1" x14ac:dyDescent="0.35">
      <c r="B7" s="8"/>
      <c r="C7" s="11" t="s">
        <v>54</v>
      </c>
      <c r="D7" s="12"/>
      <c r="E7" s="921"/>
      <c r="F7" s="921"/>
      <c r="G7" s="921"/>
      <c r="H7" s="11" t="s">
        <v>47</v>
      </c>
      <c r="I7" s="921"/>
      <c r="J7" s="921"/>
      <c r="K7" s="49"/>
      <c r="L7" s="50"/>
      <c r="M7" s="13"/>
      <c r="N7" s="9"/>
    </row>
    <row r="8" spans="2:14" ht="25" thickBot="1" x14ac:dyDescent="0.35">
      <c r="B8" s="8"/>
      <c r="C8" s="11" t="s">
        <v>55</v>
      </c>
      <c r="D8" s="59"/>
      <c r="E8" s="922"/>
      <c r="F8" s="923"/>
      <c r="G8" s="924"/>
      <c r="H8" s="67"/>
      <c r="I8" s="67"/>
      <c r="J8" s="67"/>
      <c r="K8" s="68"/>
      <c r="L8" s="68"/>
      <c r="N8" s="9"/>
    </row>
    <row r="9" spans="2:14" x14ac:dyDescent="0.3">
      <c r="B9" s="8"/>
      <c r="C9" s="38"/>
      <c r="D9" s="59"/>
      <c r="E9" s="65"/>
      <c r="F9" s="65"/>
      <c r="G9" s="65"/>
      <c r="H9" s="69"/>
      <c r="I9" s="69"/>
      <c r="J9" s="69"/>
      <c r="K9" s="68"/>
      <c r="L9" s="68"/>
      <c r="N9" s="9"/>
    </row>
    <row r="10" spans="2:14" x14ac:dyDescent="0.3">
      <c r="B10" s="8"/>
      <c r="C10" s="925" t="s">
        <v>9</v>
      </c>
      <c r="D10" s="926"/>
      <c r="E10" s="926"/>
      <c r="F10" s="926"/>
      <c r="G10" s="926"/>
      <c r="H10" s="926"/>
      <c r="I10" s="926"/>
      <c r="J10" s="926"/>
      <c r="K10" s="926"/>
      <c r="L10" s="926"/>
      <c r="M10" s="927"/>
      <c r="N10" s="9"/>
    </row>
    <row r="11" spans="2:14" ht="50" x14ac:dyDescent="0.3">
      <c r="B11" s="8"/>
      <c r="C11" s="39" t="s">
        <v>2</v>
      </c>
      <c r="D11" s="928" t="s">
        <v>0</v>
      </c>
      <c r="E11" s="928"/>
      <c r="F11" s="928"/>
      <c r="G11" s="928"/>
      <c r="H11" s="929" t="s">
        <v>16</v>
      </c>
      <c r="I11" s="930"/>
      <c r="J11" s="931"/>
      <c r="K11" s="14" t="s">
        <v>12</v>
      </c>
      <c r="L11" s="928" t="s">
        <v>11</v>
      </c>
      <c r="M11" s="928"/>
      <c r="N11" s="9"/>
    </row>
    <row r="12" spans="2:14" x14ac:dyDescent="0.3">
      <c r="B12" s="8"/>
      <c r="C12" s="40">
        <v>1</v>
      </c>
      <c r="D12" s="33" t="s">
        <v>46</v>
      </c>
      <c r="E12" s="34"/>
      <c r="F12" s="34"/>
      <c r="G12" s="35"/>
      <c r="H12" s="932"/>
      <c r="I12" s="933"/>
      <c r="J12" s="934"/>
      <c r="K12" s="15">
        <v>22.5</v>
      </c>
      <c r="L12" s="686">
        <f t="shared" ref="L12:L40" si="0">C12*K12</f>
        <v>22.5</v>
      </c>
      <c r="M12" s="686"/>
      <c r="N12" s="9"/>
    </row>
    <row r="13" spans="2:14" x14ac:dyDescent="0.3">
      <c r="B13" s="8"/>
      <c r="C13" s="40">
        <v>1</v>
      </c>
      <c r="D13" s="54" t="s">
        <v>45</v>
      </c>
      <c r="E13" s="55"/>
      <c r="F13" s="55"/>
      <c r="G13" s="56"/>
      <c r="H13" s="46"/>
      <c r="I13" s="47"/>
      <c r="J13" s="48"/>
      <c r="K13" s="15">
        <v>11.4</v>
      </c>
      <c r="L13" s="57">
        <f t="shared" si="0"/>
        <v>11.4</v>
      </c>
      <c r="M13" s="58"/>
      <c r="N13" s="9"/>
    </row>
    <row r="14" spans="2:14" x14ac:dyDescent="0.3">
      <c r="B14" s="8"/>
      <c r="C14" s="40">
        <v>1</v>
      </c>
      <c r="D14" s="1" t="s">
        <v>44</v>
      </c>
      <c r="E14" s="55"/>
      <c r="F14" s="55"/>
      <c r="G14" s="56"/>
      <c r="H14" s="46"/>
      <c r="I14" s="47"/>
      <c r="J14" s="48"/>
      <c r="K14" s="15">
        <v>277.58</v>
      </c>
      <c r="L14" s="57">
        <f t="shared" si="0"/>
        <v>277.58</v>
      </c>
      <c r="M14" s="58"/>
      <c r="N14" s="9"/>
    </row>
    <row r="15" spans="2:14" x14ac:dyDescent="0.3">
      <c r="B15" s="8"/>
      <c r="C15" s="40">
        <v>1</v>
      </c>
      <c r="D15" s="54" t="s">
        <v>43</v>
      </c>
      <c r="E15" s="55"/>
      <c r="F15" s="55"/>
      <c r="G15" s="56"/>
      <c r="H15" s="46"/>
      <c r="I15" s="47"/>
      <c r="J15" s="48"/>
      <c r="K15" s="15">
        <v>17.27</v>
      </c>
      <c r="L15" s="57">
        <f t="shared" si="0"/>
        <v>17.27</v>
      </c>
      <c r="M15" s="58"/>
      <c r="N15" s="9"/>
    </row>
    <row r="16" spans="2:14" x14ac:dyDescent="0.3">
      <c r="B16" s="8"/>
      <c r="C16" s="40">
        <v>1</v>
      </c>
      <c r="D16" s="54" t="s">
        <v>42</v>
      </c>
      <c r="E16" s="55"/>
      <c r="F16" s="55"/>
      <c r="G16" s="56"/>
      <c r="H16" s="46"/>
      <c r="I16" s="47"/>
      <c r="J16" s="48"/>
      <c r="K16" s="15">
        <v>22.87</v>
      </c>
      <c r="L16" s="57">
        <f t="shared" si="0"/>
        <v>22.87</v>
      </c>
      <c r="M16" s="58"/>
      <c r="N16" s="9"/>
    </row>
    <row r="17" spans="2:19" x14ac:dyDescent="0.3">
      <c r="B17" s="8"/>
      <c r="C17" s="40">
        <v>1</v>
      </c>
      <c r="D17" s="54" t="s">
        <v>41</v>
      </c>
      <c r="E17" s="55"/>
      <c r="F17" s="55"/>
      <c r="G17" s="56"/>
      <c r="H17" s="46"/>
      <c r="I17" s="47"/>
      <c r="J17" s="48"/>
      <c r="K17" s="15">
        <v>33</v>
      </c>
      <c r="L17" s="57">
        <f t="shared" si="0"/>
        <v>33</v>
      </c>
      <c r="M17" s="58"/>
      <c r="N17" s="9"/>
      <c r="S17" s="36"/>
    </row>
    <row r="18" spans="2:19" x14ac:dyDescent="0.3">
      <c r="B18" s="8"/>
      <c r="C18" s="40">
        <v>1</v>
      </c>
      <c r="D18" s="54" t="s">
        <v>40</v>
      </c>
      <c r="E18" s="55"/>
      <c r="F18" s="55"/>
      <c r="G18" s="56"/>
      <c r="H18" s="46"/>
      <c r="I18" s="47"/>
      <c r="J18" s="48"/>
      <c r="K18" s="15">
        <v>22</v>
      </c>
      <c r="L18" s="57">
        <f t="shared" si="0"/>
        <v>22</v>
      </c>
      <c r="M18" s="58"/>
      <c r="N18" s="9"/>
    </row>
    <row r="19" spans="2:19" x14ac:dyDescent="0.3">
      <c r="B19" s="8"/>
      <c r="C19" s="40">
        <v>1</v>
      </c>
      <c r="D19" s="54" t="s">
        <v>39</v>
      </c>
      <c r="E19" s="55"/>
      <c r="F19" s="55"/>
      <c r="G19" s="56"/>
      <c r="H19" s="46"/>
      <c r="I19" s="47"/>
      <c r="J19" s="48"/>
      <c r="K19" s="15">
        <v>70</v>
      </c>
      <c r="L19" s="57">
        <f t="shared" si="0"/>
        <v>70</v>
      </c>
      <c r="M19" s="58"/>
      <c r="N19" s="9"/>
    </row>
    <row r="20" spans="2:19" x14ac:dyDescent="0.3">
      <c r="B20" s="8"/>
      <c r="C20" s="40">
        <v>1</v>
      </c>
      <c r="D20" s="54" t="s">
        <v>38</v>
      </c>
      <c r="E20" s="55"/>
      <c r="F20" s="55"/>
      <c r="G20" s="56"/>
      <c r="H20" s="46"/>
      <c r="I20" s="47"/>
      <c r="J20" s="48"/>
      <c r="K20" s="15">
        <v>12</v>
      </c>
      <c r="L20" s="57">
        <f t="shared" si="0"/>
        <v>12</v>
      </c>
      <c r="M20" s="58"/>
      <c r="N20" s="9"/>
    </row>
    <row r="21" spans="2:19" x14ac:dyDescent="0.3">
      <c r="B21" s="8"/>
      <c r="C21" s="40">
        <v>1</v>
      </c>
      <c r="D21" s="54" t="s">
        <v>37</v>
      </c>
      <c r="E21" s="55"/>
      <c r="F21" s="55"/>
      <c r="G21" s="56"/>
      <c r="H21" s="46"/>
      <c r="I21" s="47"/>
      <c r="J21" s="48"/>
      <c r="K21" s="15">
        <v>12</v>
      </c>
      <c r="L21" s="57">
        <f t="shared" si="0"/>
        <v>12</v>
      </c>
      <c r="M21" s="58"/>
      <c r="N21" s="9"/>
    </row>
    <row r="22" spans="2:19" x14ac:dyDescent="0.3">
      <c r="B22" s="8"/>
      <c r="C22" s="40">
        <v>1</v>
      </c>
      <c r="D22" s="54" t="s">
        <v>36</v>
      </c>
      <c r="E22" s="55"/>
      <c r="F22" s="55"/>
      <c r="G22" s="56"/>
      <c r="H22" s="46"/>
      <c r="I22" s="47"/>
      <c r="J22" s="48"/>
      <c r="K22" s="15">
        <v>152.24</v>
      </c>
      <c r="L22" s="57">
        <f t="shared" si="0"/>
        <v>152.24</v>
      </c>
      <c r="M22" s="58"/>
      <c r="N22" s="9"/>
    </row>
    <row r="23" spans="2:19" x14ac:dyDescent="0.3">
      <c r="B23" s="8"/>
      <c r="C23" s="40">
        <v>1</v>
      </c>
      <c r="D23" s="54" t="s">
        <v>35</v>
      </c>
      <c r="E23" s="55"/>
      <c r="F23" s="55"/>
      <c r="G23" s="56"/>
      <c r="H23" s="46"/>
      <c r="I23" s="47"/>
      <c r="J23" s="48"/>
      <c r="K23" s="15">
        <v>120</v>
      </c>
      <c r="L23" s="57">
        <f t="shared" si="0"/>
        <v>120</v>
      </c>
      <c r="M23" s="58"/>
      <c r="N23" s="9"/>
    </row>
    <row r="24" spans="2:19" x14ac:dyDescent="0.3">
      <c r="B24" s="8"/>
      <c r="C24" s="40">
        <v>1</v>
      </c>
      <c r="D24" s="54" t="s">
        <v>34</v>
      </c>
      <c r="E24" s="55"/>
      <c r="F24" s="55"/>
      <c r="G24" s="56"/>
      <c r="H24" s="46"/>
      <c r="I24" s="47"/>
      <c r="J24" s="48"/>
      <c r="K24" s="15">
        <v>50</v>
      </c>
      <c r="L24" s="57">
        <f t="shared" si="0"/>
        <v>50</v>
      </c>
      <c r="M24" s="58"/>
      <c r="N24" s="9"/>
    </row>
    <row r="25" spans="2:19" x14ac:dyDescent="0.3">
      <c r="B25" s="8"/>
      <c r="C25" s="40">
        <v>1</v>
      </c>
      <c r="D25" s="54" t="s">
        <v>33</v>
      </c>
      <c r="E25" s="55"/>
      <c r="F25" s="55"/>
      <c r="G25" s="56"/>
      <c r="H25" s="46"/>
      <c r="I25" s="47"/>
      <c r="J25" s="48"/>
      <c r="K25" s="15">
        <v>200</v>
      </c>
      <c r="L25" s="57">
        <f t="shared" si="0"/>
        <v>200</v>
      </c>
      <c r="M25" s="58"/>
      <c r="N25" s="9"/>
    </row>
    <row r="26" spans="2:19" x14ac:dyDescent="0.3">
      <c r="B26" s="8"/>
      <c r="C26" s="40">
        <v>1</v>
      </c>
      <c r="D26" s="54" t="s">
        <v>32</v>
      </c>
      <c r="E26" s="55"/>
      <c r="F26" s="55"/>
      <c r="G26" s="56"/>
      <c r="H26" s="46"/>
      <c r="I26" s="47"/>
      <c r="J26" s="48"/>
      <c r="K26" s="15">
        <v>5.8</v>
      </c>
      <c r="L26" s="57">
        <f t="shared" si="0"/>
        <v>5.8</v>
      </c>
      <c r="M26" s="58"/>
      <c r="N26" s="9"/>
    </row>
    <row r="27" spans="2:19" x14ac:dyDescent="0.3">
      <c r="B27" s="8"/>
      <c r="C27" s="40">
        <v>1</v>
      </c>
      <c r="D27" s="54" t="s">
        <v>31</v>
      </c>
      <c r="E27" s="55"/>
      <c r="F27" s="55"/>
      <c r="G27" s="56"/>
      <c r="H27" s="46"/>
      <c r="I27" s="47"/>
      <c r="J27" s="48"/>
      <c r="K27" s="15">
        <v>150</v>
      </c>
      <c r="L27" s="57">
        <f t="shared" si="0"/>
        <v>150</v>
      </c>
      <c r="M27" s="58"/>
      <c r="N27" s="9"/>
    </row>
    <row r="28" spans="2:19" x14ac:dyDescent="0.3">
      <c r="B28" s="8"/>
      <c r="C28" s="40">
        <v>1</v>
      </c>
      <c r="D28" s="54" t="s">
        <v>30</v>
      </c>
      <c r="E28" s="55"/>
      <c r="F28" s="55"/>
      <c r="G28" s="56"/>
      <c r="H28" s="46"/>
      <c r="I28" s="47"/>
      <c r="J28" s="48"/>
      <c r="K28" s="15">
        <v>5.6</v>
      </c>
      <c r="L28" s="57">
        <f t="shared" si="0"/>
        <v>5.6</v>
      </c>
      <c r="M28" s="58"/>
      <c r="N28" s="9"/>
    </row>
    <row r="29" spans="2:19" x14ac:dyDescent="0.3">
      <c r="B29" s="8"/>
      <c r="C29" s="40">
        <v>1</v>
      </c>
      <c r="D29" s="54" t="s">
        <v>29</v>
      </c>
      <c r="E29" s="55"/>
      <c r="F29" s="55"/>
      <c r="G29" s="56"/>
      <c r="H29" s="46"/>
      <c r="I29" s="47"/>
      <c r="J29" s="48"/>
      <c r="K29" s="15">
        <v>9</v>
      </c>
      <c r="L29" s="57">
        <f t="shared" si="0"/>
        <v>9</v>
      </c>
      <c r="M29" s="58"/>
      <c r="N29" s="9"/>
    </row>
    <row r="30" spans="2:19" x14ac:dyDescent="0.3">
      <c r="B30" s="8"/>
      <c r="C30" s="40">
        <v>1</v>
      </c>
      <c r="D30" s="54" t="s">
        <v>28</v>
      </c>
      <c r="E30" s="55"/>
      <c r="F30" s="55"/>
      <c r="G30" s="56"/>
      <c r="H30" s="46"/>
      <c r="I30" s="47"/>
      <c r="J30" s="48"/>
      <c r="K30" s="15">
        <v>48</v>
      </c>
      <c r="L30" s="57">
        <f t="shared" si="0"/>
        <v>48</v>
      </c>
      <c r="M30" s="58"/>
      <c r="N30" s="9"/>
    </row>
    <row r="31" spans="2:19" x14ac:dyDescent="0.3">
      <c r="B31" s="8"/>
      <c r="C31" s="40">
        <v>1</v>
      </c>
      <c r="D31" s="54" t="s">
        <v>27</v>
      </c>
      <c r="E31" s="55"/>
      <c r="F31" s="55"/>
      <c r="G31" s="56"/>
      <c r="H31" s="932"/>
      <c r="I31" s="933"/>
      <c r="J31" s="934"/>
      <c r="K31" s="15">
        <v>6</v>
      </c>
      <c r="L31" s="686">
        <f t="shared" si="0"/>
        <v>6</v>
      </c>
      <c r="M31" s="686"/>
      <c r="N31" s="9"/>
    </row>
    <row r="32" spans="2:19" x14ac:dyDescent="0.3">
      <c r="B32" s="8"/>
      <c r="C32" s="40">
        <v>1</v>
      </c>
      <c r="D32" s="54" t="s">
        <v>18</v>
      </c>
      <c r="E32" s="55"/>
      <c r="F32" s="55"/>
      <c r="G32" s="56"/>
      <c r="H32" s="932"/>
      <c r="I32" s="933"/>
      <c r="J32" s="934"/>
      <c r="K32" s="15">
        <v>104.36</v>
      </c>
      <c r="L32" s="686">
        <f t="shared" si="0"/>
        <v>104.36</v>
      </c>
      <c r="M32" s="686"/>
      <c r="N32" s="9"/>
    </row>
    <row r="33" spans="2:14" x14ac:dyDescent="0.3">
      <c r="B33" s="8"/>
      <c r="C33" s="40">
        <v>1</v>
      </c>
      <c r="D33" s="54" t="s">
        <v>26</v>
      </c>
      <c r="E33" s="55"/>
      <c r="F33" s="55"/>
      <c r="G33" s="56"/>
      <c r="H33" s="932"/>
      <c r="I33" s="933"/>
      <c r="J33" s="934"/>
      <c r="K33" s="15">
        <v>163</v>
      </c>
      <c r="L33" s="686">
        <f t="shared" si="0"/>
        <v>163</v>
      </c>
      <c r="M33" s="686"/>
      <c r="N33" s="9"/>
    </row>
    <row r="34" spans="2:14" x14ac:dyDescent="0.3">
      <c r="B34" s="8"/>
      <c r="C34" s="40">
        <v>1</v>
      </c>
      <c r="D34" s="54" t="s">
        <v>25</v>
      </c>
      <c r="E34" s="55"/>
      <c r="F34" s="55"/>
      <c r="G34" s="56"/>
      <c r="H34" s="932"/>
      <c r="I34" s="933"/>
      <c r="J34" s="934"/>
      <c r="K34" s="15">
        <v>192.51</v>
      </c>
      <c r="L34" s="686">
        <f t="shared" si="0"/>
        <v>192.51</v>
      </c>
      <c r="M34" s="686"/>
      <c r="N34" s="9"/>
    </row>
    <row r="35" spans="2:14" x14ac:dyDescent="0.3">
      <c r="B35" s="8"/>
      <c r="C35" s="40">
        <v>1</v>
      </c>
      <c r="D35" s="54" t="s">
        <v>24</v>
      </c>
      <c r="E35" s="55"/>
      <c r="F35" s="55"/>
      <c r="G35" s="56"/>
      <c r="H35" s="932"/>
      <c r="I35" s="933"/>
      <c r="J35" s="934"/>
      <c r="K35" s="15">
        <v>7</v>
      </c>
      <c r="L35" s="686">
        <f t="shared" si="0"/>
        <v>7</v>
      </c>
      <c r="M35" s="686"/>
      <c r="N35" s="9"/>
    </row>
    <row r="36" spans="2:14" x14ac:dyDescent="0.3">
      <c r="B36" s="8"/>
      <c r="C36" s="40">
        <v>1</v>
      </c>
      <c r="D36" s="54" t="s">
        <v>23</v>
      </c>
      <c r="E36" s="55"/>
      <c r="F36" s="55"/>
      <c r="G36" s="56"/>
      <c r="H36" s="932"/>
      <c r="I36" s="933"/>
      <c r="J36" s="934"/>
      <c r="K36" s="15">
        <v>3</v>
      </c>
      <c r="L36" s="686">
        <f t="shared" si="0"/>
        <v>3</v>
      </c>
      <c r="M36" s="686"/>
      <c r="N36" s="9"/>
    </row>
    <row r="37" spans="2:14" x14ac:dyDescent="0.3">
      <c r="B37" s="8"/>
      <c r="C37" s="40">
        <v>1</v>
      </c>
      <c r="D37" s="54" t="s">
        <v>22</v>
      </c>
      <c r="E37" s="55"/>
      <c r="F37" s="55"/>
      <c r="G37" s="56"/>
      <c r="H37" s="932"/>
      <c r="I37" s="933"/>
      <c r="J37" s="934"/>
      <c r="K37" s="15">
        <v>84</v>
      </c>
      <c r="L37" s="686">
        <f t="shared" si="0"/>
        <v>84</v>
      </c>
      <c r="M37" s="686"/>
      <c r="N37" s="9"/>
    </row>
    <row r="38" spans="2:14" x14ac:dyDescent="0.3">
      <c r="B38" s="8"/>
      <c r="C38" s="40">
        <v>1</v>
      </c>
      <c r="D38" s="54" t="s">
        <v>21</v>
      </c>
      <c r="E38" s="55"/>
      <c r="F38" s="55"/>
      <c r="G38" s="56"/>
      <c r="H38" s="932"/>
      <c r="I38" s="933"/>
      <c r="J38" s="934"/>
      <c r="K38" s="15">
        <v>6.57</v>
      </c>
      <c r="L38" s="686">
        <f t="shared" si="0"/>
        <v>6.57</v>
      </c>
      <c r="M38" s="686"/>
      <c r="N38" s="9"/>
    </row>
    <row r="39" spans="2:14" x14ac:dyDescent="0.3">
      <c r="B39" s="8"/>
      <c r="C39" s="40">
        <v>1</v>
      </c>
      <c r="D39" s="54" t="s">
        <v>20</v>
      </c>
      <c r="E39" s="55"/>
      <c r="F39" s="55"/>
      <c r="G39" s="56"/>
      <c r="H39" s="46"/>
      <c r="I39" s="47"/>
      <c r="J39" s="48"/>
      <c r="K39" s="15">
        <v>4</v>
      </c>
      <c r="L39" s="686">
        <f t="shared" si="0"/>
        <v>4</v>
      </c>
      <c r="M39" s="686"/>
      <c r="N39" s="9"/>
    </row>
    <row r="40" spans="2:14" x14ac:dyDescent="0.3">
      <c r="B40" s="8"/>
      <c r="C40" s="40">
        <v>1</v>
      </c>
      <c r="D40" s="54" t="s">
        <v>19</v>
      </c>
      <c r="E40" s="55"/>
      <c r="F40" s="55"/>
      <c r="G40" s="56"/>
      <c r="H40" s="932"/>
      <c r="I40" s="933"/>
      <c r="J40" s="934"/>
      <c r="K40" s="15">
        <v>9</v>
      </c>
      <c r="L40" s="686">
        <f t="shared" si="0"/>
        <v>9</v>
      </c>
      <c r="M40" s="686"/>
      <c r="N40" s="16">
        <f>SUM(L12:M40)*6.5%</f>
        <v>118.34549999999997</v>
      </c>
    </row>
    <row r="41" spans="2:14" x14ac:dyDescent="0.3">
      <c r="B41" s="8"/>
      <c r="C41" s="40">
        <v>1</v>
      </c>
      <c r="D41" s="935" t="s">
        <v>10</v>
      </c>
      <c r="E41" s="936"/>
      <c r="F41" s="936"/>
      <c r="G41" s="937"/>
      <c r="H41" s="938"/>
      <c r="I41" s="939"/>
      <c r="J41" s="940"/>
      <c r="K41" s="15"/>
      <c r="L41" s="686">
        <f>N40</f>
        <v>118.34549999999997</v>
      </c>
      <c r="M41" s="686"/>
      <c r="N41" s="9"/>
    </row>
    <row r="42" spans="2:14" x14ac:dyDescent="0.3">
      <c r="B42" s="8"/>
      <c r="C42" s="40">
        <v>1</v>
      </c>
      <c r="D42" s="935" t="s">
        <v>1</v>
      </c>
      <c r="E42" s="936"/>
      <c r="F42" s="936"/>
      <c r="G42" s="937"/>
      <c r="H42" s="938"/>
      <c r="I42" s="939"/>
      <c r="J42" s="940"/>
      <c r="K42" s="15"/>
      <c r="L42" s="686">
        <f>SUM(L12:M41)</f>
        <v>1939.0454999999995</v>
      </c>
      <c r="M42" s="686"/>
      <c r="N42" s="9"/>
    </row>
    <row r="43" spans="2:14" ht="12.75" customHeight="1" x14ac:dyDescent="0.3">
      <c r="B43" s="8"/>
      <c r="C43" s="41"/>
      <c r="D43" s="17"/>
      <c r="E43" s="17"/>
      <c r="F43" s="17"/>
      <c r="G43" s="17"/>
      <c r="H43" s="18"/>
      <c r="I43" s="18"/>
      <c r="J43" s="18"/>
      <c r="K43" s="17"/>
      <c r="L43" s="19"/>
      <c r="M43" s="19"/>
      <c r="N43" s="9"/>
    </row>
    <row r="44" spans="2:14" x14ac:dyDescent="0.3">
      <c r="B44" s="8"/>
      <c r="C44" s="925" t="s">
        <v>8</v>
      </c>
      <c r="D44" s="926"/>
      <c r="E44" s="926"/>
      <c r="F44" s="926"/>
      <c r="G44" s="926"/>
      <c r="H44" s="926"/>
      <c r="I44" s="926"/>
      <c r="J44" s="926"/>
      <c r="K44" s="926"/>
      <c r="L44" s="926"/>
      <c r="M44" s="927"/>
      <c r="N44" s="9"/>
    </row>
    <row r="45" spans="2:14" ht="50" x14ac:dyDescent="0.3">
      <c r="B45" s="8"/>
      <c r="C45" s="39" t="s">
        <v>2</v>
      </c>
      <c r="D45" s="928" t="s">
        <v>0</v>
      </c>
      <c r="E45" s="928"/>
      <c r="F45" s="928"/>
      <c r="G45" s="928"/>
      <c r="H45" s="929" t="s">
        <v>16</v>
      </c>
      <c r="I45" s="930"/>
      <c r="J45" s="931"/>
      <c r="K45" s="14" t="s">
        <v>12</v>
      </c>
      <c r="L45" s="928" t="s">
        <v>11</v>
      </c>
      <c r="M45" s="928"/>
      <c r="N45" s="9"/>
    </row>
    <row r="46" spans="2:14" x14ac:dyDescent="0.3">
      <c r="B46" s="8"/>
      <c r="C46" s="40"/>
      <c r="D46" s="706"/>
      <c r="E46" s="707"/>
      <c r="F46" s="707"/>
      <c r="G46" s="708"/>
      <c r="H46" s="932"/>
      <c r="I46" s="933"/>
      <c r="J46" s="934"/>
      <c r="K46" s="15"/>
      <c r="L46" s="686"/>
      <c r="M46" s="686"/>
      <c r="N46" s="9"/>
    </row>
    <row r="47" spans="2:14" x14ac:dyDescent="0.3">
      <c r="B47" s="8"/>
      <c r="C47" s="40"/>
      <c r="D47" s="706"/>
      <c r="E47" s="707"/>
      <c r="F47" s="707"/>
      <c r="G47" s="708"/>
      <c r="H47" s="932"/>
      <c r="I47" s="933"/>
      <c r="J47" s="934"/>
      <c r="K47" s="15"/>
      <c r="L47" s="686"/>
      <c r="M47" s="686"/>
      <c r="N47" s="9"/>
    </row>
    <row r="48" spans="2:14" x14ac:dyDescent="0.3">
      <c r="B48" s="8"/>
      <c r="C48" s="40"/>
      <c r="D48" s="706"/>
      <c r="E48" s="707"/>
      <c r="F48" s="707"/>
      <c r="G48" s="708"/>
      <c r="H48" s="932"/>
      <c r="I48" s="933"/>
      <c r="J48" s="934"/>
      <c r="K48" s="15"/>
      <c r="L48" s="686">
        <f>C48*K48</f>
        <v>0</v>
      </c>
      <c r="M48" s="686"/>
      <c r="N48" s="9"/>
    </row>
    <row r="49" spans="2:14" x14ac:dyDescent="0.3">
      <c r="B49" s="8"/>
      <c r="C49" s="40"/>
      <c r="D49" s="706"/>
      <c r="E49" s="707"/>
      <c r="F49" s="707"/>
      <c r="G49" s="708"/>
      <c r="H49" s="932"/>
      <c r="I49" s="933"/>
      <c r="J49" s="934"/>
      <c r="K49" s="15"/>
      <c r="L49" s="668">
        <f>C49*K49</f>
        <v>0</v>
      </c>
      <c r="M49" s="669"/>
      <c r="N49" s="16">
        <f>SUM(L46:M49)*6.5%</f>
        <v>0</v>
      </c>
    </row>
    <row r="50" spans="2:14" x14ac:dyDescent="0.3">
      <c r="B50" s="8"/>
      <c r="C50" s="40"/>
      <c r="D50" s="935" t="s">
        <v>10</v>
      </c>
      <c r="E50" s="936"/>
      <c r="F50" s="936"/>
      <c r="G50" s="937"/>
      <c r="H50" s="938"/>
      <c r="I50" s="939"/>
      <c r="J50" s="940"/>
      <c r="K50" s="15"/>
      <c r="L50" s="686">
        <f>N49</f>
        <v>0</v>
      </c>
      <c r="M50" s="686"/>
      <c r="N50" s="9"/>
    </row>
    <row r="51" spans="2:14" x14ac:dyDescent="0.3">
      <c r="B51" s="8"/>
      <c r="C51" s="40"/>
      <c r="D51" s="935" t="s">
        <v>1</v>
      </c>
      <c r="E51" s="936"/>
      <c r="F51" s="936"/>
      <c r="G51" s="937"/>
      <c r="H51" s="938"/>
      <c r="I51" s="939"/>
      <c r="J51" s="940"/>
      <c r="K51" s="15"/>
      <c r="L51" s="686">
        <f>SUM(L46:M50)</f>
        <v>0</v>
      </c>
      <c r="M51" s="686"/>
      <c r="N51" s="9"/>
    </row>
    <row r="52" spans="2:14" ht="7.5" customHeight="1" x14ac:dyDescent="0.3">
      <c r="B52" s="8"/>
      <c r="C52" s="41"/>
      <c r="D52" s="17"/>
      <c r="E52" s="17"/>
      <c r="F52" s="17"/>
      <c r="G52" s="17"/>
      <c r="H52" s="18"/>
      <c r="I52" s="18"/>
      <c r="J52" s="18"/>
      <c r="K52" s="17"/>
      <c r="L52" s="19"/>
      <c r="M52" s="19"/>
      <c r="N52" s="9"/>
    </row>
    <row r="53" spans="2:14" x14ac:dyDescent="0.3">
      <c r="B53" s="8"/>
      <c r="C53" s="925" t="s">
        <v>14</v>
      </c>
      <c r="D53" s="926"/>
      <c r="E53" s="926"/>
      <c r="F53" s="926"/>
      <c r="G53" s="926"/>
      <c r="H53" s="926"/>
      <c r="I53" s="926"/>
      <c r="J53" s="926"/>
      <c r="K53" s="926"/>
      <c r="L53" s="926"/>
      <c r="M53" s="927"/>
      <c r="N53" s="9"/>
    </row>
    <row r="54" spans="2:14" ht="50" x14ac:dyDescent="0.3">
      <c r="B54" s="8"/>
      <c r="C54" s="39" t="s">
        <v>2</v>
      </c>
      <c r="D54" s="928" t="s">
        <v>0</v>
      </c>
      <c r="E54" s="928"/>
      <c r="F54" s="928"/>
      <c r="G54" s="928"/>
      <c r="H54" s="929" t="s">
        <v>16</v>
      </c>
      <c r="I54" s="930"/>
      <c r="J54" s="931"/>
      <c r="K54" s="14" t="s">
        <v>12</v>
      </c>
      <c r="L54" s="928" t="s">
        <v>11</v>
      </c>
      <c r="M54" s="928"/>
      <c r="N54" s="9"/>
    </row>
    <row r="55" spans="2:14" x14ac:dyDescent="0.3">
      <c r="B55" s="8"/>
      <c r="C55" s="40"/>
      <c r="D55" s="54" t="s">
        <v>3</v>
      </c>
      <c r="E55" s="55"/>
      <c r="F55" s="55"/>
      <c r="G55" s="56"/>
      <c r="H55" s="20"/>
      <c r="I55" s="21"/>
      <c r="J55" s="22"/>
      <c r="K55" s="56"/>
      <c r="L55" s="941"/>
      <c r="M55" s="941"/>
      <c r="N55" s="9"/>
    </row>
    <row r="56" spans="2:14" x14ac:dyDescent="0.3">
      <c r="B56" s="8"/>
      <c r="C56" s="40"/>
      <c r="D56" s="54" t="s">
        <v>5</v>
      </c>
      <c r="E56" s="55"/>
      <c r="F56" s="55"/>
      <c r="G56" s="56"/>
      <c r="H56" s="932"/>
      <c r="I56" s="933"/>
      <c r="J56" s="934"/>
      <c r="K56" s="23"/>
      <c r="L56" s="941"/>
      <c r="M56" s="941"/>
      <c r="N56" s="9"/>
    </row>
    <row r="57" spans="2:14" x14ac:dyDescent="0.3">
      <c r="B57" s="8"/>
      <c r="C57" s="40"/>
      <c r="D57" s="54" t="s">
        <v>7</v>
      </c>
      <c r="E57" s="55"/>
      <c r="F57" s="55"/>
      <c r="G57" s="56"/>
      <c r="H57" s="932"/>
      <c r="I57" s="933"/>
      <c r="J57" s="934"/>
      <c r="K57" s="48"/>
      <c r="L57" s="941"/>
      <c r="M57" s="941"/>
      <c r="N57" s="9"/>
    </row>
    <row r="58" spans="2:14" x14ac:dyDescent="0.3">
      <c r="B58" s="8"/>
      <c r="C58" s="40"/>
      <c r="D58" s="54" t="s">
        <v>6</v>
      </c>
      <c r="E58" s="55"/>
      <c r="F58" s="55"/>
      <c r="G58" s="56"/>
      <c r="H58" s="932"/>
      <c r="I58" s="933"/>
      <c r="J58" s="934"/>
      <c r="K58" s="48"/>
      <c r="L58" s="941"/>
      <c r="M58" s="941"/>
      <c r="N58" s="9"/>
    </row>
    <row r="59" spans="2:14" x14ac:dyDescent="0.3">
      <c r="B59" s="8"/>
      <c r="C59" s="40"/>
      <c r="D59" s="54" t="s">
        <v>4</v>
      </c>
      <c r="E59" s="55"/>
      <c r="F59" s="55"/>
      <c r="G59" s="56"/>
      <c r="H59" s="932">
        <v>0.01</v>
      </c>
      <c r="I59" s="933"/>
      <c r="J59" s="934"/>
      <c r="K59" s="48"/>
      <c r="L59" s="941">
        <v>777</v>
      </c>
      <c r="M59" s="941"/>
      <c r="N59" s="9"/>
    </row>
    <row r="60" spans="2:14" x14ac:dyDescent="0.3">
      <c r="B60" s="8"/>
      <c r="C60" s="40"/>
      <c r="D60" s="935" t="s">
        <v>1</v>
      </c>
      <c r="E60" s="936"/>
      <c r="F60" s="936"/>
      <c r="G60" s="937"/>
      <c r="H60" s="938"/>
      <c r="I60" s="939"/>
      <c r="J60" s="940"/>
      <c r="K60" s="45"/>
      <c r="L60" s="686">
        <f>SUM(L55:M59)</f>
        <v>777</v>
      </c>
      <c r="M60" s="686"/>
      <c r="N60" s="9"/>
    </row>
    <row r="61" spans="2:14" ht="8.25" customHeight="1" x14ac:dyDescent="0.3">
      <c r="B61" s="8"/>
      <c r="C61" s="41"/>
      <c r="D61" s="17"/>
      <c r="E61" s="17"/>
      <c r="F61" s="17"/>
      <c r="G61" s="17"/>
      <c r="H61" s="18"/>
      <c r="I61" s="18"/>
      <c r="J61" s="18"/>
      <c r="K61" s="24"/>
      <c r="L61" s="24"/>
      <c r="M61" s="19"/>
      <c r="N61" s="9"/>
    </row>
    <row r="62" spans="2:14" x14ac:dyDescent="0.3">
      <c r="B62" s="8"/>
      <c r="C62" s="40"/>
      <c r="D62" s="51" t="s">
        <v>15</v>
      </c>
      <c r="E62" s="52"/>
      <c r="F62" s="52"/>
      <c r="G62" s="53"/>
      <c r="H62" s="43"/>
      <c r="I62" s="44"/>
      <c r="J62" s="45"/>
      <c r="K62" s="25">
        <f>L62/L71</f>
        <v>0</v>
      </c>
      <c r="L62" s="942"/>
      <c r="M62" s="942"/>
      <c r="N62" s="9"/>
    </row>
    <row r="63" spans="2:14" ht="9.75" customHeight="1" x14ac:dyDescent="0.3">
      <c r="B63" s="8"/>
      <c r="C63" s="41"/>
      <c r="D63" s="17"/>
      <c r="E63" s="17"/>
      <c r="F63" s="17"/>
      <c r="G63" s="17"/>
      <c r="H63" s="18"/>
      <c r="I63" s="18"/>
      <c r="J63" s="18"/>
      <c r="K63" s="18"/>
      <c r="L63" s="19"/>
      <c r="M63" s="19"/>
      <c r="N63" s="9"/>
    </row>
    <row r="64" spans="2:14" x14ac:dyDescent="0.3">
      <c r="B64" s="8"/>
      <c r="C64" s="925" t="s">
        <v>13</v>
      </c>
      <c r="D64" s="926"/>
      <c r="E64" s="926"/>
      <c r="F64" s="926"/>
      <c r="G64" s="926"/>
      <c r="H64" s="926"/>
      <c r="I64" s="926"/>
      <c r="J64" s="926"/>
      <c r="K64" s="926"/>
      <c r="L64" s="926"/>
      <c r="M64" s="927"/>
      <c r="N64" s="9"/>
    </row>
    <row r="65" spans="2:14" x14ac:dyDescent="0.3">
      <c r="B65" s="8"/>
      <c r="C65" s="40"/>
      <c r="D65" s="54" t="s">
        <v>9</v>
      </c>
      <c r="E65" s="55"/>
      <c r="F65" s="55"/>
      <c r="G65" s="56"/>
      <c r="H65" s="932"/>
      <c r="I65" s="933"/>
      <c r="J65" s="934"/>
      <c r="K65" s="48"/>
      <c r="L65" s="686">
        <f>L42</f>
        <v>1939.0454999999995</v>
      </c>
      <c r="M65" s="686"/>
      <c r="N65" s="9"/>
    </row>
    <row r="66" spans="2:14" x14ac:dyDescent="0.3">
      <c r="B66" s="8"/>
      <c r="C66" s="40"/>
      <c r="D66" s="54" t="s">
        <v>8</v>
      </c>
      <c r="E66" s="55"/>
      <c r="F66" s="55"/>
      <c r="G66" s="56"/>
      <c r="H66" s="932"/>
      <c r="I66" s="933"/>
      <c r="J66" s="934"/>
      <c r="K66" s="48"/>
      <c r="L66" s="686">
        <f>L51</f>
        <v>0</v>
      </c>
      <c r="M66" s="686"/>
      <c r="N66" s="9"/>
    </row>
    <row r="67" spans="2:14" x14ac:dyDescent="0.3">
      <c r="B67" s="8"/>
      <c r="C67" s="40"/>
      <c r="D67" s="54" t="s">
        <v>14</v>
      </c>
      <c r="E67" s="55"/>
      <c r="F67" s="55"/>
      <c r="G67" s="56"/>
      <c r="H67" s="46"/>
      <c r="I67" s="47"/>
      <c r="J67" s="48"/>
      <c r="K67" s="48"/>
      <c r="L67" s="686">
        <f>L60</f>
        <v>777</v>
      </c>
      <c r="M67" s="686"/>
      <c r="N67" s="9"/>
    </row>
    <row r="68" spans="2:14" x14ac:dyDescent="0.3">
      <c r="B68" s="8"/>
      <c r="C68" s="40"/>
      <c r="D68" s="54" t="s">
        <v>15</v>
      </c>
      <c r="E68" s="55"/>
      <c r="F68" s="55"/>
      <c r="G68" s="56"/>
      <c r="H68" s="46"/>
      <c r="I68" s="47"/>
      <c r="J68" s="48"/>
      <c r="K68" s="48"/>
      <c r="L68" s="686">
        <v>1200</v>
      </c>
      <c r="M68" s="686"/>
      <c r="N68" s="9"/>
    </row>
    <row r="69" spans="2:14" x14ac:dyDescent="0.3">
      <c r="B69" s="8"/>
      <c r="C69" s="40"/>
      <c r="D69" s="935" t="s">
        <v>1</v>
      </c>
      <c r="E69" s="936"/>
      <c r="F69" s="936"/>
      <c r="G69" s="937"/>
      <c r="H69" s="935"/>
      <c r="I69" s="936"/>
      <c r="J69" s="937"/>
      <c r="K69" s="45"/>
      <c r="L69" s="668">
        <f>L67+L66+L65+L68</f>
        <v>3916.0454999999993</v>
      </c>
      <c r="M69" s="669"/>
      <c r="N69" s="9"/>
    </row>
    <row r="70" spans="2:14" ht="10.5" customHeight="1" x14ac:dyDescent="0.3">
      <c r="B70" s="8"/>
      <c r="N70" s="9"/>
    </row>
    <row r="71" spans="2:14" ht="24" customHeight="1" x14ac:dyDescent="0.3">
      <c r="B71" s="8"/>
      <c r="I71" s="26" t="s">
        <v>17</v>
      </c>
      <c r="J71" s="27"/>
      <c r="K71" s="28"/>
      <c r="L71" s="943">
        <f>L69</f>
        <v>3916.0454999999993</v>
      </c>
      <c r="M71" s="943"/>
      <c r="N71" s="9"/>
    </row>
    <row r="72" spans="2:14" ht="11.25" customHeight="1" thickBot="1" x14ac:dyDescent="0.35">
      <c r="B72" s="29"/>
      <c r="C72" s="42"/>
      <c r="D72" s="30"/>
      <c r="E72" s="30"/>
      <c r="F72" s="30"/>
      <c r="G72" s="30"/>
      <c r="H72" s="30"/>
      <c r="I72" s="30"/>
      <c r="J72" s="31"/>
      <c r="K72" s="31"/>
      <c r="L72" s="31"/>
      <c r="M72" s="31"/>
      <c r="N72" s="32"/>
    </row>
    <row r="73" spans="2:14" ht="12" customHeight="1" x14ac:dyDescent="0.3"/>
    <row r="74" spans="2:14" ht="25" customHeight="1" x14ac:dyDescent="0.3"/>
    <row r="75" spans="2:14" ht="25" customHeight="1" x14ac:dyDescent="0.3"/>
    <row r="76" spans="2:14" ht="25" customHeight="1" x14ac:dyDescent="0.3"/>
    <row r="77" spans="2:14" ht="25" customHeight="1" x14ac:dyDescent="0.3"/>
    <row r="78" spans="2:14" ht="25" customHeight="1" x14ac:dyDescent="0.3"/>
    <row r="79" spans="2:14" ht="25" customHeight="1" x14ac:dyDescent="0.3"/>
    <row r="80" spans="2:14" ht="25" customHeight="1" x14ac:dyDescent="0.3"/>
    <row r="81" ht="25" customHeight="1" x14ac:dyDescent="0.3"/>
    <row r="82" ht="25" customHeight="1" x14ac:dyDescent="0.3"/>
    <row r="83" ht="25" customHeight="1" x14ac:dyDescent="0.3"/>
    <row r="84" ht="25" customHeight="1" x14ac:dyDescent="0.3"/>
    <row r="85" ht="25" customHeight="1" x14ac:dyDescent="0.3"/>
    <row r="86" ht="25" customHeight="1" x14ac:dyDescent="0.3"/>
    <row r="87" ht="25" customHeight="1" x14ac:dyDescent="0.3"/>
    <row r="88" ht="25" customHeight="1" x14ac:dyDescent="0.3"/>
    <row r="89" ht="25" customHeight="1" x14ac:dyDescent="0.3"/>
    <row r="90" ht="25" customHeight="1" x14ac:dyDescent="0.3"/>
  </sheetData>
  <mergeCells count="91">
    <mergeCell ref="L71:M71"/>
    <mergeCell ref="H66:J66"/>
    <mergeCell ref="L66:M66"/>
    <mergeCell ref="L67:M67"/>
    <mergeCell ref="L68:M68"/>
    <mergeCell ref="D69:G69"/>
    <mergeCell ref="H69:J69"/>
    <mergeCell ref="L69:M69"/>
    <mergeCell ref="D60:G60"/>
    <mergeCell ref="H60:J60"/>
    <mergeCell ref="L60:M60"/>
    <mergeCell ref="L62:M62"/>
    <mergeCell ref="C64:M64"/>
    <mergeCell ref="H65:J65"/>
    <mergeCell ref="L65:M65"/>
    <mergeCell ref="H57:J57"/>
    <mergeCell ref="L57:M57"/>
    <mergeCell ref="H58:J58"/>
    <mergeCell ref="L58:M58"/>
    <mergeCell ref="H59:J59"/>
    <mergeCell ref="L59:M59"/>
    <mergeCell ref="H56:J56"/>
    <mergeCell ref="L56:M56"/>
    <mergeCell ref="D50:G50"/>
    <mergeCell ref="H50:J50"/>
    <mergeCell ref="L50:M50"/>
    <mergeCell ref="D51:G51"/>
    <mergeCell ref="H51:J51"/>
    <mergeCell ref="L51:M51"/>
    <mergeCell ref="C53:M53"/>
    <mergeCell ref="D54:G54"/>
    <mergeCell ref="H54:J54"/>
    <mergeCell ref="L54:M54"/>
    <mergeCell ref="L55:M55"/>
    <mergeCell ref="D48:G48"/>
    <mergeCell ref="H48:J48"/>
    <mergeCell ref="L48:M48"/>
    <mergeCell ref="D49:G49"/>
    <mergeCell ref="H49:J49"/>
    <mergeCell ref="L49:M49"/>
    <mergeCell ref="D46:G46"/>
    <mergeCell ref="H46:J46"/>
    <mergeCell ref="L46:M46"/>
    <mergeCell ref="D47:G47"/>
    <mergeCell ref="H47:J47"/>
    <mergeCell ref="L47:M47"/>
    <mergeCell ref="D42:G42"/>
    <mergeCell ref="H42:J42"/>
    <mergeCell ref="L42:M42"/>
    <mergeCell ref="C44:M44"/>
    <mergeCell ref="D45:G45"/>
    <mergeCell ref="H45:J45"/>
    <mergeCell ref="L45:M45"/>
    <mergeCell ref="L39:M39"/>
    <mergeCell ref="H40:J40"/>
    <mergeCell ref="L40:M40"/>
    <mergeCell ref="D41:G41"/>
    <mergeCell ref="H41:J41"/>
    <mergeCell ref="L41:M41"/>
    <mergeCell ref="H36:J36"/>
    <mergeCell ref="L36:M36"/>
    <mergeCell ref="H37:J37"/>
    <mergeCell ref="L37:M37"/>
    <mergeCell ref="H38:J38"/>
    <mergeCell ref="L38:M38"/>
    <mergeCell ref="H33:J33"/>
    <mergeCell ref="L33:M33"/>
    <mergeCell ref="H34:J34"/>
    <mergeCell ref="L34:M34"/>
    <mergeCell ref="H35:J35"/>
    <mergeCell ref="L35:M35"/>
    <mergeCell ref="H12:J12"/>
    <mergeCell ref="L12:M12"/>
    <mergeCell ref="H31:J31"/>
    <mergeCell ref="L31:M31"/>
    <mergeCell ref="H32:J32"/>
    <mergeCell ref="L32:M32"/>
    <mergeCell ref="E7:G7"/>
    <mergeCell ref="I7:J7"/>
    <mergeCell ref="E8:G8"/>
    <mergeCell ref="C10:M10"/>
    <mergeCell ref="D11:G11"/>
    <mergeCell ref="H11:J11"/>
    <mergeCell ref="L11:M11"/>
    <mergeCell ref="D3:M3"/>
    <mergeCell ref="D4:M4"/>
    <mergeCell ref="E5:G5"/>
    <mergeCell ref="I5:J5"/>
    <mergeCell ref="E6:G6"/>
    <mergeCell ref="I6:J6"/>
    <mergeCell ref="K6:L6"/>
  </mergeCells>
  <printOptions horizontalCentered="1" verticalCentered="1"/>
  <pageMargins left="0" right="0" top="0" bottom="0" header="0" footer="0"/>
  <pageSetup scale="46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Planilhas</vt:lpstr>
      </vt:variant>
      <vt:variant>
        <vt:i4>55</vt:i4>
      </vt:variant>
      <vt:variant>
        <vt:lpstr>Intervalos Nomeados</vt:lpstr>
      </vt:variant>
      <vt:variant>
        <vt:i4>50</vt:i4>
      </vt:variant>
    </vt:vector>
  </HeadingPairs>
  <TitlesOfParts>
    <vt:vector size="105" baseType="lpstr">
      <vt:lpstr>Material Price</vt:lpstr>
      <vt:lpstr>Deck TakeOff</vt:lpstr>
      <vt:lpstr>Trex Rain Scape</vt:lpstr>
      <vt:lpstr>General Estimate</vt:lpstr>
      <vt:lpstr>Galv. Strap Fastners Footings</vt:lpstr>
      <vt:lpstr>PT Frame by LF</vt:lpstr>
      <vt:lpstr>PT Frame Material</vt:lpstr>
      <vt:lpstr>PT Finish</vt:lpstr>
      <vt:lpstr>PVC - White Finish</vt:lpstr>
      <vt:lpstr>Calculations </vt:lpstr>
      <vt:lpstr>Sheet2</vt:lpstr>
      <vt:lpstr>CODE</vt:lpstr>
      <vt:lpstr>Formulas</vt:lpstr>
      <vt:lpstr>Pressure Treated Decking Boards</vt:lpstr>
      <vt:lpstr>Trex Select Decking</vt:lpstr>
      <vt:lpstr>Trex Transcend Decking</vt:lpstr>
      <vt:lpstr>Trex Enhance Natural Decking</vt:lpstr>
      <vt:lpstr>PolyComposite Railings</vt:lpstr>
      <vt:lpstr> RDI Transform Railings</vt:lpstr>
      <vt:lpstr> PT Railings</vt:lpstr>
      <vt:lpstr>Trex Select Round Bal- Cocktail</vt:lpstr>
      <vt:lpstr>AZEK Vintage Collection Decking</vt:lpstr>
      <vt:lpstr>AZEK Arbor Collection Decking</vt:lpstr>
      <vt:lpstr>AZEK Harvest Collection Decking</vt:lpstr>
      <vt:lpstr>Timbertech Pro Legacy </vt:lpstr>
      <vt:lpstr>Timbertech Pro Reserve </vt:lpstr>
      <vt:lpstr>Timbertech Pro Terrain</vt:lpstr>
      <vt:lpstr>Timbertech Edge Premier</vt:lpstr>
      <vt:lpstr>Timbertech Edge Prime+</vt:lpstr>
      <vt:lpstr>Timbertech Edge Prime</vt:lpstr>
      <vt:lpstr>Moistur. Elevate-Premium </vt:lpstr>
      <vt:lpstr>Moistur. Elevate-Original</vt:lpstr>
      <vt:lpstr>Moistur. Vision Cool</vt:lpstr>
      <vt:lpstr>Moistur. Vision Non Cool </vt:lpstr>
      <vt:lpstr>Moistur. Vantage </vt:lpstr>
      <vt:lpstr>Fiberon Good Life - Weekender</vt:lpstr>
      <vt:lpstr>Fiberon Good Life Escapes</vt:lpstr>
      <vt:lpstr>Wolf Perspective </vt:lpstr>
      <vt:lpstr>DuraLife Siesta Landscape</vt:lpstr>
      <vt:lpstr>DuraLife Siesta Hardwoods</vt:lpstr>
      <vt:lpstr>DuraLife MVP Landscape</vt:lpstr>
      <vt:lpstr>DuraLife MVP Harwoods</vt:lpstr>
      <vt:lpstr>Labor Calculations </vt:lpstr>
      <vt:lpstr>Contemporary Round Alu Ba </vt:lpstr>
      <vt:lpstr>Contemporary- Square Comp Balus</vt:lpstr>
      <vt:lpstr>Contemporary-Feeney Cablerail</vt:lpstr>
      <vt:lpstr>Premier - Comp Black Balusters</vt:lpstr>
      <vt:lpstr>Premier - Alum Round Balusters</vt:lpstr>
      <vt:lpstr>TimberTech Premier White Balust</vt:lpstr>
      <vt:lpstr>TimberTech Premier - Feeney</vt:lpstr>
      <vt:lpstr>Warranties Prices</vt:lpstr>
      <vt:lpstr>Sheet1</vt:lpstr>
      <vt:lpstr>UPGRADES TABLE</vt:lpstr>
      <vt:lpstr>GAF Estimate</vt:lpstr>
      <vt:lpstr>RUBBER</vt:lpstr>
      <vt:lpstr>' PT Railings'!Area_de_impressao</vt:lpstr>
      <vt:lpstr>' RDI Transform Railings'!Area_de_impressao</vt:lpstr>
      <vt:lpstr>'AZEK Arbor Collection Decking'!Area_de_impressao</vt:lpstr>
      <vt:lpstr>'AZEK Harvest Collection Decking'!Area_de_impressao</vt:lpstr>
      <vt:lpstr>'AZEK Vintage Collection Decking'!Area_de_impressao</vt:lpstr>
      <vt:lpstr>'Contemporary Round Alu Ba '!Area_de_impressao</vt:lpstr>
      <vt:lpstr>'Contemporary- Square Comp Balus'!Area_de_impressao</vt:lpstr>
      <vt:lpstr>'Contemporary-Feeney Cablerail'!Area_de_impressao</vt:lpstr>
      <vt:lpstr>'Deck TakeOff'!Area_de_impressao</vt:lpstr>
      <vt:lpstr>'DuraLife MVP Harwoods'!Area_de_impressao</vt:lpstr>
      <vt:lpstr>'DuraLife MVP Landscape'!Area_de_impressao</vt:lpstr>
      <vt:lpstr>'DuraLife Siesta Hardwoods'!Area_de_impressao</vt:lpstr>
      <vt:lpstr>'DuraLife Siesta Landscape'!Area_de_impressao</vt:lpstr>
      <vt:lpstr>'Fiberon Good Life - Weekender'!Area_de_impressao</vt:lpstr>
      <vt:lpstr>'Fiberon Good Life Escapes'!Area_de_impressao</vt:lpstr>
      <vt:lpstr>'GAF Estimate'!Area_de_impressao</vt:lpstr>
      <vt:lpstr>'Galv. Strap Fastners Footings'!Area_de_impressao</vt:lpstr>
      <vt:lpstr>'General Estimate'!Area_de_impressao</vt:lpstr>
      <vt:lpstr>'Labor Calculations '!Area_de_impressao</vt:lpstr>
      <vt:lpstr>'Material Price'!Area_de_impressao</vt:lpstr>
      <vt:lpstr>'Moistur. Elevate-Original'!Area_de_impressao</vt:lpstr>
      <vt:lpstr>'Moistur. Elevate-Premium '!Area_de_impressao</vt:lpstr>
      <vt:lpstr>'Moistur. Vantage '!Area_de_impressao</vt:lpstr>
      <vt:lpstr>'Moistur. Vision Cool'!Area_de_impressao</vt:lpstr>
      <vt:lpstr>'Moistur. Vision Non Cool '!Area_de_impressao</vt:lpstr>
      <vt:lpstr>'PolyComposite Railings'!Area_de_impressao</vt:lpstr>
      <vt:lpstr>'Premier - Alum Round Balusters'!Area_de_impressao</vt:lpstr>
      <vt:lpstr>'Premier - Comp Black Balusters'!Area_de_impressao</vt:lpstr>
      <vt:lpstr>'Pressure Treated Decking Boards'!Area_de_impressao</vt:lpstr>
      <vt:lpstr>'PT Finish'!Area_de_impressao</vt:lpstr>
      <vt:lpstr>'PT Frame by LF'!Area_de_impressao</vt:lpstr>
      <vt:lpstr>'PT Frame Material'!Area_de_impressao</vt:lpstr>
      <vt:lpstr>'PVC - White Finish'!Area_de_impressao</vt:lpstr>
      <vt:lpstr>RUBBER!Area_de_impressao</vt:lpstr>
      <vt:lpstr>'Timbertech Edge Premier'!Area_de_impressao</vt:lpstr>
      <vt:lpstr>'Timbertech Edge Prime'!Area_de_impressao</vt:lpstr>
      <vt:lpstr>'Timbertech Edge Prime+'!Area_de_impressao</vt:lpstr>
      <vt:lpstr>'TimberTech Premier - Feeney'!Area_de_impressao</vt:lpstr>
      <vt:lpstr>'TimberTech Premier White Balust'!Area_de_impressao</vt:lpstr>
      <vt:lpstr>'Timbertech Pro Legacy '!Area_de_impressao</vt:lpstr>
      <vt:lpstr>'Timbertech Pro Reserve '!Area_de_impressao</vt:lpstr>
      <vt:lpstr>'Timbertech Pro Terrain'!Area_de_impressao</vt:lpstr>
      <vt:lpstr>'Trex Enhance Natural Decking'!Area_de_impressao</vt:lpstr>
      <vt:lpstr>'Trex Rain Scape'!Area_de_impressao</vt:lpstr>
      <vt:lpstr>'Trex Select Decking'!Area_de_impressao</vt:lpstr>
      <vt:lpstr>'Trex Select Round Bal- Cocktail'!Area_de_impressao</vt:lpstr>
      <vt:lpstr>'Trex Transcend Decking'!Area_de_impressao</vt:lpstr>
      <vt:lpstr>'Wolf Perspective '!Area_de_impressao</vt:lpstr>
      <vt:lpstr>'GAF Estimate'!Week_Start</vt:lpstr>
      <vt:lpstr>RUBBER!Week_Start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Winter Hill</dc:creator>
  <cp:lastModifiedBy>Auciomar Cerqueira</cp:lastModifiedBy>
  <cp:lastPrinted>2021-02-15T17:09:32Z</cp:lastPrinted>
  <dcterms:created xsi:type="dcterms:W3CDTF">2000-08-25T01:59:39Z</dcterms:created>
  <dcterms:modified xsi:type="dcterms:W3CDTF">2023-09-14T00:07:11Z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TC062071411033</vt:lpwstr>
  </property>
</Properties>
</file>