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cius/projetos/wquote/"/>
    </mc:Choice>
  </mc:AlternateContent>
  <xr:revisionPtr revIDLastSave="0" documentId="13_ncr:1_{E6E73100-7F7A-5241-9BAB-D0938972AF43}" xr6:coauthVersionLast="47" xr6:coauthVersionMax="47" xr10:uidLastSave="{00000000-0000-0000-0000-000000000000}"/>
  <bookViews>
    <workbookView xWindow="-51200" yWindow="-7860" windowWidth="51200" windowHeight="28300" tabRatio="940" activeTab="4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77" l="1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H64" i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L33" i="29" s="1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68" i="28" l="1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C12" i="41"/>
  <c r="L12" i="41" s="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7" i="33"/>
  <c r="L17" i="33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H58" i="1"/>
  <c r="C117" i="28" s="1"/>
  <c r="G96" i="28"/>
  <c r="F96" i="28" s="1"/>
  <c r="G97" i="28" s="1"/>
  <c r="C17" i="31" s="1"/>
  <c r="L17" i="31" s="1"/>
  <c r="C94" i="28"/>
  <c r="C99" i="28" s="1"/>
  <c r="C14" i="31" s="1"/>
  <c r="L14" i="31" s="1"/>
  <c r="C15" i="77" l="1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K11" i="69" s="1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L13" i="69" l="1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<sst xmlns="http://schemas.openxmlformats.org/spreadsheetml/2006/main" count="2608" uniqueCount="1389">
  <si>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</si>
  <si>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</si>
  <si>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</si>
  <si>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</si>
  <si>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</si>
  <si>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</si>
  <si>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</si>
  <si>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</si>
  <si>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</si>
  <si>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</si>
  <si>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</si>
  <si>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</si>
  <si>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</si>
  <si>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</si>
  <si>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</si>
  <si>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</si>
  <si>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</si>
  <si>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</si>
  <si>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</si>
  <si>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</si>
  <si>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</si>
  <si>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</si>
  <si>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</si>
  <si>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</si>
  <si>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</si>
  <si>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</si>
  <si>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</si>
  <si>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</si>
  <si>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</si>
  <si>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</si>
  <si>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</si>
  <si>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</si>
  <si>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</si>
  <si>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</si>
  <si>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</si>
  <si>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</si>
  <si>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</si>
  <si>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</si>
  <si>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</si>
  <si>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</si>
  <si>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</si>
  <si>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</si>
  <si>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</si>
  <si>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</si>
  <si>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</si>
  <si>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</si>
  <si>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</si>
  <si>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</si>
  <si>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</si>
  <si>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</si>
  <si>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</si>
  <si>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</si>
  <si>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</si>
  <si>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</si>
  <si>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</si>
  <si>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</si>
  <si>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</si>
  <si>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</si>
  <si>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</si>
  <si>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</si>
  <si>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</si>
  <si>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</si>
  <si>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</si>
  <si>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</si>
  <si>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</si>
  <si>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</si>
  <si>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</si>
  <si>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</si>
  <si>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</si>
  <si>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</si>
  <si>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</si>
  <si>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</si>
  <si>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</si>
  <si>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</si>
  <si>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</si>
  <si>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</si>
  <si>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</si>
  <si>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</si>
  <si>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</si>
  <si>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</si>
  <si>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</si>
  <si>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</si>
  <si>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</si>
  <si>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</si>
  <si>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</si>
  <si>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</si>
  <si>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</si>
  <si>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</si>
  <si>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</si>
  <si>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</si>
  <si>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</si>
  <si>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</si>
  <si>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</si>
  <si>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</si>
  <si>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</si>
  <si>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</si>
  <si>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</si>
  <si>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</si>
  <si>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</si>
  <si>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</si>
  <si>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</si>
  <si>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</si>
  <si>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</si>
  <si>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</si>
  <si>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</si>
  <si>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</si>
  <si>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</si>
  <si>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</si>
  <si>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</si>
  <si>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</si>
  <si>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</si>
  <si>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</si>
  <si>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</si>
  <si>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</si>
  <si>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</si>
  <si>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</si>
  <si>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</si>
  <si>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</si>
  <si>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</si>
  <si>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</si>
  <si>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</si>
  <si>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</si>
  <si>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</si>
  <si>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</si>
  <si>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</si>
  <si>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</si>
  <si>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</si>
  <si>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</si>
  <si>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</si>
  <si>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</si>
  <si>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</si>
  <si>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</si>
  <si>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</si>
  <si>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</si>
  <si>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</si>
  <si>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</si>
  <si>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</si>
  <si>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</si>
  <si>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</si>
  <si>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</si>
  <si>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</si>
  <si>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</si>
  <si>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</si>
  <si>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</si>
  <si>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</si>
  <si>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</si>
  <si>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</si>
  <si>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</si>
  <si>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</si>
  <si>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</si>
  <si>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</si>
  <si>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</si>
  <si>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</si>
  <si>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</si>
  <si>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</si>
  <si>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</si>
  <si>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</si>
  <si>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</si>
  <si>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</si>
  <si>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</si>
  <si>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</si>
  <si>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</si>
  <si>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</si>
  <si>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</si>
  <si>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</si>
  <si>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</si>
  <si>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</si>
  <si>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</si>
  <si>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</si>
  <si>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</si>
  <si>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</si>
  <si>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</si>
  <si>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</si>
  <si>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</si>
  <si>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</si>
  <si>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</si>
  <si>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</si>
  <si>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</si>
  <si>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</si>
  <si>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</si>
  <si>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</si>
  <si>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</si>
  <si>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</si>
  <si>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</si>
  <si>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</si>
  <si>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</si>
  <si>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</si>
  <si>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</si>
  <si>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</si>
  <si>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</si>
  <si>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</si>
  <si>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</si>
  <si>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</si>
  <si>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</si>
  <si>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</si>
  <si>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</si>
  <si>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</si>
  <si>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</si>
  <si>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</si>
  <si>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</si>
  <si>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</si>
  <si>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</si>
  <si>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</si>
  <si>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</si>
  <si>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</si>
  <si>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</si>
  <si>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</si>
  <si>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</si>
  <si>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</si>
  <si>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</si>
  <si>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</si>
  <si>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</si>
  <si>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</si>
  <si>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</si>
  <si>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</si>
  <si>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</si>
  <si>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</si>
  <si>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</si>
  <si>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</si>
  <si>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</si>
  <si>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</si>
  <si>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</si>
  <si>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</si>
  <si>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</si>
  <si>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</si>
  <si>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</si>
  <si>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</si>
  <si>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</si>
  <si>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</si>
  <si>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</si>
  <si>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</si>
  <si>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</si>
  <si>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</si>
  <si>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</si>
  <si>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</si>
  <si>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</si>
  <si>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</si>
  <si>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</si>
  <si>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</si>
  <si>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</si>
  <si>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</si>
  <si>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</si>
  <si>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</si>
  <si>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</si>
  <si>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</si>
  <si>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</si>
  <si>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</si>
  <si>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</si>
  <si>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</si>
  <si>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</si>
  <si>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</si>
  <si>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</si>
  <si>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</si>
  <si>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</si>
  <si>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</si>
  <si>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</si>
  <si>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</si>
  <si>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</si>
  <si>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</si>
  <si>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</si>
  <si>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</si>
  <si>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</si>
  <si>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</si>
  <si>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</si>
  <si>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</si>
  <si>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</si>
  <si>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</si>
  <si>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</si>
  <si>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</si>
  <si>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</si>
  <si>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</si>
  <si>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</si>
  <si>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</si>
  <si>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</si>
  <si>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</si>
  <si>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</si>
  <si>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</si>
  <si>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</si>
  <si>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</si>
  <si>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</si>
  <si>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</si>
  <si>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</si>
  <si>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</si>
  <si>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</si>
  <si>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</si>
  <si>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</si>
  <si>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</si>
  <si>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</si>
  <si>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</si>
  <si>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</si>
  <si>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</si>
  <si>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</si>
  <si>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</si>
  <si>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</si>
  <si>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</si>
  <si>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</si>
  <si>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</si>
  <si>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</si>
  <si>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</si>
  <si>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</si>
  <si>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</si>
  <si>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</si>
  <si>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</si>
  <si>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</si>
  <si>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</si>
  <si>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</si>
  <si>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</si>
  <si>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</si>
  <si>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</si>
  <si>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</si>
  <si>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</si>
  <si>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</si>
  <si>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</si>
  <si>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</si>
  <si>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</si>
  <si>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</si>
  <si>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</si>
  <si>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</si>
  <si>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</si>
  <si>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</si>
  <si>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</si>
  <si>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</si>
  <si>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</si>
  <si>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</si>
  <si>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</si>
  <si>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</si>
  <si>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</si>
  <si>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</si>
  <si>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</si>
  <si>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</si>
  <si>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</si>
  <si>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</si>
  <si>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</si>
  <si>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</si>
  <si>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</si>
  <si>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</si>
  <si>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</si>
  <si>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</si>
  <si>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</si>
  <si>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</si>
  <si>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</si>
  <si>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</si>
  <si>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</si>
  <si>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</si>
  <si>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</si>
  <si>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</si>
  <si>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</si>
  <si>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</si>
  <si>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</si>
  <si>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</si>
  <si>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</si>
  <si>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</si>
  <si>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</si>
  <si>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</si>
  <si>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</si>
  <si>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</si>
  <si>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</si>
  <si>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</si>
  <si>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</si>
  <si>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</si>
  <si>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</si>
  <si>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</si>
  <si>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</si>
  <si>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</si>
  <si>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</si>
  <si>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</si>
  <si>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</si>
  <si>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</si>
  <si>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</si>
  <si>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</si>
  <si>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</si>
  <si>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</si>
  <si>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</si>
  <si>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</si>
  <si>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</si>
  <si>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</si>
  <si>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</si>
  <si>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</si>
  <si>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</si>
  <si>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</si>
  <si>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</si>
  <si>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</si>
  <si>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</si>
  <si>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</si>
  <si>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</si>
  <si>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</si>
  <si>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</si>
  <si>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</si>
  <si>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</si>
  <si>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</si>
  <si>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</si>
  <si>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</si>
  <si>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</si>
  <si>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</si>
  <si>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</si>
  <si>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</si>
  <si>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</si>
  <si>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</si>
  <si>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</si>
  <si>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</si>
  <si>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</si>
  <si>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</si>
  <si>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</si>
  <si>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</si>
  <si>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</si>
  <si>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</si>
  <si>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</si>
  <si>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</si>
  <si>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</si>
  <si>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</si>
  <si>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</si>
  <si>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</si>
  <si>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</si>
  <si>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</si>
  <si>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</si>
  <si>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</si>
  <si>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</si>
  <si>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</si>
  <si>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</si>
  <si>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</si>
  <si>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</si>
  <si>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</si>
  <si>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</si>
  <si>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</si>
  <si>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</si>
  <si>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</si>
  <si>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</si>
  <si>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</si>
  <si>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</si>
  <si>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</si>
  <si>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</si>
  <si>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</si>
  <si>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</si>
  <si>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</si>
  <si>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</si>
  <si>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</si>
  <si>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</si>
  <si>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</si>
  <si>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</si>
  <si>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</si>
  <si>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</si>
  <si>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</si>
  <si>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</si>
  <si>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</si>
  <si>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</si>
  <si>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</si>
  <si>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</si>
  <si>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</si>
  <si>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</si>
  <si>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</si>
  <si>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</si>
  <si>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</si>
  <si>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</si>
  <si>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</si>
  <si>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</si>
  <si>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</si>
  <si>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</si>
  <si>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</si>
  <si>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</si>
  <si>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</si>
  <si>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</si>
  <si>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</si>
  <si>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</si>
  <si>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</si>
  <si>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</si>
  <si>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</si>
  <si>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</si>
  <si>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</si>
  <si>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</si>
  <si>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</si>
  <si>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</si>
  <si>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</si>
  <si>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</si>
  <si>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</si>
  <si>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</si>
  <si>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</si>
  <si>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</si>
  <si>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</si>
  <si>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</si>
  <si>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</si>
  <si>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</si>
  <si>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</si>
  <si>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</si>
  <si>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</si>
  <si>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</si>
  <si>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</si>
  <si>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</si>
  <si>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</si>
  <si>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</si>
  <si>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</si>
  <si>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</si>
  <si>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</si>
  <si>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</si>
  <si>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</si>
  <si>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</si>
  <si>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</si>
  <si>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</si>
  <si>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</si>
  <si>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</si>
  <si>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</si>
  <si>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</si>
  <si>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</si>
  <si>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</si>
  <si>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</si>
  <si>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</si>
  <si>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</si>
  <si>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</si>
  <si>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</si>
  <si>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</si>
  <si>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</si>
  <si>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</si>
  <si>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</si>
  <si>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</si>
  <si>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</si>
  <si>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</si>
  <si>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</si>
  <si>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</si>
  <si>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</si>
  <si>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</si>
  <si>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</si>
  <si>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</si>
  <si>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</si>
  <si>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</si>
  <si>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</si>
  <si>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</si>
  <si>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</si>
  <si>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</si>
  <si>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</si>
  <si>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</si>
  <si>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</si>
  <si>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</si>
  <si>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</si>
  <si>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</si>
  <si>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</si>
  <si>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</si>
  <si>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</si>
  <si>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</si>
  <si>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</si>
  <si>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</si>
  <si>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</si>
  <si>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</si>
  <si>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</si>
  <si>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</si>
  <si>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</si>
  <si>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</si>
  <si>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</si>
  <si>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</si>
  <si>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</si>
  <si>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</si>
  <si>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</si>
  <si>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</si>
  <si>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</si>
  <si>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</si>
  <si>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</si>
  <si>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</si>
  <si>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</si>
  <si>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</si>
  <si>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</si>
  <si>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</si>
  <si>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</si>
  <si>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</si>
  <si>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</si>
  <si>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</si>
  <si>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</si>
  <si>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</si>
  <si>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</si>
  <si>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</si>
  <si>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</si>
  <si>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</si>
  <si>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</si>
  <si>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</si>
  <si>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</si>
  <si>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</si>
  <si>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</si>
  <si>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</si>
  <si>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</si>
  <si>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</si>
  <si>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</si>
  <si>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</si>
  <si>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</si>
  <si>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</si>
  <si>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</si>
  <si>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</si>
  <si>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</si>
  <si>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</si>
  <si>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</si>
  <si>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</si>
  <si>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</si>
  <si>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</si>
  <si>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</si>
  <si>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</si>
  <si>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</si>
  <si>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</si>
  <si>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</si>
  <si>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</si>
  <si>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</si>
  <si>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</si>
  <si>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</si>
  <si>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</si>
  <si>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</si>
  <si>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</si>
  <si>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</si>
  <si>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</si>
  <si>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</si>
  <si>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</si>
  <si>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</si>
  <si>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</si>
  <si>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</si>
  <si>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</si>
  <si>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</si>
  <si>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</si>
  <si>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</si>
  <si>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</si>
  <si>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</si>
  <si>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</si>
  <si>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</si>
  <si>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</si>
  <si>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</si>
  <si>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</si>
  <si>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</si>
  <si>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</si>
  <si>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</si>
  <si>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</si>
  <si>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</si>
  <si>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</si>
  <si>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</si>
  <si>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</si>
  <si>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</si>
  <si>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</si>
  <si>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</si>
  <si>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</si>
  <si>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</si>
  <si>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</si>
  <si>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</si>
  <si>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</si>
  <si>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</si>
  <si>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</si>
  <si>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</si>
  <si>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</si>
  <si>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</si>
  <si>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</si>
  <si>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</si>
  <si>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</si>
  <si>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</si>
  <si>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</si>
  <si>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</si>
  <si>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</si>
  <si>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</si>
  <si>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</si>
  <si>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</si>
  <si>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</si>
  <si>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</si>
  <si>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</si>
  <si>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</si>
  <si>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</si>
  <si>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</si>
  <si>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</si>
  <si>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</si>
  <si>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</si>
  <si>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</si>
  <si>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</si>
  <si>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</si>
  <si>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</si>
  <si>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</si>
  <si>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</si>
  <si>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</si>
  <si>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</si>
  <si>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</si>
  <si>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</si>
  <si>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</si>
  <si>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</si>
  <si>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</si>
  <si>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</si>
  <si>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</si>
  <si>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</si>
  <si>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</si>
  <si>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</si>
  <si>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</si>
  <si>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</si>
  <si>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</si>
  <si>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</si>
  <si>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</si>
  <si>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</si>
  <si>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</si>
  <si>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</si>
  <si>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</si>
  <si>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</si>
  <si>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</si>
  <si>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</si>
  <si>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</si>
  <si>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</si>
  <si>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</si>
  <si>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</si>
  <si>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</si>
  <si>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</si>
  <si>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</si>
  <si>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</si>
  <si>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</si>
  <si>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</si>
  <si>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</si>
  <si>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</si>
  <si>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</si>
  <si>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</si>
  <si>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</si>
  <si>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</si>
  <si>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</si>
  <si>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</si>
  <si>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</si>
  <si>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</si>
  <si>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</si>
  <si>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</si>
  <si>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</si>
  <si>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</si>
  <si>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</si>
  <si>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</si>
  <si>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</si>
  <si>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</si>
  <si>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</si>
  <si>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</si>
  <si>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</si>
  <si>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</si>
  <si>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</si>
  <si>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</si>
  <si>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</si>
  <si>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</si>
  <si>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</si>
  <si>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</si>
  <si>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</si>
  <si>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</si>
  <si>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</si>
  <si>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</si>
  <si>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</si>
  <si>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</si>
  <si>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</si>
  <si>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</si>
  <si>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</si>
  <si>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</si>
  <si>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</si>
  <si>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</si>
  <si>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</si>
  <si>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</si>
  <si>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</si>
  <si>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</si>
  <si>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</si>
  <si>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</si>
  <si>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</si>
  <si>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</si>
  <si>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</si>
  <si>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</si>
  <si>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</si>
  <si>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</si>
  <si>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</si>
  <si>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</si>
  <si>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</si>
  <si>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</si>
  <si>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</si>
  <si>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</si>
  <si>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</si>
  <si>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</si>
  <si>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</si>
  <si>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</si>
  <si>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</si>
  <si>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</si>
  <si>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</si>
  <si>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</si>
  <si>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</si>
  <si>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</si>
  <si>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</si>
  <si>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</si>
  <si>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</si>
  <si>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</si>
  <si>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</si>
  <si>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</si>
  <si>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</si>
  <si>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</si>
  <si>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</si>
  <si>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</si>
  <si>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</si>
  <si>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</si>
  <si>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</si>
  <si>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</si>
  <si>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</si>
  <si>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</si>
  <si>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</si>
  <si>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</si>
  <si>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</si>
  <si>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</si>
  <si>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</si>
  <si>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</si>
  <si>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</si>
  <si>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</si>
  <si>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</si>
  <si>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</si>
  <si>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</si>
  <si>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</si>
  <si>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</si>
  <si>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</si>
  <si>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</si>
  <si>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</si>
  <si>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</si>
  <si>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</si>
  <si>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</si>
  <si>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</si>
  <si>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</si>
  <si>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</si>
  <si>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</si>
  <si>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</si>
  <si>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</si>
  <si>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</si>
  <si>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</si>
  <si>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</si>
  <si>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</si>
  <si>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</si>
  <si>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</si>
  <si>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</si>
  <si>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</si>
  <si>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</si>
  <si>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</si>
  <si>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</si>
  <si>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</si>
  <si>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</si>
  <si>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</si>
  <si>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</si>
  <si>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</si>
  <si>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</si>
  <si>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</si>
  <si>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</si>
  <si>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</si>
  <si>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</si>
  <si>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</si>
  <si>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</si>
  <si>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</si>
  <si>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</si>
  <si>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</si>
  <si>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</si>
  <si>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</si>
  <si>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</si>
  <si>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</si>
  <si>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</si>
  <si>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</si>
  <si>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</si>
  <si>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</si>
  <si>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</si>
  <si>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</si>
  <si>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</si>
  <si>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</si>
  <si>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</si>
  <si>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</si>
  <si>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</si>
  <si>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</si>
  <si>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</si>
  <si>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</si>
  <si>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</si>
  <si>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</si>
  <si>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</si>
  <si>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</si>
  <si>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</si>
  <si>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</si>
  <si>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</si>
  <si>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</si>
  <si>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</si>
  <si>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</si>
  <si>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</si>
  <si>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</si>
  <si>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</si>
  <si>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</si>
  <si>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</si>
  <si>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</si>
  <si>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</si>
  <si>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</si>
  <si>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</si>
  <si>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</si>
  <si>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</si>
  <si>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</si>
  <si>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</si>
  <si>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</si>
  <si>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</si>
  <si>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</si>
  <si>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</si>
  <si>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</si>
  <si>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</si>
  <si>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</si>
  <si>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</si>
  <si>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</si>
  <si>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</si>
  <si>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</si>
  <si>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</si>
  <si>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</si>
  <si>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</si>
  <si>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</si>
  <si>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</si>
  <si>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</si>
  <si>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</si>
  <si>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</si>
  <si>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</si>
  <si>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</si>
  <si>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</si>
  <si>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</si>
  <si>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</si>
  <si>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</si>
  <si>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</si>
  <si>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</si>
  <si>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</si>
  <si>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</si>
  <si>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</si>
  <si>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</si>
  <si>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</si>
  <si>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</si>
  <si>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</si>
  <si>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</si>
  <si>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</si>
  <si>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</si>
  <si>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</si>
  <si>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</si>
  <si>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</si>
  <si>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</si>
  <si>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</si>
  <si>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</si>
  <si>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</si>
  <si>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</si>
  <si>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</si>
  <si>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</si>
  <si>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</si>
  <si>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</si>
  <si>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</si>
  <si>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</si>
  <si>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</si>
  <si>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</si>
  <si>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</si>
  <si>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</si>
  <si>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</si>
  <si>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</si>
  <si>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</si>
  <si>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</si>
  <si>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</si>
  <si>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</si>
  <si>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</si>
  <si>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</si>
  <si>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</si>
  <si>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</si>
  <si>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</si>
  <si>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</si>
  <si>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</si>
  <si>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</si>
  <si>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</si>
  <si>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</si>
  <si>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</si>
  <si>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</si>
  <si>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</si>
  <si>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</si>
  <si>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</si>
  <si>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</si>
  <si>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</si>
  <si>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</si>
  <si>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</si>
  <si>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</si>
  <si>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</si>
  <si>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</si>
  <si>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</si>
  <si>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</si>
  <si>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</si>
  <si>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</si>
  <si>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</si>
  <si>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</si>
  <si>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</si>
  <si>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</si>
  <si>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</si>
  <si>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</si>
  <si>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</si>
  <si>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</si>
  <si>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</si>
  <si>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</si>
  <si>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</si>
  <si>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</si>
  <si>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</si>
  <si>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</si>
  <si>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</si>
  <si>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</si>
  <si>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</si>
  <si>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</si>
  <si>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</si>
  <si>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</si>
  <si>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</si>
  <si>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</si>
  <si>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</si>
  <si>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</si>
  <si>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</si>
  <si>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</si>
  <si>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</si>
  <si>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</si>
  <si>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</si>
  <si>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</si>
  <si>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</si>
  <si>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</si>
  <si>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</si>
  <si>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</si>
  <si>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</si>
  <si>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</si>
  <si>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</si>
  <si>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</si>
  <si>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</si>
  <si>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</si>
  <si>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</si>
  <si>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</si>
  <si>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</si>
  <si>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</si>
  <si>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</si>
  <si>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</si>
  <si>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</si>
  <si>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</si>
  <si>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</si>
  <si>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</si>
  <si>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</si>
  <si>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</si>
  <si>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</si>
  <si>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</si>
  <si>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</si>
  <si>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</si>
  <si>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</si>
  <si>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</si>
  <si>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</si>
  <si>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</si>
  <si>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</si>
  <si>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</si>
  <si>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</si>
  <si>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</si>
  <si>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</si>
  <si>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</si>
  <si>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</si>
  <si>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</si>
  <si>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</si>
  <si>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</si>
  <si>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</si>
  <si>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</si>
  <si>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</si>
  <si>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</si>
  <si>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</si>
  <si>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</si>
  <si>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</si>
  <si>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</si>
  <si>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</si>
  <si>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</si>
  <si>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</si>
  <si>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</si>
  <si>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</si>
  <si>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</si>
  <si>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</si>
  <si>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</si>
  <si>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</si>
  <si>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</si>
  <si>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</si>
  <si>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</si>
  <si>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</si>
  <si>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</si>
  <si>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</si>
  <si>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</si>
  <si>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</si>
  <si>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</si>
  <si>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</si>
  <si>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</si>
  <si>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</si>
  <si>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</si>
  <si>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</si>
  <si>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</si>
  <si>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</si>
  <si>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</si>
  <si>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</si>
  <si>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</si>
  <si>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</si>
  <si>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</si>
  <si>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</si>
  <si>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</si>
  <si>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</si>
  <si>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</si>
  <si>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</si>
  <si>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</si>
  <si>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</si>
  <si>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</si>
  <si>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</si>
  <si>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</si>
  <si>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</si>
  <si>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</si>
  <si>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</si>
  <si>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</si>
  <si>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</si>
  <si>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</si>
  <si>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</si>
  <si>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</si>
  <si>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</si>
  <si>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</si>
  <si>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</si>
  <si>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</si>
  <si>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</si>
  <si>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</si>
  <si>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</si>
  <si>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</si>
  <si>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</si>
  <si>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</si>
  <si>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</si>
  <si>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</si>
  <si>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</si>
  <si>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</si>
  <si>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</si>
  <si>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</si>
  <si>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</si>
  <si>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</si>
  <si>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</si>
  <si>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</si>
  <si>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</si>
  <si>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</si>
  <si>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</si>
  <si>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</si>
  <si>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</si>
  <si>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</si>
  <si>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</si>
  <si>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</si>
  <si>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</si>
  <si>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</si>
  <si>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</si>
  <si>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</si>
  <si>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</si>
  <si>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</si>
  <si>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</si>
  <si>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</si>
  <si>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</si>
  <si>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</si>
  <si>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</si>
  <si>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</si>
  <si>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</si>
  <si>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</si>
  <si>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</si>
  <si>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</si>
  <si>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</si>
  <si>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</si>
  <si>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</si>
  <si>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</si>
  <si>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</si>
  <si>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</si>
  <si>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</si>
  <si>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</si>
  <si>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</si>
  <si>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</si>
  <si>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</si>
  <si>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</si>
  <si>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</si>
  <si>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</si>
  <si>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</si>
  <si>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</si>
  <si>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</si>
  <si>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</si>
  <si>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</si>
  <si>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</si>
  <si>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</si>
  <si>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</si>
  <si>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</si>
  <si>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</si>
  <si>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</si>
  <si>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</si>
  <si>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</si>
  <si>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</si>
  <si>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</si>
  <si>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</si>
  <si>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</si>
  <si>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</si>
  <si>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</si>
  <si>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</si>
  <si>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</si>
  <si>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</si>
  <si>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</si>
  <si>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</si>
  <si>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</si>
  <si>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</si>
  <si>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</si>
  <si>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</si>
  <si>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</si>
  <si>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</si>
  <si>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</si>
  <si>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</si>
  <si>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</si>
  <si>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</si>
  <si>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</si>
  <si>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</si>
  <si>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</si>
  <si>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</si>
  <si>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</si>
  <si>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</si>
  <si>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</si>
  <si>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</si>
  <si>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</si>
  <si>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</si>
  <si>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</si>
  <si>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</si>
  <si>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</si>
  <si>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</si>
  <si>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</si>
  <si>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</si>
  <si>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</si>
  <si>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</si>
  <si>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</si>
  <si>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</si>
  <si>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</si>
  <si>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</si>
  <si>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</si>
  <si>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</si>
  <si>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</si>
  <si>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</si>
  <si>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</si>
  <si>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</si>
  <si>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</si>
  <si>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</si>
  <si>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</si>
  <si>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</si>
  <si>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</si>
  <si>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</si>
  <si>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</si>
  <si>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</si>
  <si>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</si>
  <si>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</si>
  <si>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</si>
  <si>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</si>
  <si>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</si>
  <si>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</si>
  <si>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</si>
  <si>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</si>
  <si>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</si>
  <si>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</si>
  <si>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</si>
  <si>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</si>
  <si>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</si>
  <si>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</si>
  <si>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</si>
  <si>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</si>
  <si>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</si>
  <si>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</si>
  <si>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</si>
  <si>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</si>
  <si>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</si>
  <si>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</si>
  <si>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</si>
  <si>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</si>
  <si>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</si>
  <si>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</si>
  <si>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</si>
  <si>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</si>
  <si>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</si>
  <si>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</si>
  <si>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</si>
  <si>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</si>
  <si>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</si>
  <si>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</si>
  <si>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</si>
  <si>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</si>
  <si>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</si>
  <si>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</si>
  <si>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</si>
  <si>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</si>
  <si>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</si>
  <si>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</si>
  <si>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</si>
  <si>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</si>
  <si>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</si>
  <si>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</si>
  <si>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</si>
  <si>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</si>
  <si>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</si>
  <si>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</si>
  <si>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</si>
  <si>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</si>
  <si>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</si>
  <si>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</si>
  <si>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</si>
  <si>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</si>
  <si>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</si>
  <si>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</si>
  <si>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</si>
  <si>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</si>
  <si>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</si>
  <si>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</si>
  <si>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</si>
  <si>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</si>
  <si>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</si>
  <si>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</si>
  <si>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</si>
  <si>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</si>
  <si>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</si>
  <si>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</si>
  <si>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</si>
  <si>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</si>
  <si>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</si>
  <si>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</si>
  <si>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</si>
  <si>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</si>
  <si>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</si>
  <si>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</si>
  <si>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</si>
  <si>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</si>
  <si>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</si>
  <si>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</si>
  <si>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</si>
  <si>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</si>
  <si>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</si>
  <si>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</si>
  <si>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</si>
  <si>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</si>
  <si>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</si>
  <si>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</si>
  <si>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</si>
  <si>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</si>
  <si>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</si>
  <si>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</si>
  <si>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</si>
  <si>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</si>
  <si>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</si>
  <si>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</si>
  <si>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</si>
  <si>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</si>
  <si>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</si>
  <si>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</si>
  <si>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</si>
  <si>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</si>
  <si>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</si>
  <si>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</si>
  <si>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</si>
  <si>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</si>
  <si>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</si>
  <si>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</si>
  <si>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</si>
  <si>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</si>
  <si>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</si>
  <si>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</si>
  <si>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</si>
  <si>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</si>
  <si>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</si>
  <si>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</si>
  <si>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</si>
  <si>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</si>
  <si>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</si>
  <si>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</si>
  <si>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</si>
  <si>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</si>
  <si>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</si>
  <si>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</si>
  <si>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</si>
  <si>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</si>
  <si>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</si>
  <si>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</si>
  <si>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</si>
  <si>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</si>
  <si>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</si>
  <si>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</si>
  <si>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</si>
  <si>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</si>
  <si>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</si>
  <si>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</si>
  <si>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</si>
  <si>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</si>
  <si>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</si>
  <si>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</si>
  <si>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</si>
  <si>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</si>
  <si>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</si>
  <si>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</si>
  <si>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</si>
  <si>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</si>
  <si>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</si>
  <si>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</si>
  <si>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</si>
  <si>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</si>
  <si>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</si>
  <si>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</si>
  <si>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</si>
  <si>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</si>
  <si>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</si>
  <si>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</si>
  <si>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</si>
  <si>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</si>
  <si>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</si>
  <si>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</si>
  <si>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</si>
  <si>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</si>
  <si>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</si>
  <si>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</si>
  <si>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</si>
  <si>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</si>
  <si>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</si>
  <si>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</si>
  <si>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</si>
  <si>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</si>
  <si>
    <t xml:space="preserve">Total Grooved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</si>
</sst>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&quot;$&quot;#,##0.00"/>
    <numFmt numFmtId="168" formatCode="mm/dd/yy;@"/>
    <numFmt numFmtId="169" formatCode="[&lt;=9999999]###\-####;\(###\)\ ###\-####"/>
    <numFmt numFmtId="170" formatCode="00000"/>
    <numFmt numFmtId="171" formatCode="&quot;$&quot;#,##0.00;[Red]&quot;$&quot;#,##0.00"/>
    <numFmt numFmtId="172" formatCode="_(&quot;$&quot;* #,##0.0_);_(&quot;$&quot;* \(#,##0.0\);_(&quot;$&quot;* &quot;-&quot;??_);_(@_)"/>
    <numFmt numFmtId="173" formatCode="0.0"/>
    <numFmt numFmtId="174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6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4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8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7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7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7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7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7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7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8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7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164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166" fontId="25" fillId="6" borderId="0" xfId="1" applyFont="1" applyFill="1" applyProtection="1">
      <protection locked="0"/>
    </xf>
    <xf numFmtId="166" fontId="25" fillId="0" borderId="0" xfId="1" applyFont="1" applyProtection="1">
      <protection locked="0"/>
    </xf>
    <xf numFmtId="171" fontId="25" fillId="9" borderId="0" xfId="6" applyNumberFormat="1" applyFont="1" applyFill="1" applyAlignment="1" applyProtection="1">
      <alignment horizontal="left"/>
      <protection locked="0"/>
    </xf>
    <xf numFmtId="171" fontId="25" fillId="9" borderId="32" xfId="6" applyNumberFormat="1" applyFont="1" applyFill="1" applyBorder="1" applyAlignment="1" applyProtection="1">
      <alignment horizontal="left"/>
      <protection locked="0"/>
    </xf>
    <xf numFmtId="167" fontId="0" fillId="0" borderId="0" xfId="0" applyNumberFormat="1"/>
    <xf numFmtId="167" fontId="39" fillId="0" borderId="0" xfId="0" applyNumberFormat="1" applyFont="1"/>
    <xf numFmtId="167" fontId="40" fillId="0" borderId="0" xfId="0" applyNumberFormat="1" applyFont="1" applyAlignment="1">
      <alignment horizontal="left"/>
    </xf>
    <xf numFmtId="167" fontId="41" fillId="0" borderId="0" xfId="0" applyNumberFormat="1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7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166" fontId="20" fillId="4" borderId="0" xfId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right"/>
    </xf>
    <xf numFmtId="166" fontId="0" fillId="4" borderId="0" xfId="0" applyNumberFormat="1" applyFill="1"/>
    <xf numFmtId="166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7" fontId="25" fillId="4" borderId="6" xfId="0" applyNumberFormat="1" applyFont="1" applyFill="1" applyBorder="1" applyAlignment="1">
      <alignment horizontal="left"/>
    </xf>
    <xf numFmtId="167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7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3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7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7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7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7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7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166" fontId="25" fillId="6" borderId="0" xfId="1" applyFont="1" applyFill="1" applyBorder="1" applyProtection="1">
      <protection locked="0"/>
    </xf>
    <xf numFmtId="167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7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7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7" fontId="27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7" fontId="62" fillId="10" borderId="14" xfId="0" applyNumberFormat="1" applyFont="1" applyFill="1" applyBorder="1" applyAlignment="1">
      <alignment horizontal="center"/>
    </xf>
    <xf numFmtId="167" fontId="62" fillId="10" borderId="18" xfId="0" applyNumberFormat="1" applyFont="1" applyFill="1" applyBorder="1" applyAlignment="1">
      <alignment horizontal="center"/>
    </xf>
    <xf numFmtId="167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7" fontId="61" fillId="13" borderId="14" xfId="0" applyNumberFormat="1" applyFont="1" applyFill="1" applyBorder="1" applyAlignment="1">
      <alignment horizontal="center" vertical="center"/>
    </xf>
    <xf numFmtId="167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7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3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3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3" fontId="81" fillId="0" borderId="12" xfId="0" applyNumberFormat="1" applyFont="1" applyBorder="1"/>
    <xf numFmtId="167" fontId="2" fillId="3" borderId="18" xfId="0" applyNumberFormat="1" applyFont="1" applyFill="1" applyBorder="1" applyAlignment="1">
      <alignment horizontal="center" vertical="center"/>
    </xf>
    <xf numFmtId="167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4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3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7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7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3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7" fontId="29" fillId="4" borderId="6" xfId="0" applyNumberFormat="1" applyFont="1" applyFill="1" applyBorder="1" applyAlignment="1">
      <alignment horizontal="left"/>
    </xf>
    <xf numFmtId="173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3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7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7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7" fontId="49" fillId="7" borderId="13" xfId="6" applyNumberFormat="1" applyFont="1" applyFill="1" applyBorder="1" applyAlignment="1">
      <alignment horizontal="center"/>
    </xf>
    <xf numFmtId="167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7" fontId="49" fillId="8" borderId="0" xfId="6" applyNumberFormat="1" applyFont="1" applyFill="1" applyBorder="1" applyAlignment="1">
      <alignment horizontal="center"/>
    </xf>
    <xf numFmtId="167" fontId="49" fillId="7" borderId="56" xfId="6" applyNumberFormat="1" applyFont="1" applyFill="1" applyBorder="1" applyAlignment="1">
      <alignment horizontal="center"/>
    </xf>
    <xf numFmtId="167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7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7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7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7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71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7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72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72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165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7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166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7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3" fontId="27" fillId="15" borderId="13" xfId="0" applyNumberFormat="1" applyFont="1" applyFill="1" applyBorder="1" applyAlignment="1">
      <alignment horizontal="left"/>
    </xf>
    <xf numFmtId="173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3" fontId="53" fillId="5" borderId="13" xfId="0" applyNumberFormat="1" applyFont="1" applyFill="1" applyBorder="1" applyProtection="1">
      <protection locked="0"/>
    </xf>
    <xf numFmtId="173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7" fontId="44" fillId="4" borderId="6" xfId="0" applyNumberFormat="1" applyFont="1" applyFill="1" applyBorder="1" applyAlignment="1" applyProtection="1">
      <alignment horizontal="left"/>
      <protection locked="0"/>
    </xf>
    <xf numFmtId="167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3" fontId="4" fillId="5" borderId="13" xfId="0" applyNumberFormat="1" applyFont="1" applyFill="1" applyBorder="1" applyProtection="1">
      <protection locked="0"/>
    </xf>
    <xf numFmtId="167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3" fontId="5" fillId="5" borderId="13" xfId="0" applyNumberFormat="1" applyFont="1" applyFill="1" applyBorder="1" applyProtection="1">
      <protection locked="0"/>
    </xf>
    <xf numFmtId="167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7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61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53" fillId="5" borderId="8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53" fillId="11" borderId="0" xfId="0" applyFont="1" applyFill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75" fillId="11" borderId="0" xfId="0" applyNumberFormat="1" applyFont="1" applyFill="1" applyAlignment="1" applyProtection="1">
      <alignment horizontal="center" vertical="center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14" fontId="25" fillId="13" borderId="13" xfId="0" applyNumberFormat="1" applyFont="1" applyFill="1" applyBorder="1" applyAlignment="1">
      <alignment horizontal="center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167" fontId="29" fillId="11" borderId="0" xfId="0" applyNumberFormat="1" applyFont="1" applyFill="1" applyAlignment="1">
      <alignment horizontal="center" vertical="center"/>
    </xf>
    <xf numFmtId="167" fontId="49" fillId="11" borderId="13" xfId="6" applyNumberFormat="1" applyFont="1" applyFill="1" applyBorder="1" applyAlignment="1">
      <alignment horizontal="center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0" fontId="27" fillId="2" borderId="44" xfId="3" applyFont="1" applyFill="1" applyBorder="1" applyAlignment="1">
      <alignment horizontal="left"/>
    </xf>
    <xf numFmtId="169" fontId="73" fillId="6" borderId="0" xfId="0" applyNumberFormat="1" applyFont="1" applyFill="1" applyAlignment="1" applyProtection="1">
      <alignment horizontal="left" vertical="top"/>
      <protection locked="0"/>
    </xf>
    <xf numFmtId="170" fontId="73" fillId="6" borderId="0" xfId="0" applyNumberFormat="1" applyFont="1" applyFill="1" applyAlignment="1" applyProtection="1">
      <alignment horizontal="left" vertical="top"/>
      <protection locked="0"/>
    </xf>
    <xf numFmtId="167" fontId="31" fillId="0" borderId="0" xfId="0" applyNumberFormat="1" applyFont="1" applyAlignment="1">
      <alignment horizontal="center" vertical="center"/>
    </xf>
    <xf numFmtId="0" fontId="25" fillId="11" borderId="0" xfId="0" applyFont="1" applyFill="1" applyAlignment="1" applyProtection="1">
      <alignment horizontal="center" readingOrder="1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31" fillId="0" borderId="0" xfId="0" applyFont="1" applyAlignment="1">
      <alignment horizontal="center" vertical="center"/>
    </xf>
    <xf numFmtId="9" fontId="25" fillId="11" borderId="0" xfId="6" applyFont="1" applyFill="1" applyBorder="1" applyAlignment="1" applyProtection="1">
      <alignment horizontal="right"/>
      <protection locked="0"/>
    </xf>
    <xf numFmtId="9" fontId="25" fillId="11" borderId="0" xfId="6" applyFont="1" applyFill="1" applyAlignment="1" applyProtection="1">
      <alignment horizontal="left"/>
      <protection locked="0"/>
    </xf>
    <xf numFmtId="14" fontId="53" fillId="13" borderId="13" xfId="0" applyNumberFormat="1" applyFont="1" applyFill="1" applyBorder="1" applyAlignment="1">
      <alignment horizontal="center"/>
    </xf>
    <xf numFmtId="0" fontId="28" fillId="11" borderId="0" xfId="0" applyFont="1" applyFill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71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14" fontId="53" fillId="6" borderId="0" xfId="0" applyNumberFormat="1" applyFont="1" applyFill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9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70" fontId="73" fillId="6" borderId="0" xfId="0" applyNumberFormat="1" applyFont="1" applyFill="1" applyAlignment="1">
      <alignment horizontal="left" vertical="top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7" fontId="29" fillId="7" borderId="13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167" fontId="29" fillId="4" borderId="13" xfId="0" applyNumberFormat="1" applyFont="1" applyFill="1" applyBorder="1" applyAlignment="1">
      <alignment horizontal="center" vertical="center"/>
    </xf>
    <xf numFmtId="167" fontId="31" fillId="4" borderId="8" xfId="0" applyNumberFormat="1" applyFont="1" applyFill="1" applyBorder="1" applyAlignment="1" applyProtection="1">
      <alignment horizontal="center" vertical="center"/>
      <protection locked="0"/>
    </xf>
    <xf numFmtId="167" fontId="31" fillId="4" borderId="7" xfId="0" applyNumberFormat="1" applyFont="1" applyFill="1" applyBorder="1" applyAlignment="1" applyProtection="1">
      <alignment horizontal="center" vertical="center"/>
      <protection locked="0"/>
    </xf>
    <xf numFmtId="167" fontId="31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28" xfId="0" applyNumberFormat="1" applyFont="1" applyFill="1" applyBorder="1" applyAlignment="1">
      <alignment horizontal="center" vertical="center"/>
    </xf>
    <xf numFmtId="167" fontId="2" fillId="4" borderId="27" xfId="0" applyNumberFormat="1" applyFont="1" applyFill="1" applyBorder="1" applyAlignment="1">
      <alignment horizontal="center" vertical="center"/>
    </xf>
    <xf numFmtId="167" fontId="2" fillId="4" borderId="29" xfId="0" applyNumberFormat="1" applyFont="1" applyFill="1" applyBorder="1" applyAlignment="1">
      <alignment horizontal="center" vertical="center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4" borderId="6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173" fontId="27" fillId="7" borderId="16" xfId="0" applyNumberFormat="1" applyFont="1" applyFill="1" applyBorder="1" applyAlignment="1" applyProtection="1">
      <alignment horizontal="center"/>
      <protection locked="0"/>
    </xf>
    <xf numFmtId="173" fontId="27" fillId="7" borderId="17" xfId="0" applyNumberFormat="1" applyFont="1" applyFill="1" applyBorder="1" applyAlignment="1" applyProtection="1">
      <alignment horizontal="center"/>
      <protection locked="0"/>
    </xf>
    <xf numFmtId="173" fontId="27" fillId="7" borderId="15" xfId="0" applyNumberFormat="1" applyFont="1" applyFill="1" applyBorder="1" applyAlignment="1" applyProtection="1">
      <alignment horizontal="center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" fillId="4" borderId="28" xfId="0" applyNumberFormat="1" applyFont="1" applyFill="1" applyBorder="1" applyAlignment="1" applyProtection="1">
      <alignment horizontal="center" vertical="center"/>
      <protection locked="0"/>
    </xf>
    <xf numFmtId="167" fontId="2" fillId="4" borderId="27" xfId="0" applyNumberFormat="1" applyFont="1" applyFill="1" applyBorder="1" applyAlignment="1" applyProtection="1">
      <alignment horizontal="center" vertical="center"/>
      <protection locked="0"/>
    </xf>
    <xf numFmtId="167" fontId="2" fillId="4" borderId="29" xfId="0" applyNumberFormat="1" applyFont="1" applyFill="1" applyBorder="1" applyAlignment="1" applyProtection="1">
      <alignment horizontal="center" vertical="center"/>
      <protection locked="0"/>
    </xf>
    <xf numFmtId="167" fontId="2" fillId="4" borderId="8" xfId="0" applyNumberFormat="1" applyFont="1" applyFill="1" applyBorder="1" applyAlignment="1" applyProtection="1">
      <alignment horizontal="center" vertical="center"/>
      <protection locked="0"/>
    </xf>
    <xf numFmtId="167" fontId="2" fillId="4" borderId="7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7" fontId="43" fillId="4" borderId="28" xfId="0" applyNumberFormat="1" applyFont="1" applyFill="1" applyBorder="1" applyAlignment="1">
      <alignment horizontal="center"/>
    </xf>
    <xf numFmtId="167" fontId="43" fillId="4" borderId="27" xfId="0" applyNumberFormat="1" applyFont="1" applyFill="1" applyBorder="1" applyAlignment="1">
      <alignment horizontal="center"/>
    </xf>
    <xf numFmtId="167" fontId="43" fillId="4" borderId="29" xfId="0" applyNumberFormat="1" applyFont="1" applyFill="1" applyBorder="1" applyAlignment="1">
      <alignment horizontal="center"/>
    </xf>
    <xf numFmtId="173" fontId="43" fillId="5" borderId="19" xfId="0" applyNumberFormat="1" applyFont="1" applyFill="1" applyBorder="1" applyAlignment="1">
      <alignment horizontal="right"/>
    </xf>
    <xf numFmtId="173" fontId="43" fillId="5" borderId="0" xfId="0" applyNumberFormat="1" applyFont="1" applyFill="1" applyAlignment="1">
      <alignment horizontal="right"/>
    </xf>
    <xf numFmtId="173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7" fontId="12" fillId="7" borderId="16" xfId="0" applyNumberFormat="1" applyFont="1" applyFill="1" applyBorder="1" applyAlignment="1" applyProtection="1">
      <alignment horizontal="center" vertical="center"/>
      <protection locked="0"/>
    </xf>
    <xf numFmtId="167" fontId="12" fillId="7" borderId="17" xfId="0" applyNumberFormat="1" applyFont="1" applyFill="1" applyBorder="1" applyAlignment="1" applyProtection="1">
      <alignment horizontal="center" vertical="center"/>
      <protection locked="0"/>
    </xf>
    <xf numFmtId="167" fontId="12" fillId="7" borderId="15" xfId="0" applyNumberFormat="1" applyFont="1" applyFill="1" applyBorder="1" applyAlignment="1" applyProtection="1">
      <alignment horizontal="center" vertical="center"/>
      <protection locked="0"/>
    </xf>
    <xf numFmtId="173" fontId="53" fillId="5" borderId="1" xfId="0" applyNumberFormat="1" applyFont="1" applyFill="1" applyBorder="1" applyAlignment="1" applyProtection="1">
      <alignment horizontal="left" vertical="top"/>
      <protection locked="0"/>
    </xf>
    <xf numFmtId="173" fontId="53" fillId="5" borderId="2" xfId="0" applyNumberFormat="1" applyFont="1" applyFill="1" applyBorder="1" applyAlignment="1" applyProtection="1">
      <alignment horizontal="left" vertical="top"/>
      <protection locked="0"/>
    </xf>
    <xf numFmtId="173" fontId="53" fillId="5" borderId="3" xfId="0" applyNumberFormat="1" applyFont="1" applyFill="1" applyBorder="1" applyAlignment="1" applyProtection="1">
      <alignment horizontal="left" vertical="top"/>
      <protection locked="0"/>
    </xf>
    <xf numFmtId="173" fontId="53" fillId="5" borderId="4" xfId="0" applyNumberFormat="1" applyFont="1" applyFill="1" applyBorder="1" applyAlignment="1" applyProtection="1">
      <alignment horizontal="left" vertical="top"/>
      <protection locked="0"/>
    </xf>
    <xf numFmtId="173" fontId="53" fillId="5" borderId="0" xfId="0" applyNumberFormat="1" applyFont="1" applyFill="1" applyAlignment="1" applyProtection="1">
      <alignment horizontal="left" vertical="top"/>
      <protection locked="0"/>
    </xf>
    <xf numFmtId="173" fontId="53" fillId="5" borderId="5" xfId="0" applyNumberFormat="1" applyFont="1" applyFill="1" applyBorder="1" applyAlignment="1" applyProtection="1">
      <alignment horizontal="left" vertical="top"/>
      <protection locked="0"/>
    </xf>
    <xf numFmtId="173" fontId="53" fillId="5" borderId="10" xfId="0" applyNumberFormat="1" applyFont="1" applyFill="1" applyBorder="1" applyAlignment="1" applyProtection="1">
      <alignment horizontal="left" vertical="top"/>
      <protection locked="0"/>
    </xf>
    <xf numFmtId="173" fontId="53" fillId="5" borderId="11" xfId="0" applyNumberFormat="1" applyFont="1" applyFill="1" applyBorder="1" applyAlignment="1" applyProtection="1">
      <alignment horizontal="left" vertical="top"/>
      <protection locked="0"/>
    </xf>
    <xf numFmtId="173" fontId="53" fillId="5" borderId="12" xfId="0" applyNumberFormat="1" applyFont="1" applyFill="1" applyBorder="1" applyAlignment="1" applyProtection="1">
      <alignment horizontal="left" vertical="top"/>
      <protection locked="0"/>
    </xf>
    <xf numFmtId="167" fontId="29" fillId="4" borderId="8" xfId="0" applyNumberFormat="1" applyFont="1" applyFill="1" applyBorder="1" applyAlignment="1" applyProtection="1">
      <alignment horizontal="center" vertical="center"/>
      <protection locked="0"/>
    </xf>
    <xf numFmtId="167" fontId="29" fillId="4" borderId="6" xfId="0" applyNumberFormat="1" applyFont="1" applyFill="1" applyBorder="1" applyAlignment="1" applyProtection="1">
      <alignment horizontal="center" vertical="center"/>
      <protection locked="0"/>
    </xf>
    <xf numFmtId="167" fontId="31" fillId="4" borderId="24" xfId="0" applyNumberFormat="1" applyFont="1" applyFill="1" applyBorder="1" applyAlignment="1" applyProtection="1">
      <alignment horizontal="center" vertical="center"/>
      <protection locked="0"/>
    </xf>
    <xf numFmtId="167" fontId="31" fillId="4" borderId="25" xfId="0" applyNumberFormat="1" applyFont="1" applyFill="1" applyBorder="1" applyAlignment="1" applyProtection="1">
      <alignment horizontal="center" vertical="center"/>
      <protection locked="0"/>
    </xf>
    <xf numFmtId="167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173" fontId="104" fillId="5" borderId="8" xfId="0" applyNumberFormat="1" applyFont="1" applyFill="1" applyBorder="1" applyAlignment="1">
      <alignment horizontal="right"/>
    </xf>
    <xf numFmtId="173" fontId="104" fillId="5" borderId="7" xfId="0" applyNumberFormat="1" applyFont="1" applyFill="1" applyBorder="1" applyAlignment="1">
      <alignment horizontal="right"/>
    </xf>
    <xf numFmtId="173" fontId="104" fillId="5" borderId="27" xfId="0" applyNumberFormat="1" applyFont="1" applyFill="1" applyBorder="1" applyAlignment="1">
      <alignment horizontal="right"/>
    </xf>
    <xf numFmtId="173" fontId="104" fillId="5" borderId="6" xfId="0" applyNumberFormat="1" applyFont="1" applyFill="1" applyBorder="1" applyAlignment="1">
      <alignment horizontal="right"/>
    </xf>
    <xf numFmtId="167" fontId="43" fillId="4" borderId="8" xfId="0" applyNumberFormat="1" applyFont="1" applyFill="1" applyBorder="1" applyAlignment="1">
      <alignment horizontal="center"/>
    </xf>
    <xf numFmtId="167" fontId="43" fillId="4" borderId="7" xfId="0" applyNumberFormat="1" applyFont="1" applyFill="1" applyBorder="1" applyAlignment="1">
      <alignment horizontal="center"/>
    </xf>
    <xf numFmtId="167" fontId="43" fillId="4" borderId="6" xfId="0" applyNumberFormat="1" applyFont="1" applyFill="1" applyBorder="1" applyAlignment="1">
      <alignment horizontal="center"/>
    </xf>
    <xf numFmtId="167" fontId="76" fillId="4" borderId="8" xfId="0" applyNumberFormat="1" applyFont="1" applyFill="1" applyBorder="1" applyAlignment="1">
      <alignment horizontal="center"/>
    </xf>
    <xf numFmtId="167" fontId="76" fillId="4" borderId="7" xfId="0" applyNumberFormat="1" applyFont="1" applyFill="1" applyBorder="1" applyAlignment="1">
      <alignment horizontal="center"/>
    </xf>
    <xf numFmtId="167" fontId="76" fillId="4" borderId="6" xfId="0" applyNumberFormat="1" applyFont="1" applyFill="1" applyBorder="1" applyAlignment="1">
      <alignment horizontal="center"/>
    </xf>
    <xf numFmtId="167" fontId="105" fillId="4" borderId="7" xfId="0" applyNumberFormat="1" applyFont="1" applyFill="1" applyBorder="1" applyAlignment="1">
      <alignment horizontal="center"/>
    </xf>
    <xf numFmtId="167" fontId="105" fillId="4" borderId="6" xfId="0" applyNumberFormat="1" applyFont="1" applyFill="1" applyBorder="1" applyAlignment="1">
      <alignment horizontal="center"/>
    </xf>
    <xf numFmtId="173" fontId="43" fillId="5" borderId="8" xfId="0" applyNumberFormat="1" applyFont="1" applyFill="1" applyBorder="1" applyAlignment="1">
      <alignment horizontal="right"/>
    </xf>
    <xf numFmtId="173" fontId="43" fillId="5" borderId="7" xfId="0" applyNumberFormat="1" applyFont="1" applyFill="1" applyBorder="1" applyAlignment="1">
      <alignment horizontal="right"/>
    </xf>
    <xf numFmtId="173" fontId="43" fillId="5" borderId="6" xfId="0" applyNumberFormat="1" applyFont="1" applyFill="1" applyBorder="1" applyAlignment="1">
      <alignment horizontal="right"/>
    </xf>
    <xf numFmtId="173" fontId="76" fillId="5" borderId="8" xfId="0" applyNumberFormat="1" applyFont="1" applyFill="1" applyBorder="1" applyAlignment="1">
      <alignment horizontal="right"/>
    </xf>
    <xf numFmtId="173" fontId="76" fillId="5" borderId="7" xfId="0" applyNumberFormat="1" applyFont="1" applyFill="1" applyBorder="1" applyAlignment="1">
      <alignment horizontal="right"/>
    </xf>
    <xf numFmtId="173" fontId="76" fillId="5" borderId="26" xfId="0" applyNumberFormat="1" applyFont="1" applyFill="1" applyBorder="1" applyAlignment="1">
      <alignment horizontal="right"/>
    </xf>
    <xf numFmtId="173" fontId="105" fillId="5" borderId="8" xfId="0" applyNumberFormat="1" applyFont="1" applyFill="1" applyBorder="1" applyAlignment="1">
      <alignment horizontal="right"/>
    </xf>
    <xf numFmtId="173" fontId="105" fillId="5" borderId="7" xfId="0" applyNumberFormat="1" applyFont="1" applyFill="1" applyBorder="1" applyAlignment="1">
      <alignment horizontal="right"/>
    </xf>
    <xf numFmtId="167" fontId="106" fillId="4" borderId="8" xfId="0" applyNumberFormat="1" applyFont="1" applyFill="1" applyBorder="1" applyAlignment="1">
      <alignment horizontal="center"/>
    </xf>
    <xf numFmtId="167" fontId="106" fillId="4" borderId="7" xfId="0" applyNumberFormat="1" applyFont="1" applyFill="1" applyBorder="1" applyAlignment="1">
      <alignment horizontal="center"/>
    </xf>
    <xf numFmtId="167" fontId="106" fillId="4" borderId="6" xfId="0" applyNumberFormat="1" applyFont="1" applyFill="1" applyBorder="1" applyAlignment="1">
      <alignment horizontal="center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167" fontId="29" fillId="7" borderId="8" xfId="0" applyNumberFormat="1" applyFont="1" applyFill="1" applyBorder="1" applyAlignment="1">
      <alignment horizontal="center" vertical="center"/>
    </xf>
    <xf numFmtId="167" fontId="29" fillId="7" borderId="6" xfId="0" applyNumberFormat="1" applyFont="1" applyFill="1" applyBorder="1" applyAlignment="1">
      <alignment horizontal="center" vertical="center"/>
    </xf>
    <xf numFmtId="0" fontId="25" fillId="7" borderId="29" xfId="0" applyFont="1" applyFill="1" applyBorder="1" applyAlignment="1">
      <alignment horizontal="center"/>
    </xf>
    <xf numFmtId="0" fontId="25" fillId="7" borderId="26" xfId="0" applyFont="1" applyFill="1" applyBorder="1" applyAlignment="1">
      <alignment horizont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61" fillId="6" borderId="0" xfId="0" applyFont="1" applyFill="1" applyAlignment="1">
      <alignment horizontal="center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25" fillId="6" borderId="0" xfId="0" applyFont="1" applyFill="1" applyAlignment="1">
      <alignment horizontal="left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0" fontId="25" fillId="6" borderId="0" xfId="0" applyFont="1" applyFill="1"/>
    <xf numFmtId="167" fontId="29" fillId="6" borderId="0" xfId="0" applyNumberFormat="1" applyFont="1" applyFill="1" applyAlignment="1">
      <alignment horizontal="center" vertical="center"/>
    </xf>
    <xf numFmtId="166" fontId="29" fillId="6" borderId="0" xfId="1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center"/>
      <protection locked="0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167" fontId="36" fillId="7" borderId="33" xfId="1" applyNumberFormat="1" applyFont="1" applyFill="1" applyBorder="1" applyAlignment="1" applyProtection="1">
      <alignment horizontal="center" vertical="center"/>
      <protection locked="0"/>
    </xf>
    <xf numFmtId="166" fontId="36" fillId="7" borderId="34" xfId="1" applyFont="1" applyFill="1" applyBorder="1" applyAlignment="1" applyProtection="1">
      <alignment horizontal="center" vertical="center"/>
      <protection locked="0"/>
    </xf>
    <xf numFmtId="166" fontId="36" fillId="7" borderId="45" xfId="1" applyFont="1" applyFill="1" applyBorder="1" applyAlignment="1" applyProtection="1">
      <alignment horizontal="center" vertical="center"/>
      <protection locked="0"/>
    </xf>
    <xf numFmtId="167" fontId="42" fillId="0" borderId="0" xfId="0" applyNumberFormat="1" applyFont="1" applyAlignment="1">
      <alignment horizontal="left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7" fontId="41" fillId="0" borderId="0" xfId="0" applyNumberFormat="1" applyFont="1" applyAlignment="1">
      <alignment horizontal="left"/>
    </xf>
    <xf numFmtId="0" fontId="38" fillId="4" borderId="0" xfId="0" applyFont="1" applyFill="1" applyAlignment="1" applyProtection="1">
      <alignment horizontal="center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7" fontId="42" fillId="0" borderId="0" xfId="0" applyNumberFormat="1" applyFont="1" applyAlignment="1">
      <alignment horizontal="center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167" fontId="38" fillId="7" borderId="33" xfId="1" applyNumberFormat="1" applyFont="1" applyFill="1" applyBorder="1" applyAlignment="1" applyProtection="1">
      <alignment horizontal="center" vertical="center"/>
      <protection locked="0"/>
    </xf>
    <xf numFmtId="166" fontId="38" fillId="7" borderId="34" xfId="1" applyFont="1" applyFill="1" applyBorder="1" applyAlignment="1" applyProtection="1">
      <alignment horizontal="center" vertical="center"/>
      <protection locked="0"/>
    </xf>
    <xf numFmtId="166" fontId="38" fillId="7" borderId="45" xfId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/>
      <protection locked="0"/>
    </xf>
    <xf numFmtId="167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9" fontId="79" fillId="4" borderId="32" xfId="0" applyNumberFormat="1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169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70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7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7" fontId="29" fillId="4" borderId="13" xfId="0" applyNumberFormat="1" applyFont="1" applyFill="1" applyBorder="1" applyAlignment="1" applyProtection="1">
      <alignment horizontal="center" vertical="center"/>
      <protection locked="0"/>
    </xf>
    <xf numFmtId="167" fontId="29" fillId="5" borderId="13" xfId="0" applyNumberFormat="1" applyFont="1" applyFill="1" applyBorder="1" applyAlignment="1" applyProtection="1">
      <alignment horizontal="center" vertical="center"/>
      <protection locked="0"/>
    </xf>
    <xf numFmtId="167" fontId="28" fillId="18" borderId="13" xfId="0" applyNumberFormat="1" applyFont="1" applyFill="1" applyBorder="1" applyAlignment="1">
      <alignment horizontal="center" vertical="center"/>
    </xf>
  </cellXfs>
  <cellStyles count="8">
    <cellStyle name="Hiperlink" xfId="5" builtinId="8"/>
    <cellStyle name="Moeda" xfId="1" builtinId="4"/>
    <cellStyle name="Normal" xfId="0" builtinId="0" customBuiltin="1"/>
    <cellStyle name="Normal 2" xfId="7" xr:uid="{BA987B6A-889C-41B8-959D-D939C3080C31}"/>
    <cellStyle name="Porcentagem" xfId="6" builtinId="5"/>
    <cellStyle name="Título 1" xfId="2" builtinId="16" customBuiltin="1"/>
    <cellStyle name="Título 2" xfId="3" builtinId="17" customBuiltin="1"/>
    <cellStyle name="Título 4" xfId="4" builtinId="19" customBuiltin="1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zoomScaleNormal="100" zoomScaleSheetLayoutView="100" workbookViewId="0">
      <selection activeCell="H335" sqref="H33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9.796875" style="1" customWidth="1"/>
    <col min="7" max="7" width="18.59765625" style="2" customWidth="1"/>
    <col min="8" max="8" width="14.59765625" style="2" bestFit="1" customWidth="1"/>
    <col min="9" max="9" width="9.19921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579"/>
      <c r="D3" s="580"/>
      <c r="E3" s="580"/>
      <c r="F3" s="580"/>
      <c r="G3" s="580"/>
      <c r="H3" s="580"/>
      <c r="I3" s="580"/>
      <c r="J3" s="581"/>
      <c r="K3" s="178"/>
    </row>
    <row r="4" spans="1:11" ht="22.5" customHeight="1" thickBot="1" x14ac:dyDescent="0.35">
      <c r="A4" s="71"/>
      <c r="B4" s="166"/>
      <c r="C4" s="582" t="s">
        <v>241</v>
      </c>
      <c r="D4" s="583"/>
      <c r="E4" s="583"/>
      <c r="F4" s="583"/>
      <c r="G4" s="583"/>
      <c r="H4" s="583"/>
      <c r="I4" s="584"/>
      <c r="J4" s="233" t="s">
        <v>56</v>
      </c>
      <c r="K4" s="178"/>
    </row>
    <row r="5" spans="1:11" ht="25" thickBot="1" x14ac:dyDescent="0.35">
      <c r="A5" s="71"/>
      <c r="B5" s="166"/>
      <c r="C5" s="572" t="s">
        <v>240</v>
      </c>
      <c r="D5" s="573"/>
      <c r="E5" s="573"/>
      <c r="F5" s="573"/>
      <c r="G5" s="573"/>
      <c r="H5" s="573"/>
      <c r="I5" s="573"/>
      <c r="J5" s="574"/>
      <c r="K5" s="178"/>
    </row>
    <row r="6" spans="1:11" ht="25" thickBot="1" x14ac:dyDescent="0.3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5" thickBot="1" x14ac:dyDescent="0.3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5" thickBot="1" x14ac:dyDescent="0.3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5" thickBot="1" x14ac:dyDescent="0.3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5" thickBot="1" x14ac:dyDescent="0.3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5" thickBot="1" x14ac:dyDescent="0.3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5" thickBot="1" x14ac:dyDescent="0.35">
      <c r="A12" s="71"/>
      <c r="B12" s="166"/>
      <c r="C12" s="572" t="s">
        <v>242</v>
      </c>
      <c r="D12" s="573"/>
      <c r="E12" s="573"/>
      <c r="F12" s="573"/>
      <c r="G12" s="573"/>
      <c r="H12" s="573"/>
      <c r="I12" s="573"/>
      <c r="J12" s="574"/>
      <c r="K12" s="178"/>
    </row>
    <row r="13" spans="1:11" ht="25" thickBot="1" x14ac:dyDescent="0.3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5" thickBot="1" x14ac:dyDescent="0.3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5" thickBot="1" x14ac:dyDescent="0.3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5" thickBot="1" x14ac:dyDescent="0.3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5" thickBot="1" x14ac:dyDescent="0.3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5" thickBot="1" x14ac:dyDescent="0.3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5" thickBot="1" x14ac:dyDescent="0.3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5" thickBot="1" x14ac:dyDescent="0.3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5" thickBot="1" x14ac:dyDescent="0.3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5" thickBot="1" x14ac:dyDescent="0.3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5" thickBot="1" x14ac:dyDescent="0.3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5" thickBot="1" x14ac:dyDescent="0.35">
      <c r="A24" s="71"/>
      <c r="B24" s="166"/>
      <c r="C24" s="566" t="s">
        <v>249</v>
      </c>
      <c r="D24" s="567"/>
      <c r="E24" s="567"/>
      <c r="F24" s="567"/>
      <c r="G24" s="567"/>
      <c r="H24" s="567"/>
      <c r="I24" s="568"/>
      <c r="J24" s="234"/>
      <c r="K24" s="178"/>
    </row>
    <row r="25" spans="1:11" ht="25" thickBot="1" x14ac:dyDescent="0.35">
      <c r="A25" s="71"/>
      <c r="B25" s="166"/>
      <c r="C25" s="566" t="s">
        <v>250</v>
      </c>
      <c r="D25" s="567"/>
      <c r="E25" s="567"/>
      <c r="F25" s="567"/>
      <c r="G25" s="567"/>
      <c r="H25" s="567"/>
      <c r="I25" s="568"/>
      <c r="J25" s="234"/>
      <c r="K25" s="178"/>
    </row>
    <row r="26" spans="1:11" ht="25" thickBot="1" x14ac:dyDescent="0.35">
      <c r="A26" s="71"/>
      <c r="B26" s="166"/>
      <c r="C26" s="566" t="s">
        <v>251</v>
      </c>
      <c r="D26" s="567"/>
      <c r="E26" s="567"/>
      <c r="F26" s="567"/>
      <c r="G26" s="567"/>
      <c r="H26" s="567"/>
      <c r="I26" s="568"/>
      <c r="J26" s="234"/>
      <c r="K26" s="178"/>
    </row>
    <row r="27" spans="1:11" ht="25" thickBot="1" x14ac:dyDescent="0.35">
      <c r="A27" s="71"/>
      <c r="B27" s="166"/>
      <c r="C27" s="566" t="s">
        <v>252</v>
      </c>
      <c r="D27" s="567"/>
      <c r="E27" s="567"/>
      <c r="F27" s="567"/>
      <c r="G27" s="567"/>
      <c r="H27" s="567"/>
      <c r="I27" s="568"/>
      <c r="J27" s="234">
        <f>J21*16</f>
        <v>25.6</v>
      </c>
      <c r="K27" s="178"/>
    </row>
    <row r="28" spans="1:11" ht="25" thickBot="1" x14ac:dyDescent="0.35">
      <c r="A28" s="71"/>
      <c r="B28" s="166"/>
      <c r="C28" s="566" t="s">
        <v>253</v>
      </c>
      <c r="D28" s="567"/>
      <c r="E28" s="567"/>
      <c r="F28" s="567"/>
      <c r="G28" s="567"/>
      <c r="H28" s="567"/>
      <c r="I28" s="568"/>
      <c r="J28" s="234"/>
      <c r="K28" s="178"/>
    </row>
    <row r="29" spans="1:11" ht="25" thickBot="1" x14ac:dyDescent="0.35">
      <c r="A29" s="71"/>
      <c r="B29" s="166"/>
      <c r="C29" s="566" t="s">
        <v>254</v>
      </c>
      <c r="D29" s="567"/>
      <c r="E29" s="567"/>
      <c r="F29" s="567"/>
      <c r="G29" s="567"/>
      <c r="H29" s="567"/>
      <c r="I29" s="575"/>
      <c r="J29" s="234"/>
      <c r="K29" s="178"/>
    </row>
    <row r="30" spans="1:11" ht="25" thickBot="1" x14ac:dyDescent="0.35">
      <c r="A30" s="71"/>
      <c r="B30" s="166"/>
      <c r="C30" s="566" t="s">
        <v>255</v>
      </c>
      <c r="D30" s="567"/>
      <c r="E30" s="567"/>
      <c r="F30" s="567"/>
      <c r="G30" s="567"/>
      <c r="H30" s="567"/>
      <c r="I30" s="575"/>
      <c r="J30" s="234"/>
      <c r="K30" s="178"/>
    </row>
    <row r="31" spans="1:11" ht="25" thickBot="1" x14ac:dyDescent="0.35">
      <c r="A31" s="71"/>
      <c r="B31" s="166"/>
      <c r="C31" s="566" t="s">
        <v>256</v>
      </c>
      <c r="D31" s="567"/>
      <c r="E31" s="567"/>
      <c r="F31" s="567"/>
      <c r="G31" s="567"/>
      <c r="H31" s="567"/>
      <c r="I31" s="575"/>
      <c r="J31" s="234"/>
      <c r="K31" s="178"/>
    </row>
    <row r="32" spans="1:11" ht="25" thickBot="1" x14ac:dyDescent="0.35">
      <c r="A32" s="71"/>
      <c r="B32" s="166"/>
      <c r="C32" s="566" t="s">
        <v>257</v>
      </c>
      <c r="D32" s="567"/>
      <c r="E32" s="567"/>
      <c r="F32" s="567"/>
      <c r="G32" s="567"/>
      <c r="H32" s="567"/>
      <c r="I32" s="575"/>
      <c r="J32" s="234"/>
      <c r="K32" s="178"/>
    </row>
    <row r="33" spans="1:11" ht="25" thickBot="1" x14ac:dyDescent="0.35">
      <c r="A33" s="71"/>
      <c r="B33" s="166"/>
      <c r="C33" s="566" t="s">
        <v>243</v>
      </c>
      <c r="D33" s="567"/>
      <c r="E33" s="567"/>
      <c r="F33" s="567"/>
      <c r="G33" s="567"/>
      <c r="H33" s="567"/>
      <c r="I33" s="575"/>
      <c r="J33" s="234"/>
      <c r="K33" s="178"/>
    </row>
    <row r="34" spans="1:11" ht="25" thickBot="1" x14ac:dyDescent="0.35">
      <c r="A34" s="71"/>
      <c r="B34" s="166"/>
      <c r="C34" s="566" t="s">
        <v>244</v>
      </c>
      <c r="D34" s="567"/>
      <c r="E34" s="567"/>
      <c r="F34" s="567"/>
      <c r="G34" s="567"/>
      <c r="H34" s="567"/>
      <c r="I34" s="575"/>
      <c r="J34" s="234"/>
      <c r="K34" s="178"/>
    </row>
    <row r="35" spans="1:11" ht="25" thickBot="1" x14ac:dyDescent="0.35">
      <c r="A35" s="71"/>
      <c r="B35" s="166"/>
      <c r="C35" s="566" t="s">
        <v>245</v>
      </c>
      <c r="D35" s="567"/>
      <c r="E35" s="567"/>
      <c r="F35" s="567"/>
      <c r="G35" s="567"/>
      <c r="H35" s="567"/>
      <c r="I35" s="575"/>
      <c r="J35" s="234"/>
      <c r="K35" s="178"/>
    </row>
    <row r="36" spans="1:11" ht="25" thickBot="1" x14ac:dyDescent="0.35">
      <c r="A36" s="71"/>
      <c r="B36" s="166"/>
      <c r="C36" s="566" t="s">
        <v>246</v>
      </c>
      <c r="D36" s="567"/>
      <c r="E36" s="567"/>
      <c r="F36" s="567"/>
      <c r="G36" s="567"/>
      <c r="H36" s="567"/>
      <c r="I36" s="575"/>
      <c r="J36" s="234"/>
      <c r="K36" s="178"/>
    </row>
    <row r="37" spans="1:11" ht="25" thickBot="1" x14ac:dyDescent="0.35">
      <c r="A37" s="71"/>
      <c r="B37" s="166"/>
      <c r="C37" s="566" t="s">
        <v>247</v>
      </c>
      <c r="D37" s="567"/>
      <c r="E37" s="567"/>
      <c r="F37" s="567"/>
      <c r="G37" s="567"/>
      <c r="H37" s="567"/>
      <c r="I37" s="575"/>
      <c r="J37" s="234">
        <f>J22*16</f>
        <v>32</v>
      </c>
      <c r="K37" s="178"/>
    </row>
    <row r="38" spans="1:11" ht="25" thickBot="1" x14ac:dyDescent="0.35">
      <c r="A38" s="71"/>
      <c r="B38" s="166"/>
      <c r="C38" s="566" t="s">
        <v>187</v>
      </c>
      <c r="D38" s="567"/>
      <c r="E38" s="567"/>
      <c r="F38" s="567"/>
      <c r="G38" s="567"/>
      <c r="H38" s="567"/>
      <c r="I38" s="575"/>
      <c r="J38" s="234"/>
      <c r="K38" s="178"/>
    </row>
    <row r="39" spans="1:11" ht="25" thickBot="1" x14ac:dyDescent="0.35">
      <c r="A39" s="71"/>
      <c r="B39" s="166"/>
      <c r="C39" s="566" t="s">
        <v>188</v>
      </c>
      <c r="D39" s="567"/>
      <c r="E39" s="567"/>
      <c r="F39" s="567"/>
      <c r="G39" s="567"/>
      <c r="H39" s="567"/>
      <c r="I39" s="575"/>
      <c r="J39" s="234"/>
      <c r="K39" s="178"/>
    </row>
    <row r="40" spans="1:11" ht="25" thickBot="1" x14ac:dyDescent="0.35">
      <c r="A40" s="71"/>
      <c r="B40" s="166"/>
      <c r="C40" s="566" t="s">
        <v>189</v>
      </c>
      <c r="D40" s="567"/>
      <c r="E40" s="567"/>
      <c r="F40" s="567"/>
      <c r="G40" s="567"/>
      <c r="H40" s="567"/>
      <c r="I40" s="575"/>
      <c r="J40" s="234"/>
      <c r="K40" s="178"/>
    </row>
    <row r="41" spans="1:11" ht="25" thickBot="1" x14ac:dyDescent="0.35">
      <c r="A41" s="71"/>
      <c r="B41" s="166"/>
      <c r="C41" s="566" t="s">
        <v>190</v>
      </c>
      <c r="D41" s="567"/>
      <c r="E41" s="567"/>
      <c r="F41" s="567"/>
      <c r="G41" s="567"/>
      <c r="H41" s="567"/>
      <c r="I41" s="575"/>
      <c r="J41" s="234"/>
      <c r="K41" s="178"/>
    </row>
    <row r="42" spans="1:11" ht="25" thickBot="1" x14ac:dyDescent="0.35">
      <c r="A42" s="71"/>
      <c r="B42" s="166"/>
      <c r="C42" s="566" t="s">
        <v>191</v>
      </c>
      <c r="D42" s="567"/>
      <c r="E42" s="567"/>
      <c r="F42" s="567"/>
      <c r="G42" s="567"/>
      <c r="H42" s="567"/>
      <c r="I42" s="575"/>
      <c r="J42" s="234"/>
      <c r="K42" s="178"/>
    </row>
    <row r="43" spans="1:11" ht="25" thickBot="1" x14ac:dyDescent="0.3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5" thickBot="1" x14ac:dyDescent="0.3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5" thickBot="1" x14ac:dyDescent="0.3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5" thickBot="1" x14ac:dyDescent="0.3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5" thickBot="1" x14ac:dyDescent="0.3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5" thickBot="1" x14ac:dyDescent="0.3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5" thickBot="1" x14ac:dyDescent="0.3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5" thickBot="1" x14ac:dyDescent="0.3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5" thickBot="1" x14ac:dyDescent="0.3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5" thickBot="1" x14ac:dyDescent="0.3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5" thickBot="1" x14ac:dyDescent="0.3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5" thickBot="1" x14ac:dyDescent="0.3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5" thickBot="1" x14ac:dyDescent="0.3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5" thickBot="1" x14ac:dyDescent="0.3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5" thickBot="1" x14ac:dyDescent="0.3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5" thickBot="1" x14ac:dyDescent="0.3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5" thickBot="1" x14ac:dyDescent="0.3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5" thickBot="1" x14ac:dyDescent="0.3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5" thickBot="1" x14ac:dyDescent="0.3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5" thickBot="1" x14ac:dyDescent="0.3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5" thickBot="1" x14ac:dyDescent="0.3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5" thickBot="1" x14ac:dyDescent="0.3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5" thickBot="1" x14ac:dyDescent="0.3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5" thickBot="1" x14ac:dyDescent="0.3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5" thickBot="1" x14ac:dyDescent="0.3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5" thickBot="1" x14ac:dyDescent="0.3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5" thickBot="1" x14ac:dyDescent="0.3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5" thickBot="1" x14ac:dyDescent="0.3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5" thickBot="1" x14ac:dyDescent="0.3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5" thickBot="1" x14ac:dyDescent="0.3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5" thickBot="1" x14ac:dyDescent="0.3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5" thickBot="1" x14ac:dyDescent="0.3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5" thickBot="1" x14ac:dyDescent="0.3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5" thickBot="1" x14ac:dyDescent="0.3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5" thickBot="1" x14ac:dyDescent="0.3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5" thickBot="1" x14ac:dyDescent="0.3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5" thickBot="1" x14ac:dyDescent="0.3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5" thickBot="1" x14ac:dyDescent="0.3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5" thickBot="1" x14ac:dyDescent="0.3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5" thickBot="1" x14ac:dyDescent="0.3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5" thickBot="1" x14ac:dyDescent="0.3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5" thickBot="1" x14ac:dyDescent="0.3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3">
      <c r="A85" s="71"/>
      <c r="B85" s="166"/>
      <c r="C85" s="586" t="s">
        <v>499</v>
      </c>
      <c r="D85" s="587"/>
      <c r="E85" s="587"/>
      <c r="F85" s="587"/>
      <c r="G85" s="587"/>
      <c r="H85" s="587"/>
      <c r="I85" s="588"/>
      <c r="J85" s="368">
        <v>60</v>
      </c>
      <c r="K85" s="178"/>
      <c r="L85" s="1"/>
    </row>
    <row r="86" spans="1:12" s="37" customFormat="1" x14ac:dyDescent="0.3">
      <c r="A86" s="71"/>
      <c r="B86" s="166"/>
      <c r="C86" s="566" t="s">
        <v>733</v>
      </c>
      <c r="D86" s="567"/>
      <c r="E86" s="567"/>
      <c r="F86" s="567"/>
      <c r="G86" s="567"/>
      <c r="H86" s="567"/>
      <c r="I86" s="575"/>
      <c r="J86" s="369">
        <v>4</v>
      </c>
      <c r="K86" s="178"/>
      <c r="L86" s="1"/>
    </row>
    <row r="87" spans="1:12" s="37" customFormat="1" x14ac:dyDescent="0.3">
      <c r="A87" s="71"/>
      <c r="B87" s="166"/>
      <c r="C87" s="566" t="s">
        <v>732</v>
      </c>
      <c r="D87" s="567"/>
      <c r="E87" s="567"/>
      <c r="F87" s="567"/>
      <c r="G87" s="567"/>
      <c r="H87" s="567"/>
      <c r="I87" s="575"/>
      <c r="J87" s="369">
        <v>3</v>
      </c>
      <c r="K87" s="178"/>
      <c r="L87" s="1"/>
    </row>
    <row r="88" spans="1:12" s="37" customFormat="1" x14ac:dyDescent="0.3">
      <c r="A88" s="71"/>
      <c r="B88" s="166"/>
      <c r="C88" s="566" t="s">
        <v>1265</v>
      </c>
      <c r="D88" s="567"/>
      <c r="E88" s="567"/>
      <c r="F88" s="567"/>
      <c r="G88" s="567"/>
      <c r="H88" s="567"/>
      <c r="I88" s="575"/>
      <c r="J88" s="369">
        <v>50</v>
      </c>
      <c r="K88" s="178"/>
      <c r="L88" s="1"/>
    </row>
    <row r="89" spans="1:12" s="37" customFormat="1" ht="25" thickBot="1" x14ac:dyDescent="0.35">
      <c r="A89" s="71"/>
      <c r="B89" s="166"/>
      <c r="C89" s="572" t="s">
        <v>258</v>
      </c>
      <c r="D89" s="573"/>
      <c r="E89" s="573"/>
      <c r="F89" s="573"/>
      <c r="G89" s="573"/>
      <c r="H89" s="573"/>
      <c r="I89" s="573"/>
      <c r="J89" s="574"/>
      <c r="K89" s="178"/>
      <c r="L89" s="1"/>
    </row>
    <row r="90" spans="1:12" s="37" customFormat="1" ht="25" thickBot="1" x14ac:dyDescent="0.35">
      <c r="A90" s="71"/>
      <c r="B90" s="166"/>
      <c r="C90" s="566" t="s">
        <v>260</v>
      </c>
      <c r="D90" s="567"/>
      <c r="E90" s="567"/>
      <c r="F90" s="567"/>
      <c r="G90" s="567"/>
      <c r="H90" s="567"/>
      <c r="I90" s="575"/>
      <c r="J90" s="234">
        <v>2.11</v>
      </c>
      <c r="K90" s="178"/>
      <c r="L90" s="1"/>
    </row>
    <row r="91" spans="1:12" s="37" customFormat="1" ht="25" thickBot="1" x14ac:dyDescent="0.35">
      <c r="A91" s="71"/>
      <c r="B91" s="166"/>
      <c r="C91" s="566" t="s">
        <v>261</v>
      </c>
      <c r="D91" s="567"/>
      <c r="E91" s="567"/>
      <c r="F91" s="567"/>
      <c r="G91" s="567"/>
      <c r="H91" s="567"/>
      <c r="I91" s="575"/>
      <c r="J91" s="234">
        <v>2.5</v>
      </c>
      <c r="K91" s="178"/>
      <c r="L91" s="1"/>
    </row>
    <row r="92" spans="1:12" s="37" customFormat="1" ht="25" thickBot="1" x14ac:dyDescent="0.3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5" thickBot="1" x14ac:dyDescent="0.3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5" thickBot="1" x14ac:dyDescent="0.35">
      <c r="A94" s="71"/>
      <c r="B94" s="166"/>
      <c r="C94" s="566" t="s">
        <v>259</v>
      </c>
      <c r="D94" s="567"/>
      <c r="E94" s="567"/>
      <c r="F94" s="567"/>
      <c r="G94" s="567"/>
      <c r="H94" s="567"/>
      <c r="I94" s="575"/>
      <c r="J94" s="234">
        <v>70</v>
      </c>
      <c r="K94" s="178"/>
      <c r="L94" s="1"/>
    </row>
    <row r="95" spans="1:12" s="37" customFormat="1" ht="25" thickBot="1" x14ac:dyDescent="0.3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5" thickBot="1" x14ac:dyDescent="0.3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5" thickBot="1" x14ac:dyDescent="0.3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5" thickBot="1" x14ac:dyDescent="0.3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5" thickBot="1" x14ac:dyDescent="0.3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5" thickBot="1" x14ac:dyDescent="0.3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5" thickBot="1" x14ac:dyDescent="0.3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5" thickBot="1" x14ac:dyDescent="0.3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5" thickBot="1" x14ac:dyDescent="0.3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5" thickBot="1" x14ac:dyDescent="0.3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5" thickBot="1" x14ac:dyDescent="0.3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5" thickBot="1" x14ac:dyDescent="0.3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5" thickBot="1" x14ac:dyDescent="0.3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5" thickBot="1" x14ac:dyDescent="0.35">
      <c r="A108" s="71"/>
      <c r="B108" s="166"/>
      <c r="C108" s="572" t="s">
        <v>510</v>
      </c>
      <c r="D108" s="573"/>
      <c r="E108" s="573"/>
      <c r="F108" s="573"/>
      <c r="G108" s="573"/>
      <c r="H108" s="573"/>
      <c r="I108" s="573"/>
      <c r="J108" s="574"/>
      <c r="K108" s="178"/>
      <c r="L108" s="1"/>
    </row>
    <row r="109" spans="1:12" s="37" customFormat="1" ht="25" thickBot="1" x14ac:dyDescent="0.35">
      <c r="A109" s="71"/>
      <c r="B109" s="166"/>
      <c r="C109" s="576" t="s">
        <v>1358</v>
      </c>
      <c r="D109" s="577"/>
      <c r="E109" s="577"/>
      <c r="F109" s="577"/>
      <c r="G109" s="577"/>
      <c r="H109" s="577"/>
      <c r="I109" s="578"/>
      <c r="J109" s="234">
        <v>7.82</v>
      </c>
      <c r="K109" s="178"/>
      <c r="L109" s="1"/>
    </row>
    <row r="110" spans="1:12" s="37" customFormat="1" ht="25" thickBot="1" x14ac:dyDescent="0.35">
      <c r="A110" s="71"/>
      <c r="B110" s="166"/>
      <c r="C110" s="566" t="s">
        <v>1350</v>
      </c>
      <c r="D110" s="567"/>
      <c r="E110" s="567"/>
      <c r="F110" s="567"/>
      <c r="G110" s="567"/>
      <c r="H110" s="567"/>
      <c r="I110" s="568"/>
      <c r="J110" s="234">
        <v>25.75</v>
      </c>
      <c r="K110" s="178"/>
      <c r="L110" s="1"/>
    </row>
    <row r="111" spans="1:12" s="37" customFormat="1" ht="25" thickBot="1" x14ac:dyDescent="0.35">
      <c r="A111" s="71"/>
      <c r="B111" s="166"/>
      <c r="C111" s="566" t="s">
        <v>505</v>
      </c>
      <c r="D111" s="567"/>
      <c r="E111" s="567"/>
      <c r="F111" s="567"/>
      <c r="G111" s="567"/>
      <c r="H111" s="567"/>
      <c r="I111" s="568"/>
      <c r="J111" s="234">
        <v>2.2000000000000002</v>
      </c>
      <c r="K111" s="178"/>
      <c r="L111" s="1"/>
    </row>
    <row r="112" spans="1:12" s="37" customFormat="1" ht="25" thickBot="1" x14ac:dyDescent="0.35">
      <c r="A112" s="71"/>
      <c r="B112" s="166"/>
      <c r="C112" s="589" t="s">
        <v>504</v>
      </c>
      <c r="D112" s="567"/>
      <c r="E112" s="567"/>
      <c r="F112" s="567"/>
      <c r="G112" s="567"/>
      <c r="H112" s="567"/>
      <c r="I112" s="568"/>
      <c r="J112" s="234">
        <v>19</v>
      </c>
      <c r="K112" s="178"/>
      <c r="L112" s="1"/>
    </row>
    <row r="113" spans="1:12" s="37" customFormat="1" ht="25" thickBot="1" x14ac:dyDescent="0.3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5" thickBot="1" x14ac:dyDescent="0.3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5" thickBot="1" x14ac:dyDescent="0.3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5" thickBot="1" x14ac:dyDescent="0.3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5" thickBot="1" x14ac:dyDescent="0.3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5" thickBot="1" x14ac:dyDescent="0.3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5" thickBot="1" x14ac:dyDescent="0.3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5" thickBot="1" x14ac:dyDescent="0.3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5" thickBot="1" x14ac:dyDescent="0.3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5" thickBot="1" x14ac:dyDescent="0.3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5" thickBot="1" x14ac:dyDescent="0.3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5" thickBot="1" x14ac:dyDescent="0.3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5" thickBot="1" x14ac:dyDescent="0.3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5" thickBot="1" x14ac:dyDescent="0.3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5" thickBot="1" x14ac:dyDescent="0.3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5" thickBot="1" x14ac:dyDescent="0.3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5" thickBot="1" x14ac:dyDescent="0.3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5" thickBot="1" x14ac:dyDescent="0.3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5" thickBot="1" x14ac:dyDescent="0.3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5" thickBot="1" x14ac:dyDescent="0.3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5" thickBot="1" x14ac:dyDescent="0.3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5" thickBot="1" x14ac:dyDescent="0.3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5" thickBot="1" x14ac:dyDescent="0.35">
      <c r="A135" s="71"/>
      <c r="B135" s="166"/>
      <c r="C135" s="572" t="s">
        <v>513</v>
      </c>
      <c r="D135" s="573"/>
      <c r="E135" s="573"/>
      <c r="F135" s="573"/>
      <c r="G135" s="573"/>
      <c r="H135" s="573"/>
      <c r="I135" s="573"/>
      <c r="J135" s="574"/>
      <c r="K135" s="178"/>
      <c r="L135" s="1"/>
    </row>
    <row r="136" spans="1:12" s="37" customFormat="1" ht="25" thickBot="1" x14ac:dyDescent="0.35">
      <c r="A136" s="71"/>
      <c r="B136" s="166"/>
      <c r="C136" s="557" t="s">
        <v>517</v>
      </c>
      <c r="D136" s="558"/>
      <c r="E136" s="558"/>
      <c r="F136" s="558"/>
      <c r="G136" s="558"/>
      <c r="H136" s="558"/>
      <c r="I136" s="559"/>
      <c r="J136" s="234" t="s">
        <v>522</v>
      </c>
      <c r="K136" s="178"/>
      <c r="L136" s="1"/>
    </row>
    <row r="137" spans="1:12" s="37" customFormat="1" ht="25" thickBot="1" x14ac:dyDescent="0.3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5" thickBot="1" x14ac:dyDescent="0.3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5" thickBot="1" x14ac:dyDescent="0.3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5" thickBot="1" x14ac:dyDescent="0.3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5" thickBot="1" x14ac:dyDescent="0.3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5" thickBot="1" x14ac:dyDescent="0.3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5" thickBot="1" x14ac:dyDescent="0.3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5" thickBot="1" x14ac:dyDescent="0.3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5" thickBot="1" x14ac:dyDescent="0.3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5" thickBot="1" x14ac:dyDescent="0.3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5" thickBot="1" x14ac:dyDescent="0.35">
      <c r="A147" s="71"/>
      <c r="B147" s="166"/>
      <c r="C147" s="557" t="s">
        <v>523</v>
      </c>
      <c r="D147" s="558"/>
      <c r="E147" s="558"/>
      <c r="F147" s="558"/>
      <c r="G147" s="558"/>
      <c r="H147" s="558"/>
      <c r="I147" s="559"/>
      <c r="J147" s="234"/>
      <c r="K147" s="178"/>
      <c r="L147" s="1"/>
    </row>
    <row r="148" spans="1:12" s="37" customFormat="1" ht="25" thickBot="1" x14ac:dyDescent="0.3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5" thickBot="1" x14ac:dyDescent="0.3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5" thickBot="1" x14ac:dyDescent="0.3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5" thickBot="1" x14ac:dyDescent="0.3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5" thickBot="1" x14ac:dyDescent="0.3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5" thickBot="1" x14ac:dyDescent="0.3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5" thickBot="1" x14ac:dyDescent="0.3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5" thickBot="1" x14ac:dyDescent="0.3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5" thickBot="1" x14ac:dyDescent="0.3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5" thickBot="1" x14ac:dyDescent="0.35">
      <c r="A157" s="71"/>
      <c r="B157" s="166"/>
      <c r="C157" s="557" t="s">
        <v>530</v>
      </c>
      <c r="D157" s="558"/>
      <c r="E157" s="558"/>
      <c r="F157" s="558"/>
      <c r="G157" s="558"/>
      <c r="H157" s="558"/>
      <c r="I157" s="559"/>
      <c r="J157" s="234"/>
      <c r="K157" s="178"/>
      <c r="L157" s="1"/>
    </row>
    <row r="158" spans="1:12" s="37" customFormat="1" ht="25" thickBot="1" x14ac:dyDescent="0.35">
      <c r="A158" s="71"/>
      <c r="B158" s="166"/>
      <c r="C158" s="566" t="s">
        <v>1037</v>
      </c>
      <c r="D158" s="567"/>
      <c r="E158" s="567"/>
      <c r="F158" s="567"/>
      <c r="G158" s="567"/>
      <c r="H158" s="567"/>
      <c r="I158" s="568"/>
      <c r="J158" s="234">
        <v>6</v>
      </c>
      <c r="K158" s="178"/>
      <c r="L158" s="1"/>
    </row>
    <row r="159" spans="1:12" s="37" customFormat="1" ht="25" thickBot="1" x14ac:dyDescent="0.3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5" thickBot="1" x14ac:dyDescent="0.3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5" thickBot="1" x14ac:dyDescent="0.3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5" thickBot="1" x14ac:dyDescent="0.3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5" thickBot="1" x14ac:dyDescent="0.3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5" thickBot="1" x14ac:dyDescent="0.3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5" thickBot="1" x14ac:dyDescent="0.3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5" thickBot="1" x14ac:dyDescent="0.3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5" thickBot="1" x14ac:dyDescent="0.35">
      <c r="A167" s="71"/>
      <c r="B167" s="166"/>
      <c r="C167" s="557" t="s">
        <v>535</v>
      </c>
      <c r="D167" s="558"/>
      <c r="E167" s="558"/>
      <c r="F167" s="558"/>
      <c r="G167" s="558"/>
      <c r="H167" s="558"/>
      <c r="I167" s="559"/>
      <c r="J167" s="234"/>
      <c r="K167" s="178"/>
      <c r="L167" s="1"/>
    </row>
    <row r="168" spans="1:12" s="37" customFormat="1" ht="25" thickBot="1" x14ac:dyDescent="0.3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5" thickBot="1" x14ac:dyDescent="0.3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5" thickBot="1" x14ac:dyDescent="0.3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5" thickBot="1" x14ac:dyDescent="0.3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5" thickBot="1" x14ac:dyDescent="0.3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5" thickBot="1" x14ac:dyDescent="0.3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5" thickBot="1" x14ac:dyDescent="0.3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5" thickBot="1" x14ac:dyDescent="0.3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5" thickBot="1" x14ac:dyDescent="0.3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5" thickBot="1" x14ac:dyDescent="0.35">
      <c r="A177" s="71"/>
      <c r="B177" s="166"/>
      <c r="C177" s="557" t="s">
        <v>539</v>
      </c>
      <c r="D177" s="558"/>
      <c r="E177" s="558"/>
      <c r="F177" s="558"/>
      <c r="G177" s="558"/>
      <c r="H177" s="558"/>
      <c r="I177" s="559"/>
      <c r="J177" s="234"/>
      <c r="K177" s="178"/>
      <c r="L177" s="1"/>
    </row>
    <row r="178" spans="1:12" s="37" customFormat="1" ht="25" thickBot="1" x14ac:dyDescent="0.3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5" thickBot="1" x14ac:dyDescent="0.3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5" thickBot="1" x14ac:dyDescent="0.3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5" thickBot="1" x14ac:dyDescent="0.3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5" thickBot="1" x14ac:dyDescent="0.3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5" thickBot="1" x14ac:dyDescent="0.3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5" thickBot="1" x14ac:dyDescent="0.3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5" thickBot="1" x14ac:dyDescent="0.3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5" thickBot="1" x14ac:dyDescent="0.3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5" thickBot="1" x14ac:dyDescent="0.3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5" thickBot="1" x14ac:dyDescent="0.3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5" thickBot="1" x14ac:dyDescent="0.3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5" thickBot="1" x14ac:dyDescent="0.35">
      <c r="A190" s="71"/>
      <c r="B190" s="166"/>
      <c r="C190" s="557" t="s">
        <v>549</v>
      </c>
      <c r="D190" s="558"/>
      <c r="E190" s="558"/>
      <c r="F190" s="558"/>
      <c r="G190" s="558"/>
      <c r="H190" s="558"/>
      <c r="I190" s="559"/>
      <c r="J190" s="234"/>
      <c r="K190" s="178"/>
      <c r="L190" s="1"/>
    </row>
    <row r="191" spans="1:12" s="37" customFormat="1" ht="25" thickBot="1" x14ac:dyDescent="0.3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5" thickBot="1" x14ac:dyDescent="0.3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5" thickBot="1" x14ac:dyDescent="0.3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5" thickBot="1" x14ac:dyDescent="0.3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5" thickBot="1" x14ac:dyDescent="0.35">
      <c r="A195" s="71"/>
      <c r="B195" s="166"/>
      <c r="C195" s="557" t="s">
        <v>553</v>
      </c>
      <c r="D195" s="558"/>
      <c r="E195" s="558"/>
      <c r="F195" s="558"/>
      <c r="G195" s="558"/>
      <c r="H195" s="558"/>
      <c r="I195" s="559"/>
      <c r="J195" s="234"/>
      <c r="K195" s="178"/>
      <c r="L195" s="1"/>
    </row>
    <row r="196" spans="1:12" s="37" customFormat="1" ht="25" thickBot="1" x14ac:dyDescent="0.3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5" thickBot="1" x14ac:dyDescent="0.3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5" thickBot="1" x14ac:dyDescent="0.3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5" thickBot="1" x14ac:dyDescent="0.35">
      <c r="A199" s="71"/>
      <c r="B199" s="166"/>
      <c r="C199" s="557" t="s">
        <v>556</v>
      </c>
      <c r="D199" s="558"/>
      <c r="E199" s="558"/>
      <c r="F199" s="558"/>
      <c r="G199" s="558"/>
      <c r="H199" s="558"/>
      <c r="I199" s="559"/>
      <c r="J199" s="234"/>
      <c r="K199" s="178"/>
      <c r="L199" s="1"/>
    </row>
    <row r="200" spans="1:12" s="37" customFormat="1" ht="25" thickBot="1" x14ac:dyDescent="0.3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5" thickBot="1" x14ac:dyDescent="0.3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5" thickBot="1" x14ac:dyDescent="0.3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5" thickBot="1" x14ac:dyDescent="0.3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5" thickBot="1" x14ac:dyDescent="0.3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5" thickBot="1" x14ac:dyDescent="0.3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5" thickBot="1" x14ac:dyDescent="0.3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5" thickBot="1" x14ac:dyDescent="0.3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5" thickBot="1" x14ac:dyDescent="0.35">
      <c r="A208" s="71"/>
      <c r="B208" s="166"/>
      <c r="C208" s="572" t="s">
        <v>561</v>
      </c>
      <c r="D208" s="573"/>
      <c r="E208" s="573"/>
      <c r="F208" s="573"/>
      <c r="G208" s="573"/>
      <c r="H208" s="573"/>
      <c r="I208" s="573"/>
      <c r="J208" s="574"/>
      <c r="K208" s="178"/>
      <c r="L208" s="1"/>
    </row>
    <row r="209" spans="1:12" s="37" customFormat="1" ht="25" thickBot="1" x14ac:dyDescent="0.35">
      <c r="A209" s="71"/>
      <c r="B209" s="166"/>
      <c r="C209" s="557" t="s">
        <v>562</v>
      </c>
      <c r="D209" s="558"/>
      <c r="E209" s="558"/>
      <c r="F209" s="558"/>
      <c r="G209" s="558"/>
      <c r="H209" s="558"/>
      <c r="I209" s="559"/>
      <c r="J209" s="234"/>
      <c r="K209" s="178"/>
      <c r="L209" s="1"/>
    </row>
    <row r="210" spans="1:12" s="37" customFormat="1" ht="27" thickBot="1" x14ac:dyDescent="0.35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5" thickBot="1" x14ac:dyDescent="0.3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5" thickBot="1" x14ac:dyDescent="0.3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5" thickBot="1" x14ac:dyDescent="0.3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5" thickBot="1" x14ac:dyDescent="0.3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5" thickBot="1" x14ac:dyDescent="0.3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5" thickBot="1" x14ac:dyDescent="0.3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5" thickBot="1" x14ac:dyDescent="0.3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5" thickBot="1" x14ac:dyDescent="0.3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5" thickBot="1" x14ac:dyDescent="0.3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5" thickBot="1" x14ac:dyDescent="0.3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5" thickBot="1" x14ac:dyDescent="0.3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5" thickBot="1" x14ac:dyDescent="0.3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5" thickBot="1" x14ac:dyDescent="0.3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5" thickBot="1" x14ac:dyDescent="0.3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5" thickBot="1" x14ac:dyDescent="0.3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5" thickBot="1" x14ac:dyDescent="0.3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5" thickBot="1" x14ac:dyDescent="0.3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5" thickBot="1" x14ac:dyDescent="0.3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5" thickBot="1" x14ac:dyDescent="0.3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5" thickBot="1" x14ac:dyDescent="0.3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5" thickBot="1" x14ac:dyDescent="0.35">
      <c r="A231" s="71"/>
      <c r="B231" s="166"/>
      <c r="C231" s="557" t="s">
        <v>742</v>
      </c>
      <c r="D231" s="558"/>
      <c r="E231" s="558"/>
      <c r="F231" s="558"/>
      <c r="G231" s="558"/>
      <c r="H231" s="558"/>
      <c r="I231" s="559"/>
      <c r="J231" s="234"/>
      <c r="K231" s="178"/>
      <c r="L231" s="1"/>
    </row>
    <row r="232" spans="1:12" s="37" customFormat="1" ht="25" thickBot="1" x14ac:dyDescent="0.3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5" thickBot="1" x14ac:dyDescent="0.3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5" thickBot="1" x14ac:dyDescent="0.3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5" thickBot="1" x14ac:dyDescent="0.3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5" thickBot="1" x14ac:dyDescent="0.3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5" thickBot="1" x14ac:dyDescent="0.3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5" thickBot="1" x14ac:dyDescent="0.3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5" thickBot="1" x14ac:dyDescent="0.3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5" thickBot="1" x14ac:dyDescent="0.3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5" thickBot="1" x14ac:dyDescent="0.3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5" thickBot="1" x14ac:dyDescent="0.35">
      <c r="A242" s="71"/>
      <c r="B242" s="166"/>
      <c r="C242" s="557" t="s">
        <v>605</v>
      </c>
      <c r="D242" s="558"/>
      <c r="E242" s="558"/>
      <c r="F242" s="558"/>
      <c r="G242" s="558"/>
      <c r="H242" s="558"/>
      <c r="I242" s="559"/>
      <c r="J242" s="234"/>
      <c r="K242" s="178"/>
      <c r="L242" s="1"/>
    </row>
    <row r="243" spans="1:12" s="37" customFormat="1" ht="25" thickBot="1" x14ac:dyDescent="0.3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5" thickBot="1" x14ac:dyDescent="0.3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5" thickBot="1" x14ac:dyDescent="0.3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5" thickBot="1" x14ac:dyDescent="0.35">
      <c r="A246" s="71"/>
      <c r="B246" s="166"/>
      <c r="C246" s="557" t="s">
        <v>604</v>
      </c>
      <c r="D246" s="558"/>
      <c r="E246" s="558"/>
      <c r="F246" s="558"/>
      <c r="G246" s="558"/>
      <c r="H246" s="558"/>
      <c r="I246" s="559"/>
      <c r="J246" s="234"/>
      <c r="K246" s="178"/>
      <c r="L246" s="1"/>
    </row>
    <row r="247" spans="1:12" s="37" customFormat="1" ht="25" thickBot="1" x14ac:dyDescent="0.3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5" thickBot="1" x14ac:dyDescent="0.3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5" thickBot="1" x14ac:dyDescent="0.3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5" thickBot="1" x14ac:dyDescent="0.3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5" thickBot="1" x14ac:dyDescent="0.3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5" thickBot="1" x14ac:dyDescent="0.3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5" thickBot="1" x14ac:dyDescent="0.3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5" thickBot="1" x14ac:dyDescent="0.3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5" thickBot="1" x14ac:dyDescent="0.3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5" thickBot="1" x14ac:dyDescent="0.3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5" thickBot="1" x14ac:dyDescent="0.3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5" thickBot="1" x14ac:dyDescent="0.3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5" thickBot="1" x14ac:dyDescent="0.3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5" thickBot="1" x14ac:dyDescent="0.35">
      <c r="A260" s="71"/>
      <c r="B260" s="166"/>
      <c r="C260" s="557" t="s">
        <v>607</v>
      </c>
      <c r="D260" s="558"/>
      <c r="E260" s="558"/>
      <c r="F260" s="558"/>
      <c r="G260" s="558"/>
      <c r="H260" s="558"/>
      <c r="I260" s="559"/>
      <c r="J260" s="234"/>
      <c r="K260" s="178"/>
      <c r="L260" s="1"/>
    </row>
    <row r="261" spans="1:12" s="37" customFormat="1" ht="25" thickBot="1" x14ac:dyDescent="0.3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5" thickBot="1" x14ac:dyDescent="0.3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5" thickBot="1" x14ac:dyDescent="0.3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5" thickBot="1" x14ac:dyDescent="0.3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5" thickBot="1" x14ac:dyDescent="0.3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5" thickBot="1" x14ac:dyDescent="0.3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5" thickBot="1" x14ac:dyDescent="0.3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5" thickBot="1" x14ac:dyDescent="0.3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5" thickBot="1" x14ac:dyDescent="0.35">
      <c r="A269" s="71"/>
      <c r="B269" s="166"/>
      <c r="C269" s="566" t="s">
        <v>608</v>
      </c>
      <c r="D269" s="567"/>
      <c r="E269" s="567"/>
      <c r="F269" s="567"/>
      <c r="G269" s="567"/>
      <c r="H269" s="567"/>
      <c r="I269" s="568"/>
      <c r="J269" s="234">
        <v>29</v>
      </c>
      <c r="K269" s="178"/>
      <c r="L269" s="1"/>
    </row>
    <row r="270" spans="1:12" s="37" customFormat="1" ht="25" thickBot="1" x14ac:dyDescent="0.35">
      <c r="A270" s="71"/>
      <c r="B270" s="166"/>
      <c r="C270" s="585" t="s">
        <v>610</v>
      </c>
      <c r="D270" s="577"/>
      <c r="E270" s="577"/>
      <c r="F270" s="577"/>
      <c r="G270" s="577"/>
      <c r="H270" s="577"/>
      <c r="I270" s="578"/>
      <c r="J270" s="234">
        <v>116</v>
      </c>
      <c r="K270" s="178"/>
      <c r="L270" s="1"/>
    </row>
    <row r="271" spans="1:12" s="37" customFormat="1" ht="25" thickBot="1" x14ac:dyDescent="0.3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5" thickBot="1" x14ac:dyDescent="0.35">
      <c r="A272" s="71"/>
      <c r="B272" s="166"/>
      <c r="C272" s="585" t="s">
        <v>609</v>
      </c>
      <c r="D272" s="577"/>
      <c r="E272" s="577"/>
      <c r="F272" s="577"/>
      <c r="G272" s="577"/>
      <c r="H272" s="577"/>
      <c r="I272" s="578"/>
      <c r="J272" s="234">
        <v>144</v>
      </c>
      <c r="K272" s="178"/>
      <c r="L272" s="1"/>
    </row>
    <row r="273" spans="1:12" s="37" customFormat="1" ht="25" thickBot="1" x14ac:dyDescent="0.3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5" thickBot="1" x14ac:dyDescent="0.35">
      <c r="A274" s="71"/>
      <c r="B274" s="166"/>
      <c r="C274" s="585" t="s">
        <v>614</v>
      </c>
      <c r="D274" s="577"/>
      <c r="E274" s="577"/>
      <c r="F274" s="577"/>
      <c r="G274" s="577"/>
      <c r="H274" s="577"/>
      <c r="I274" s="578"/>
      <c r="J274" s="234">
        <v>124</v>
      </c>
      <c r="K274" s="178"/>
      <c r="L274" s="1"/>
    </row>
    <row r="275" spans="1:12" s="37" customFormat="1" ht="25" thickBot="1" x14ac:dyDescent="0.3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5" thickBot="1" x14ac:dyDescent="0.35">
      <c r="A276" s="71"/>
      <c r="B276" s="166"/>
      <c r="C276" s="585" t="s">
        <v>616</v>
      </c>
      <c r="D276" s="577"/>
      <c r="E276" s="577"/>
      <c r="F276" s="577"/>
      <c r="G276" s="577"/>
      <c r="H276" s="577"/>
      <c r="I276" s="578"/>
      <c r="J276" s="234">
        <v>152</v>
      </c>
      <c r="K276" s="178"/>
      <c r="L276" s="1"/>
    </row>
    <row r="277" spans="1:12" s="37" customFormat="1" ht="25" thickBot="1" x14ac:dyDescent="0.3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5" thickBot="1" x14ac:dyDescent="0.3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5" thickBot="1" x14ac:dyDescent="0.3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5" thickBot="1" x14ac:dyDescent="0.3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5" thickBot="1" x14ac:dyDescent="0.3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5" thickBot="1" x14ac:dyDescent="0.3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5" thickBot="1" x14ac:dyDescent="0.35">
      <c r="A283" s="71"/>
      <c r="B283" s="166"/>
      <c r="C283" s="560" t="s">
        <v>771</v>
      </c>
      <c r="D283" s="561"/>
      <c r="E283" s="561"/>
      <c r="F283" s="561"/>
      <c r="G283" s="561"/>
      <c r="H283" s="561"/>
      <c r="I283" s="562"/>
      <c r="J283" s="234">
        <v>178</v>
      </c>
      <c r="K283" s="178"/>
      <c r="L283" s="1"/>
    </row>
    <row r="284" spans="1:12" s="37" customFormat="1" ht="25" thickBot="1" x14ac:dyDescent="0.35">
      <c r="A284" s="71"/>
      <c r="B284" s="166"/>
      <c r="C284" s="560" t="s">
        <v>772</v>
      </c>
      <c r="D284" s="561"/>
      <c r="E284" s="561"/>
      <c r="F284" s="561"/>
      <c r="G284" s="561"/>
      <c r="H284" s="561"/>
      <c r="I284" s="562"/>
      <c r="J284" s="234">
        <v>129</v>
      </c>
      <c r="K284" s="178"/>
      <c r="L284" s="1"/>
    </row>
    <row r="285" spans="1:12" s="37" customFormat="1" ht="25" thickBot="1" x14ac:dyDescent="0.3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5" thickBot="1" x14ac:dyDescent="0.3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5" thickBot="1" x14ac:dyDescent="0.3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5" thickBot="1" x14ac:dyDescent="0.3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5" thickBot="1" x14ac:dyDescent="0.3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5" thickBot="1" x14ac:dyDescent="0.3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5" thickBot="1" x14ac:dyDescent="0.3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5" thickBot="1" x14ac:dyDescent="0.3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5" thickBot="1" x14ac:dyDescent="0.3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5" thickBot="1" x14ac:dyDescent="0.3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5" thickBot="1" x14ac:dyDescent="0.3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5" thickBot="1" x14ac:dyDescent="0.3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5" thickBot="1" x14ac:dyDescent="0.35">
      <c r="A297" s="71"/>
      <c r="B297" s="166"/>
      <c r="C297" s="569" t="s">
        <v>618</v>
      </c>
      <c r="D297" s="570"/>
      <c r="E297" s="570"/>
      <c r="F297" s="570"/>
      <c r="G297" s="570"/>
      <c r="H297" s="570"/>
      <c r="I297" s="571"/>
      <c r="J297" s="234"/>
      <c r="K297" s="178"/>
      <c r="L297" s="1"/>
    </row>
    <row r="298" spans="1:12" s="37" customFormat="1" ht="25" thickBot="1" x14ac:dyDescent="0.35">
      <c r="A298" s="71"/>
      <c r="B298" s="166"/>
      <c r="C298" s="569" t="s">
        <v>618</v>
      </c>
      <c r="D298" s="570"/>
      <c r="E298" s="570"/>
      <c r="F298" s="570"/>
      <c r="G298" s="570"/>
      <c r="H298" s="570"/>
      <c r="I298" s="571"/>
      <c r="J298" s="234"/>
      <c r="K298" s="178"/>
      <c r="L298" s="1"/>
    </row>
    <row r="299" spans="1:12" s="37" customFormat="1" ht="25" thickBot="1" x14ac:dyDescent="0.35">
      <c r="A299" s="71"/>
      <c r="B299" s="166"/>
      <c r="C299" s="557" t="s">
        <v>893</v>
      </c>
      <c r="D299" s="558"/>
      <c r="E299" s="558"/>
      <c r="F299" s="558"/>
      <c r="G299" s="558"/>
      <c r="H299" s="558"/>
      <c r="I299" s="559"/>
      <c r="J299" s="234"/>
      <c r="K299" s="178"/>
      <c r="L299" s="1"/>
    </row>
    <row r="300" spans="1:12" s="37" customFormat="1" ht="25" thickBot="1" x14ac:dyDescent="0.35">
      <c r="A300" s="71"/>
      <c r="B300" s="166"/>
      <c r="C300" s="560" t="s">
        <v>898</v>
      </c>
      <c r="D300" s="561"/>
      <c r="E300" s="561"/>
      <c r="F300" s="561"/>
      <c r="G300" s="561"/>
      <c r="H300" s="561"/>
      <c r="I300" s="562"/>
      <c r="J300" s="234">
        <v>41</v>
      </c>
      <c r="K300" s="178"/>
      <c r="L300" s="1"/>
    </row>
    <row r="301" spans="1:12" s="37" customFormat="1" ht="25" thickBot="1" x14ac:dyDescent="0.35">
      <c r="A301" s="71"/>
      <c r="B301" s="166"/>
      <c r="C301" s="560" t="s">
        <v>899</v>
      </c>
      <c r="D301" s="561"/>
      <c r="E301" s="561"/>
      <c r="F301" s="561"/>
      <c r="G301" s="561"/>
      <c r="H301" s="561"/>
      <c r="I301" s="562"/>
      <c r="J301" s="234">
        <v>70</v>
      </c>
      <c r="K301" s="178"/>
      <c r="L301" s="1"/>
    </row>
    <row r="302" spans="1:12" s="37" customFormat="1" ht="25" thickBot="1" x14ac:dyDescent="0.3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5" thickBot="1" x14ac:dyDescent="0.3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5" thickBot="1" x14ac:dyDescent="0.3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5" thickBot="1" x14ac:dyDescent="0.35">
      <c r="A305" s="71"/>
      <c r="B305" s="166"/>
      <c r="C305" s="560" t="s">
        <v>895</v>
      </c>
      <c r="D305" s="561"/>
      <c r="E305" s="561"/>
      <c r="F305" s="561"/>
      <c r="G305" s="561"/>
      <c r="H305" s="561"/>
      <c r="I305" s="562"/>
      <c r="J305" s="234">
        <v>120</v>
      </c>
      <c r="K305" s="178"/>
      <c r="L305" s="1"/>
    </row>
    <row r="306" spans="1:12" s="37" customFormat="1" ht="25" thickBot="1" x14ac:dyDescent="0.35">
      <c r="A306" s="71"/>
      <c r="B306" s="166"/>
      <c r="C306" s="563" t="s">
        <v>902</v>
      </c>
      <c r="D306" s="564"/>
      <c r="E306" s="564"/>
      <c r="F306" s="564"/>
      <c r="G306" s="564"/>
      <c r="H306" s="564"/>
      <c r="I306" s="565"/>
      <c r="J306" s="234">
        <v>110.87</v>
      </c>
      <c r="K306" s="178"/>
      <c r="L306" s="1"/>
    </row>
    <row r="307" spans="1:12" s="37" customFormat="1" ht="25" thickBot="1" x14ac:dyDescent="0.3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5" thickBot="1" x14ac:dyDescent="0.35">
      <c r="A308" s="71"/>
      <c r="B308" s="166"/>
      <c r="C308" s="566" t="s">
        <v>905</v>
      </c>
      <c r="D308" s="567"/>
      <c r="E308" s="567"/>
      <c r="F308" s="567"/>
      <c r="G308" s="567"/>
      <c r="H308" s="567"/>
      <c r="I308" s="568"/>
      <c r="J308" s="234">
        <v>130</v>
      </c>
      <c r="K308" s="178"/>
      <c r="L308" s="1"/>
    </row>
    <row r="309" spans="1:12" s="37" customFormat="1" ht="25" thickBot="1" x14ac:dyDescent="0.3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5" thickBot="1" x14ac:dyDescent="0.3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5" thickBot="1" x14ac:dyDescent="0.3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5" thickBot="1" x14ac:dyDescent="0.3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5" thickBot="1" x14ac:dyDescent="0.3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5" thickBot="1" x14ac:dyDescent="0.3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5" thickBot="1" x14ac:dyDescent="0.3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5" thickBot="1" x14ac:dyDescent="0.3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5" thickBot="1" x14ac:dyDescent="0.3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5" thickBot="1" x14ac:dyDescent="0.35">
      <c r="A318" s="71"/>
      <c r="B318" s="166"/>
      <c r="C318" s="557" t="s">
        <v>918</v>
      </c>
      <c r="D318" s="558"/>
      <c r="E318" s="558"/>
      <c r="F318" s="558"/>
      <c r="G318" s="558"/>
      <c r="H318" s="558"/>
      <c r="I318" s="559"/>
      <c r="J318" s="234"/>
      <c r="K318" s="178"/>
      <c r="L318" s="1"/>
    </row>
    <row r="319" spans="1:12" s="37" customFormat="1" ht="25" thickBot="1" x14ac:dyDescent="0.3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5" thickBot="1" x14ac:dyDescent="0.3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5" thickBot="1" x14ac:dyDescent="0.3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5" thickBot="1" x14ac:dyDescent="0.3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5" thickBot="1" x14ac:dyDescent="0.3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5" thickBot="1" x14ac:dyDescent="0.3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5" thickBot="1" x14ac:dyDescent="0.3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5" thickBot="1" x14ac:dyDescent="0.3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5" thickBot="1" x14ac:dyDescent="0.3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5" thickBot="1" x14ac:dyDescent="0.35">
      <c r="A328" s="71"/>
      <c r="B328" s="166"/>
      <c r="C328" s="572" t="s">
        <v>1192</v>
      </c>
      <c r="D328" s="573"/>
      <c r="E328" s="573"/>
      <c r="F328" s="573"/>
      <c r="G328" s="573"/>
      <c r="H328" s="573"/>
      <c r="I328" s="573"/>
      <c r="J328" s="574"/>
      <c r="K328" s="178"/>
      <c r="L328" s="1"/>
    </row>
    <row r="329" spans="1:12" s="37" customFormat="1" ht="25" thickBot="1" x14ac:dyDescent="0.3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5" thickBot="1" x14ac:dyDescent="0.3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5" thickBot="1" x14ac:dyDescent="0.3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5" thickBot="1" x14ac:dyDescent="0.3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5" thickBot="1" x14ac:dyDescent="0.3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5" thickBot="1" x14ac:dyDescent="0.3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5" thickBot="1" x14ac:dyDescent="0.3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5" thickBot="1" x14ac:dyDescent="0.3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5" thickBot="1" x14ac:dyDescent="0.3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5" thickBot="1" x14ac:dyDescent="0.3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5" thickBot="1" x14ac:dyDescent="0.3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5" thickBot="1" x14ac:dyDescent="0.3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5" thickBot="1" x14ac:dyDescent="0.3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5" thickBot="1" x14ac:dyDescent="0.3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5" thickBot="1" x14ac:dyDescent="0.3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5" thickBot="1" x14ac:dyDescent="0.3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5" thickBot="1" x14ac:dyDescent="0.3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5" thickBot="1" x14ac:dyDescent="0.3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5" thickBot="1" x14ac:dyDescent="0.35">
      <c r="B347" s="166"/>
      <c r="C347" s="572" t="s">
        <v>1325</v>
      </c>
      <c r="D347" s="573"/>
      <c r="E347" s="573"/>
      <c r="F347" s="573"/>
      <c r="G347" s="573"/>
      <c r="H347" s="573"/>
      <c r="I347" s="573"/>
      <c r="J347" s="574"/>
      <c r="K347" s="178"/>
    </row>
    <row r="348" spans="2:11" ht="24" customHeight="1" thickBot="1" x14ac:dyDescent="0.35">
      <c r="B348" s="166"/>
      <c r="C348" s="590" t="s">
        <v>1324</v>
      </c>
      <c r="D348" s="591"/>
      <c r="E348" s="591"/>
      <c r="F348" s="591"/>
      <c r="G348" s="591"/>
      <c r="H348" s="591"/>
      <c r="I348" s="592"/>
      <c r="J348" s="234">
        <v>38.42</v>
      </c>
      <c r="K348" s="178"/>
    </row>
    <row r="349" spans="2:11" ht="25" thickBot="1" x14ac:dyDescent="0.35">
      <c r="B349" s="166"/>
      <c r="C349" s="590" t="s">
        <v>1323</v>
      </c>
      <c r="D349" s="591"/>
      <c r="E349" s="591"/>
      <c r="F349" s="591"/>
      <c r="G349" s="591"/>
      <c r="H349" s="591"/>
      <c r="I349" s="592"/>
      <c r="J349" s="234">
        <v>40</v>
      </c>
      <c r="K349" s="178"/>
    </row>
    <row r="350" spans="2:11" ht="25" thickBot="1" x14ac:dyDescent="0.35">
      <c r="B350" s="166"/>
      <c r="C350" s="590" t="s">
        <v>1322</v>
      </c>
      <c r="D350" s="591"/>
      <c r="E350" s="591"/>
      <c r="F350" s="591"/>
      <c r="G350" s="591"/>
      <c r="H350" s="591"/>
      <c r="I350" s="592"/>
      <c r="J350" s="234">
        <v>30</v>
      </c>
      <c r="K350" s="178"/>
    </row>
    <row r="351" spans="2:11" ht="25" thickBot="1" x14ac:dyDescent="0.35">
      <c r="B351" s="166"/>
      <c r="C351" s="590" t="s">
        <v>1321</v>
      </c>
      <c r="D351" s="591"/>
      <c r="E351" s="591"/>
      <c r="F351" s="591"/>
      <c r="G351" s="591"/>
      <c r="H351" s="591"/>
      <c r="I351" s="592"/>
      <c r="J351" s="234">
        <v>11.56</v>
      </c>
      <c r="K351" s="178"/>
    </row>
    <row r="352" spans="2:11" ht="25" thickBot="1" x14ac:dyDescent="0.35">
      <c r="B352" s="166"/>
      <c r="C352" s="590" t="s">
        <v>1320</v>
      </c>
      <c r="D352" s="591"/>
      <c r="E352" s="591"/>
      <c r="F352" s="591"/>
      <c r="G352" s="591"/>
      <c r="H352" s="591"/>
      <c r="I352" s="592"/>
      <c r="J352" s="234">
        <v>10.28</v>
      </c>
      <c r="K352" s="178"/>
    </row>
    <row r="353" spans="2:11" ht="25" thickBot="1" x14ac:dyDescent="0.35">
      <c r="B353" s="166"/>
      <c r="C353" s="590" t="s">
        <v>1319</v>
      </c>
      <c r="D353" s="591"/>
      <c r="E353" s="591"/>
      <c r="F353" s="591"/>
      <c r="G353" s="591"/>
      <c r="H353" s="591"/>
      <c r="I353" s="592"/>
      <c r="J353" s="234">
        <v>60</v>
      </c>
      <c r="K353" s="178"/>
    </row>
    <row r="354" spans="2:11" ht="25" thickBot="1" x14ac:dyDescent="0.35">
      <c r="B354" s="166"/>
      <c r="C354" s="590" t="s">
        <v>1318</v>
      </c>
      <c r="D354" s="591"/>
      <c r="E354" s="591"/>
      <c r="F354" s="591"/>
      <c r="G354" s="591"/>
      <c r="H354" s="591"/>
      <c r="I354" s="592"/>
      <c r="J354" s="234">
        <v>52.4</v>
      </c>
      <c r="K354" s="178"/>
    </row>
    <row r="355" spans="2:11" ht="25" thickBot="1" x14ac:dyDescent="0.35">
      <c r="B355" s="166"/>
      <c r="C355" s="590" t="s">
        <v>1317</v>
      </c>
      <c r="D355" s="591"/>
      <c r="E355" s="591"/>
      <c r="F355" s="591"/>
      <c r="G355" s="591"/>
      <c r="H355" s="591"/>
      <c r="I355" s="592"/>
      <c r="J355" s="234">
        <v>4</v>
      </c>
      <c r="K355" s="178"/>
    </row>
    <row r="356" spans="2:11" ht="25" thickBot="1" x14ac:dyDescent="0.35">
      <c r="B356" s="166"/>
      <c r="C356" s="590" t="s">
        <v>1316</v>
      </c>
      <c r="D356" s="591"/>
      <c r="E356" s="591"/>
      <c r="F356" s="591"/>
      <c r="G356" s="591"/>
      <c r="H356" s="591"/>
      <c r="I356" s="592"/>
      <c r="J356" s="234">
        <v>18</v>
      </c>
      <c r="K356" s="178"/>
    </row>
    <row r="357" spans="2:11" ht="25" thickBot="1" x14ac:dyDescent="0.35">
      <c r="B357" s="166"/>
      <c r="C357" s="590" t="s">
        <v>1315</v>
      </c>
      <c r="D357" s="591"/>
      <c r="E357" s="591"/>
      <c r="F357" s="591"/>
      <c r="G357" s="591"/>
      <c r="H357" s="591"/>
      <c r="I357" s="592"/>
      <c r="J357" s="234">
        <v>2.5</v>
      </c>
      <c r="K357" s="178"/>
    </row>
    <row r="358" spans="2:11" ht="25" thickBot="1" x14ac:dyDescent="0.35">
      <c r="C358" s="590" t="s">
        <v>1314</v>
      </c>
      <c r="D358" s="591"/>
      <c r="E358" s="591"/>
      <c r="F358" s="591"/>
      <c r="G358" s="591"/>
      <c r="H358" s="591"/>
      <c r="I358" s="592"/>
      <c r="J358" s="234">
        <v>1.5</v>
      </c>
    </row>
    <row r="359" spans="2:11" ht="25" thickBot="1" x14ac:dyDescent="0.35">
      <c r="C359" s="590" t="s">
        <v>1313</v>
      </c>
      <c r="D359" s="591"/>
      <c r="E359" s="591"/>
      <c r="F359" s="591"/>
      <c r="G359" s="591"/>
      <c r="H359" s="591"/>
      <c r="I359" s="592"/>
      <c r="J359" s="234">
        <v>1.5</v>
      </c>
    </row>
    <row r="360" spans="2:11" ht="25" thickBot="1" x14ac:dyDescent="0.35">
      <c r="C360" s="590" t="s">
        <v>1312</v>
      </c>
      <c r="D360" s="591"/>
      <c r="E360" s="591"/>
      <c r="F360" s="591"/>
      <c r="G360" s="591"/>
      <c r="H360" s="591"/>
      <c r="I360" s="592"/>
      <c r="J360" s="234">
        <v>1.2</v>
      </c>
    </row>
    <row r="361" spans="2:11" ht="25" thickBot="1" x14ac:dyDescent="0.35">
      <c r="C361" s="590"/>
      <c r="D361" s="591"/>
      <c r="E361" s="591"/>
      <c r="F361" s="591"/>
      <c r="G361" s="591"/>
      <c r="H361" s="591"/>
      <c r="I361" s="592"/>
      <c r="J361" s="234"/>
    </row>
    <row r="362" spans="2:11" ht="25" thickBot="1" x14ac:dyDescent="0.35">
      <c r="C362" s="590"/>
      <c r="D362" s="591"/>
      <c r="E362" s="591"/>
      <c r="F362" s="591"/>
      <c r="G362" s="591"/>
      <c r="H362" s="591"/>
      <c r="I362" s="592"/>
      <c r="J362" s="234"/>
    </row>
    <row r="363" spans="2:11" ht="25" thickBot="1" x14ac:dyDescent="0.35">
      <c r="C363" s="590"/>
      <c r="D363" s="591"/>
      <c r="E363" s="591"/>
      <c r="F363" s="591"/>
      <c r="G363" s="591"/>
      <c r="H363" s="591"/>
      <c r="I363" s="592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61:I361"/>
    <mergeCell ref="C362:I362"/>
    <mergeCell ref="C363:I363"/>
    <mergeCell ref="C356:I356"/>
    <mergeCell ref="C357:I357"/>
    <mergeCell ref="C358:I358"/>
    <mergeCell ref="C359:I359"/>
    <mergeCell ref="C360:I360"/>
    <mergeCell ref="C351:I351"/>
    <mergeCell ref="C352:I352"/>
    <mergeCell ref="C353:I353"/>
    <mergeCell ref="C354:I354"/>
    <mergeCell ref="C355:I355"/>
    <mergeCell ref="C347:J347"/>
    <mergeCell ref="C348:I348"/>
    <mergeCell ref="C349:I349"/>
    <mergeCell ref="C350:I350"/>
    <mergeCell ref="C328:J328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:J3"/>
    <mergeCell ref="C4:I4"/>
    <mergeCell ref="C12:J12"/>
    <mergeCell ref="C5:J5"/>
    <mergeCell ref="C24:I24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208:J208"/>
    <mergeCell ref="C209:I209"/>
    <mergeCell ref="C231:I231"/>
    <mergeCell ref="C246:I246"/>
    <mergeCell ref="C260:I260"/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showWhiteSpace="0" view="pageLayout" topLeftCell="A26" zoomScaleNormal="100" zoomScaleSheetLayoutView="100" workbookViewId="0">
      <selection activeCell="E35" sqref="E3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8.3984375" style="1" customWidth="1"/>
    <col min="5" max="5" width="13.3984375" style="1" customWidth="1"/>
    <col min="6" max="6" width="11.59765625" style="1" customWidth="1"/>
    <col min="7" max="7" width="34.19921875" style="1" customWidth="1"/>
    <col min="8" max="8" width="10" style="1" customWidth="1"/>
    <col min="9" max="9" width="16" style="1" customWidth="1"/>
    <col min="10" max="10" width="15.19921875" style="2" customWidth="1"/>
    <col min="11" max="11" width="12.3984375" style="2" customWidth="1"/>
    <col min="12" max="12" width="7.796875" style="2" customWidth="1"/>
    <col min="13" max="13" width="2.59765625" style="2" customWidth="1"/>
    <col min="14" max="14" width="6" style="3" customWidth="1"/>
    <col min="15" max="15" width="5" style="1" customWidth="1"/>
    <col min="16" max="16" width="8.796875" style="1"/>
    <col min="17" max="17" width="12.3984375" style="1" bestFit="1" customWidth="1"/>
    <col min="18" max="18" width="8.796875" style="1"/>
    <col min="19" max="19" width="12.59765625" style="1" bestFit="1" customWidth="1"/>
    <col min="20" max="22" width="8.796875" style="1"/>
    <col min="23" max="23" width="13.19921875" style="1" customWidth="1"/>
    <col min="24" max="24" width="8.796875" style="1"/>
    <col min="25" max="25" width="12.796875" style="1" customWidth="1"/>
    <col min="26" max="28" width="8.796875" style="1"/>
    <col min="29" max="29" width="10.59765625" style="1" bestFit="1" customWidth="1"/>
    <col min="30" max="16384" width="8.796875" style="1"/>
  </cols>
  <sheetData>
    <row r="1" spans="1:27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5" thickBot="1" x14ac:dyDescent="0.3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  <c r="R3" s="37"/>
      <c r="S3" s="634"/>
      <c r="T3" s="634"/>
      <c r="U3" s="634"/>
      <c r="V3" s="634"/>
      <c r="W3" s="634"/>
      <c r="X3" s="37"/>
      <c r="Y3" s="37"/>
      <c r="Z3" s="37"/>
      <c r="AA3" s="37"/>
    </row>
    <row r="4" spans="1:27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5" thickBot="1" x14ac:dyDescent="0.35">
      <c r="A5" s="71"/>
      <c r="B5" s="166"/>
      <c r="C5" s="162" t="s">
        <v>53</v>
      </c>
      <c r="D5" s="71"/>
      <c r="E5" s="642"/>
      <c r="F5" s="643"/>
      <c r="G5" s="643"/>
      <c r="H5" s="179"/>
      <c r="I5" s="624"/>
      <c r="J5" s="624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3">
      <c r="A6" s="71"/>
      <c r="B6" s="166"/>
      <c r="C6" s="162" t="s">
        <v>54</v>
      </c>
      <c r="D6" s="163"/>
      <c r="E6" s="644"/>
      <c r="F6" s="644"/>
      <c r="G6" s="644"/>
      <c r="H6" s="60"/>
      <c r="I6" s="625"/>
      <c r="J6" s="625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3">
      <c r="A7" s="71"/>
      <c r="B7" s="166"/>
      <c r="C7" s="162"/>
      <c r="D7" s="71"/>
      <c r="E7" s="71"/>
      <c r="F7" s="71"/>
      <c r="G7" s="71"/>
      <c r="H7" s="629"/>
      <c r="I7" s="629"/>
      <c r="J7" s="629"/>
      <c r="K7" s="626"/>
      <c r="L7" s="626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3">
      <c r="A8" s="71"/>
      <c r="B8" s="166"/>
      <c r="C8" s="645" t="s">
        <v>151</v>
      </c>
      <c r="D8" s="646"/>
      <c r="E8" s="646"/>
      <c r="F8" s="646"/>
      <c r="G8" s="646"/>
      <c r="H8" s="646"/>
      <c r="I8" s="646"/>
      <c r="J8" s="646"/>
      <c r="K8" s="646"/>
      <c r="L8" s="646"/>
      <c r="M8" s="647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3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3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3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3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3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3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3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3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3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3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3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3">
      <c r="A20" s="71"/>
      <c r="B20" s="166"/>
      <c r="C20" s="614" t="s">
        <v>234</v>
      </c>
      <c r="D20" s="614"/>
      <c r="E20" s="519" t="s">
        <v>402</v>
      </c>
      <c r="F20" s="188"/>
      <c r="G20" s="188"/>
      <c r="H20" s="614" t="s">
        <v>234</v>
      </c>
      <c r="I20" s="614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3">
      <c r="A21" s="71"/>
      <c r="B21" s="166"/>
      <c r="C21" s="621" t="s">
        <v>404</v>
      </c>
      <c r="D21" s="622"/>
      <c r="E21" s="514">
        <v>20</v>
      </c>
      <c r="F21" s="294" t="s">
        <v>376</v>
      </c>
      <c r="G21" s="279"/>
      <c r="H21" s="621" t="s">
        <v>404</v>
      </c>
      <c r="I21" s="622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3">
      <c r="A22" s="71"/>
      <c r="B22" s="166"/>
      <c r="C22" s="632" t="s">
        <v>375</v>
      </c>
      <c r="D22" s="632"/>
      <c r="E22" s="520" t="s">
        <v>374</v>
      </c>
      <c r="F22" s="278"/>
      <c r="G22" s="188"/>
      <c r="H22" s="632" t="s">
        <v>375</v>
      </c>
      <c r="I22" s="632"/>
      <c r="J22" s="520" t="s">
        <v>385</v>
      </c>
      <c r="K22" s="278"/>
      <c r="L22" s="189"/>
      <c r="M22" s="189"/>
      <c r="N22" s="196"/>
      <c r="O22" s="71"/>
      <c r="P22" s="659"/>
      <c r="Q22" s="659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3">
      <c r="A23" s="71"/>
      <c r="B23" s="166"/>
      <c r="C23" s="632" t="s">
        <v>235</v>
      </c>
      <c r="D23" s="632"/>
      <c r="E23" s="521" t="s">
        <v>379</v>
      </c>
      <c r="F23" s="515"/>
      <c r="G23" s="321" t="s">
        <v>443</v>
      </c>
      <c r="H23" s="632" t="s">
        <v>235</v>
      </c>
      <c r="I23" s="632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3">
      <c r="B24" s="8"/>
      <c r="C24" s="614" t="s">
        <v>382</v>
      </c>
      <c r="D24" s="614"/>
      <c r="E24" s="516">
        <f>E21</f>
        <v>20</v>
      </c>
      <c r="F24" s="280"/>
      <c r="G24" s="190"/>
      <c r="H24" s="614" t="s">
        <v>382</v>
      </c>
      <c r="I24" s="614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3">
      <c r="B25" s="8"/>
      <c r="C25" s="614" t="s">
        <v>383</v>
      </c>
      <c r="D25" s="614"/>
      <c r="E25" s="517">
        <v>10</v>
      </c>
      <c r="F25" s="202" t="s">
        <v>155</v>
      </c>
      <c r="G25" s="190"/>
      <c r="H25" s="614" t="s">
        <v>383</v>
      </c>
      <c r="I25" s="614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3">
      <c r="B26" s="8"/>
      <c r="C26" s="614" t="s">
        <v>384</v>
      </c>
      <c r="D26" s="614"/>
      <c r="E26" s="517">
        <v>5</v>
      </c>
      <c r="F26" s="202" t="s">
        <v>155</v>
      </c>
      <c r="G26" s="190"/>
      <c r="H26" s="614" t="s">
        <v>384</v>
      </c>
      <c r="I26" s="614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3">
      <c r="B27" s="8"/>
      <c r="C27" s="614" t="s">
        <v>172</v>
      </c>
      <c r="D27" s="614"/>
      <c r="E27" s="517">
        <v>10</v>
      </c>
      <c r="F27" s="202" t="s">
        <v>158</v>
      </c>
      <c r="G27" s="190"/>
      <c r="H27" s="614" t="s">
        <v>172</v>
      </c>
      <c r="I27" s="614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3">
      <c r="B28" s="8"/>
      <c r="C28" s="621" t="s">
        <v>386</v>
      </c>
      <c r="D28" s="622"/>
      <c r="E28" s="520" t="s">
        <v>360</v>
      </c>
      <c r="F28" s="517">
        <v>5</v>
      </c>
      <c r="G28" s="279" t="s">
        <v>376</v>
      </c>
      <c r="H28" s="621" t="s">
        <v>386</v>
      </c>
      <c r="I28" s="622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3">
      <c r="B29" s="8"/>
      <c r="C29" s="621" t="s">
        <v>387</v>
      </c>
      <c r="D29" s="622"/>
      <c r="E29" s="270">
        <f>E25*E24</f>
        <v>200</v>
      </c>
      <c r="F29" s="202" t="s">
        <v>156</v>
      </c>
      <c r="G29" s="190"/>
      <c r="H29" s="621" t="s">
        <v>387</v>
      </c>
      <c r="I29" s="622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3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3">
      <c r="B31" s="8"/>
      <c r="C31" s="614" t="s">
        <v>136</v>
      </c>
      <c r="D31" s="614"/>
      <c r="E31" s="517"/>
      <c r="F31" s="202" t="s">
        <v>155</v>
      </c>
      <c r="G31" s="190"/>
      <c r="H31" s="614" t="s">
        <v>136</v>
      </c>
      <c r="I31" s="614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3">
      <c r="B32" s="8"/>
      <c r="C32" s="614" t="s">
        <v>141</v>
      </c>
      <c r="D32" s="614"/>
      <c r="E32" s="517"/>
      <c r="F32" s="202" t="s">
        <v>155</v>
      </c>
      <c r="G32" s="190"/>
      <c r="H32" s="614" t="s">
        <v>142</v>
      </c>
      <c r="I32" s="614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3">
      <c r="B33" s="8"/>
      <c r="C33" s="632" t="s">
        <v>235</v>
      </c>
      <c r="D33" s="632"/>
      <c r="E33" s="521" t="s">
        <v>381</v>
      </c>
      <c r="F33" s="515"/>
      <c r="G33" s="321" t="s">
        <v>443</v>
      </c>
      <c r="H33" s="632" t="s">
        <v>235</v>
      </c>
      <c r="I33" s="632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3">
      <c r="B34" s="8"/>
      <c r="C34" s="621" t="s">
        <v>386</v>
      </c>
      <c r="D34" s="622"/>
      <c r="E34" s="520" t="s">
        <v>359</v>
      </c>
      <c r="F34" s="517"/>
      <c r="G34" s="279" t="s">
        <v>376</v>
      </c>
      <c r="H34" s="621" t="s">
        <v>386</v>
      </c>
      <c r="I34" s="622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3">
      <c r="B35" s="8"/>
      <c r="C35" s="660" t="s">
        <v>780</v>
      </c>
      <c r="D35" s="661"/>
      <c r="E35" s="522" t="s">
        <v>782</v>
      </c>
      <c r="F35" s="333"/>
      <c r="G35" s="279"/>
      <c r="H35" s="660" t="s">
        <v>780</v>
      </c>
      <c r="I35" s="622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3">
      <c r="B36" s="8"/>
      <c r="C36" s="614" t="s">
        <v>837</v>
      </c>
      <c r="D36" s="614"/>
      <c r="E36" s="523">
        <f>IF(E38&gt;6,E38*13.5/12,0)</f>
        <v>0</v>
      </c>
      <c r="F36" s="202" t="s">
        <v>158</v>
      </c>
      <c r="G36" s="279"/>
      <c r="H36" s="614" t="s">
        <v>837</v>
      </c>
      <c r="I36" s="614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3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3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3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3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3">
      <c r="B41" s="8"/>
      <c r="C41" s="614" t="s">
        <v>136</v>
      </c>
      <c r="D41" s="614"/>
      <c r="E41" s="517"/>
      <c r="F41" s="202" t="s">
        <v>155</v>
      </c>
      <c r="G41" s="190"/>
      <c r="H41" s="614" t="s">
        <v>136</v>
      </c>
      <c r="I41" s="614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3">
      <c r="B42" s="8"/>
      <c r="C42" s="614" t="s">
        <v>137</v>
      </c>
      <c r="D42" s="614"/>
      <c r="E42" s="517"/>
      <c r="F42" s="202" t="s">
        <v>155</v>
      </c>
      <c r="G42" s="190"/>
      <c r="H42" s="614" t="s">
        <v>137</v>
      </c>
      <c r="I42" s="614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3">
      <c r="B43" s="8"/>
      <c r="C43" s="614" t="s">
        <v>138</v>
      </c>
      <c r="D43" s="614"/>
      <c r="E43" s="517"/>
      <c r="F43" s="202" t="s">
        <v>155</v>
      </c>
      <c r="G43" s="190"/>
      <c r="H43" s="614" t="s">
        <v>138</v>
      </c>
      <c r="I43" s="614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3">
      <c r="B44" s="8"/>
      <c r="C44" s="632" t="s">
        <v>405</v>
      </c>
      <c r="D44" s="632"/>
      <c r="E44" s="517"/>
      <c r="F44" s="293" t="s">
        <v>376</v>
      </c>
      <c r="G44" s="279"/>
      <c r="H44" s="632" t="s">
        <v>405</v>
      </c>
      <c r="I44" s="632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3">
      <c r="B45" s="8"/>
      <c r="C45" s="632" t="s">
        <v>375</v>
      </c>
      <c r="D45" s="632"/>
      <c r="E45" s="520" t="s">
        <v>385</v>
      </c>
      <c r="F45" s="278"/>
      <c r="G45" s="188"/>
      <c r="H45" s="632" t="s">
        <v>375</v>
      </c>
      <c r="I45" s="632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3">
      <c r="B46" s="8"/>
      <c r="C46" s="632" t="s">
        <v>235</v>
      </c>
      <c r="D46" s="632"/>
      <c r="E46" s="521" t="s">
        <v>381</v>
      </c>
      <c r="F46" s="515"/>
      <c r="G46" s="321" t="s">
        <v>443</v>
      </c>
      <c r="H46" s="632" t="s">
        <v>235</v>
      </c>
      <c r="I46" s="632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3">
      <c r="B47" s="8"/>
      <c r="C47" s="614" t="s">
        <v>172</v>
      </c>
      <c r="D47" s="614"/>
      <c r="E47" s="517"/>
      <c r="F47" s="202" t="s">
        <v>158</v>
      </c>
      <c r="G47" s="190"/>
      <c r="H47" s="614" t="s">
        <v>172</v>
      </c>
      <c r="I47" s="614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3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3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3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3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3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35">
      <c r="B53" s="8"/>
      <c r="C53" s="595" t="s">
        <v>236</v>
      </c>
      <c r="D53" s="596"/>
      <c r="E53" s="122"/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5" thickBot="1" x14ac:dyDescent="0.35">
      <c r="B54" s="166"/>
      <c r="C54" s="595" t="s">
        <v>145</v>
      </c>
      <c r="D54" s="596"/>
      <c r="E54" s="122"/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5" thickBot="1" x14ac:dyDescent="0.35">
      <c r="B55" s="166"/>
      <c r="C55" s="595" t="s">
        <v>173</v>
      </c>
      <c r="D55" s="596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5" thickBot="1" x14ac:dyDescent="0.35">
      <c r="B56" s="166"/>
      <c r="C56" s="639" t="s">
        <v>973</v>
      </c>
      <c r="D56" s="640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5" thickBot="1" x14ac:dyDescent="0.35">
      <c r="B57" s="166"/>
      <c r="C57" s="639" t="s">
        <v>1338</v>
      </c>
      <c r="D57" s="640"/>
      <c r="E57" s="122"/>
      <c r="F57" s="204" t="s">
        <v>157</v>
      </c>
      <c r="G57" s="619" t="s">
        <v>754</v>
      </c>
      <c r="H57" s="620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5" thickBot="1" x14ac:dyDescent="0.35">
      <c r="B58" s="166"/>
      <c r="C58" s="390"/>
      <c r="D58" s="428" t="s">
        <v>1187</v>
      </c>
      <c r="E58" s="122"/>
      <c r="F58" s="206"/>
      <c r="G58" s="236" t="s">
        <v>153</v>
      </c>
      <c r="H58" s="404">
        <f>((Formulas!P111+Formulas!P115+Formulas!P119)*6.5)+(Formulas!P112*8.5)</f>
        <v>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5" thickBot="1" x14ac:dyDescent="0.3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5" thickBot="1" x14ac:dyDescent="0.35">
      <c r="B60" s="166"/>
      <c r="C60" s="595" t="s">
        <v>146</v>
      </c>
      <c r="D60" s="596"/>
      <c r="E60" s="122"/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5" thickBot="1" x14ac:dyDescent="0.35">
      <c r="B61" s="166"/>
      <c r="C61" s="595" t="s">
        <v>147</v>
      </c>
      <c r="D61" s="596"/>
      <c r="E61" s="122"/>
      <c r="F61" s="204" t="s">
        <v>157</v>
      </c>
      <c r="G61" s="401" t="s">
        <v>862</v>
      </c>
      <c r="H61" s="123"/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5" thickBot="1" x14ac:dyDescent="0.35">
      <c r="B62" s="166"/>
      <c r="C62" s="595" t="s">
        <v>148</v>
      </c>
      <c r="D62" s="596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5" thickBot="1" x14ac:dyDescent="0.35">
      <c r="B63" s="198"/>
      <c r="C63" s="595" t="s">
        <v>149</v>
      </c>
      <c r="D63" s="596"/>
      <c r="E63" s="122"/>
      <c r="F63" s="204" t="s">
        <v>157</v>
      </c>
      <c r="G63" s="401" t="s">
        <v>860</v>
      </c>
      <c r="H63" s="123"/>
      <c r="I63" s="204" t="s">
        <v>157</v>
      </c>
      <c r="J63" s="657" t="s">
        <v>1370</v>
      </c>
      <c r="K63" s="658"/>
      <c r="L63" s="413"/>
      <c r="M63" s="204" t="s">
        <v>156</v>
      </c>
      <c r="N63" s="193"/>
    </row>
    <row r="64" spans="2:27" ht="25" thickBot="1" x14ac:dyDescent="0.35">
      <c r="B64" s="199"/>
      <c r="C64" s="595" t="s">
        <v>168</v>
      </c>
      <c r="D64" s="596"/>
      <c r="E64" s="122"/>
      <c r="F64" s="206" t="s">
        <v>157</v>
      </c>
      <c r="G64" s="237" t="s">
        <v>174</v>
      </c>
      <c r="H64" s="404">
        <f>(Formulas!P111)+(Formulas!P112*2)+Formulas!P113+(Formulas!P114*2)</f>
        <v>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5" thickBot="1" x14ac:dyDescent="0.3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5" thickBot="1" x14ac:dyDescent="0.3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5" thickBot="1" x14ac:dyDescent="0.3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5" thickBot="1" x14ac:dyDescent="0.3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5" thickBot="1" x14ac:dyDescent="0.35">
      <c r="B69" s="199"/>
      <c r="C69" s="602" t="s">
        <v>270</v>
      </c>
      <c r="D69" s="602"/>
      <c r="E69" s="603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5" thickBot="1" x14ac:dyDescent="0.35">
      <c r="B70" s="199"/>
      <c r="C70" s="602" t="s">
        <v>271</v>
      </c>
      <c r="D70" s="602"/>
      <c r="E70" s="603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5" thickBot="1" x14ac:dyDescent="0.35">
      <c r="B71" s="199"/>
      <c r="C71" s="602"/>
      <c r="D71" s="602"/>
      <c r="E71" s="603"/>
      <c r="F71" s="325"/>
      <c r="G71" s="244"/>
      <c r="H71" s="220"/>
      <c r="I71" s="204"/>
      <c r="J71" s="652"/>
      <c r="K71" s="653"/>
      <c r="L71" s="205"/>
      <c r="M71" s="204"/>
      <c r="N71" s="193"/>
    </row>
    <row r="72" spans="2:14" ht="25" thickBot="1" x14ac:dyDescent="0.35">
      <c r="B72" s="199"/>
      <c r="C72" s="602"/>
      <c r="D72" s="602"/>
      <c r="E72" s="603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5" thickBot="1" x14ac:dyDescent="0.35">
      <c r="B73" s="199"/>
      <c r="C73" s="203"/>
      <c r="D73" s="203"/>
      <c r="E73" s="38"/>
      <c r="F73" s="206"/>
      <c r="G73" s="203"/>
      <c r="H73" s="220"/>
      <c r="I73" s="204"/>
      <c r="J73" s="650"/>
      <c r="K73" s="651"/>
      <c r="L73" s="205"/>
      <c r="M73" s="204"/>
      <c r="N73" s="193"/>
    </row>
    <row r="74" spans="2:14" x14ac:dyDescent="0.3">
      <c r="B74" s="199"/>
      <c r="C74" s="641" t="s">
        <v>237</v>
      </c>
      <c r="D74" s="641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3">
      <c r="B75" s="199"/>
      <c r="C75" s="654" t="s">
        <v>1327</v>
      </c>
      <c r="D75" s="655"/>
      <c r="E75" s="655"/>
      <c r="F75" s="655"/>
      <c r="G75" s="656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3">
      <c r="B76" s="199"/>
      <c r="C76" s="654" t="s">
        <v>1328</v>
      </c>
      <c r="D76" s="655"/>
      <c r="E76" s="655"/>
      <c r="F76" s="655"/>
      <c r="G76" s="656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3">
      <c r="B77" s="199"/>
      <c r="C77" s="654" t="s">
        <v>1329</v>
      </c>
      <c r="D77" s="655"/>
      <c r="E77" s="655"/>
      <c r="F77" s="655"/>
      <c r="G77" s="656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3">
      <c r="B78" s="199"/>
      <c r="C78" s="654" t="s">
        <v>1330</v>
      </c>
      <c r="D78" s="655"/>
      <c r="E78" s="655"/>
      <c r="F78" s="655"/>
      <c r="G78" s="656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3">
      <c r="B79" s="199"/>
      <c r="C79" s="654" t="s">
        <v>1331</v>
      </c>
      <c r="D79" s="655"/>
      <c r="E79" s="655"/>
      <c r="F79" s="655"/>
      <c r="G79" s="656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5" thickBot="1" x14ac:dyDescent="0.35">
      <c r="B80" s="199"/>
      <c r="C80" s="654" t="s">
        <v>1332</v>
      </c>
      <c r="D80" s="655"/>
      <c r="E80" s="655"/>
      <c r="F80" s="655"/>
      <c r="G80" s="656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5" thickBot="1" x14ac:dyDescent="0.3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3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3">
      <c r="B83" s="452"/>
      <c r="C83" s="597" t="s">
        <v>150</v>
      </c>
      <c r="D83" s="598"/>
      <c r="E83" s="598"/>
      <c r="F83" s="598"/>
      <c r="G83" s="598"/>
      <c r="H83" s="598"/>
      <c r="I83" s="598"/>
      <c r="J83" s="598"/>
      <c r="K83" s="598"/>
      <c r="L83" s="598"/>
      <c r="M83" s="599"/>
      <c r="N83" s="165"/>
      <c r="Q83" s="70"/>
    </row>
    <row r="84" spans="2:17" ht="25" thickBot="1" x14ac:dyDescent="0.3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5" thickBot="1" x14ac:dyDescent="0.35">
      <c r="B85" s="456"/>
      <c r="C85" s="600" t="s">
        <v>159</v>
      </c>
      <c r="D85" s="601"/>
      <c r="E85" s="458"/>
      <c r="F85" s="459" t="s">
        <v>284</v>
      </c>
      <c r="G85" s="600" t="s">
        <v>277</v>
      </c>
      <c r="H85" s="601"/>
      <c r="I85" s="460">
        <v>0</v>
      </c>
      <c r="J85" s="459" t="s">
        <v>158</v>
      </c>
      <c r="K85" s="461"/>
      <c r="L85" s="461"/>
      <c r="M85" s="462"/>
      <c r="N85" s="165"/>
    </row>
    <row r="86" spans="2:17" ht="25" thickBot="1" x14ac:dyDescent="0.35">
      <c r="B86" s="456"/>
      <c r="C86" s="600" t="s">
        <v>160</v>
      </c>
      <c r="D86" s="601"/>
      <c r="E86" s="458">
        <f>E52</f>
        <v>0</v>
      </c>
      <c r="F86" s="463" t="s">
        <v>157</v>
      </c>
      <c r="G86" s="600" t="s">
        <v>179</v>
      </c>
      <c r="H86" s="601"/>
      <c r="I86" s="460"/>
      <c r="J86" s="459" t="s">
        <v>158</v>
      </c>
      <c r="K86" s="461"/>
      <c r="L86" s="461"/>
      <c r="M86" s="462"/>
      <c r="N86" s="165"/>
      <c r="Q86" s="268"/>
    </row>
    <row r="87" spans="2:17" ht="25" thickBot="1" x14ac:dyDescent="0.35">
      <c r="B87" s="456"/>
      <c r="C87" s="600" t="s">
        <v>167</v>
      </c>
      <c r="D87" s="601"/>
      <c r="E87" s="458">
        <f>Formulas!D4+Formulas!D5+Formulas!D6+Formulas!D7</f>
        <v>20</v>
      </c>
      <c r="F87" s="463" t="s">
        <v>157</v>
      </c>
      <c r="G87" s="600" t="s">
        <v>182</v>
      </c>
      <c r="H87" s="601"/>
      <c r="I87" s="460"/>
      <c r="J87" s="459" t="s">
        <v>158</v>
      </c>
      <c r="K87" s="462"/>
      <c r="L87" s="462"/>
      <c r="M87" s="462"/>
      <c r="N87" s="165"/>
    </row>
    <row r="88" spans="2:17" ht="25" thickBot="1" x14ac:dyDescent="0.35">
      <c r="B88" s="456"/>
      <c r="C88" s="604" t="s">
        <v>161</v>
      </c>
      <c r="D88" s="605"/>
      <c r="E88" s="458"/>
      <c r="F88" s="463" t="s">
        <v>156</v>
      </c>
      <c r="G88" s="600" t="s">
        <v>183</v>
      </c>
      <c r="H88" s="601"/>
      <c r="I88" s="460"/>
      <c r="J88" s="459" t="s">
        <v>158</v>
      </c>
      <c r="K88" s="462"/>
      <c r="L88" s="462"/>
      <c r="M88" s="462"/>
      <c r="N88" s="165"/>
    </row>
    <row r="89" spans="2:17" ht="25" thickBot="1" x14ac:dyDescent="0.35">
      <c r="B89" s="456"/>
      <c r="C89" s="600" t="s">
        <v>275</v>
      </c>
      <c r="D89" s="601"/>
      <c r="E89" s="458"/>
      <c r="F89" s="463" t="s">
        <v>157</v>
      </c>
      <c r="G89" s="600" t="s">
        <v>184</v>
      </c>
      <c r="H89" s="601"/>
      <c r="I89" s="460"/>
      <c r="J89" s="459" t="s">
        <v>157</v>
      </c>
      <c r="K89" s="462"/>
      <c r="L89" s="462"/>
      <c r="M89" s="462"/>
      <c r="N89" s="165"/>
    </row>
    <row r="90" spans="2:17" ht="25" thickBot="1" x14ac:dyDescent="0.35">
      <c r="B90" s="456"/>
      <c r="C90" s="604" t="s">
        <v>276</v>
      </c>
      <c r="D90" s="605"/>
      <c r="E90" s="458"/>
      <c r="F90" s="463" t="s">
        <v>157</v>
      </c>
      <c r="G90" s="600" t="s">
        <v>185</v>
      </c>
      <c r="H90" s="601"/>
      <c r="I90" s="460"/>
      <c r="J90" s="459" t="s">
        <v>157</v>
      </c>
      <c r="K90" s="462"/>
      <c r="L90" s="461"/>
      <c r="M90" s="461"/>
      <c r="N90" s="165"/>
    </row>
    <row r="91" spans="2:17" ht="25" thickBot="1" x14ac:dyDescent="0.35">
      <c r="B91" s="456"/>
      <c r="C91" s="600" t="s">
        <v>163</v>
      </c>
      <c r="D91" s="601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5" thickBot="1" x14ac:dyDescent="0.3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5" thickBot="1" x14ac:dyDescent="0.35">
      <c r="B93" s="456"/>
      <c r="C93" s="600" t="s">
        <v>172</v>
      </c>
      <c r="D93" s="601"/>
      <c r="E93" s="458">
        <v>10</v>
      </c>
      <c r="F93" s="463" t="s">
        <v>158</v>
      </c>
      <c r="G93" s="600" t="s">
        <v>280</v>
      </c>
      <c r="H93" s="601"/>
      <c r="I93" s="460"/>
      <c r="J93" s="459" t="s">
        <v>158</v>
      </c>
      <c r="K93" s="462"/>
      <c r="L93" s="461"/>
      <c r="M93" s="461"/>
      <c r="N93" s="165"/>
    </row>
    <row r="94" spans="2:17" ht="25" thickBot="1" x14ac:dyDescent="0.35">
      <c r="B94" s="456"/>
      <c r="C94" s="600" t="s">
        <v>173</v>
      </c>
      <c r="D94" s="601"/>
      <c r="E94" s="458"/>
      <c r="F94" s="463" t="s">
        <v>157</v>
      </c>
      <c r="G94" s="600"/>
      <c r="H94" s="601"/>
      <c r="I94" s="460"/>
      <c r="J94" s="459"/>
      <c r="K94" s="462"/>
      <c r="L94" s="461"/>
      <c r="M94" s="461"/>
      <c r="N94" s="165"/>
    </row>
    <row r="95" spans="2:17" ht="25" thickBot="1" x14ac:dyDescent="0.35">
      <c r="B95" s="456"/>
      <c r="C95" s="600" t="s">
        <v>176</v>
      </c>
      <c r="D95" s="601"/>
      <c r="E95" s="458"/>
      <c r="F95" s="463" t="s">
        <v>157</v>
      </c>
      <c r="G95" s="600"/>
      <c r="H95" s="601"/>
      <c r="I95" s="460"/>
      <c r="J95" s="459"/>
      <c r="K95" s="462"/>
      <c r="L95" s="461"/>
      <c r="M95" s="461"/>
      <c r="N95" s="165"/>
    </row>
    <row r="96" spans="2:17" ht="25" thickBot="1" x14ac:dyDescent="0.35">
      <c r="B96" s="456"/>
      <c r="C96" s="604" t="s">
        <v>177</v>
      </c>
      <c r="D96" s="605"/>
      <c r="E96" s="458"/>
      <c r="F96" s="463" t="s">
        <v>157</v>
      </c>
      <c r="G96" s="600"/>
      <c r="H96" s="601"/>
      <c r="I96" s="460"/>
      <c r="J96" s="459"/>
      <c r="K96" s="462"/>
      <c r="L96" s="461"/>
      <c r="M96" s="461"/>
      <c r="N96" s="165"/>
      <c r="O96" s="71"/>
    </row>
    <row r="97" spans="2:23" ht="25" thickBot="1" x14ac:dyDescent="0.35">
      <c r="B97" s="456"/>
      <c r="C97" s="615" t="s">
        <v>178</v>
      </c>
      <c r="D97" s="616"/>
      <c r="E97" s="458">
        <f>E38+J38</f>
        <v>0</v>
      </c>
      <c r="F97" s="463" t="s">
        <v>157</v>
      </c>
      <c r="G97" s="600"/>
      <c r="H97" s="601"/>
      <c r="I97" s="460"/>
      <c r="J97" s="459"/>
      <c r="K97" s="454"/>
      <c r="L97" s="468"/>
      <c r="M97" s="468"/>
      <c r="N97" s="165"/>
      <c r="O97" s="71"/>
    </row>
    <row r="98" spans="2:23" x14ac:dyDescent="0.3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3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3">
      <c r="B100" s="456"/>
      <c r="C100" s="638" t="s">
        <v>239</v>
      </c>
      <c r="D100" s="638"/>
      <c r="E100" s="470"/>
      <c r="F100" s="472"/>
      <c r="G100" s="464"/>
      <c r="H100" s="473"/>
      <c r="I100" s="649" t="s">
        <v>107</v>
      </c>
      <c r="J100" s="649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5" thickBot="1" x14ac:dyDescent="0.35">
      <c r="B101" s="474"/>
      <c r="C101" s="606" t="s">
        <v>725</v>
      </c>
      <c r="D101" s="607"/>
      <c r="E101" s="607"/>
      <c r="F101" s="607"/>
      <c r="G101" s="607"/>
      <c r="H101" s="608"/>
      <c r="I101" s="618"/>
      <c r="J101" s="618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5" thickBot="1" x14ac:dyDescent="0.35">
      <c r="B102" s="474"/>
      <c r="C102" s="606"/>
      <c r="D102" s="607"/>
      <c r="E102" s="607"/>
      <c r="F102" s="607"/>
      <c r="G102" s="607"/>
      <c r="H102" s="608"/>
      <c r="I102" s="618"/>
      <c r="J102" s="618"/>
      <c r="K102" s="466"/>
      <c r="L102" s="627"/>
      <c r="M102" s="627"/>
      <c r="N102" s="330"/>
      <c r="O102" s="38"/>
      <c r="P102" s="326"/>
      <c r="Q102" s="66"/>
      <c r="R102" s="127"/>
      <c r="S102" s="648"/>
      <c r="T102" s="636"/>
      <c r="U102" s="62"/>
      <c r="V102" s="64"/>
    </row>
    <row r="103" spans="2:23" x14ac:dyDescent="0.3">
      <c r="B103" s="474"/>
      <c r="C103" s="606"/>
      <c r="D103" s="607"/>
      <c r="E103" s="607"/>
      <c r="F103" s="607"/>
      <c r="G103" s="607"/>
      <c r="H103" s="608"/>
      <c r="I103" s="618"/>
      <c r="J103" s="618"/>
      <c r="K103" s="466"/>
      <c r="L103" s="627"/>
      <c r="M103" s="627"/>
      <c r="N103" s="330"/>
      <c r="O103" s="38"/>
      <c r="P103" s="327"/>
      <c r="Q103" s="63"/>
      <c r="R103" s="126"/>
      <c r="S103" s="648"/>
      <c r="T103" s="636"/>
      <c r="U103" s="62"/>
      <c r="V103" s="64"/>
    </row>
    <row r="104" spans="2:23" x14ac:dyDescent="0.3">
      <c r="B104" s="474"/>
      <c r="C104" s="606"/>
      <c r="D104" s="607"/>
      <c r="E104" s="607"/>
      <c r="F104" s="607"/>
      <c r="G104" s="607"/>
      <c r="H104" s="608"/>
      <c r="I104" s="618"/>
      <c r="J104" s="618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3">
      <c r="B105" s="474"/>
      <c r="C105" s="606"/>
      <c r="D105" s="607"/>
      <c r="E105" s="607"/>
      <c r="F105" s="607"/>
      <c r="G105" s="607"/>
      <c r="H105" s="608"/>
      <c r="I105" s="618"/>
      <c r="J105" s="618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5" thickBot="1" x14ac:dyDescent="0.35">
      <c r="B106" s="475"/>
      <c r="C106" s="476"/>
      <c r="D106" s="628"/>
      <c r="E106" s="628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3">
      <c r="B107" s="466"/>
      <c r="C107" s="466"/>
      <c r="D107" s="609"/>
      <c r="E107" s="609"/>
      <c r="F107" s="483"/>
      <c r="G107" s="483"/>
      <c r="H107" s="483"/>
      <c r="I107" s="483"/>
      <c r="J107" s="483"/>
      <c r="K107" s="454"/>
      <c r="L107" s="617"/>
      <c r="M107" s="617"/>
      <c r="N107" s="221"/>
    </row>
    <row r="108" spans="2:23" x14ac:dyDescent="0.3">
      <c r="B108" s="466"/>
      <c r="C108" s="466"/>
      <c r="D108" s="609"/>
      <c r="E108" s="609"/>
      <c r="F108" s="483"/>
      <c r="G108" s="483"/>
      <c r="H108" s="483"/>
      <c r="I108" s="483"/>
      <c r="J108" s="483"/>
      <c r="K108" s="454"/>
      <c r="L108" s="617"/>
      <c r="M108" s="617"/>
      <c r="N108" s="221"/>
    </row>
    <row r="109" spans="2:23" x14ac:dyDescent="0.3">
      <c r="B109" s="466"/>
      <c r="C109" s="466"/>
      <c r="D109" s="609"/>
      <c r="E109" s="609"/>
      <c r="F109" s="484"/>
      <c r="G109" s="483"/>
      <c r="H109" s="483"/>
      <c r="I109" s="483"/>
      <c r="J109" s="483"/>
      <c r="K109" s="454"/>
      <c r="L109" s="617"/>
      <c r="M109" s="617"/>
      <c r="N109" s="221"/>
    </row>
    <row r="110" spans="2:23" x14ac:dyDescent="0.3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7"/>
      <c r="M110" s="617"/>
      <c r="N110" s="221"/>
    </row>
    <row r="111" spans="2:23" x14ac:dyDescent="0.3">
      <c r="B111" s="466"/>
      <c r="C111" s="466"/>
      <c r="D111" s="470"/>
      <c r="E111" s="470"/>
      <c r="F111" s="470"/>
      <c r="G111" s="470"/>
      <c r="H111" s="630"/>
      <c r="I111" s="630"/>
      <c r="J111" s="630"/>
      <c r="K111" s="486"/>
      <c r="L111" s="617"/>
      <c r="M111" s="617"/>
      <c r="N111" s="221"/>
    </row>
    <row r="112" spans="2:23" x14ac:dyDescent="0.3">
      <c r="B112" s="466"/>
      <c r="C112" s="466"/>
      <c r="D112" s="470"/>
      <c r="E112" s="470"/>
      <c r="F112" s="470"/>
      <c r="G112" s="470"/>
      <c r="H112" s="631"/>
      <c r="I112" s="631"/>
      <c r="J112" s="631"/>
      <c r="K112" s="454"/>
      <c r="L112" s="617"/>
      <c r="M112" s="617"/>
      <c r="N112" s="221"/>
    </row>
    <row r="113" spans="1:26" x14ac:dyDescent="0.3">
      <c r="B113" s="466"/>
      <c r="C113" s="466"/>
      <c r="D113" s="470"/>
      <c r="E113" s="470"/>
      <c r="F113" s="470"/>
      <c r="G113" s="470"/>
      <c r="H113" s="631"/>
      <c r="I113" s="631"/>
      <c r="J113" s="631"/>
      <c r="K113" s="454"/>
      <c r="L113" s="617"/>
      <c r="M113" s="617"/>
      <c r="N113" s="222"/>
    </row>
    <row r="114" spans="1:26" x14ac:dyDescent="0.3">
      <c r="B114" s="466"/>
      <c r="C114" s="466"/>
      <c r="D114" s="470"/>
      <c r="E114" s="470"/>
      <c r="F114" s="470"/>
      <c r="G114" s="470"/>
      <c r="H114" s="611"/>
      <c r="I114" s="611"/>
      <c r="J114" s="611"/>
      <c r="K114" s="454"/>
      <c r="L114" s="617"/>
      <c r="M114" s="617"/>
      <c r="N114" s="221"/>
      <c r="R114" s="223"/>
    </row>
    <row r="115" spans="1:26" x14ac:dyDescent="0.3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3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3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33"/>
      <c r="M117" s="633"/>
      <c r="N117" s="221"/>
    </row>
    <row r="118" spans="1:26" x14ac:dyDescent="0.3">
      <c r="A118" s="37"/>
      <c r="B118" s="466"/>
      <c r="C118" s="466"/>
      <c r="D118" s="594"/>
      <c r="E118" s="594"/>
      <c r="F118" s="483"/>
      <c r="G118" s="493"/>
      <c r="H118" s="494"/>
      <c r="I118" s="495"/>
      <c r="J118" s="496"/>
      <c r="K118" s="470"/>
      <c r="L118" s="613"/>
      <c r="M118" s="613"/>
      <c r="N118" s="221"/>
    </row>
    <row r="119" spans="1:26" x14ac:dyDescent="0.3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35"/>
      <c r="R119" s="635"/>
      <c r="S119" s="635"/>
      <c r="T119" s="635"/>
      <c r="U119" s="635"/>
      <c r="V119" s="635"/>
      <c r="W119" s="37"/>
      <c r="X119" s="37"/>
      <c r="Y119" s="37"/>
      <c r="Z119" s="37"/>
    </row>
    <row r="120" spans="1:26" x14ac:dyDescent="0.3">
      <c r="A120" s="37"/>
      <c r="B120" s="466"/>
      <c r="C120" s="466"/>
      <c r="D120" s="498"/>
      <c r="E120" s="498"/>
      <c r="F120" s="498"/>
      <c r="G120" s="498"/>
      <c r="H120" s="611"/>
      <c r="I120" s="611"/>
      <c r="J120" s="611"/>
      <c r="K120" s="471"/>
      <c r="L120" s="613"/>
      <c r="M120" s="613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3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466"/>
      <c r="C122" s="466"/>
      <c r="D122" s="470"/>
      <c r="E122" s="501"/>
      <c r="F122" s="470"/>
      <c r="G122" s="470"/>
      <c r="H122" s="611"/>
      <c r="I122" s="611"/>
      <c r="J122" s="611"/>
      <c r="K122" s="488"/>
      <c r="L122" s="613"/>
      <c r="M122" s="613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3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13"/>
      <c r="M124" s="613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3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3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13"/>
      <c r="M126" s="613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3">
      <c r="B127" s="466"/>
      <c r="C127" s="466"/>
      <c r="D127" s="610"/>
      <c r="E127" s="610"/>
      <c r="F127" s="505"/>
      <c r="G127" s="470"/>
      <c r="H127" s="504"/>
      <c r="I127" s="502"/>
      <c r="J127" s="502"/>
      <c r="K127" s="488"/>
      <c r="L127" s="617"/>
      <c r="M127" s="617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B128" s="466"/>
      <c r="C128" s="466"/>
      <c r="D128" s="610"/>
      <c r="E128" s="610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3">
      <c r="B129" s="466"/>
      <c r="C129" s="466"/>
      <c r="D129" s="610"/>
      <c r="E129" s="610"/>
      <c r="F129" s="483"/>
      <c r="G129" s="470"/>
      <c r="H129" s="508"/>
      <c r="I129" s="488"/>
      <c r="J129" s="488"/>
      <c r="K129" s="509"/>
      <c r="L129" s="612"/>
      <c r="M129" s="612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3">
      <c r="B130" s="466"/>
      <c r="C130" s="466"/>
      <c r="D130" s="609"/>
      <c r="E130" s="609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3">
      <c r="B131" s="466"/>
      <c r="C131" s="513"/>
      <c r="D131" s="470"/>
      <c r="E131" s="513"/>
      <c r="F131" s="470"/>
      <c r="G131" s="513"/>
      <c r="H131" s="513"/>
      <c r="I131" s="593"/>
      <c r="J131" s="593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3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3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3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3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3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3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3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3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3">
      <c r="N140" s="221"/>
    </row>
    <row r="141" spans="2:26" ht="12" customHeight="1" x14ac:dyDescent="0.3"/>
    <row r="142" spans="2:26" ht="25" customHeight="1" x14ac:dyDescent="0.3"/>
    <row r="143" spans="2:26" ht="25" customHeight="1" x14ac:dyDescent="0.3"/>
    <row r="144" spans="2:26" ht="25" customHeight="1" x14ac:dyDescent="0.3"/>
    <row r="145" ht="25" customHeight="1" x14ac:dyDescent="0.3"/>
    <row r="146" ht="25" customHeight="1" x14ac:dyDescent="0.3"/>
    <row r="147" ht="25" customHeight="1" x14ac:dyDescent="0.3"/>
    <row r="148" ht="25" customHeight="1" x14ac:dyDescent="0.3"/>
    <row r="149" ht="25" customHeight="1" x14ac:dyDescent="0.3"/>
    <row r="150" ht="25" customHeight="1" x14ac:dyDescent="0.3"/>
    <row r="151" ht="25" customHeight="1" x14ac:dyDescent="0.3"/>
    <row r="152" ht="25" customHeight="1" x14ac:dyDescent="0.3"/>
    <row r="153" ht="25" customHeight="1" x14ac:dyDescent="0.3"/>
    <row r="154" ht="25" customHeight="1" x14ac:dyDescent="0.3"/>
    <row r="155" ht="25" customHeight="1" x14ac:dyDescent="0.3"/>
    <row r="156" ht="25" customHeight="1" x14ac:dyDescent="0.3"/>
    <row r="157" ht="25" customHeight="1" x14ac:dyDescent="0.3"/>
    <row r="158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155"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zoomScaleNormal="100" zoomScaleSheetLayoutView="100" workbookViewId="0">
      <selection activeCell="D27" sqref="D27:J2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1325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ht="23.5" customHeight="1" x14ac:dyDescent="0.3">
      <c r="A12" s="71"/>
      <c r="B12" s="166"/>
      <c r="C12" s="360"/>
      <c r="D12" s="590" t="s">
        <v>1324</v>
      </c>
      <c r="E12" s="591"/>
      <c r="F12" s="591"/>
      <c r="G12" s="591"/>
      <c r="H12" s="591"/>
      <c r="I12" s="591"/>
      <c r="J12" s="685"/>
      <c r="K12" s="152">
        <v>50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/>
      <c r="D13" s="590" t="s">
        <v>1323</v>
      </c>
      <c r="E13" s="591"/>
      <c r="F13" s="591"/>
      <c r="G13" s="591"/>
      <c r="H13" s="591"/>
      <c r="I13" s="591"/>
      <c r="J13" s="685"/>
      <c r="K13" s="152">
        <v>52</v>
      </c>
      <c r="L13" s="668">
        <f t="shared" ref="L13:L35" si="1">K13*C13</f>
        <v>0</v>
      </c>
      <c r="M13" s="669"/>
      <c r="N13" s="178"/>
      <c r="O13" s="71"/>
    </row>
    <row r="14" spans="1:15" x14ac:dyDescent="0.3">
      <c r="A14" s="71"/>
      <c r="B14" s="166"/>
      <c r="C14" s="360"/>
      <c r="D14" s="590" t="s">
        <v>1322</v>
      </c>
      <c r="E14" s="591"/>
      <c r="F14" s="591"/>
      <c r="G14" s="591"/>
      <c r="H14" s="591"/>
      <c r="I14" s="591"/>
      <c r="J14" s="685"/>
      <c r="K14" s="152">
        <v>39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/>
      <c r="D15" s="590" t="s">
        <v>1321</v>
      </c>
      <c r="E15" s="591"/>
      <c r="F15" s="591"/>
      <c r="G15" s="591"/>
      <c r="H15" s="591"/>
      <c r="I15" s="591"/>
      <c r="J15" s="685"/>
      <c r="K15" s="152">
        <v>15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60"/>
      <c r="D16" s="590" t="s">
        <v>1320</v>
      </c>
      <c r="E16" s="591"/>
      <c r="F16" s="591"/>
      <c r="G16" s="591"/>
      <c r="H16" s="591"/>
      <c r="I16" s="591"/>
      <c r="J16" s="685"/>
      <c r="K16" s="152">
        <v>15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60"/>
      <c r="D17" s="590" t="s">
        <v>1319</v>
      </c>
      <c r="E17" s="591"/>
      <c r="F17" s="591"/>
      <c r="G17" s="591"/>
      <c r="H17" s="591"/>
      <c r="I17" s="591"/>
      <c r="J17" s="685"/>
      <c r="K17" s="152">
        <f>'Material Price'!J353</f>
        <v>60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60"/>
      <c r="D18" s="590" t="s">
        <v>1318</v>
      </c>
      <c r="E18" s="591"/>
      <c r="F18" s="591"/>
      <c r="G18" s="591"/>
      <c r="H18" s="591"/>
      <c r="I18" s="591"/>
      <c r="J18" s="685"/>
      <c r="K18" s="152">
        <v>68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60"/>
      <c r="D19" s="590" t="s">
        <v>1333</v>
      </c>
      <c r="E19" s="591"/>
      <c r="F19" s="591"/>
      <c r="G19" s="591"/>
      <c r="H19" s="591"/>
      <c r="I19" s="591"/>
      <c r="J19" s="685"/>
      <c r="K19" s="152">
        <v>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60"/>
      <c r="D20" s="590" t="s">
        <v>1334</v>
      </c>
      <c r="E20" s="591"/>
      <c r="F20" s="591"/>
      <c r="G20" s="591"/>
      <c r="H20" s="591"/>
      <c r="I20" s="591"/>
      <c r="J20" s="685"/>
      <c r="K20" s="152">
        <f>'Material Price'!J356</f>
        <v>18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60"/>
      <c r="D21" s="590" t="s">
        <v>1335</v>
      </c>
      <c r="E21" s="591"/>
      <c r="F21" s="591"/>
      <c r="G21" s="591"/>
      <c r="H21" s="591"/>
      <c r="I21" s="591"/>
      <c r="J21" s="685"/>
      <c r="K21" s="152">
        <f>'Material Price'!J357</f>
        <v>2.5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60"/>
      <c r="D22" s="590" t="s">
        <v>1336</v>
      </c>
      <c r="E22" s="591"/>
      <c r="F22" s="591"/>
      <c r="G22" s="591"/>
      <c r="H22" s="591"/>
      <c r="I22" s="591"/>
      <c r="J22" s="685"/>
      <c r="K22" s="152">
        <v>3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590" t="s">
        <v>1337</v>
      </c>
      <c r="E23" s="591"/>
      <c r="F23" s="591"/>
      <c r="G23" s="591"/>
      <c r="H23" s="591"/>
      <c r="I23" s="591"/>
      <c r="J23" s="685"/>
      <c r="K23" s="152">
        <f>'Material Price'!J359</f>
        <v>1.5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590" t="s">
        <v>1312</v>
      </c>
      <c r="E24" s="591"/>
      <c r="F24" s="591"/>
      <c r="G24" s="591"/>
      <c r="H24" s="591"/>
      <c r="I24" s="591"/>
      <c r="J24" s="685"/>
      <c r="K24" s="152">
        <f>'Material Price'!J360</f>
        <v>1.2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590"/>
      <c r="E25" s="591"/>
      <c r="F25" s="591"/>
      <c r="G25" s="591"/>
      <c r="H25" s="591"/>
      <c r="I25" s="591"/>
      <c r="J25" s="685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590"/>
      <c r="E26" s="591"/>
      <c r="F26" s="591"/>
      <c r="G26" s="591"/>
      <c r="H26" s="591"/>
      <c r="I26" s="591"/>
      <c r="J26" s="685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590"/>
      <c r="E27" s="591"/>
      <c r="F27" s="591"/>
      <c r="G27" s="591"/>
      <c r="H27" s="591"/>
      <c r="I27" s="591"/>
      <c r="J27" s="685"/>
      <c r="K27" s="152"/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60"/>
      <c r="D28" s="590"/>
      <c r="E28" s="591"/>
      <c r="F28" s="591"/>
      <c r="G28" s="591"/>
      <c r="H28" s="591"/>
      <c r="I28" s="591"/>
      <c r="J28" s="685"/>
      <c r="K28" s="152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8">
        <f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ref="L37:L46" si="2"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 t="shared" si="2"/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si="2"/>
        <v>0</v>
      </c>
      <c r="M39" s="669"/>
      <c r="N39" s="178"/>
      <c r="O39" s="71"/>
    </row>
    <row r="40" spans="1:15" x14ac:dyDescent="0.3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>K47*C47</f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zoomScaleNormal="100" zoomScaleSheetLayoutView="100" workbookViewId="0">
      <selection activeCell="K13" sqref="K13:M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16.3984375" style="1" bestFit="1" customWidth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35">
      <c r="A8" s="71"/>
      <c r="B8" s="166"/>
      <c r="C8" s="671"/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thickBot="1" x14ac:dyDescent="0.35">
      <c r="A9" s="71"/>
      <c r="B9" s="166"/>
      <c r="C9" s="715" t="s">
        <v>62</v>
      </c>
      <c r="D9" s="716"/>
      <c r="E9" s="716"/>
      <c r="F9" s="716"/>
      <c r="G9" s="716"/>
      <c r="H9" s="716"/>
      <c r="I9" s="716"/>
      <c r="J9" s="716"/>
      <c r="K9" s="716"/>
      <c r="L9" s="716"/>
      <c r="M9" s="717"/>
      <c r="N9" s="178"/>
      <c r="O9" s="71"/>
    </row>
    <row r="10" spans="1:15" x14ac:dyDescent="0.3">
      <c r="A10" s="71"/>
      <c r="B10" s="166"/>
      <c r="C10" s="524"/>
      <c r="D10" s="696" t="s">
        <v>1287</v>
      </c>
      <c r="E10" s="697"/>
      <c r="F10" s="697"/>
      <c r="G10" s="525"/>
      <c r="H10" s="525"/>
      <c r="I10" s="525"/>
      <c r="J10" s="526"/>
      <c r="K10" s="690">
        <f>VLOOKUP(D10,'Calculations '!A2:D27,4,FALSE)</f>
        <v>794.484375</v>
      </c>
      <c r="L10" s="691"/>
      <c r="M10" s="692"/>
      <c r="N10" s="9"/>
      <c r="O10" s="71"/>
    </row>
    <row r="11" spans="1:15" x14ac:dyDescent="0.3">
      <c r="A11" s="71"/>
      <c r="B11" s="166"/>
      <c r="C11" s="527"/>
      <c r="D11" s="698" t="s">
        <v>1387</v>
      </c>
      <c r="E11" s="699"/>
      <c r="F11" s="699"/>
      <c r="G11" s="34"/>
      <c r="H11" s="34"/>
      <c r="I11" s="34"/>
      <c r="J11" s="35"/>
      <c r="K11" s="693">
        <f>VLOOKUP(D11,'Calculations '!K2:L13,2,FALSE)</f>
        <v>0</v>
      </c>
      <c r="L11" s="694"/>
      <c r="M11" s="695"/>
      <c r="N11" s="9"/>
      <c r="O11" s="71"/>
    </row>
    <row r="12" spans="1:15" x14ac:dyDescent="0.3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693">
        <f>'PT Frame Material'!L49</f>
        <v>568.01250000000005</v>
      </c>
      <c r="L12" s="694">
        <f t="shared" ref="L12:L27" si="0">K12*C12</f>
        <v>0</v>
      </c>
      <c r="M12" s="695"/>
      <c r="N12" s="9"/>
      <c r="O12" s="71"/>
    </row>
    <row r="13" spans="1:15" x14ac:dyDescent="0.3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693">
        <f>'Galv. Strap Fastners Footings'!L48</f>
        <v>268.08999999999997</v>
      </c>
      <c r="L13" s="694">
        <f t="shared" si="0"/>
        <v>0</v>
      </c>
      <c r="M13" s="695"/>
      <c r="N13" s="9"/>
      <c r="O13" s="71"/>
    </row>
    <row r="14" spans="1:15" x14ac:dyDescent="0.3">
      <c r="A14" s="71"/>
      <c r="B14" s="166"/>
      <c r="C14" s="527"/>
      <c r="D14" s="706" t="s">
        <v>1240</v>
      </c>
      <c r="E14" s="707"/>
      <c r="F14" s="707"/>
      <c r="G14" s="34"/>
      <c r="H14" s="34"/>
      <c r="I14" s="34"/>
      <c r="J14" s="35"/>
      <c r="K14" s="693">
        <f>VLOOKUP(D14,'Calculations '!N18:O20,2,FALSE)</f>
        <v>0</v>
      </c>
      <c r="L14" s="694">
        <f t="shared" si="0"/>
        <v>0</v>
      </c>
      <c r="M14" s="695"/>
      <c r="N14" s="9"/>
      <c r="O14" s="71"/>
    </row>
    <row r="15" spans="1:15" x14ac:dyDescent="0.3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693">
        <f>'Trex Rain Scape'!L49</f>
        <v>0</v>
      </c>
      <c r="L15" s="694">
        <f t="shared" si="0"/>
        <v>0</v>
      </c>
      <c r="M15" s="695"/>
      <c r="N15" s="9"/>
      <c r="O15" s="71"/>
    </row>
    <row r="16" spans="1:15" x14ac:dyDescent="0.3">
      <c r="A16" s="71"/>
      <c r="B16" s="166"/>
      <c r="C16" s="360"/>
      <c r="D16" s="557" t="s">
        <v>1248</v>
      </c>
      <c r="E16" s="558"/>
      <c r="F16" s="558"/>
      <c r="G16" s="558"/>
      <c r="H16" s="558"/>
      <c r="I16" s="558"/>
      <c r="J16" s="718"/>
      <c r="K16" s="693"/>
      <c r="L16" s="694"/>
      <c r="M16" s="695"/>
      <c r="N16" s="9"/>
      <c r="O16" s="71"/>
    </row>
    <row r="17" spans="1:15" x14ac:dyDescent="0.3">
      <c r="A17" s="71"/>
      <c r="B17" s="166"/>
      <c r="C17" s="360">
        <f>'Deck TakeOff'!H75</f>
        <v>0</v>
      </c>
      <c r="D17" s="566" t="str">
        <f>'Deck TakeOff'!C75</f>
        <v>1-</v>
      </c>
      <c r="E17" s="567"/>
      <c r="F17" s="567"/>
      <c r="G17" s="567"/>
      <c r="H17" s="567"/>
      <c r="I17" s="567"/>
      <c r="J17" s="575"/>
      <c r="K17" s="693">
        <f>'Deck TakeOff'!J75</f>
        <v>0</v>
      </c>
      <c r="L17" s="694"/>
      <c r="M17" s="695"/>
      <c r="N17" s="9"/>
      <c r="O17" s="71"/>
    </row>
    <row r="18" spans="1:15" x14ac:dyDescent="0.3">
      <c r="A18" s="71"/>
      <c r="B18" s="166"/>
      <c r="C18" s="360">
        <f>'Deck TakeOff'!H76</f>
        <v>0</v>
      </c>
      <c r="D18" s="566" t="str">
        <f>'Deck TakeOff'!C76</f>
        <v>2-</v>
      </c>
      <c r="E18" s="567"/>
      <c r="F18" s="567"/>
      <c r="G18" s="567"/>
      <c r="H18" s="567"/>
      <c r="I18" s="567"/>
      <c r="J18" s="575"/>
      <c r="K18" s="693">
        <f>'Deck TakeOff'!J76</f>
        <v>0</v>
      </c>
      <c r="L18" s="694"/>
      <c r="M18" s="695"/>
      <c r="N18" s="9"/>
      <c r="O18" s="71"/>
    </row>
    <row r="19" spans="1:15" x14ac:dyDescent="0.3">
      <c r="A19" s="71"/>
      <c r="B19" s="166"/>
      <c r="C19" s="360">
        <f>'Deck TakeOff'!H77</f>
        <v>0</v>
      </c>
      <c r="D19" s="566" t="str">
        <f>'Deck TakeOff'!C77</f>
        <v>3-</v>
      </c>
      <c r="E19" s="567"/>
      <c r="F19" s="567"/>
      <c r="G19" s="567"/>
      <c r="H19" s="567"/>
      <c r="I19" s="567"/>
      <c r="J19" s="575"/>
      <c r="K19" s="693">
        <f>'Deck TakeOff'!J77</f>
        <v>0</v>
      </c>
      <c r="L19" s="694"/>
      <c r="M19" s="695"/>
      <c r="N19" s="9"/>
      <c r="O19" s="71"/>
    </row>
    <row r="20" spans="1:15" x14ac:dyDescent="0.3">
      <c r="A20" s="71"/>
      <c r="B20" s="166"/>
      <c r="C20" s="360">
        <f>'Deck TakeOff'!H78</f>
        <v>0</v>
      </c>
      <c r="D20" s="566" t="str">
        <f>'Deck TakeOff'!C78</f>
        <v>4-</v>
      </c>
      <c r="E20" s="567"/>
      <c r="F20" s="567"/>
      <c r="G20" s="567"/>
      <c r="H20" s="567"/>
      <c r="I20" s="567"/>
      <c r="J20" s="575"/>
      <c r="K20" s="693">
        <f>'Deck TakeOff'!J78</f>
        <v>0</v>
      </c>
      <c r="L20" s="694"/>
      <c r="M20" s="695"/>
      <c r="N20" s="9"/>
      <c r="O20" s="71"/>
    </row>
    <row r="21" spans="1:15" x14ac:dyDescent="0.3">
      <c r="A21" s="71"/>
      <c r="B21" s="166"/>
      <c r="C21" s="360">
        <f>'Deck TakeOff'!H79</f>
        <v>0</v>
      </c>
      <c r="D21" s="566" t="str">
        <f>'Deck TakeOff'!C79</f>
        <v>5-</v>
      </c>
      <c r="E21" s="567"/>
      <c r="F21" s="567"/>
      <c r="G21" s="567"/>
      <c r="H21" s="567"/>
      <c r="I21" s="567"/>
      <c r="J21" s="575"/>
      <c r="K21" s="693">
        <f>'Deck TakeOff'!J79</f>
        <v>0</v>
      </c>
      <c r="L21" s="694"/>
      <c r="M21" s="695"/>
      <c r="N21" s="9"/>
      <c r="O21" s="71"/>
    </row>
    <row r="22" spans="1:15" x14ac:dyDescent="0.3">
      <c r="A22" s="71"/>
      <c r="B22" s="166"/>
      <c r="C22" s="360">
        <f>'Deck TakeOff'!H80</f>
        <v>0</v>
      </c>
      <c r="D22" s="566" t="str">
        <f>'Deck TakeOff'!C80</f>
        <v>6-</v>
      </c>
      <c r="E22" s="567"/>
      <c r="F22" s="567"/>
      <c r="G22" s="567"/>
      <c r="H22" s="567"/>
      <c r="I22" s="567"/>
      <c r="J22" s="575"/>
      <c r="K22" s="693">
        <f>'Deck TakeOff'!J80</f>
        <v>0</v>
      </c>
      <c r="L22" s="694"/>
      <c r="M22" s="695"/>
      <c r="N22" s="9"/>
      <c r="O22" s="71"/>
    </row>
    <row r="23" spans="1:15" ht="25" thickBot="1" x14ac:dyDescent="0.3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42">
        <f>K22+K20+K19+K18+K14+K13+K12+K11+K10+K17+K16+K15+K21</f>
        <v>1630.586875</v>
      </c>
      <c r="L23" s="743"/>
      <c r="M23" s="744"/>
      <c r="N23" s="9"/>
      <c r="O23" s="71"/>
    </row>
    <row r="24" spans="1:15" ht="25" thickBot="1" x14ac:dyDescent="0.35">
      <c r="A24" s="71"/>
      <c r="B24" s="166"/>
      <c r="C24" s="700" t="s">
        <v>61</v>
      </c>
      <c r="D24" s="701"/>
      <c r="E24" s="701"/>
      <c r="F24" s="701"/>
      <c r="G24" s="701"/>
      <c r="H24" s="701"/>
      <c r="I24" s="701"/>
      <c r="J24" s="701"/>
      <c r="K24" s="701"/>
      <c r="L24" s="701"/>
      <c r="M24" s="702"/>
      <c r="N24" s="9"/>
      <c r="O24" s="71"/>
    </row>
    <row r="25" spans="1:15" x14ac:dyDescent="0.3">
      <c r="A25" s="71"/>
      <c r="B25" s="166"/>
      <c r="C25" s="524"/>
      <c r="D25" s="703" t="s">
        <v>1247</v>
      </c>
      <c r="E25" s="704"/>
      <c r="F25" s="704"/>
      <c r="G25" s="704"/>
      <c r="H25" s="704"/>
      <c r="I25" s="704"/>
      <c r="J25" s="705"/>
      <c r="K25" s="709"/>
      <c r="L25" s="710"/>
      <c r="M25" s="711"/>
      <c r="N25" s="9"/>
      <c r="O25" s="71"/>
    </row>
    <row r="26" spans="1:15" x14ac:dyDescent="0.3">
      <c r="A26" s="71"/>
      <c r="B26" s="166"/>
      <c r="C26" s="527"/>
      <c r="D26" s="706" t="s">
        <v>239</v>
      </c>
      <c r="E26" s="707"/>
      <c r="F26" s="707"/>
      <c r="G26" s="707"/>
      <c r="H26" s="707"/>
      <c r="I26" s="707"/>
      <c r="J26" s="708"/>
      <c r="K26" s="712"/>
      <c r="L26" s="713"/>
      <c r="M26" s="714"/>
      <c r="N26" s="9"/>
      <c r="O26" s="71"/>
    </row>
    <row r="27" spans="1:15" ht="25" thickBot="1" x14ac:dyDescent="0.35">
      <c r="A27" s="71"/>
      <c r="B27" s="166"/>
      <c r="C27" s="527"/>
      <c r="D27" s="725" t="s">
        <v>1270</v>
      </c>
      <c r="E27" s="726"/>
      <c r="F27" s="726"/>
      <c r="G27" s="726"/>
      <c r="H27" s="726"/>
      <c r="I27" s="726"/>
      <c r="J27" s="727"/>
      <c r="K27" s="687">
        <f>K26+K25</f>
        <v>0</v>
      </c>
      <c r="L27" s="688">
        <f t="shared" si="0"/>
        <v>0</v>
      </c>
      <c r="M27" s="689"/>
      <c r="N27" s="9"/>
      <c r="O27" s="71"/>
    </row>
    <row r="28" spans="1:15" ht="25" thickBot="1" x14ac:dyDescent="0.35">
      <c r="A28" s="71"/>
      <c r="B28" s="166"/>
      <c r="C28" s="728" t="s">
        <v>1272</v>
      </c>
      <c r="D28" s="729"/>
      <c r="E28" s="729"/>
      <c r="F28" s="729"/>
      <c r="G28" s="729"/>
      <c r="H28" s="729"/>
      <c r="I28" s="729"/>
      <c r="J28" s="729"/>
      <c r="K28" s="729"/>
      <c r="L28" s="729"/>
      <c r="M28" s="730"/>
      <c r="N28" s="9"/>
      <c r="O28" s="71"/>
    </row>
    <row r="29" spans="1:15" x14ac:dyDescent="0.3">
      <c r="A29" s="71"/>
      <c r="B29" s="166"/>
      <c r="C29" s="731"/>
      <c r="D29" s="732"/>
      <c r="E29" s="732"/>
      <c r="F29" s="732"/>
      <c r="G29" s="732"/>
      <c r="H29" s="732"/>
      <c r="I29" s="732"/>
      <c r="J29" s="732"/>
      <c r="K29" s="732"/>
      <c r="L29" s="732"/>
      <c r="M29" s="733"/>
      <c r="N29" s="9"/>
      <c r="O29" s="71"/>
    </row>
    <row r="30" spans="1:15" x14ac:dyDescent="0.3">
      <c r="A30" s="71"/>
      <c r="B30" s="166"/>
      <c r="C30" s="734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9"/>
      <c r="O30" s="71"/>
    </row>
    <row r="31" spans="1:15" x14ac:dyDescent="0.3">
      <c r="A31" s="71"/>
      <c r="B31" s="166"/>
      <c r="C31" s="734"/>
      <c r="D31" s="735"/>
      <c r="E31" s="735"/>
      <c r="F31" s="735"/>
      <c r="G31" s="735"/>
      <c r="H31" s="735"/>
      <c r="I31" s="735"/>
      <c r="J31" s="735"/>
      <c r="K31" s="735"/>
      <c r="L31" s="735"/>
      <c r="M31" s="736"/>
      <c r="N31" s="9"/>
      <c r="O31" s="71"/>
    </row>
    <row r="32" spans="1:15" x14ac:dyDescent="0.3">
      <c r="A32" s="71"/>
      <c r="B32" s="166"/>
      <c r="C32" s="734"/>
      <c r="D32" s="735"/>
      <c r="E32" s="735"/>
      <c r="F32" s="735"/>
      <c r="G32" s="735"/>
      <c r="H32" s="735"/>
      <c r="I32" s="735"/>
      <c r="J32" s="735"/>
      <c r="K32" s="735"/>
      <c r="L32" s="735"/>
      <c r="M32" s="736"/>
      <c r="N32" s="9"/>
      <c r="O32" s="71"/>
    </row>
    <row r="33" spans="1:16" ht="25" thickBot="1" x14ac:dyDescent="0.35">
      <c r="A33" s="71"/>
      <c r="B33" s="166"/>
      <c r="C33" s="737"/>
      <c r="D33" s="738"/>
      <c r="E33" s="738"/>
      <c r="F33" s="738"/>
      <c r="G33" s="738"/>
      <c r="H33" s="738"/>
      <c r="I33" s="738"/>
      <c r="J33" s="738"/>
      <c r="K33" s="738"/>
      <c r="L33" s="738"/>
      <c r="M33" s="739"/>
      <c r="N33" s="9"/>
      <c r="O33" s="71"/>
    </row>
    <row r="34" spans="1:16" ht="25" thickBot="1" x14ac:dyDescent="0.35">
      <c r="A34" s="71"/>
      <c r="B34" s="166"/>
      <c r="C34" s="745" t="s">
        <v>1269</v>
      </c>
      <c r="D34" s="746"/>
      <c r="E34" s="746"/>
      <c r="F34" s="746"/>
      <c r="G34" s="746"/>
      <c r="H34" s="746"/>
      <c r="I34" s="746"/>
      <c r="J34" s="746"/>
      <c r="K34" s="746"/>
      <c r="L34" s="746"/>
      <c r="M34" s="747"/>
      <c r="N34" s="9"/>
      <c r="O34" s="71"/>
    </row>
    <row r="35" spans="1:16" x14ac:dyDescent="0.3">
      <c r="A35" s="71"/>
      <c r="B35" s="166"/>
      <c r="C35" s="524">
        <v>1</v>
      </c>
      <c r="D35" s="703" t="s">
        <v>1273</v>
      </c>
      <c r="E35" s="704"/>
      <c r="F35" s="704"/>
      <c r="G35" s="704"/>
      <c r="H35" s="704"/>
      <c r="I35" s="704"/>
      <c r="J35" s="705"/>
      <c r="K35" s="532"/>
      <c r="L35" s="712">
        <f>K35*C35</f>
        <v>0</v>
      </c>
      <c r="M35" s="714"/>
      <c r="N35" s="9"/>
      <c r="O35" s="71"/>
    </row>
    <row r="36" spans="1:16" x14ac:dyDescent="0.3">
      <c r="A36" s="71"/>
      <c r="B36" s="166"/>
      <c r="C36" s="527">
        <v>1</v>
      </c>
      <c r="D36" s="706" t="s">
        <v>1274</v>
      </c>
      <c r="E36" s="707"/>
      <c r="F36" s="707"/>
      <c r="G36" s="707"/>
      <c r="H36" s="707"/>
      <c r="I36" s="707"/>
      <c r="J36" s="708"/>
      <c r="K36" s="532">
        <v>150</v>
      </c>
      <c r="L36" s="712">
        <f t="shared" ref="L36:L37" si="1">K36*C36</f>
        <v>150</v>
      </c>
      <c r="M36" s="714"/>
      <c r="N36" s="9"/>
      <c r="O36" s="71"/>
    </row>
    <row r="37" spans="1:16" x14ac:dyDescent="0.3">
      <c r="A37" s="71"/>
      <c r="B37" s="166"/>
      <c r="C37" s="527">
        <v>1</v>
      </c>
      <c r="D37" s="698" t="s">
        <v>1275</v>
      </c>
      <c r="E37" s="699"/>
      <c r="F37" s="699"/>
      <c r="G37" s="34"/>
      <c r="H37" s="34"/>
      <c r="I37" s="34"/>
      <c r="J37" s="35"/>
      <c r="K37" s="356" t="str">
        <f>VLOOKUP('General Estimate'!D37,Formulas!F147:G154,2,FALSE)</f>
        <v>Cost</v>
      </c>
      <c r="L37" s="712" t="e">
        <f t="shared" si="1"/>
        <v>#VALUE!</v>
      </c>
      <c r="M37" s="714"/>
      <c r="N37" s="9"/>
      <c r="O37" s="71"/>
    </row>
    <row r="38" spans="1:16" x14ac:dyDescent="0.3">
      <c r="A38" s="71"/>
      <c r="B38" s="166"/>
      <c r="C38" s="527"/>
      <c r="D38" s="751"/>
      <c r="E38" s="752"/>
      <c r="F38" s="752"/>
      <c r="G38" s="752"/>
      <c r="H38" s="752"/>
      <c r="I38" s="752"/>
      <c r="J38" s="753"/>
      <c r="K38" s="533"/>
      <c r="L38" s="712"/>
      <c r="M38" s="714"/>
      <c r="N38" s="9"/>
      <c r="O38" s="71"/>
    </row>
    <row r="39" spans="1:16" x14ac:dyDescent="0.3">
      <c r="A39" s="71"/>
      <c r="B39" s="166"/>
      <c r="C39" s="527"/>
      <c r="D39" s="751"/>
      <c r="E39" s="752"/>
      <c r="F39" s="752"/>
      <c r="G39" s="752"/>
      <c r="H39" s="752"/>
      <c r="I39" s="752"/>
      <c r="J39" s="753"/>
      <c r="K39" s="533"/>
      <c r="L39" s="712"/>
      <c r="M39" s="714"/>
      <c r="N39" s="9"/>
      <c r="O39" s="71"/>
      <c r="P39" s="36"/>
    </row>
    <row r="40" spans="1:16" ht="25" thickBot="1" x14ac:dyDescent="0.35">
      <c r="A40" s="71"/>
      <c r="B40" s="166"/>
      <c r="C40" s="527"/>
      <c r="D40" s="748" t="s">
        <v>1283</v>
      </c>
      <c r="E40" s="749"/>
      <c r="F40" s="749"/>
      <c r="G40" s="749"/>
      <c r="H40" s="749"/>
      <c r="I40" s="749"/>
      <c r="J40" s="749"/>
      <c r="K40" s="750"/>
      <c r="L40" s="740" t="e">
        <f>SUM(L35:M39)</f>
        <v>#VALUE!</v>
      </c>
      <c r="M40" s="741"/>
      <c r="N40" s="9"/>
      <c r="O40" s="71"/>
    </row>
    <row r="41" spans="1:16" ht="25" thickBot="1" x14ac:dyDescent="0.35">
      <c r="A41" s="71"/>
      <c r="B41" s="166"/>
      <c r="C41" s="745" t="s">
        <v>1282</v>
      </c>
      <c r="D41" s="746"/>
      <c r="E41" s="746"/>
      <c r="F41" s="746"/>
      <c r="G41" s="746"/>
      <c r="H41" s="746"/>
      <c r="I41" s="746"/>
      <c r="J41" s="746"/>
      <c r="K41" s="746"/>
      <c r="L41" s="746"/>
      <c r="M41" s="747"/>
      <c r="N41" s="9"/>
      <c r="O41" s="71"/>
    </row>
    <row r="42" spans="1:16" x14ac:dyDescent="0.3">
      <c r="A42" s="71"/>
      <c r="B42" s="166"/>
      <c r="C42" s="722" t="s">
        <v>62</v>
      </c>
      <c r="D42" s="723"/>
      <c r="E42" s="723"/>
      <c r="F42" s="723"/>
      <c r="G42" s="723"/>
      <c r="H42" s="723"/>
      <c r="I42" s="724"/>
      <c r="J42" s="719">
        <f>K23</f>
        <v>1630.586875</v>
      </c>
      <c r="K42" s="720"/>
      <c r="L42" s="720"/>
      <c r="M42" s="721"/>
      <c r="N42" s="9"/>
      <c r="O42" s="71"/>
      <c r="P42" s="451"/>
    </row>
    <row r="43" spans="1:16" x14ac:dyDescent="0.3">
      <c r="A43" s="71"/>
      <c r="B43" s="166"/>
      <c r="C43" s="766" t="s">
        <v>61</v>
      </c>
      <c r="D43" s="767"/>
      <c r="E43" s="767"/>
      <c r="F43" s="767"/>
      <c r="G43" s="767"/>
      <c r="H43" s="767"/>
      <c r="I43" s="768"/>
      <c r="J43" s="758">
        <f>K27</f>
        <v>0</v>
      </c>
      <c r="K43" s="759"/>
      <c r="L43" s="759"/>
      <c r="M43" s="760"/>
      <c r="N43" s="9"/>
      <c r="O43" s="71"/>
    </row>
    <row r="44" spans="1:16" x14ac:dyDescent="0.3">
      <c r="A44" s="71"/>
      <c r="B44" s="166"/>
      <c r="C44" s="766" t="s">
        <v>1269</v>
      </c>
      <c r="D44" s="767"/>
      <c r="E44" s="767"/>
      <c r="F44" s="767"/>
      <c r="G44" s="767"/>
      <c r="H44" s="767"/>
      <c r="I44" s="768"/>
      <c r="J44" s="758" t="e">
        <f>L40</f>
        <v>#VALUE!</v>
      </c>
      <c r="K44" s="759"/>
      <c r="L44" s="759"/>
      <c r="M44" s="760"/>
      <c r="N44" s="9"/>
      <c r="O44" s="71"/>
    </row>
    <row r="45" spans="1:16" ht="25" thickBot="1" x14ac:dyDescent="0.35">
      <c r="A45" s="71"/>
      <c r="B45" s="166"/>
      <c r="C45" s="769" t="s">
        <v>108</v>
      </c>
      <c r="D45" s="770"/>
      <c r="E45" s="770"/>
      <c r="F45" s="770"/>
      <c r="G45" s="770"/>
      <c r="H45" s="770"/>
      <c r="I45" s="771"/>
      <c r="J45" s="761" t="e">
        <f>J44+J43+J42</f>
        <v>#VALUE!</v>
      </c>
      <c r="K45" s="762"/>
      <c r="L45" s="762"/>
      <c r="M45" s="763"/>
      <c r="N45" s="9"/>
      <c r="O45" s="71"/>
      <c r="P45" s="268"/>
    </row>
    <row r="46" spans="1:16" ht="25" thickBot="1" x14ac:dyDescent="0.35">
      <c r="A46" s="71"/>
      <c r="B46" s="166"/>
      <c r="C46" s="772" t="s">
        <v>15</v>
      </c>
      <c r="D46" s="773"/>
      <c r="E46" s="773"/>
      <c r="F46" s="773"/>
      <c r="G46" s="773"/>
      <c r="H46" s="773"/>
      <c r="I46" s="534">
        <v>0.3</v>
      </c>
      <c r="J46" s="764" t="e">
        <f>(J45/(1-I46))-J45</f>
        <v>#VALUE!</v>
      </c>
      <c r="K46" s="764"/>
      <c r="L46" s="764"/>
      <c r="M46" s="765"/>
      <c r="N46" s="9"/>
      <c r="O46" s="71"/>
    </row>
    <row r="47" spans="1:16" x14ac:dyDescent="0.3">
      <c r="A47" s="71"/>
      <c r="B47" s="166"/>
      <c r="C47" s="754" t="s">
        <v>1284</v>
      </c>
      <c r="D47" s="755"/>
      <c r="E47" s="755"/>
      <c r="F47" s="755"/>
      <c r="G47" s="755"/>
      <c r="H47" s="755"/>
      <c r="I47" s="756"/>
      <c r="J47" s="757"/>
      <c r="K47" s="774" t="e">
        <f>J46+J45</f>
        <v>#VALUE!</v>
      </c>
      <c r="L47" s="775"/>
      <c r="M47" s="776"/>
      <c r="N47" s="9"/>
      <c r="O47" s="71"/>
    </row>
    <row r="48" spans="1:16" ht="6" customHeight="1" x14ac:dyDescent="0.3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5" customHeight="1" x14ac:dyDescent="0.3"/>
    <row r="50" ht="25" customHeight="1" x14ac:dyDescent="0.3"/>
    <row r="51" ht="25" customHeight="1" x14ac:dyDescent="0.3"/>
    <row r="52" ht="25" customHeight="1" x14ac:dyDescent="0.3"/>
    <row r="53" ht="25" customHeight="1" x14ac:dyDescent="0.3"/>
    <row r="54" ht="25" customHeight="1" x14ac:dyDescent="0.3"/>
    <row r="55" ht="25" customHeight="1" x14ac:dyDescent="0.3"/>
    <row r="56" ht="25" customHeight="1" x14ac:dyDescent="0.3"/>
    <row r="57" ht="25" customHeight="1" x14ac:dyDescent="0.3"/>
    <row r="58" ht="25" customHeight="1" x14ac:dyDescent="0.3"/>
    <row r="59" ht="25" customHeight="1" x14ac:dyDescent="0.3"/>
    <row r="60" ht="25" customHeight="1" x14ac:dyDescent="0.3"/>
    <row r="61" ht="25" customHeight="1" x14ac:dyDescent="0.3"/>
    <row r="62" ht="25" customHeight="1" x14ac:dyDescent="0.3"/>
    <row r="63" ht="25" customHeight="1" x14ac:dyDescent="0.3"/>
    <row r="64" ht="25" customHeight="1" x14ac:dyDescent="0.3"/>
    <row r="65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8"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E7:G7"/>
    <mergeCell ref="C8:M8"/>
    <mergeCell ref="D3:M3"/>
    <mergeCell ref="D4:M4"/>
    <mergeCell ref="E5:G5"/>
    <mergeCell ref="I5:J5"/>
    <mergeCell ref="E6:G6"/>
    <mergeCell ref="I6:J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tabSelected="1" view="pageBreakPreview" zoomScaleNormal="100" zoomScaleSheetLayoutView="100" workbookViewId="0">
      <selection activeCell="C39" sqref="C3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>
        <f>Formulas!E68</f>
        <v>30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8">
        <f>K10*C10</f>
        <v>63.3</v>
      </c>
      <c r="M10" s="669"/>
      <c r="N10" s="178"/>
      <c r="O10" s="71"/>
    </row>
    <row r="11" spans="1:15" x14ac:dyDescent="0.3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8">
        <f t="shared" ref="L11:L30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360">
        <f>Formulas!E71</f>
        <v>4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8">
        <f t="shared" si="0"/>
        <v>2.92</v>
      </c>
      <c r="M13" s="669"/>
      <c r="N13" s="178"/>
      <c r="O13" s="71"/>
    </row>
    <row r="14" spans="1:15" x14ac:dyDescent="0.3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8">
        <f>K24*C24</f>
        <v>0</v>
      </c>
      <c r="M24" s="669"/>
      <c r="N24" s="178"/>
      <c r="O24" s="71"/>
    </row>
    <row r="25" spans="1:15" x14ac:dyDescent="0.3">
      <c r="A25" s="71"/>
      <c r="B25" s="166"/>
      <c r="C25" s="527">
        <f>'Deck TakeOff'!E57</f>
        <v>0</v>
      </c>
      <c r="D25" s="706" t="s">
        <v>1343</v>
      </c>
      <c r="E25" s="707"/>
      <c r="F25" s="707"/>
      <c r="G25" s="707"/>
      <c r="H25" s="707"/>
      <c r="I25" s="707"/>
      <c r="J25" s="708"/>
      <c r="K25" s="533">
        <f>'Material Price'!J105</f>
        <v>7.1</v>
      </c>
      <c r="L25" s="668">
        <f>K25*C25</f>
        <v>0</v>
      </c>
      <c r="M25" s="669"/>
      <c r="N25" s="178"/>
      <c r="O25" s="71"/>
    </row>
    <row r="26" spans="1:15" x14ac:dyDescent="0.3">
      <c r="A26" s="71"/>
      <c r="B26" s="166"/>
      <c r="C26" s="527"/>
      <c r="D26" s="751"/>
      <c r="E26" s="752"/>
      <c r="F26" s="752"/>
      <c r="G26" s="752"/>
      <c r="H26" s="752"/>
      <c r="I26" s="752"/>
      <c r="J26" s="753"/>
      <c r="K26" s="533"/>
      <c r="L26" s="668">
        <f>K26*C26</f>
        <v>0</v>
      </c>
      <c r="M26" s="669"/>
      <c r="N26" s="178"/>
      <c r="O26" s="71"/>
    </row>
    <row r="27" spans="1:15" x14ac:dyDescent="0.3">
      <c r="A27" s="71"/>
      <c r="B27" s="166"/>
      <c r="C27" s="527"/>
      <c r="D27" s="751"/>
      <c r="E27" s="752"/>
      <c r="F27" s="752"/>
      <c r="G27" s="752"/>
      <c r="H27" s="752"/>
      <c r="I27" s="752"/>
      <c r="J27" s="753"/>
      <c r="K27" s="533"/>
      <c r="L27" s="668">
        <f>K27*C27</f>
        <v>0</v>
      </c>
      <c r="M27" s="669"/>
      <c r="N27" s="178"/>
      <c r="O27" s="71"/>
    </row>
    <row r="28" spans="1:15" x14ac:dyDescent="0.3">
      <c r="A28" s="71"/>
      <c r="B28" s="166"/>
      <c r="C28" s="527"/>
      <c r="D28" s="751"/>
      <c r="E28" s="752"/>
      <c r="F28" s="752"/>
      <c r="G28" s="752"/>
      <c r="H28" s="752"/>
      <c r="I28" s="752"/>
      <c r="J28" s="753"/>
      <c r="K28" s="533"/>
      <c r="L28" s="668">
        <f t="shared" ref="L28" si="1">K28*C28</f>
        <v>0</v>
      </c>
      <c r="M28" s="669"/>
      <c r="N28" s="178"/>
      <c r="O28" s="71"/>
    </row>
    <row r="29" spans="1:15" x14ac:dyDescent="0.3">
      <c r="A29" s="71"/>
      <c r="B29" s="166"/>
      <c r="C29" s="360"/>
      <c r="D29" s="678" t="s">
        <v>646</v>
      </c>
      <c r="E29" s="679"/>
      <c r="F29" s="679"/>
      <c r="G29" s="679"/>
      <c r="H29" s="679"/>
      <c r="I29" s="679"/>
      <c r="J29" s="680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8">
        <f t="shared" si="0"/>
        <v>0</v>
      </c>
      <c r="M30" s="669"/>
      <c r="N30" s="178"/>
      <c r="O30" s="71"/>
    </row>
    <row r="31" spans="1:15" x14ac:dyDescent="0.3">
      <c r="A31" s="71"/>
      <c r="B31" s="166"/>
      <c r="C31" s="360">
        <f>'Deck TakeOff'!E54</f>
        <v>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8">
        <f t="shared" ref="L31:L32" si="2">K31*C31</f>
        <v>0</v>
      </c>
      <c r="M31" s="669"/>
      <c r="N31" s="178"/>
      <c r="O31" s="71"/>
    </row>
    <row r="32" spans="1:15" x14ac:dyDescent="0.3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8">
        <f t="shared" si="2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TakeOff'!E53</f>
        <v>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8">
        <f>K33*C33</f>
        <v>0</v>
      </c>
      <c r="M33" s="669"/>
      <c r="N33" s="178"/>
      <c r="O33" s="71"/>
    </row>
    <row r="34" spans="1:15" x14ac:dyDescent="0.3">
      <c r="A34" s="71"/>
      <c r="B34" s="166"/>
      <c r="C34" s="527"/>
      <c r="D34" s="751"/>
      <c r="E34" s="752"/>
      <c r="F34" s="752"/>
      <c r="G34" s="752"/>
      <c r="H34" s="752"/>
      <c r="I34" s="752"/>
      <c r="J34" s="753"/>
      <c r="K34" s="533"/>
      <c r="L34" s="668">
        <f>K34*C34</f>
        <v>0</v>
      </c>
      <c r="M34" s="669"/>
      <c r="N34" s="178"/>
      <c r="O34" s="71"/>
    </row>
    <row r="35" spans="1:15" x14ac:dyDescent="0.3">
      <c r="A35" s="71"/>
      <c r="B35" s="166"/>
      <c r="C35" s="527"/>
      <c r="D35" s="751"/>
      <c r="E35" s="752"/>
      <c r="F35" s="752"/>
      <c r="G35" s="752"/>
      <c r="H35" s="752"/>
      <c r="I35" s="752"/>
      <c r="J35" s="753"/>
      <c r="K35" s="533"/>
      <c r="L35" s="668">
        <f>K35*C35</f>
        <v>0</v>
      </c>
      <c r="M35" s="669"/>
      <c r="N35" s="178"/>
      <c r="O35" s="71"/>
    </row>
    <row r="36" spans="1:15" x14ac:dyDescent="0.3">
      <c r="A36" s="71"/>
      <c r="B36" s="166"/>
      <c r="C36" s="527"/>
      <c r="D36" s="751"/>
      <c r="E36" s="752"/>
      <c r="F36" s="752"/>
      <c r="G36" s="752"/>
      <c r="H36" s="752"/>
      <c r="I36" s="752"/>
      <c r="J36" s="753"/>
      <c r="K36" s="533"/>
      <c r="L36" s="668">
        <f t="shared" ref="L36" si="3"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716</v>
      </c>
      <c r="E37" s="679"/>
      <c r="F37" s="679"/>
      <c r="G37" s="679"/>
      <c r="H37" s="679"/>
      <c r="I37" s="679"/>
      <c r="J37" s="680"/>
      <c r="K37" s="152"/>
      <c r="L37" s="668">
        <f t="shared" ref="L37:L39" si="4">K37*C37</f>
        <v>0</v>
      </c>
      <c r="M37" s="669"/>
      <c r="N37" s="178"/>
      <c r="O37" s="71"/>
    </row>
    <row r="38" spans="1:15" x14ac:dyDescent="0.3">
      <c r="A38" s="71"/>
      <c r="B38" s="166"/>
      <c r="C38" s="360">
        <f>Formulas!Y22</f>
        <v>5</v>
      </c>
      <c r="D38" s="780" t="s">
        <v>1356</v>
      </c>
      <c r="E38" s="781"/>
      <c r="F38" s="781"/>
      <c r="G38" s="781"/>
      <c r="H38" s="781"/>
      <c r="I38" s="781"/>
      <c r="J38" s="782"/>
      <c r="K38" s="152">
        <f>'Material Price'!J109</f>
        <v>7.82</v>
      </c>
      <c r="L38" s="668">
        <f t="shared" si="4"/>
        <v>39.1</v>
      </c>
      <c r="M38" s="669"/>
      <c r="N38" s="178"/>
      <c r="O38" s="71"/>
    </row>
    <row r="39" spans="1:15" x14ac:dyDescent="0.3">
      <c r="A39" s="71"/>
      <c r="B39" s="166"/>
      <c r="C39" s="360"/>
      <c r="D39" s="560" t="s">
        <v>1349</v>
      </c>
      <c r="E39" s="561"/>
      <c r="F39" s="561"/>
      <c r="G39" s="561"/>
      <c r="H39" s="561"/>
      <c r="I39" s="561"/>
      <c r="J39" s="562"/>
      <c r="K39" s="152">
        <f>'Material Price'!J110</f>
        <v>25.75</v>
      </c>
      <c r="L39" s="668">
        <f t="shared" si="4"/>
        <v>0</v>
      </c>
      <c r="M39" s="669"/>
      <c r="N39" s="178"/>
      <c r="O39" s="71"/>
    </row>
    <row r="40" spans="1:15" x14ac:dyDescent="0.3">
      <c r="A40" s="71"/>
      <c r="B40" s="166"/>
      <c r="C40" s="360">
        <f>Formulas!E40</f>
        <v>0</v>
      </c>
      <c r="D40" s="560" t="s">
        <v>717</v>
      </c>
      <c r="E40" s="561"/>
      <c r="F40" s="561"/>
      <c r="G40" s="561"/>
      <c r="H40" s="561"/>
      <c r="I40" s="561"/>
      <c r="J40" s="562"/>
      <c r="K40" s="152">
        <f>'Material Price'!J111</f>
        <v>2.2000000000000002</v>
      </c>
      <c r="L40" s="668">
        <f t="shared" ref="L40:L44" si="5">K40*C40</f>
        <v>0</v>
      </c>
      <c r="M40" s="669"/>
      <c r="N40" s="178"/>
      <c r="O40" s="71"/>
    </row>
    <row r="41" spans="1:15" x14ac:dyDescent="0.3">
      <c r="A41" s="71"/>
      <c r="B41" s="166"/>
      <c r="C41" s="360">
        <f>ROUNDUP(C38/100,0)</f>
        <v>1</v>
      </c>
      <c r="D41" s="780" t="s">
        <v>718</v>
      </c>
      <c r="E41" s="561"/>
      <c r="F41" s="561"/>
      <c r="G41" s="561"/>
      <c r="H41" s="561"/>
      <c r="I41" s="561"/>
      <c r="J41" s="562"/>
      <c r="K41" s="152">
        <f>'Material Price'!J112</f>
        <v>19</v>
      </c>
      <c r="L41" s="668">
        <f t="shared" si="5"/>
        <v>19</v>
      </c>
      <c r="M41" s="669"/>
      <c r="N41" s="178"/>
      <c r="O41" s="71"/>
    </row>
    <row r="42" spans="1:15" x14ac:dyDescent="0.3">
      <c r="A42" s="71"/>
      <c r="B42" s="166"/>
      <c r="C42" s="360">
        <f>Formulas!F39</f>
        <v>1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8">
        <f t="shared" si="5"/>
        <v>42</v>
      </c>
      <c r="M42" s="669"/>
      <c r="N42" s="178"/>
      <c r="O42" s="71"/>
    </row>
    <row r="43" spans="1:15" x14ac:dyDescent="0.3">
      <c r="A43" s="71"/>
      <c r="B43" s="166"/>
      <c r="C43" s="360">
        <f>Formulas!H38</f>
        <v>3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8">
        <f t="shared" si="5"/>
        <v>24</v>
      </c>
      <c r="M43" s="669"/>
      <c r="N43" s="178"/>
      <c r="O43" s="71"/>
    </row>
    <row r="44" spans="1:15" x14ac:dyDescent="0.3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527">
        <f>ROUNDUP(Formulas!E81,0)</f>
        <v>1</v>
      </c>
      <c r="D45" s="777" t="s">
        <v>1345</v>
      </c>
      <c r="E45" s="778"/>
      <c r="F45" s="778"/>
      <c r="G45" s="778"/>
      <c r="H45" s="778"/>
      <c r="I45" s="778"/>
      <c r="J45" s="779"/>
      <c r="K45" s="533">
        <f>'Material Price'!J132</f>
        <v>62</v>
      </c>
      <c r="L45" s="668">
        <f t="shared" ref="L45:L46" si="6">K45*C45</f>
        <v>62</v>
      </c>
      <c r="M45" s="669"/>
      <c r="N45" s="178"/>
      <c r="O45" s="71"/>
    </row>
    <row r="46" spans="1:15" x14ac:dyDescent="0.3">
      <c r="A46" s="71"/>
      <c r="B46" s="166"/>
      <c r="C46" s="527"/>
      <c r="D46" s="777" t="s">
        <v>1348</v>
      </c>
      <c r="E46" s="778"/>
      <c r="F46" s="778"/>
      <c r="G46" s="778"/>
      <c r="H46" s="778"/>
      <c r="I46" s="778"/>
      <c r="J46" s="779"/>
      <c r="K46" s="533">
        <f>'Material Price'!J133</f>
        <v>100</v>
      </c>
      <c r="L46" s="668">
        <f t="shared" si="6"/>
        <v>0</v>
      </c>
      <c r="M46" s="669"/>
      <c r="N46" s="178"/>
      <c r="O46" s="71"/>
    </row>
    <row r="47" spans="1:15" x14ac:dyDescent="0.3">
      <c r="A47" s="71"/>
      <c r="B47" s="166"/>
      <c r="C47" s="183"/>
      <c r="D47" s="681" t="s">
        <v>10</v>
      </c>
      <c r="E47" s="682"/>
      <c r="F47" s="682"/>
      <c r="G47" s="682"/>
      <c r="H47" s="682"/>
      <c r="I47" s="682"/>
      <c r="J47" s="682"/>
      <c r="K47" s="683"/>
      <c r="L47" s="686">
        <f>(SUM(L10:M46)*0.0625)</f>
        <v>15.77</v>
      </c>
      <c r="M47" s="686"/>
      <c r="N47" s="178"/>
      <c r="O47" s="71"/>
    </row>
    <row r="48" spans="1:15" x14ac:dyDescent="0.3">
      <c r="A48" s="71"/>
      <c r="B48" s="166"/>
      <c r="C48" s="183"/>
      <c r="D48" s="681" t="s">
        <v>1</v>
      </c>
      <c r="E48" s="682"/>
      <c r="F48" s="682"/>
      <c r="G48" s="682"/>
      <c r="H48" s="682"/>
      <c r="I48" s="682"/>
      <c r="J48" s="682"/>
      <c r="K48" s="683"/>
      <c r="L48" s="684">
        <f>SUM(L10:M47)</f>
        <v>268.08999999999997</v>
      </c>
      <c r="M48" s="684"/>
      <c r="N48" s="178"/>
      <c r="O48" s="71"/>
    </row>
    <row r="49" spans="1:15" ht="6" customHeight="1" x14ac:dyDescent="0.3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5" customHeight="1" x14ac:dyDescent="0.3"/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6">
    <mergeCell ref="L43:M43"/>
    <mergeCell ref="L44:M44"/>
    <mergeCell ref="L45:M45"/>
    <mergeCell ref="L38:M38"/>
    <mergeCell ref="L39:M39"/>
    <mergeCell ref="L40:M40"/>
    <mergeCell ref="L41:M41"/>
    <mergeCell ref="L42:M42"/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L10:M10"/>
    <mergeCell ref="L14:M14"/>
    <mergeCell ref="L15:M15"/>
    <mergeCell ref="L16:M16"/>
    <mergeCell ref="L11:M11"/>
    <mergeCell ref="L12:M12"/>
    <mergeCell ref="L13:M13"/>
    <mergeCell ref="L20:M20"/>
    <mergeCell ref="L21:M21"/>
    <mergeCell ref="L22:M22"/>
    <mergeCell ref="L17:M17"/>
    <mergeCell ref="L18:M18"/>
    <mergeCell ref="L19:M19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D45:J45"/>
    <mergeCell ref="D46:J46"/>
    <mergeCell ref="D34:J34"/>
    <mergeCell ref="D35:J35"/>
    <mergeCell ref="D36:J36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0.398437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8" t="s">
        <v>628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182">
        <f>Formulas!B68</f>
        <v>297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8">
        <f>K10*C10</f>
        <v>534.6</v>
      </c>
      <c r="M10" s="669"/>
      <c r="N10" s="178"/>
      <c r="O10" s="71"/>
    </row>
    <row r="11" spans="1:15" x14ac:dyDescent="0.3">
      <c r="A11" s="71"/>
      <c r="B11" s="166"/>
      <c r="C11" s="182">
        <f>Formulas!B69</f>
        <v>0</v>
      </c>
      <c r="D11" s="566" t="s">
        <v>622</v>
      </c>
      <c r="E11" s="567"/>
      <c r="F11" s="567"/>
      <c r="G11" s="567"/>
      <c r="H11" s="567"/>
      <c r="I11" s="567"/>
      <c r="J11" s="575"/>
      <c r="K11" s="152">
        <f>'Material Price'!J14</f>
        <v>2.42</v>
      </c>
      <c r="L11" s="668">
        <f t="shared" ref="L11:L31" si="0">K11*C11</f>
        <v>0</v>
      </c>
      <c r="M11" s="669"/>
      <c r="N11" s="178"/>
      <c r="O11" s="71"/>
    </row>
    <row r="12" spans="1:15" x14ac:dyDescent="0.3">
      <c r="A12" s="71"/>
      <c r="B12" s="166"/>
      <c r="C12" s="182">
        <f>Formulas!B70</f>
        <v>0</v>
      </c>
      <c r="D12" s="566" t="s">
        <v>623</v>
      </c>
      <c r="E12" s="567"/>
      <c r="F12" s="567"/>
      <c r="G12" s="567"/>
      <c r="H12" s="567"/>
      <c r="I12" s="567"/>
      <c r="J12" s="575"/>
      <c r="K12" s="152">
        <f>'Material Price'!J15</f>
        <v>3.75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182">
        <f>Formulas!B71+Formulas!B74+Formulas!B75+Formulas!B76</f>
        <v>0</v>
      </c>
      <c r="D13" s="566" t="s">
        <v>624</v>
      </c>
      <c r="E13" s="567"/>
      <c r="F13" s="567"/>
      <c r="G13" s="567"/>
      <c r="H13" s="567"/>
      <c r="I13" s="567"/>
      <c r="J13" s="575"/>
      <c r="K13" s="152">
        <f>'Material Price'!J16</f>
        <v>2.2000000000000002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182">
        <f>Formulas!B72</f>
        <v>0</v>
      </c>
      <c r="D14" s="566" t="s">
        <v>625</v>
      </c>
      <c r="E14" s="567"/>
      <c r="F14" s="567"/>
      <c r="G14" s="567"/>
      <c r="H14" s="567"/>
      <c r="I14" s="567"/>
      <c r="J14" s="575"/>
      <c r="K14" s="152">
        <f>'Material Price'!J17</f>
        <v>4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182">
        <f>Formulas!B73</f>
        <v>0</v>
      </c>
      <c r="D15" s="566" t="s">
        <v>626</v>
      </c>
      <c r="E15" s="567"/>
      <c r="F15" s="567"/>
      <c r="G15" s="567"/>
      <c r="H15" s="567"/>
      <c r="I15" s="567"/>
      <c r="J15" s="575"/>
      <c r="K15" s="152">
        <f>'Material Price'!J18</f>
        <v>5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182"/>
      <c r="D16" s="566"/>
      <c r="E16" s="567"/>
      <c r="F16" s="567"/>
      <c r="G16" s="567"/>
      <c r="H16" s="567"/>
      <c r="I16" s="567"/>
      <c r="J16" s="575"/>
      <c r="K16" s="152"/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182"/>
      <c r="D17" s="783"/>
      <c r="E17" s="784"/>
      <c r="F17" s="784"/>
      <c r="G17" s="784"/>
      <c r="H17" s="784"/>
      <c r="I17" s="784"/>
      <c r="J17" s="785"/>
      <c r="K17" s="152"/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182"/>
      <c r="D18" s="783"/>
      <c r="E18" s="784"/>
      <c r="F18" s="784"/>
      <c r="G18" s="784"/>
      <c r="H18" s="784"/>
      <c r="I18" s="784"/>
      <c r="J18" s="785"/>
      <c r="K18" s="152"/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182"/>
      <c r="D19" s="783"/>
      <c r="E19" s="784"/>
      <c r="F19" s="784"/>
      <c r="G19" s="784"/>
      <c r="H19" s="784"/>
      <c r="I19" s="784"/>
      <c r="J19" s="785"/>
      <c r="K19" s="152"/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182"/>
      <c r="D20" s="783"/>
      <c r="E20" s="784"/>
      <c r="F20" s="784"/>
      <c r="G20" s="784"/>
      <c r="H20" s="784"/>
      <c r="I20" s="784"/>
      <c r="J20" s="785"/>
      <c r="K20" s="152"/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182"/>
      <c r="D21" s="783"/>
      <c r="E21" s="784"/>
      <c r="F21" s="784"/>
      <c r="G21" s="784"/>
      <c r="H21" s="784"/>
      <c r="I21" s="784"/>
      <c r="J21" s="785"/>
      <c r="K21" s="152"/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182"/>
      <c r="D22" s="783"/>
      <c r="E22" s="784"/>
      <c r="F22" s="784"/>
      <c r="G22" s="784"/>
      <c r="H22" s="784"/>
      <c r="I22" s="784"/>
      <c r="J22" s="785"/>
      <c r="K22" s="152"/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182"/>
      <c r="D23" s="783"/>
      <c r="E23" s="784"/>
      <c r="F23" s="784"/>
      <c r="G23" s="784"/>
      <c r="H23" s="784"/>
      <c r="I23" s="784"/>
      <c r="J23" s="785"/>
      <c r="K23" s="152"/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182"/>
      <c r="D24" s="783"/>
      <c r="E24" s="784"/>
      <c r="F24" s="784"/>
      <c r="G24" s="784"/>
      <c r="H24" s="784"/>
      <c r="I24" s="784"/>
      <c r="J24" s="785"/>
      <c r="K24" s="152"/>
      <c r="L24" s="668">
        <f t="shared" si="0"/>
        <v>0</v>
      </c>
      <c r="M24" s="669"/>
      <c r="N24" s="178"/>
      <c r="O24" s="71"/>
    </row>
    <row r="25" spans="1:15" x14ac:dyDescent="0.3">
      <c r="A25" s="71"/>
      <c r="B25" s="166"/>
      <c r="C25" s="182"/>
      <c r="D25" s="783"/>
      <c r="E25" s="784"/>
      <c r="F25" s="784"/>
      <c r="G25" s="784"/>
      <c r="H25" s="784"/>
      <c r="I25" s="784"/>
      <c r="J25" s="785"/>
      <c r="K25" s="152"/>
      <c r="L25" s="668">
        <f t="shared" si="0"/>
        <v>0</v>
      </c>
      <c r="M25" s="669"/>
      <c r="N25" s="178"/>
      <c r="O25" s="71"/>
    </row>
    <row r="26" spans="1:15" x14ac:dyDescent="0.3">
      <c r="A26" s="71"/>
      <c r="B26" s="166"/>
      <c r="C26" s="182"/>
      <c r="D26" s="783"/>
      <c r="E26" s="784"/>
      <c r="F26" s="784"/>
      <c r="G26" s="784"/>
      <c r="H26" s="784"/>
      <c r="I26" s="784"/>
      <c r="J26" s="785"/>
      <c r="K26" s="152"/>
      <c r="L26" s="668">
        <f t="shared" si="0"/>
        <v>0</v>
      </c>
      <c r="M26" s="669"/>
      <c r="N26" s="178"/>
      <c r="O26" s="71"/>
    </row>
    <row r="27" spans="1:15" x14ac:dyDescent="0.3">
      <c r="A27" s="71"/>
      <c r="B27" s="166"/>
      <c r="C27" s="182"/>
      <c r="D27" s="783"/>
      <c r="E27" s="784"/>
      <c r="F27" s="784"/>
      <c r="G27" s="784"/>
      <c r="H27" s="784"/>
      <c r="I27" s="784"/>
      <c r="J27" s="785"/>
      <c r="K27" s="152"/>
      <c r="L27" s="668">
        <f t="shared" si="0"/>
        <v>0</v>
      </c>
      <c r="M27" s="669"/>
      <c r="N27" s="178"/>
      <c r="O27" s="71"/>
    </row>
    <row r="28" spans="1:15" x14ac:dyDescent="0.3">
      <c r="A28" s="71"/>
      <c r="B28" s="166"/>
      <c r="C28" s="182"/>
      <c r="D28" s="783"/>
      <c r="E28" s="784"/>
      <c r="F28" s="784"/>
      <c r="G28" s="784"/>
      <c r="H28" s="784"/>
      <c r="I28" s="784"/>
      <c r="J28" s="785"/>
      <c r="K28" s="152"/>
      <c r="L28" s="668">
        <f t="shared" si="0"/>
        <v>0</v>
      </c>
      <c r="M28" s="669"/>
      <c r="N28" s="178"/>
      <c r="O28" s="71"/>
    </row>
    <row r="29" spans="1:15" x14ac:dyDescent="0.3">
      <c r="A29" s="71"/>
      <c r="B29" s="166"/>
      <c r="C29" s="182"/>
      <c r="D29" s="783"/>
      <c r="E29" s="784"/>
      <c r="F29" s="784"/>
      <c r="G29" s="784"/>
      <c r="H29" s="784"/>
      <c r="I29" s="784"/>
      <c r="J29" s="785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182"/>
      <c r="D30" s="783"/>
      <c r="E30" s="784"/>
      <c r="F30" s="784"/>
      <c r="G30" s="784"/>
      <c r="H30" s="784"/>
      <c r="I30" s="784"/>
      <c r="J30" s="785"/>
      <c r="K30" s="152"/>
      <c r="L30" s="668">
        <f>K30*C30</f>
        <v>0</v>
      </c>
      <c r="M30" s="669"/>
      <c r="N30" s="178"/>
      <c r="O30" s="71"/>
    </row>
    <row r="31" spans="1:15" x14ac:dyDescent="0.3">
      <c r="A31" s="71"/>
      <c r="B31" s="166"/>
      <c r="C31" s="182"/>
      <c r="D31" s="783"/>
      <c r="E31" s="784"/>
      <c r="F31" s="784"/>
      <c r="G31" s="784"/>
      <c r="H31" s="784"/>
      <c r="I31" s="784"/>
      <c r="J31" s="785"/>
      <c r="K31" s="152"/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183"/>
      <c r="D32" s="681" t="s">
        <v>10</v>
      </c>
      <c r="E32" s="682"/>
      <c r="F32" s="682"/>
      <c r="G32" s="682"/>
      <c r="H32" s="682"/>
      <c r="I32" s="682"/>
      <c r="J32" s="682"/>
      <c r="K32" s="683"/>
      <c r="L32" s="686">
        <f>(SUM(L10:M31)*0.0625)</f>
        <v>33.412500000000001</v>
      </c>
      <c r="M32" s="686"/>
      <c r="N32" s="178"/>
      <c r="O32" s="71"/>
    </row>
    <row r="33" spans="1:15" x14ac:dyDescent="0.3">
      <c r="A33" s="71"/>
      <c r="B33" s="166"/>
      <c r="C33" s="183"/>
      <c r="D33" s="681" t="s">
        <v>1</v>
      </c>
      <c r="E33" s="682"/>
      <c r="F33" s="682"/>
      <c r="G33" s="682"/>
      <c r="H33" s="682"/>
      <c r="I33" s="682"/>
      <c r="J33" s="682"/>
      <c r="K33" s="683"/>
      <c r="L33" s="684">
        <f>SUM(L10:M32)</f>
        <v>568.01250000000005</v>
      </c>
      <c r="M33" s="684"/>
      <c r="N33" s="178"/>
      <c r="O33" s="71"/>
    </row>
    <row r="34" spans="1:15" ht="6" customHeight="1" x14ac:dyDescent="0.3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5" customHeight="1" x14ac:dyDescent="0.3"/>
    <row r="36" spans="1:15" ht="25" customHeight="1" x14ac:dyDescent="0.3"/>
    <row r="37" spans="1:15" ht="25" customHeight="1" x14ac:dyDescent="0.3"/>
    <row r="38" spans="1:15" ht="25" customHeight="1" x14ac:dyDescent="0.3"/>
    <row r="39" spans="1:15" ht="25" customHeight="1" x14ac:dyDescent="0.3"/>
    <row r="40" spans="1:15" ht="25" customHeight="1" x14ac:dyDescent="0.3"/>
    <row r="41" spans="1:15" ht="25" customHeight="1" x14ac:dyDescent="0.3"/>
    <row r="42" spans="1:15" ht="25" customHeight="1" x14ac:dyDescent="0.3"/>
    <row r="43" spans="1:15" ht="25" customHeight="1" x14ac:dyDescent="0.3"/>
    <row r="44" spans="1:15" ht="25" customHeight="1" x14ac:dyDescent="0.3"/>
    <row r="45" spans="1:15" ht="25" customHeight="1" x14ac:dyDescent="0.3"/>
    <row r="46" spans="1:15" ht="25" customHeight="1" x14ac:dyDescent="0.3"/>
    <row r="47" spans="1:15" ht="25" customHeight="1" x14ac:dyDescent="0.3"/>
    <row r="48" spans="1:15" ht="25" customHeight="1" x14ac:dyDescent="0.3"/>
    <row r="49" ht="25" customHeight="1" x14ac:dyDescent="0.3"/>
    <row r="50" ht="25" customHeight="1" x14ac:dyDescent="0.3"/>
    <row r="51" ht="25" customHeight="1" x14ac:dyDescent="0.3"/>
  </sheetData>
  <sheetProtection sheet="1" formatCells="0" formatColumns="0" formatRows="0" insertColumns="0" insertRows="0" insertHyperlinks="0" deleteColumns="0" deleteRows="0" sort="0" autoFilter="0" pivotTables="0"/>
  <mergeCells count="57">
    <mergeCell ref="D28:J28"/>
    <mergeCell ref="D29:J29"/>
    <mergeCell ref="D30:J30"/>
    <mergeCell ref="D32:K32"/>
    <mergeCell ref="D33:K33"/>
    <mergeCell ref="D31:J31"/>
    <mergeCell ref="L31:M31"/>
    <mergeCell ref="L32:M32"/>
    <mergeCell ref="L28:M28"/>
    <mergeCell ref="L29:M29"/>
    <mergeCell ref="L33:M33"/>
    <mergeCell ref="L30:M30"/>
    <mergeCell ref="L26:M26"/>
    <mergeCell ref="L27:M27"/>
    <mergeCell ref="L24:M24"/>
    <mergeCell ref="L25:M25"/>
    <mergeCell ref="D24:J24"/>
    <mergeCell ref="D25:J25"/>
    <mergeCell ref="D27:J27"/>
    <mergeCell ref="D26:J26"/>
    <mergeCell ref="L22:M22"/>
    <mergeCell ref="L23:M23"/>
    <mergeCell ref="L20:M20"/>
    <mergeCell ref="L21:M21"/>
    <mergeCell ref="D20:J20"/>
    <mergeCell ref="D21:J21"/>
    <mergeCell ref="D22:J22"/>
    <mergeCell ref="D23:J23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10:M10"/>
    <mergeCell ref="L12:M12"/>
    <mergeCell ref="L13:M13"/>
    <mergeCell ref="D13:J13"/>
    <mergeCell ref="L14:M14"/>
    <mergeCell ref="L11:M11"/>
    <mergeCell ref="D11:J11"/>
    <mergeCell ref="D12:J12"/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</mergeCells>
  <printOptions horizontalCentered="1" verticalCentered="1"/>
  <pageMargins left="0" right="0" top="0" bottom="0" header="0" footer="0"/>
  <pageSetup scale="72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zoomScaleNormal="100" zoomScaleSheetLayoutView="100" workbookViewId="0">
      <selection activeCell="J15" sqref="J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786" t="s">
        <v>647</v>
      </c>
      <c r="D10" s="787"/>
      <c r="E10" s="787"/>
      <c r="F10" s="787"/>
      <c r="G10" s="787"/>
      <c r="H10" s="787"/>
      <c r="I10" s="787"/>
      <c r="J10" s="787"/>
      <c r="K10" s="788"/>
      <c r="L10" s="668"/>
      <c r="M10" s="669"/>
      <c r="N10" s="178"/>
      <c r="O10" s="71"/>
    </row>
    <row r="11" spans="1:15" x14ac:dyDescent="0.3">
      <c r="A11" s="71"/>
      <c r="B11" s="166"/>
      <c r="C11" s="360"/>
      <c r="D11" s="569" t="s">
        <v>1242</v>
      </c>
      <c r="E11" s="570"/>
      <c r="F11" s="570"/>
      <c r="G11" s="570"/>
      <c r="H11" s="570"/>
      <c r="I11" s="570"/>
      <c r="J11" s="789"/>
      <c r="K11" s="152"/>
      <c r="L11" s="740">
        <f>'PT Frame by LF'!L33</f>
        <v>568.01250000000005</v>
      </c>
      <c r="M11" s="741"/>
      <c r="N11" s="178"/>
      <c r="O11" s="71"/>
    </row>
    <row r="12" spans="1:15" x14ac:dyDescent="0.3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3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8">
        <f t="shared" ref="L24" si="1">K24*C24</f>
        <v>0</v>
      </c>
      <c r="M24" s="669"/>
      <c r="N24" s="178"/>
      <c r="O24" s="71"/>
    </row>
    <row r="25" spans="1:15" x14ac:dyDescent="0.3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8">
        <f t="shared" si="0"/>
        <v>0</v>
      </c>
      <c r="M25" s="669"/>
      <c r="N25" s="178"/>
      <c r="O25" s="71"/>
    </row>
    <row r="26" spans="1:15" x14ac:dyDescent="0.3">
      <c r="A26" s="71"/>
      <c r="B26" s="166"/>
      <c r="C26" s="786" t="s">
        <v>648</v>
      </c>
      <c r="D26" s="787"/>
      <c r="E26" s="787"/>
      <c r="F26" s="787"/>
      <c r="G26" s="787"/>
      <c r="H26" s="787"/>
      <c r="I26" s="787"/>
      <c r="J26" s="787"/>
      <c r="K26" s="788"/>
      <c r="L26" s="668"/>
      <c r="M26" s="669"/>
      <c r="N26" s="178"/>
      <c r="O26" s="71"/>
    </row>
    <row r="27" spans="1:15" x14ac:dyDescent="0.3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8">
        <f t="shared" ref="L27:L30" si="2">K27*C27</f>
        <v>0</v>
      </c>
      <c r="M27" s="669"/>
      <c r="N27" s="178"/>
      <c r="O27" s="71"/>
    </row>
    <row r="28" spans="1:15" x14ac:dyDescent="0.3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8">
        <f t="shared" si="2"/>
        <v>0</v>
      </c>
      <c r="M28" s="669"/>
      <c r="N28" s="178"/>
      <c r="O28" s="71"/>
    </row>
    <row r="29" spans="1:15" x14ac:dyDescent="0.3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8">
        <f t="shared" si="2"/>
        <v>0</v>
      </c>
      <c r="M29" s="669"/>
      <c r="N29" s="178"/>
      <c r="O29" s="71"/>
    </row>
    <row r="30" spans="1:15" x14ac:dyDescent="0.3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8">
        <f t="shared" si="2"/>
        <v>0</v>
      </c>
      <c r="M30" s="669"/>
      <c r="N30" s="178"/>
      <c r="O30" s="71"/>
    </row>
    <row r="31" spans="1:15" x14ac:dyDescent="0.3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786" t="s">
        <v>649</v>
      </c>
      <c r="D32" s="787"/>
      <c r="E32" s="787"/>
      <c r="F32" s="787"/>
      <c r="G32" s="787"/>
      <c r="H32" s="787"/>
      <c r="I32" s="787"/>
      <c r="J32" s="787"/>
      <c r="K32" s="788"/>
      <c r="L32" s="668"/>
      <c r="M32" s="669"/>
      <c r="N32" s="178"/>
      <c r="O32" s="71"/>
    </row>
    <row r="33" spans="1:15" x14ac:dyDescent="0.3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8">
        <f t="shared" si="0"/>
        <v>0</v>
      </c>
      <c r="M33" s="669"/>
      <c r="N33" s="178"/>
      <c r="O33" s="71"/>
    </row>
    <row r="34" spans="1:15" x14ac:dyDescent="0.3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8">
        <f>K34*C34</f>
        <v>0</v>
      </c>
      <c r="M34" s="669"/>
      <c r="N34" s="178"/>
      <c r="O34" s="71"/>
    </row>
    <row r="35" spans="1:15" x14ac:dyDescent="0.3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8">
        <f t="shared" ref="L35:L40" si="3">K35*C35</f>
        <v>0</v>
      </c>
      <c r="M35" s="669"/>
      <c r="N35" s="178"/>
      <c r="O35" s="71"/>
    </row>
    <row r="36" spans="1:15" x14ac:dyDescent="0.3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8">
        <f t="shared" si="3"/>
        <v>0</v>
      </c>
      <c r="M36" s="669"/>
      <c r="N36" s="178"/>
      <c r="O36" s="71"/>
    </row>
    <row r="37" spans="1:15" x14ac:dyDescent="0.3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8">
        <f t="shared" si="3"/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8">
        <f t="shared" si="3"/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8">
        <f>K41*C41</f>
        <v>0</v>
      </c>
      <c r="M41" s="669"/>
      <c r="N41" s="178"/>
      <c r="O41" s="71"/>
    </row>
    <row r="42" spans="1:15" x14ac:dyDescent="0.3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8">
        <f t="shared" ref="L42:L47" si="4">K42*C42</f>
        <v>0</v>
      </c>
      <c r="M42" s="669"/>
      <c r="N42" s="178"/>
      <c r="O42" s="71"/>
    </row>
    <row r="43" spans="1:15" x14ac:dyDescent="0.3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8">
        <f t="shared" si="4"/>
        <v>0</v>
      </c>
      <c r="M43" s="669"/>
      <c r="N43" s="178"/>
      <c r="O43" s="71"/>
    </row>
    <row r="44" spans="1:15" x14ac:dyDescent="0.3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8">
        <f t="shared" si="4"/>
        <v>0</v>
      </c>
      <c r="M44" s="669"/>
      <c r="N44" s="178"/>
      <c r="O44" s="71"/>
    </row>
    <row r="45" spans="1:15" x14ac:dyDescent="0.3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8">
        <f t="shared" si="4"/>
        <v>0</v>
      </c>
      <c r="M45" s="669"/>
      <c r="N45" s="178"/>
      <c r="O45" s="71"/>
    </row>
    <row r="46" spans="1:15" x14ac:dyDescent="0.3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8">
        <f t="shared" si="4"/>
        <v>0</v>
      </c>
      <c r="M46" s="669"/>
      <c r="N46" s="178"/>
      <c r="O46" s="71"/>
    </row>
    <row r="47" spans="1:15" x14ac:dyDescent="0.3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8">
        <f t="shared" si="4"/>
        <v>0</v>
      </c>
      <c r="M47" s="669"/>
      <c r="N47" s="178"/>
      <c r="O47" s="71"/>
    </row>
    <row r="48" spans="1:15" x14ac:dyDescent="0.3">
      <c r="A48" s="71"/>
      <c r="B48" s="166"/>
      <c r="C48" s="183"/>
      <c r="D48" s="681"/>
      <c r="E48" s="682"/>
      <c r="F48" s="682"/>
      <c r="G48" s="682"/>
      <c r="H48" s="682"/>
      <c r="I48" s="682"/>
      <c r="J48" s="682"/>
      <c r="K48" s="683"/>
      <c r="L48" s="686">
        <f>SUM(L12:M47)*0.0625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SUM(L11:M47)</f>
        <v>568.01250000000005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9" zoomScaleNormal="100" zoomScaleSheetLayoutView="100" workbookViewId="0">
      <selection activeCell="C17" sqref="C17:K4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1260</v>
      </c>
      <c r="E11" s="679"/>
      <c r="F11" s="679"/>
      <c r="G11" s="679"/>
      <c r="H11" s="679"/>
      <c r="I11" s="679"/>
      <c r="J11" s="680"/>
      <c r="K11" s="429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425">
        <f>ROUNDUP(Formulas!C144/18,0)</f>
        <v>0</v>
      </c>
      <c r="D13" s="560" t="s">
        <v>1215</v>
      </c>
      <c r="E13" s="561"/>
      <c r="F13" s="561"/>
      <c r="G13" s="561"/>
      <c r="H13" s="561"/>
      <c r="I13" s="561"/>
      <c r="J13" s="562"/>
      <c r="K13" s="429">
        <f>'Material Price'!J335</f>
        <v>57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94">
        <f>ROUNDUP(Formulas!C150+Formulas!C151,0)</f>
        <v>0</v>
      </c>
      <c r="D14" s="566" t="s">
        <v>1261</v>
      </c>
      <c r="E14" s="567"/>
      <c r="F14" s="567"/>
      <c r="G14" s="567"/>
      <c r="H14" s="567"/>
      <c r="I14" s="567"/>
      <c r="J14" s="568"/>
      <c r="K14" s="429">
        <f>'Material Price'!J37</f>
        <v>32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537"/>
      <c r="D17" s="706"/>
      <c r="E17" s="707"/>
      <c r="F17" s="707"/>
      <c r="G17" s="707"/>
      <c r="H17" s="707"/>
      <c r="I17" s="707"/>
      <c r="J17" s="790"/>
      <c r="K17" s="538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topLeftCell="C12" zoomScaleNormal="100" zoomScaleSheetLayoutView="100" workbookViewId="0">
      <selection activeCell="C22" sqref="C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1183</v>
      </c>
      <c r="E11" s="679"/>
      <c r="F11" s="679"/>
      <c r="G11" s="679"/>
      <c r="H11" s="679"/>
      <c r="I11" s="679"/>
      <c r="J11" s="680"/>
      <c r="K11" s="429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425">
        <f>ROUNDUP(Formulas!C144/1,0)</f>
        <v>0</v>
      </c>
      <c r="D13" s="560" t="s">
        <v>1361</v>
      </c>
      <c r="E13" s="561"/>
      <c r="F13" s="561"/>
      <c r="G13" s="561"/>
      <c r="H13" s="561"/>
      <c r="I13" s="561"/>
      <c r="J13" s="562"/>
      <c r="K13" s="429">
        <f>'Material Price'!J335</f>
        <v>57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94">
        <f>ROUNDUP(Formulas!C140+Formulas!C139+Formulas!H140+Formulas!H141+Formulas!H142,0)</f>
        <v>0</v>
      </c>
      <c r="D14" s="566" t="s">
        <v>1362</v>
      </c>
      <c r="E14" s="567"/>
      <c r="F14" s="567"/>
      <c r="G14" s="567"/>
      <c r="H14" s="567"/>
      <c r="I14" s="567"/>
      <c r="J14" s="568"/>
      <c r="K14" s="429">
        <f>'Material Price'!J332</f>
        <v>73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Formulas!H139</f>
        <v>0</v>
      </c>
      <c r="D17" s="566" t="s">
        <v>1365</v>
      </c>
      <c r="E17" s="567"/>
      <c r="F17" s="567"/>
      <c r="G17" s="567"/>
      <c r="H17" s="567"/>
      <c r="I17" s="567"/>
      <c r="J17" s="568"/>
      <c r="K17" s="429">
        <f>'Material Price'!J330</f>
        <v>36.630000000000003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8">
        <f t="shared" ref="L27:L28" si="2">K27*C27</f>
        <v>0</v>
      </c>
      <c r="M27" s="669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8">
        <f t="shared" si="2"/>
        <v>0</v>
      </c>
      <c r="M28" s="669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8">
        <f t="shared" ref="L39:L47" si="3">K39*C39</f>
        <v>0</v>
      </c>
      <c r="M39" s="669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D3" sqref="D3"/>
    </sheetView>
  </sheetViews>
  <sheetFormatPr baseColWidth="10" defaultColWidth="9" defaultRowHeight="16" x14ac:dyDescent="0.2"/>
  <cols>
    <col min="1" max="1" width="43.796875" bestFit="1" customWidth="1"/>
    <col min="3" max="3" width="9.19921875" customWidth="1"/>
    <col min="4" max="4" width="13.3984375" customWidth="1"/>
    <col min="12" max="12" width="16.796875" customWidth="1"/>
    <col min="14" max="14" width="22.19921875" bestFit="1" customWidth="1"/>
    <col min="15" max="15" width="10.3984375" customWidth="1"/>
    <col min="20" max="20" width="9.796875" bestFit="1" customWidth="1"/>
  </cols>
  <sheetData>
    <row r="1" spans="1:17" x14ac:dyDescent="0.2">
      <c r="A1" s="791" t="s">
        <v>513</v>
      </c>
      <c r="B1" s="791"/>
      <c r="C1" s="791"/>
      <c r="D1" s="791"/>
      <c r="G1" s="791" t="s">
        <v>1229</v>
      </c>
      <c r="H1" s="791"/>
      <c r="I1" s="791"/>
      <c r="J1" s="791"/>
      <c r="K1" s="791"/>
      <c r="L1" s="791"/>
    </row>
    <row r="2" spans="1:17" x14ac:dyDescent="0.2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2">
      <c r="A3" s="285" t="s">
        <v>1287</v>
      </c>
      <c r="D3" s="128">
        <f>'Pressure Treated Decking Boards'!L49</f>
        <v>794.484375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0</v>
      </c>
      <c r="M3" s="439">
        <v>0</v>
      </c>
    </row>
    <row r="4" spans="1:17" x14ac:dyDescent="0.2">
      <c r="A4" s="285" t="s">
        <v>1288</v>
      </c>
      <c r="D4" s="128">
        <f>'Trex Select Decking'!L49</f>
        <v>2157.9375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0</v>
      </c>
      <c r="M4" s="439">
        <v>0</v>
      </c>
      <c r="Q4" t="s">
        <v>1231</v>
      </c>
    </row>
    <row r="5" spans="1:17" x14ac:dyDescent="0.2">
      <c r="A5" s="285" t="s">
        <v>1289</v>
      </c>
      <c r="D5" s="128">
        <f>'Trex Transcend Decking'!L49</f>
        <v>2875.921875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0</v>
      </c>
      <c r="M5" s="439">
        <v>0</v>
      </c>
      <c r="Q5">
        <f>VLOOKUP(Q4,K3:L12,2,FALSE)</f>
        <v>0</v>
      </c>
    </row>
    <row r="6" spans="1:17" x14ac:dyDescent="0.2">
      <c r="A6" s="285" t="s">
        <v>1290</v>
      </c>
      <c r="D6" s="128" cm="1">
        <f t="array" ref="D6:E6">'Trex Enhance Natural Decking'!L49:M49</f>
        <v>1741.5065625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0</v>
      </c>
      <c r="M6" s="439">
        <v>0</v>
      </c>
    </row>
    <row r="7" spans="1:17" x14ac:dyDescent="0.2">
      <c r="A7" s="285" t="s">
        <v>1291</v>
      </c>
      <c r="D7" s="128" cm="1">
        <f t="array" ref="D7:E7">'AZEK Vintage Collection Decking'!L49:M49</f>
        <v>3206.4549999999995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0</v>
      </c>
      <c r="M7" s="439"/>
    </row>
    <row r="8" spans="1:17" x14ac:dyDescent="0.2">
      <c r="A8" s="285" t="s">
        <v>1292</v>
      </c>
      <c r="D8" s="128" cm="1">
        <f t="array" ref="D8:E8">'AZEK Arbor Collection Decking'!L49:M49</f>
        <v>2818.7434374999998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0</v>
      </c>
      <c r="M8" s="439"/>
      <c r="N8" t="s">
        <v>1249</v>
      </c>
      <c r="O8">
        <v>1</v>
      </c>
    </row>
    <row r="9" spans="1:17" x14ac:dyDescent="0.2">
      <c r="A9" s="285" t="s">
        <v>1293</v>
      </c>
      <c r="D9" s="128" cm="1">
        <f t="array" ref="D9:E9">'AZEK Harvest Collection Decking'!L49:M49</f>
        <v>2325.7275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0</v>
      </c>
      <c r="M9" s="439"/>
      <c r="N9" t="s">
        <v>1250</v>
      </c>
      <c r="O9">
        <v>2</v>
      </c>
    </row>
    <row r="10" spans="1:17" x14ac:dyDescent="0.2">
      <c r="A10" s="285" t="s">
        <v>1294</v>
      </c>
      <c r="D10" s="128" cm="1">
        <f t="array" ref="D10:E10">'Timbertech Pro Legacy '!L49:M49</f>
        <v>3359.625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0</v>
      </c>
      <c r="M10" s="439"/>
      <c r="N10" t="s">
        <v>1251</v>
      </c>
      <c r="O10">
        <v>3</v>
      </c>
    </row>
    <row r="11" spans="1:17" x14ac:dyDescent="0.2">
      <c r="A11" s="285" t="s">
        <v>1295</v>
      </c>
      <c r="D11" s="128" cm="1">
        <f t="array" ref="D11:E11">'Timbertech Pro Reserve '!L49:M49</f>
        <v>2971.9134375000003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0</v>
      </c>
      <c r="M11" s="439"/>
      <c r="N11" t="s">
        <v>1252</v>
      </c>
      <c r="O11">
        <v>4</v>
      </c>
    </row>
    <row r="12" spans="1:17" x14ac:dyDescent="0.2">
      <c r="A12" s="285" t="s">
        <v>1296</v>
      </c>
      <c r="D12" s="128" cm="1">
        <f t="array" ref="D12:E12">'Timbertech Pro Terrain'!L49:M49</f>
        <v>2282.6484375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0</v>
      </c>
      <c r="M12" s="439"/>
    </row>
    <row r="13" spans="1:17" x14ac:dyDescent="0.2">
      <c r="A13" s="285" t="s">
        <v>1297</v>
      </c>
      <c r="D13" s="128" cm="1">
        <f t="array" ref="D13:E13">'Timbertech Edge Premier'!L49:M49</f>
        <v>2450.1781249999999</v>
      </c>
      <c r="E13" s="439">
        <v>0</v>
      </c>
      <c r="H13" s="388"/>
      <c r="I13" s="388"/>
      <c r="J13" s="388"/>
      <c r="K13" s="436" t="s">
        <v>1387</v>
      </c>
      <c r="L13" s="438">
        <f>' RDI Transform Railings'!L50</f>
        <v>0</v>
      </c>
    </row>
    <row r="14" spans="1:17" x14ac:dyDescent="0.2">
      <c r="A14" s="285" t="s">
        <v>1298</v>
      </c>
      <c r="D14" s="128" cm="1">
        <f t="array" ref="D14:E14">'Timbertech Edge Prime+'!L49:M49</f>
        <v>2091.1859374999999</v>
      </c>
      <c r="E14" s="439">
        <v>0</v>
      </c>
      <c r="G14" s="791"/>
      <c r="H14" s="791"/>
      <c r="I14" s="791"/>
      <c r="J14" s="791"/>
      <c r="K14" s="791"/>
    </row>
    <row r="15" spans="1:17" x14ac:dyDescent="0.2">
      <c r="A15" s="285" t="s">
        <v>1299</v>
      </c>
      <c r="D15" s="128" cm="1">
        <f t="array" ref="D15:E15">'Timbertech Edge Prime'!L49:M49</f>
        <v>2091.1859374999999</v>
      </c>
      <c r="E15" s="439">
        <v>0</v>
      </c>
    </row>
    <row r="16" spans="1:17" x14ac:dyDescent="0.2">
      <c r="A16" s="285" t="s">
        <v>1300</v>
      </c>
      <c r="D16" s="128" cm="1">
        <f t="array" ref="D16:E16">'Moistur. Elevate-Premium '!L49:M49</f>
        <v>1895.1812500000001</v>
      </c>
      <c r="E16" s="439">
        <v>0</v>
      </c>
    </row>
    <row r="17" spans="1:20" x14ac:dyDescent="0.2">
      <c r="A17" s="285" t="s">
        <v>1301</v>
      </c>
      <c r="D17" s="128" cm="1">
        <f t="array" ref="D17:E17">'Moistur. Elevate-Original'!L49:M49</f>
        <v>1655.8531250000001</v>
      </c>
      <c r="E17" s="439">
        <v>0</v>
      </c>
      <c r="G17" s="791" t="s">
        <v>1266</v>
      </c>
      <c r="H17" s="791"/>
      <c r="I17" s="791"/>
      <c r="J17" s="791"/>
      <c r="K17" s="791"/>
      <c r="L17" s="791"/>
    </row>
    <row r="18" spans="1:20" ht="24" x14ac:dyDescent="0.3">
      <c r="A18" s="285" t="s">
        <v>1302</v>
      </c>
      <c r="D18" s="128" cm="1">
        <f t="array" ref="D18:E18">'Moistur. Vision Cool'!L49:M49</f>
        <v>2986.421875</v>
      </c>
      <c r="E18" s="439">
        <v>0</v>
      </c>
      <c r="G18" s="792"/>
      <c r="H18" s="792"/>
      <c r="I18" s="792"/>
      <c r="J18" s="792"/>
      <c r="K18" s="792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4" x14ac:dyDescent="0.3">
      <c r="A19" s="285" t="s">
        <v>1303</v>
      </c>
      <c r="D19" s="128" cm="1">
        <f t="array" ref="D19:E19">'Moistur. Vision Non Cool '!L49:M49</f>
        <v>2794.9593749999999</v>
      </c>
      <c r="E19" s="439">
        <v>0</v>
      </c>
      <c r="G19" s="792" t="s">
        <v>1238</v>
      </c>
      <c r="H19" s="792"/>
      <c r="I19" s="792"/>
      <c r="J19" s="792"/>
      <c r="K19" s="792"/>
      <c r="L19" s="441" cm="1">
        <f t="array" ref="L19:M19">'PT Frame Material'!L49:M49</f>
        <v>568.01250000000005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4" x14ac:dyDescent="0.3">
      <c r="A20" s="285" t="s">
        <v>1304</v>
      </c>
      <c r="D20" s="128" cm="1">
        <f t="array" ref="D20:E20">'Moistur. Vantage '!L49:M49</f>
        <v>2459.9</v>
      </c>
      <c r="E20" s="439">
        <v>0</v>
      </c>
      <c r="G20" s="792" t="s">
        <v>1239</v>
      </c>
      <c r="H20" s="792"/>
      <c r="I20" s="792"/>
      <c r="J20" s="792"/>
      <c r="K20" s="792"/>
      <c r="L20" s="441" cm="1">
        <f t="array" ref="L20:M20">'Galv. Strap Fastners Footings'!L48:M48</f>
        <v>268.08999999999997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4" x14ac:dyDescent="0.3">
      <c r="A21" s="285" t="s">
        <v>1305</v>
      </c>
      <c r="D21" s="128" cm="1">
        <f t="array" ref="D21:E21">'Fiberon Good Life - Weekender'!L49:M49</f>
        <v>1887.690625</v>
      </c>
      <c r="E21" s="439">
        <v>0</v>
      </c>
      <c r="G21" s="792" t="s">
        <v>1240</v>
      </c>
      <c r="H21" s="792"/>
      <c r="I21" s="792"/>
      <c r="J21" s="792"/>
      <c r="K21" s="792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4" x14ac:dyDescent="0.3">
      <c r="A22" s="285" t="s">
        <v>1306</v>
      </c>
      <c r="D22" s="128" cm="1">
        <f t="array" ref="D22:E22">'Fiberon Good Life Escapes'!L49:M49</f>
        <v>1887.690625</v>
      </c>
      <c r="E22" s="439">
        <v>0</v>
      </c>
      <c r="G22" s="792" t="s">
        <v>1259</v>
      </c>
      <c r="H22" s="792"/>
      <c r="I22" s="792"/>
      <c r="J22" s="792"/>
      <c r="K22" s="792"/>
      <c r="L22" s="128">
        <f>'PT Finish'!L49</f>
        <v>0</v>
      </c>
      <c r="T22" s="152">
        <f>'Material Price'!S99</f>
        <v>0</v>
      </c>
    </row>
    <row r="23" spans="1:20" ht="24" x14ac:dyDescent="0.3">
      <c r="A23" s="285" t="s">
        <v>1307</v>
      </c>
      <c r="D23" s="128" cm="1">
        <f t="array" ref="D23:E23">'Wolf Perspective '!L49:M49</f>
        <v>1983.421875</v>
      </c>
      <c r="E23" s="439">
        <v>0</v>
      </c>
      <c r="G23" s="792" t="s">
        <v>1243</v>
      </c>
      <c r="H23" s="792"/>
      <c r="I23" s="792"/>
      <c r="J23" s="792"/>
      <c r="K23" s="792"/>
      <c r="L23" s="128">
        <f>'Deck TakeOff'!J81</f>
        <v>0</v>
      </c>
      <c r="T23" s="152">
        <f>'Material Price'!S100</f>
        <v>0</v>
      </c>
    </row>
    <row r="24" spans="1:20" ht="24" x14ac:dyDescent="0.3">
      <c r="A24" s="285" t="s">
        <v>1308</v>
      </c>
      <c r="D24" s="128" cm="1">
        <f t="array" ref="D24:E24">'DuraLife Siesta Landscape'!L49:M49</f>
        <v>2812.3365624999997</v>
      </c>
      <c r="E24" s="439">
        <v>0</v>
      </c>
      <c r="G24" s="792" t="s">
        <v>1247</v>
      </c>
      <c r="H24" s="792"/>
      <c r="I24" s="792"/>
      <c r="J24" s="792"/>
      <c r="K24" s="792"/>
      <c r="L24" s="128"/>
      <c r="T24" s="152">
        <f>'Material Price'!S101</f>
        <v>0</v>
      </c>
    </row>
    <row r="25" spans="1:20" ht="24" x14ac:dyDescent="0.3">
      <c r="A25" s="285" t="s">
        <v>1309</v>
      </c>
      <c r="D25" s="128" cm="1">
        <f t="array" ref="D25:E25">'DuraLife Siesta Hardwoods'!L49:M49</f>
        <v>3381.9375</v>
      </c>
      <c r="E25" s="439">
        <v>0</v>
      </c>
      <c r="G25" s="792" t="s">
        <v>239</v>
      </c>
      <c r="H25" s="792"/>
      <c r="I25" s="792"/>
      <c r="J25" s="792"/>
      <c r="K25" s="792"/>
      <c r="L25" s="128"/>
      <c r="T25" s="533">
        <f>'Material Price'!S112</f>
        <v>0</v>
      </c>
    </row>
    <row r="26" spans="1:20" ht="24" x14ac:dyDescent="0.3">
      <c r="A26" s="285" t="s">
        <v>1310</v>
      </c>
      <c r="D26" s="128" cm="1">
        <f t="array" ref="D26:E26">'DuraLife MVP Landscape'!L49:M49</f>
        <v>1966.1615625000002</v>
      </c>
      <c r="E26" s="439">
        <v>0</v>
      </c>
      <c r="G26" s="792"/>
      <c r="H26" s="792"/>
      <c r="I26" s="792"/>
      <c r="J26" s="792"/>
      <c r="K26" s="792"/>
      <c r="L26" s="128"/>
      <c r="T26" s="533">
        <f>'Material Price'!S113</f>
        <v>0</v>
      </c>
    </row>
    <row r="27" spans="1:20" x14ac:dyDescent="0.2">
      <c r="A27" s="285" t="s">
        <v>1311</v>
      </c>
      <c r="D27" s="128" cm="1">
        <f t="array" ref="D27:E27">'DuraLife MVP Harwoods'!L49:M49</f>
        <v>2507.7124999999996</v>
      </c>
      <c r="E27" s="439">
        <v>0</v>
      </c>
      <c r="G27" s="792"/>
      <c r="H27" s="792"/>
      <c r="I27" s="792"/>
      <c r="J27" s="792"/>
      <c r="K27" s="792"/>
      <c r="L27" s="128"/>
    </row>
  </sheetData>
  <mergeCells count="14">
    <mergeCell ref="G27:K27"/>
    <mergeCell ref="G22:K22"/>
    <mergeCell ref="G23:K23"/>
    <mergeCell ref="G24:K24"/>
    <mergeCell ref="G17:L17"/>
    <mergeCell ref="G25:K25"/>
    <mergeCell ref="G26:K26"/>
    <mergeCell ref="G21:K21"/>
    <mergeCell ref="A1:D1"/>
    <mergeCell ref="G1:L1"/>
    <mergeCell ref="G18:K18"/>
    <mergeCell ref="G19:K19"/>
    <mergeCell ref="G20:K20"/>
    <mergeCell ref="G14:K14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baseColWidth="10" defaultColWidth="9" defaultRowHeight="16" x14ac:dyDescent="0.2"/>
  <cols>
    <col min="6" max="6" width="18.19921875" bestFit="1" customWidth="1"/>
  </cols>
  <sheetData>
    <row r="1" spans="1:10" x14ac:dyDescent="0.2">
      <c r="A1" t="s">
        <v>437</v>
      </c>
      <c r="C1" s="286">
        <v>141.94999999999999</v>
      </c>
    </row>
    <row r="2" spans="1:10" x14ac:dyDescent="0.2">
      <c r="A2" t="s">
        <v>438</v>
      </c>
      <c r="C2" s="286">
        <v>595</v>
      </c>
    </row>
    <row r="3" spans="1:10" x14ac:dyDescent="0.2">
      <c r="A3" t="s">
        <v>457</v>
      </c>
      <c r="C3" s="286">
        <v>1032.5</v>
      </c>
    </row>
    <row r="4" spans="1:10" x14ac:dyDescent="0.2">
      <c r="A4" t="s">
        <v>458</v>
      </c>
      <c r="C4" s="286">
        <v>477</v>
      </c>
    </row>
    <row r="5" spans="1:10" x14ac:dyDescent="0.2">
      <c r="A5" t="s">
        <v>459</v>
      </c>
      <c r="C5" s="286">
        <v>232.92500000000001</v>
      </c>
    </row>
    <row r="6" spans="1:10" x14ac:dyDescent="0.2">
      <c r="A6" t="s">
        <v>728</v>
      </c>
      <c r="C6" s="286">
        <v>176</v>
      </c>
    </row>
    <row r="9" spans="1:10" x14ac:dyDescent="0.2">
      <c r="A9">
        <v>445.5</v>
      </c>
      <c r="B9" t="s">
        <v>621</v>
      </c>
      <c r="I9">
        <v>2.3199999999999998</v>
      </c>
      <c r="J9">
        <v>1033.56</v>
      </c>
    </row>
    <row r="10" spans="1:10" x14ac:dyDescent="0.2">
      <c r="A10">
        <v>0</v>
      </c>
      <c r="B10" t="s">
        <v>622</v>
      </c>
      <c r="I10">
        <v>2.68</v>
      </c>
      <c r="J10">
        <v>0</v>
      </c>
    </row>
    <row r="11" spans="1:10" x14ac:dyDescent="0.2">
      <c r="A11">
        <v>50</v>
      </c>
      <c r="B11" t="s">
        <v>623</v>
      </c>
      <c r="I11">
        <v>2.88</v>
      </c>
      <c r="J11">
        <v>144</v>
      </c>
    </row>
    <row r="12" spans="1:10" x14ac:dyDescent="0.2">
      <c r="A12">
        <v>30</v>
      </c>
      <c r="B12" t="s">
        <v>624</v>
      </c>
      <c r="I12">
        <v>2.12</v>
      </c>
      <c r="J12">
        <v>63.6</v>
      </c>
    </row>
    <row r="13" spans="1:10" x14ac:dyDescent="0.2">
      <c r="A13">
        <v>0</v>
      </c>
      <c r="B13" t="s">
        <v>625</v>
      </c>
      <c r="I13">
        <v>2.2200000000000002</v>
      </c>
      <c r="J13">
        <v>0</v>
      </c>
    </row>
    <row r="14" spans="1:10" x14ac:dyDescent="0.2">
      <c r="A14">
        <v>36</v>
      </c>
      <c r="B14" t="s">
        <v>626</v>
      </c>
      <c r="I14">
        <v>3.01</v>
      </c>
      <c r="J14">
        <v>108.35999999999999</v>
      </c>
    </row>
    <row r="17" spans="1:7" x14ac:dyDescent="0.2">
      <c r="B17" t="s">
        <v>366</v>
      </c>
      <c r="C17" t="s">
        <v>365</v>
      </c>
      <c r="D17" t="s">
        <v>420</v>
      </c>
      <c r="G17" t="s">
        <v>421</v>
      </c>
    </row>
    <row r="18" spans="1:7" x14ac:dyDescent="0.2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2">
      <c r="A19" t="s">
        <v>416</v>
      </c>
      <c r="B19">
        <v>5</v>
      </c>
      <c r="F19" t="s">
        <v>423</v>
      </c>
      <c r="G19">
        <v>0</v>
      </c>
    </row>
    <row r="20" spans="1:7" x14ac:dyDescent="0.2">
      <c r="A20" t="s">
        <v>417</v>
      </c>
      <c r="C20">
        <v>8</v>
      </c>
      <c r="F20" t="s">
        <v>424</v>
      </c>
      <c r="G20">
        <v>8</v>
      </c>
    </row>
    <row r="21" spans="1:7" x14ac:dyDescent="0.2">
      <c r="F21" t="s">
        <v>425</v>
      </c>
      <c r="G21">
        <v>0</v>
      </c>
    </row>
    <row r="22" spans="1:7" x14ac:dyDescent="0.2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2">
      <c r="A23" t="s">
        <v>418</v>
      </c>
      <c r="B23">
        <v>0</v>
      </c>
      <c r="F23" t="s">
        <v>427</v>
      </c>
      <c r="G23">
        <v>0</v>
      </c>
    </row>
    <row r="24" spans="1:7" x14ac:dyDescent="0.2">
      <c r="A24" t="s">
        <v>419</v>
      </c>
      <c r="C24">
        <v>0</v>
      </c>
      <c r="F24" t="s">
        <v>428</v>
      </c>
      <c r="G24">
        <v>0</v>
      </c>
    </row>
    <row r="25" spans="1:7" x14ac:dyDescent="0.2">
      <c r="F25" t="s">
        <v>429</v>
      </c>
      <c r="G25">
        <v>0</v>
      </c>
    </row>
    <row r="27" spans="1:7" x14ac:dyDescent="0.2">
      <c r="F27" t="s">
        <v>430</v>
      </c>
      <c r="G27">
        <v>38</v>
      </c>
    </row>
    <row r="28" spans="1:7" x14ac:dyDescent="0.2">
      <c r="F28" t="s">
        <v>431</v>
      </c>
      <c r="G28">
        <v>0</v>
      </c>
    </row>
    <row r="29" spans="1:7" x14ac:dyDescent="0.2">
      <c r="F29" t="s">
        <v>366</v>
      </c>
      <c r="G29">
        <v>5</v>
      </c>
    </row>
    <row r="30" spans="1:7" x14ac:dyDescent="0.2">
      <c r="F30" t="s">
        <v>420</v>
      </c>
      <c r="G30">
        <v>16</v>
      </c>
    </row>
    <row r="31" spans="1:7" x14ac:dyDescent="0.2">
      <c r="F31" t="s">
        <v>451</v>
      </c>
      <c r="G31">
        <v>0</v>
      </c>
    </row>
    <row r="32" spans="1:7" x14ac:dyDescent="0.2">
      <c r="F32" t="s">
        <v>450</v>
      </c>
      <c r="G32">
        <v>0</v>
      </c>
    </row>
    <row r="33" spans="2:7" x14ac:dyDescent="0.2">
      <c r="F33" t="s">
        <v>452</v>
      </c>
      <c r="G33">
        <v>6</v>
      </c>
    </row>
    <row r="34" spans="2:7" x14ac:dyDescent="0.2">
      <c r="F34" t="s">
        <v>453</v>
      </c>
      <c r="G34">
        <v>0</v>
      </c>
    </row>
    <row r="35" spans="2:7" x14ac:dyDescent="0.2">
      <c r="F35" t="s">
        <v>454</v>
      </c>
      <c r="G35">
        <v>6</v>
      </c>
    </row>
    <row r="37" spans="2:7" x14ac:dyDescent="0.2">
      <c r="C37" t="s">
        <v>726</v>
      </c>
      <c r="G37">
        <v>5</v>
      </c>
    </row>
    <row r="38" spans="2:7" x14ac:dyDescent="0.2">
      <c r="E38" t="s">
        <v>456</v>
      </c>
      <c r="G38">
        <v>1</v>
      </c>
    </row>
    <row r="40" spans="2:7" x14ac:dyDescent="0.2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2">
      <c r="D41">
        <v>2</v>
      </c>
      <c r="E41">
        <v>2</v>
      </c>
      <c r="F41">
        <v>0</v>
      </c>
      <c r="G41">
        <v>0</v>
      </c>
    </row>
    <row r="42" spans="2:7" x14ac:dyDescent="0.2">
      <c r="D42" t="s">
        <v>488</v>
      </c>
      <c r="E42" t="s">
        <v>489</v>
      </c>
      <c r="F42" t="s">
        <v>492</v>
      </c>
      <c r="G42" t="s">
        <v>493</v>
      </c>
    </row>
    <row r="43" spans="2:7" x14ac:dyDescent="0.2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baseColWidth="10" defaultColWidth="9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zoomScaleNormal="100" workbookViewId="0">
      <selection activeCell="F25" sqref="F25"/>
    </sheetView>
  </sheetViews>
  <sheetFormatPr baseColWidth="10" defaultColWidth="9" defaultRowHeight="16" x14ac:dyDescent="0.2"/>
  <cols>
    <col min="1" max="1" width="11.3984375" customWidth="1"/>
    <col min="2" max="2" width="9.796875" customWidth="1"/>
    <col min="3" max="3" width="11" customWidth="1"/>
    <col min="4" max="4" width="12.59765625" customWidth="1"/>
    <col min="5" max="5" width="12" customWidth="1"/>
    <col min="6" max="6" width="18.3984375" customWidth="1"/>
    <col min="7" max="7" width="16" customWidth="1"/>
    <col min="8" max="8" width="17.796875" customWidth="1"/>
    <col min="9" max="9" width="12.796875" customWidth="1"/>
    <col min="10" max="10" width="12.3984375" customWidth="1"/>
    <col min="11" max="11" width="13.19921875" customWidth="1"/>
    <col min="12" max="12" width="11.796875" customWidth="1"/>
    <col min="13" max="13" width="16.3984375" customWidth="1"/>
    <col min="14" max="14" width="10.3984375" customWidth="1"/>
    <col min="15" max="15" width="12" customWidth="1"/>
    <col min="16" max="16" width="13.3984375" customWidth="1"/>
    <col min="17" max="17" width="15.19921875" customWidth="1"/>
    <col min="18" max="18" width="12.59765625" customWidth="1"/>
    <col min="19" max="19" width="11.796875" customWidth="1"/>
    <col min="20" max="20" width="13.19921875" customWidth="1"/>
    <col min="21" max="24" width="12.3984375" customWidth="1"/>
    <col min="25" max="25" width="11.59765625" customWidth="1"/>
    <col min="26" max="26" width="11.3984375" customWidth="1"/>
    <col min="27" max="27" width="11.59765625" customWidth="1"/>
    <col min="28" max="28" width="11.3984375" customWidth="1"/>
  </cols>
  <sheetData>
    <row r="1" spans="1:26" ht="17" thickBot="1" x14ac:dyDescent="0.25">
      <c r="U1" s="269"/>
      <c r="V1" s="269"/>
      <c r="W1" s="269"/>
    </row>
    <row r="2" spans="1:26" x14ac:dyDescent="0.2">
      <c r="A2" s="800" t="s">
        <v>329</v>
      </c>
      <c r="B2" s="801"/>
      <c r="C2" s="801"/>
      <c r="D2" s="801"/>
      <c r="E2" s="801"/>
      <c r="F2" s="801"/>
      <c r="G2" s="801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ht="17" x14ac:dyDescent="0.2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30</v>
      </c>
      <c r="V3" s="269">
        <f>ROUNDUP(IF('Deck TakeOff'!F28&gt;1,'Deck TakeOff'!F28*12/15,0),0)</f>
        <v>4</v>
      </c>
      <c r="W3" s="269"/>
      <c r="X3" s="286" t="s">
        <v>422</v>
      </c>
      <c r="Y3">
        <f>IF(H10&gt;0,U3,0)</f>
        <v>30</v>
      </c>
      <c r="Z3" s="158"/>
    </row>
    <row r="4" spans="1:26" x14ac:dyDescent="0.2">
      <c r="A4" s="157" t="s">
        <v>330</v>
      </c>
      <c r="B4" s="269">
        <f>ROUNDUP((('Deck TakeOff'!E24*12)-E4)/16, 0)</f>
        <v>15</v>
      </c>
      <c r="C4" s="269">
        <f>IF('Deck TakeOff'!E24&gt;0,5,0)</f>
        <v>5</v>
      </c>
      <c r="D4" s="269">
        <f>B4+C4</f>
        <v>20</v>
      </c>
      <c r="E4">
        <f>IF('Deck TakeOff'!E24&gt;0,4.5,0)</f>
        <v>4.5</v>
      </c>
      <c r="F4" s="271"/>
      <c r="G4" s="291"/>
      <c r="H4" s="269" t="s">
        <v>360</v>
      </c>
      <c r="I4" s="269">
        <f>'Deck TakeOff'!F28*2*J2</f>
        <v>11</v>
      </c>
      <c r="J4" s="269">
        <f>'Deck TakeOff'!K28*2*J2</f>
        <v>0</v>
      </c>
      <c r="K4">
        <f>IF('Deck TakeOff'!E28=Formulas!H4,I4,0)</f>
        <v>11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2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16.5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2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11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ht="17" x14ac:dyDescent="0.2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16.5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2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2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2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220.00000000000003</v>
      </c>
      <c r="H10" s="282">
        <f>IF($H$9='Deck TakeOff'!E20,$G$10,0)</f>
        <v>220.00000000000003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7" thickBot="1" x14ac:dyDescent="0.2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2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11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30</v>
      </c>
      <c r="Z12" s="158"/>
    </row>
    <row r="13" spans="1:26" x14ac:dyDescent="0.2">
      <c r="A13" s="157" t="s">
        <v>406</v>
      </c>
      <c r="B13" s="292">
        <f>'Deck TakeOff'!E21</f>
        <v>20</v>
      </c>
      <c r="C13" s="269">
        <f>IF(B39='Deck TakeOff'!E22,B13,0)</f>
        <v>20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2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2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4</v>
      </c>
      <c r="Z15" s="158"/>
    </row>
    <row r="16" spans="1:26" x14ac:dyDescent="0.2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66</v>
      </c>
      <c r="H16" s="282">
        <f>IF(H9='Deck TakeOff'!E20,G16,0)</f>
        <v>66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2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2">
      <c r="A18" s="802" t="s">
        <v>269</v>
      </c>
      <c r="B18" s="803"/>
      <c r="C18" s="803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7" thickBot="1" x14ac:dyDescent="0.25">
      <c r="A19" s="804" t="s">
        <v>274</v>
      </c>
      <c r="B19" s="805"/>
      <c r="C19" s="805"/>
      <c r="D19" s="296">
        <f>C13+C14+C15+C16</f>
        <v>20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2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2">
      <c r="A21" s="157"/>
      <c r="F21" s="297" t="s">
        <v>411</v>
      </c>
      <c r="G21" s="298">
        <f>SUM(H10:H19)</f>
        <v>297</v>
      </c>
      <c r="H21" s="282"/>
      <c r="I21" s="282"/>
      <c r="Q21" s="158"/>
      <c r="S21" s="157"/>
      <c r="Z21" s="158"/>
    </row>
    <row r="22" spans="1:26" ht="17" thickBot="1" x14ac:dyDescent="0.2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91" t="s">
        <v>1357</v>
      </c>
      <c r="V22" s="791"/>
      <c r="W22" s="791"/>
      <c r="X22" s="791"/>
      <c r="Y22">
        <f>ROUNDUP(((Y12*6)+(Y13*10)+(Y14*24)+(Y15*10))/50,0)</f>
        <v>5</v>
      </c>
      <c r="Z22" s="158"/>
    </row>
    <row r="23" spans="1:26" x14ac:dyDescent="0.2">
      <c r="A23" s="157" t="s">
        <v>161</v>
      </c>
      <c r="M23" s="158"/>
      <c r="N23" s="154" t="s">
        <v>974</v>
      </c>
      <c r="O23" s="155"/>
      <c r="P23" s="156"/>
      <c r="S23" s="157"/>
      <c r="W23" s="791" t="s">
        <v>456</v>
      </c>
      <c r="X23" s="791"/>
      <c r="Y23">
        <v>1</v>
      </c>
      <c r="Z23" s="158"/>
    </row>
    <row r="24" spans="1:26" x14ac:dyDescent="0.2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2">
      <c r="A25" s="157" t="s">
        <v>330</v>
      </c>
      <c r="B25" s="271">
        <f>'Deck TakeOff'!E24</f>
        <v>20</v>
      </c>
      <c r="C25" s="271">
        <f>'Deck TakeOff'!E25</f>
        <v>10</v>
      </c>
      <c r="D25">
        <f>ROUNDUP(((C25*12)/5.75)-1,0)</f>
        <v>20</v>
      </c>
      <c r="E25" s="372">
        <v>1.0649999999999999</v>
      </c>
      <c r="F25">
        <f>ROUNDUP(E25*D25,0)</f>
        <v>22</v>
      </c>
      <c r="G25">
        <f>F25*B25</f>
        <v>440</v>
      </c>
      <c r="H25" s="271">
        <f>'Deck TakeOff'!E27</f>
        <v>10</v>
      </c>
      <c r="I25" s="269">
        <f>B25*C25</f>
        <v>200</v>
      </c>
      <c r="J25" s="282">
        <f>I25+I26+I27+I28</f>
        <v>200</v>
      </c>
      <c r="K25" s="317">
        <f>G25+G26+G27+G28</f>
        <v>440</v>
      </c>
      <c r="L25" s="271">
        <f>SUM(H25:H28)</f>
        <v>10</v>
      </c>
      <c r="M25" s="315">
        <f>L25*1.05</f>
        <v>10.5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2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2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7" thickBot="1" x14ac:dyDescent="0.2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2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220.00000000000003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7" thickBot="1" x14ac:dyDescent="0.25">
      <c r="A29" s="157"/>
      <c r="G29">
        <f>(G28+G27+G26+G25)/1.1</f>
        <v>399.99999999999994</v>
      </c>
      <c r="M29" s="158"/>
    </row>
    <row r="30" spans="1:26" x14ac:dyDescent="0.2">
      <c r="A30" s="157"/>
      <c r="J30" s="810" t="s">
        <v>437</v>
      </c>
      <c r="K30" s="811"/>
      <c r="L30" s="318">
        <f>M25+H35</f>
        <v>10.5</v>
      </c>
      <c r="M30" s="158"/>
    </row>
    <row r="31" spans="1:26" x14ac:dyDescent="0.2">
      <c r="A31" s="157"/>
      <c r="J31" s="808" t="s">
        <v>1388</v>
      </c>
      <c r="K31" s="809"/>
      <c r="L31" s="315">
        <f>K25</f>
        <v>440</v>
      </c>
      <c r="M31" s="158"/>
    </row>
    <row r="32" spans="1:26" x14ac:dyDescent="0.2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08" t="s">
        <v>457</v>
      </c>
      <c r="K32" s="809"/>
      <c r="L32" s="315">
        <f>(((G28+G27+G26+G25)*0.75)+F35)*2</f>
        <v>660</v>
      </c>
      <c r="M32" s="158"/>
    </row>
    <row r="33" spans="1:13" x14ac:dyDescent="0.2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08" t="s">
        <v>458</v>
      </c>
      <c r="K33" s="809"/>
      <c r="L33" s="315">
        <f>1.8*J25</f>
        <v>360</v>
      </c>
      <c r="M33" s="158"/>
    </row>
    <row r="34" spans="1:13" x14ac:dyDescent="0.2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08" t="s">
        <v>459</v>
      </c>
      <c r="K34" s="809"/>
      <c r="L34" s="315">
        <f>((B33+B34)*(E33+E34)*4)+(M25*0.75*2)</f>
        <v>15.75</v>
      </c>
      <c r="M34" s="158"/>
    </row>
    <row r="35" spans="1:13" ht="17" thickBot="1" x14ac:dyDescent="0.2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0</v>
      </c>
      <c r="M35" s="161"/>
    </row>
    <row r="36" spans="1:13" ht="17" thickBot="1" x14ac:dyDescent="0.25"/>
    <row r="37" spans="1:13" x14ac:dyDescent="0.2">
      <c r="A37" s="154" t="s">
        <v>370</v>
      </c>
      <c r="B37" s="155"/>
      <c r="C37" s="155"/>
      <c r="D37" s="155"/>
      <c r="E37" s="155"/>
      <c r="F37" s="156"/>
      <c r="G37" s="793" t="s">
        <v>722</v>
      </c>
      <c r="H37" s="794"/>
      <c r="I37" s="797"/>
      <c r="J37" s="154"/>
      <c r="K37" s="155" t="s">
        <v>830</v>
      </c>
      <c r="L37" s="155"/>
      <c r="M37" s="156"/>
    </row>
    <row r="38" spans="1:13" x14ac:dyDescent="0.2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3</v>
      </c>
      <c r="I38" s="158"/>
      <c r="J38" s="157"/>
      <c r="M38" s="158"/>
    </row>
    <row r="39" spans="1:13" x14ac:dyDescent="0.2">
      <c r="A39" s="157" t="s">
        <v>371</v>
      </c>
      <c r="B39" t="s">
        <v>374</v>
      </c>
      <c r="C39" s="271"/>
      <c r="D39" s="269">
        <f>C13+C14+C15+C16</f>
        <v>20</v>
      </c>
      <c r="E39" s="320">
        <f>ROUNDUP(D39*12/7,0)</f>
        <v>35</v>
      </c>
      <c r="F39" s="158">
        <f>ROUNDUP(E39/50,0)</f>
        <v>1</v>
      </c>
      <c r="G39" s="157" t="s">
        <v>724</v>
      </c>
      <c r="H39">
        <f>ROUNDUP((B68+B69+B70)/50,0)</f>
        <v>6</v>
      </c>
      <c r="I39" s="158"/>
      <c r="J39" s="157" t="s">
        <v>831</v>
      </c>
      <c r="M39" s="158"/>
    </row>
    <row r="40" spans="1:13" x14ac:dyDescent="0.2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7" thickBot="1" x14ac:dyDescent="0.2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2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2">
      <c r="A43" s="157" t="s">
        <v>381</v>
      </c>
      <c r="M43" s="158"/>
    </row>
    <row r="44" spans="1:13" x14ac:dyDescent="0.2">
      <c r="A44" s="157" t="s">
        <v>378</v>
      </c>
      <c r="E44" t="s">
        <v>343</v>
      </c>
      <c r="F44">
        <v>1.2</v>
      </c>
      <c r="M44" s="158"/>
    </row>
    <row r="45" spans="1:13" x14ac:dyDescent="0.2">
      <c r="A45" s="157" t="s">
        <v>380</v>
      </c>
      <c r="M45" s="158"/>
    </row>
    <row r="46" spans="1:13" x14ac:dyDescent="0.2">
      <c r="A46" s="157" t="s">
        <v>379</v>
      </c>
      <c r="M46" s="158"/>
    </row>
    <row r="47" spans="1:13" x14ac:dyDescent="0.2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2">
      <c r="A48" s="157" t="s">
        <v>439</v>
      </c>
      <c r="C48" s="271">
        <f>'Deck TakeOff'!E26</f>
        <v>5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2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2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2">
      <c r="A51" s="157"/>
      <c r="M51" s="158"/>
    </row>
    <row r="52" spans="1:13" x14ac:dyDescent="0.2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2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2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2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7" thickBot="1" x14ac:dyDescent="0.2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2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794" t="s">
        <v>633</v>
      </c>
      <c r="M57" s="807"/>
    </row>
    <row r="58" spans="1:13" x14ac:dyDescent="0.2">
      <c r="A58" s="157" t="s">
        <v>460</v>
      </c>
      <c r="C58" s="791" t="s">
        <v>343</v>
      </c>
      <c r="D58" s="791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2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2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2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2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2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7" thickBot="1" x14ac:dyDescent="0.2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2">
      <c r="J65" s="357"/>
      <c r="K65" s="285" t="s">
        <v>641</v>
      </c>
      <c r="L65" s="285"/>
      <c r="M65" s="357"/>
    </row>
    <row r="66" spans="1:14" x14ac:dyDescent="0.2">
      <c r="A66" s="791" t="s">
        <v>471</v>
      </c>
      <c r="B66" s="791"/>
      <c r="C66" s="791"/>
      <c r="D66" s="791"/>
      <c r="E66" s="791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2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2">
      <c r="A68" s="286" t="s">
        <v>477</v>
      </c>
      <c r="B68" s="269">
        <f>G21</f>
        <v>297</v>
      </c>
      <c r="D68" s="286" t="s">
        <v>430</v>
      </c>
      <c r="E68">
        <f t="shared" ref="E68:E76" si="1">Y12</f>
        <v>30</v>
      </c>
      <c r="F68" s="806" t="s">
        <v>455</v>
      </c>
      <c r="G68" s="806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2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7" thickBot="1" x14ac:dyDescent="0.2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2">
      <c r="A71" s="286" t="s">
        <v>473</v>
      </c>
      <c r="B71" s="269">
        <f>G55</f>
        <v>0</v>
      </c>
      <c r="D71" s="286" t="s">
        <v>420</v>
      </c>
      <c r="E71">
        <f t="shared" si="1"/>
        <v>4</v>
      </c>
      <c r="H71" s="154"/>
      <c r="I71" s="155"/>
      <c r="J71" s="156"/>
      <c r="K71" s="154" t="s">
        <v>650</v>
      </c>
      <c r="L71" s="155"/>
      <c r="M71" s="156"/>
    </row>
    <row r="72" spans="1:14" x14ac:dyDescent="0.2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2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2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0</v>
      </c>
      <c r="J74" s="299">
        <f>I74*13</f>
        <v>0</v>
      </c>
      <c r="K74" s="157" t="s">
        <v>334</v>
      </c>
      <c r="L74">
        <f>IF('Deck TakeOff'!J31&gt;1,1,0)</f>
        <v>0</v>
      </c>
      <c r="M74" s="158"/>
    </row>
    <row r="75" spans="1:14" x14ac:dyDescent="0.2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2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7" thickBot="1" x14ac:dyDescent="0.25">
      <c r="D77" s="286" t="s">
        <v>483</v>
      </c>
      <c r="E77">
        <f>V26+W26+X26+Y26</f>
        <v>2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2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2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0</v>
      </c>
      <c r="M79" s="409">
        <f>I74*15</f>
        <v>0</v>
      </c>
      <c r="N79" s="158"/>
    </row>
    <row r="80" spans="1:14" x14ac:dyDescent="0.2">
      <c r="D80" s="286" t="s">
        <v>630</v>
      </c>
      <c r="E80">
        <f>'Deck TakeOff'!F70</f>
        <v>0</v>
      </c>
      <c r="H80" s="157" t="s">
        <v>872</v>
      </c>
      <c r="I80" s="791">
        <f>ROUNDUP(IF(('Deck TakeOff'!E60+'Deck TakeOff'!E61)&gt;('Deck TakeOff'!E62+'Deck TakeOff'!E63),(J74+J75)/18,0),0)</f>
        <v>0</v>
      </c>
      <c r="J80" s="799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2">
      <c r="D81" s="286" t="s">
        <v>1341</v>
      </c>
      <c r="E81" s="271">
        <f>('Deck TakeOff'!E21+'Deck TakeOff'!J21+'Deck TakeOff'!E44+'Deck TakeOff'!J44)/75</f>
        <v>0.26666666666666666</v>
      </c>
      <c r="H81" s="157" t="s">
        <v>873</v>
      </c>
      <c r="I81" s="791">
        <f>ROUNDUP(IF(('Deck TakeOff'!E60+'Deck TakeOff'!E61)&gt;('Deck TakeOff'!E62+'Deck TakeOff'!E63),(J78+J79+J77+J76)/18,0),0)</f>
        <v>0</v>
      </c>
      <c r="J81" s="799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2">
      <c r="H82" s="418" t="s">
        <v>939</v>
      </c>
      <c r="I82" s="791">
        <f>ROUNDUP(IF(('Deck TakeOff'!E60+'Deck TakeOff'!E61)&gt;('Deck TakeOff'!E62+'Deck TakeOff'!E63),(J74+J75)/18,0)+IF(('Deck TakeOff'!E60+'Deck TakeOff'!E61)&gt;('Deck TakeOff'!E62+'Deck TakeOff'!E63),(J78+J79+J77+J76)/18,0),0)</f>
        <v>0</v>
      </c>
      <c r="J82" s="799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7" thickBot="1" x14ac:dyDescent="0.2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2">
      <c r="A84" s="154"/>
      <c r="B84" s="155" t="s">
        <v>701</v>
      </c>
      <c r="C84" s="155"/>
      <c r="D84" s="156"/>
      <c r="E84" s="793" t="s">
        <v>713</v>
      </c>
      <c r="F84" s="794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2">
      <c r="A85" s="157" t="s">
        <v>693</v>
      </c>
      <c r="C85">
        <f>'Deck TakeOff'!E60</f>
        <v>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2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2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2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2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2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2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2">
      <c r="A92" s="157" t="s">
        <v>700</v>
      </c>
      <c r="C92">
        <f>Q122</f>
        <v>0</v>
      </c>
      <c r="D92" s="158"/>
      <c r="E92" s="798" t="s">
        <v>714</v>
      </c>
      <c r="F92" s="791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0</v>
      </c>
      <c r="N92" s="158"/>
    </row>
    <row r="93" spans="1:14" x14ac:dyDescent="0.2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2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2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2">
      <c r="A96" s="157" t="s">
        <v>703</v>
      </c>
      <c r="C96">
        <f>ROUNDUP(((C85+C87)*6)/4,0)</f>
        <v>0</v>
      </c>
      <c r="D96" s="158"/>
      <c r="E96" s="157" t="s">
        <v>710</v>
      </c>
      <c r="F96">
        <f>G96/16</f>
        <v>0</v>
      </c>
      <c r="G96">
        <f>G93+G94+G95</f>
        <v>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2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0</v>
      </c>
      <c r="H97" s="398" t="s">
        <v>841</v>
      </c>
      <c r="J97" s="158">
        <f>J95</f>
        <v>0</v>
      </c>
      <c r="K97" s="157"/>
      <c r="N97" s="158"/>
    </row>
    <row r="98" spans="1:28" x14ac:dyDescent="0.2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7" thickBot="1" x14ac:dyDescent="0.25">
      <c r="A99" s="362" t="s">
        <v>704</v>
      </c>
      <c r="B99" s="311"/>
      <c r="C99" s="311">
        <f>C94+C96</f>
        <v>0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2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91" t="s">
        <v>790</v>
      </c>
      <c r="J100" s="791"/>
      <c r="K100" s="794"/>
      <c r="L100" s="794"/>
      <c r="M100" s="794"/>
      <c r="N100" s="155"/>
      <c r="O100" s="793" t="s">
        <v>794</v>
      </c>
      <c r="P100" s="794"/>
      <c r="Q100" s="794"/>
      <c r="R100" s="794"/>
      <c r="S100" s="794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7" thickBot="1" x14ac:dyDescent="0.2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2">
      <c r="A102" s="793" t="s">
        <v>744</v>
      </c>
      <c r="B102" s="794"/>
      <c r="C102" s="794"/>
      <c r="D102" s="797"/>
      <c r="E102" s="793" t="s">
        <v>747</v>
      </c>
      <c r="F102" s="794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2">
      <c r="A103" s="795" t="s">
        <v>745</v>
      </c>
      <c r="B103" s="796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2">
      <c r="A104" s="795" t="s">
        <v>746</v>
      </c>
      <c r="B104" s="796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2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2">
      <c r="A106" s="798" t="s">
        <v>730</v>
      </c>
      <c r="B106" s="791"/>
      <c r="C106" s="791"/>
      <c r="D106" s="799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2">
      <c r="A107" s="795" t="s">
        <v>745</v>
      </c>
      <c r="B107" s="796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91" t="s">
        <v>784</v>
      </c>
      <c r="J107" s="791"/>
      <c r="K107" s="791" t="s">
        <v>783</v>
      </c>
      <c r="L107" s="791"/>
      <c r="M107" s="791"/>
      <c r="N107" t="s">
        <v>832</v>
      </c>
      <c r="O107" s="157" t="s">
        <v>800</v>
      </c>
      <c r="AB107" s="158"/>
    </row>
    <row r="108" spans="1:28" x14ac:dyDescent="0.2">
      <c r="A108" s="795" t="s">
        <v>746</v>
      </c>
      <c r="B108" s="796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2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2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7" thickBot="1" x14ac:dyDescent="0.2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0</v>
      </c>
      <c r="Q111" s="269">
        <f>IF(P102+Q102&gt;T102+U102,P103,0)</f>
        <v>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2">
      <c r="A112" s="154"/>
      <c r="B112" s="155"/>
      <c r="C112" s="794" t="s">
        <v>846</v>
      </c>
      <c r="D112" s="794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2">
      <c r="A113" s="798" t="s">
        <v>951</v>
      </c>
      <c r="B113" s="791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2">
      <c r="A114" s="798" t="s">
        <v>847</v>
      </c>
      <c r="B114" s="791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2">
      <c r="A115" s="812" t="s">
        <v>859</v>
      </c>
      <c r="B115" s="813"/>
      <c r="C115">
        <f>'Deck TakeOff'!H62</f>
        <v>0</v>
      </c>
      <c r="D115" s="812" t="s">
        <v>861</v>
      </c>
      <c r="E115" s="813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2">
      <c r="A116" s="812" t="s">
        <v>860</v>
      </c>
      <c r="B116" s="813"/>
      <c r="C116">
        <f>'Deck TakeOff'!H63</f>
        <v>0</v>
      </c>
      <c r="D116" s="812" t="s">
        <v>862</v>
      </c>
      <c r="E116" s="813"/>
      <c r="F116">
        <f>'Deck TakeOff'!H61</f>
        <v>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2">
      <c r="A117" s="798" t="s">
        <v>848</v>
      </c>
      <c r="B117" s="791"/>
      <c r="C117">
        <f>'Deck TakeOff'!H58</f>
        <v>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2">
      <c r="A118" s="798" t="s">
        <v>849</v>
      </c>
      <c r="B118" s="791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2">
      <c r="A119" s="798"/>
      <c r="B119" s="791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2">
      <c r="A120" s="798" t="s">
        <v>850</v>
      </c>
      <c r="B120" s="791"/>
      <c r="C120">
        <f>(C117*9)+(C118*11)</f>
        <v>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2">
      <c r="A121" s="798" t="s">
        <v>851</v>
      </c>
      <c r="B121" s="791"/>
      <c r="C121">
        <f>ROUNDUP(((C120/500)-C122)*500/100,0)</f>
        <v>0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2">
      <c r="A122" s="798" t="s">
        <v>852</v>
      </c>
      <c r="B122" s="791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2">
      <c r="A123" s="798" t="s">
        <v>854</v>
      </c>
      <c r="B123" s="791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2">
      <c r="A124" s="798" t="s">
        <v>855</v>
      </c>
      <c r="B124" s="791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2">
      <c r="A125" s="798" t="s">
        <v>856</v>
      </c>
      <c r="B125" s="791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2">
      <c r="A126" s="814" t="s">
        <v>858</v>
      </c>
      <c r="B126" s="815"/>
      <c r="C126">
        <f>(F115*10)+(F116*11)</f>
        <v>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7" thickBot="1" x14ac:dyDescent="0.25">
      <c r="A127" s="820" t="s">
        <v>857</v>
      </c>
      <c r="B127" s="821"/>
      <c r="C127" s="160">
        <f>C126</f>
        <v>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2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2">
      <c r="A129" s="157"/>
      <c r="H129" s="158"/>
    </row>
    <row r="130" spans="1:8" x14ac:dyDescent="0.2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2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2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2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2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2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2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2">
      <c r="A137" s="157"/>
      <c r="G137" s="286" t="s">
        <v>272</v>
      </c>
      <c r="H137" s="299">
        <f>'Deck TakeOff'!L66</f>
        <v>0</v>
      </c>
    </row>
    <row r="138" spans="1:8" x14ac:dyDescent="0.2">
      <c r="A138" s="795" t="s">
        <v>1195</v>
      </c>
      <c r="B138" s="796"/>
      <c r="C138">
        <f>D132/18</f>
        <v>0</v>
      </c>
      <c r="H138" s="158"/>
    </row>
    <row r="139" spans="1:8" x14ac:dyDescent="0.2">
      <c r="A139" s="795" t="s">
        <v>1197</v>
      </c>
      <c r="B139" s="796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2">
      <c r="A140" s="795" t="s">
        <v>1196</v>
      </c>
      <c r="B140" s="796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2">
      <c r="A141" s="795" t="s">
        <v>1198</v>
      </c>
      <c r="B141" s="796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2">
      <c r="A142" s="816" t="s">
        <v>1200</v>
      </c>
      <c r="B142" s="817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2">
      <c r="A143" s="816" t="s">
        <v>1201</v>
      </c>
      <c r="B143" s="817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2">
      <c r="A144" s="816" t="s">
        <v>1199</v>
      </c>
      <c r="B144" s="817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2">
      <c r="A145" s="795" t="s">
        <v>1186</v>
      </c>
      <c r="B145" s="796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7" thickBot="1" x14ac:dyDescent="0.25">
      <c r="A146" s="818"/>
      <c r="B146" s="819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2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2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2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2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2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2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2">
      <c r="A153" s="157"/>
      <c r="D153" s="158"/>
      <c r="F153" t="s">
        <v>1280</v>
      </c>
      <c r="G153" s="128">
        <v>750</v>
      </c>
    </row>
    <row r="154" spans="1:15" ht="17" thickBot="1" x14ac:dyDescent="0.2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C112:D112"/>
    <mergeCell ref="A113:B113"/>
    <mergeCell ref="A114:B114"/>
    <mergeCell ref="A115:B115"/>
    <mergeCell ref="A116:B116"/>
    <mergeCell ref="D115:E115"/>
    <mergeCell ref="D116:E116"/>
    <mergeCell ref="E84:F84"/>
    <mergeCell ref="G37:I37"/>
    <mergeCell ref="E102:F102"/>
    <mergeCell ref="I100:M100"/>
    <mergeCell ref="E92:F92"/>
    <mergeCell ref="I80:J80"/>
    <mergeCell ref="I81:J81"/>
    <mergeCell ref="I82:J82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A2:G2"/>
    <mergeCell ref="A18:C18"/>
    <mergeCell ref="C58:D58"/>
    <mergeCell ref="A66:E66"/>
    <mergeCell ref="A19:C19"/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K12" sqref="K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960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40">
        <f>K12*C12</f>
        <v>675.75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/>
      <c r="D14" s="566" t="s">
        <v>253</v>
      </c>
      <c r="E14" s="567"/>
      <c r="F14" s="567"/>
      <c r="G14" s="567"/>
      <c r="H14" s="567"/>
      <c r="I14" s="567"/>
      <c r="J14" s="568"/>
      <c r="K14" s="152">
        <f>8*K12</f>
        <v>12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ROUNDUP((Formulas!L32)/110,0)</f>
        <v>6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8">
        <f t="shared" si="1"/>
        <v>72</v>
      </c>
      <c r="M20" s="669"/>
      <c r="N20" s="178"/>
      <c r="O20" s="71"/>
    </row>
    <row r="21" spans="1:15" x14ac:dyDescent="0.3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3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46.734375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822">
        <f>SUM(L10:M48)</f>
        <v>794.484375</v>
      </c>
      <c r="M49" s="823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3"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  <mergeCell ref="L47:M47"/>
    <mergeCell ref="D48:K48"/>
    <mergeCell ref="L48:M48"/>
    <mergeCell ref="D49:K49"/>
    <mergeCell ref="L49:M49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34:M34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40">
        <f>K12*C12</f>
        <v>1802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966</v>
      </c>
      <c r="E14" s="567"/>
      <c r="F14" s="567"/>
      <c r="G14" s="567"/>
      <c r="H14" s="567"/>
      <c r="I14" s="567"/>
      <c r="J14" s="568"/>
      <c r="K14" s="152">
        <f>K12*12</f>
        <v>48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969</v>
      </c>
      <c r="E17" s="567"/>
      <c r="F17" s="567"/>
      <c r="G17" s="567"/>
      <c r="H17" s="567"/>
      <c r="I17" s="567"/>
      <c r="J17" s="568"/>
      <c r="K17" s="152">
        <f>K12*12</f>
        <v>48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ref="L21" si="2">K21*C21</f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3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126.9375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2157.9375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D49:K49"/>
    <mergeCell ref="L49:M49"/>
    <mergeCell ref="L42:M42"/>
    <mergeCell ref="L43:M43"/>
    <mergeCell ref="L44:M44"/>
    <mergeCell ref="L45:M45"/>
    <mergeCell ref="L46:M46"/>
    <mergeCell ref="L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40">
        <f>K12*C12</f>
        <v>2477.75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981</v>
      </c>
      <c r="E14" s="567"/>
      <c r="F14" s="567"/>
      <c r="G14" s="567"/>
      <c r="H14" s="567"/>
      <c r="I14" s="567"/>
      <c r="J14" s="568"/>
      <c r="K14" s="152">
        <f>K12*12</f>
        <v>66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984</v>
      </c>
      <c r="E17" s="567"/>
      <c r="F17" s="567"/>
      <c r="G17" s="567"/>
      <c r="H17" s="567"/>
      <c r="I17" s="567"/>
      <c r="J17" s="568"/>
      <c r="K17" s="152">
        <f>K12*12</f>
        <v>66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si="1"/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169.171875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2875.921875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40">
        <f>K12*C12</f>
        <v>1410.0650000000001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987</v>
      </c>
      <c r="E14" s="567"/>
      <c r="F14" s="567"/>
      <c r="G14" s="567"/>
      <c r="H14" s="567"/>
      <c r="I14" s="567"/>
      <c r="J14" s="568"/>
      <c r="K14" s="152">
        <f>K12*12</f>
        <v>37.56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992</v>
      </c>
      <c r="E17" s="567"/>
      <c r="F17" s="567"/>
      <c r="G17" s="567"/>
      <c r="H17" s="567"/>
      <c r="I17" s="567"/>
      <c r="J17" s="568"/>
      <c r="K17" s="152">
        <f>K12*12</f>
        <v>37.56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si="1"/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102.4415625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1741.5065625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11" zoomScaleNormal="100" zoomScaleSheetLayoutView="100" workbookViewId="0">
      <selection activeCell="C23" sqref="C2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ht="25" thickBot="1" x14ac:dyDescent="0.35">
      <c r="A11" s="71"/>
      <c r="B11" s="166"/>
      <c r="C11" s="360"/>
      <c r="D11" s="678" t="s">
        <v>1387</v>
      </c>
      <c r="E11" s="679"/>
      <c r="F11" s="679"/>
      <c r="G11" s="679"/>
      <c r="H11" s="679"/>
      <c r="I11" s="679"/>
      <c r="J11" s="825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551">
        <v>616581</v>
      </c>
      <c r="K12" s="152">
        <v>26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552">
        <v>386668</v>
      </c>
      <c r="K14" s="152">
        <v>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552">
        <v>401434</v>
      </c>
      <c r="K15" s="152">
        <v>5</v>
      </c>
      <c r="L15" s="668">
        <f>K15*C15</f>
        <v>0</v>
      </c>
      <c r="M15" s="669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552"/>
      <c r="K16" s="356">
        <f>'Material Price'!J304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552"/>
      <c r="K17" s="356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Formulas!Q111</f>
        <v>0</v>
      </c>
      <c r="D18" s="555" t="s">
        <v>1381</v>
      </c>
      <c r="E18" s="405"/>
      <c r="F18" s="405"/>
      <c r="G18" s="405"/>
      <c r="H18" s="405"/>
      <c r="I18" s="405"/>
      <c r="J18" s="553">
        <v>724146</v>
      </c>
      <c r="K18" s="356">
        <v>55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553">
        <v>725268</v>
      </c>
      <c r="K19" s="356">
        <v>80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Formulas!Q113</f>
        <v>0</v>
      </c>
      <c r="D20" s="550"/>
      <c r="E20" s="411"/>
      <c r="F20" s="411"/>
      <c r="G20" s="411"/>
      <c r="H20" s="411"/>
      <c r="I20" s="411"/>
      <c r="J20" s="553"/>
      <c r="K20" s="356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Formulas!Q114</f>
        <v>0</v>
      </c>
      <c r="D21" s="550"/>
      <c r="E21" s="411"/>
      <c r="F21" s="411"/>
      <c r="G21" s="411"/>
      <c r="H21" s="411"/>
      <c r="I21" s="411"/>
      <c r="J21" s="553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Formulas!Q115</f>
        <v>0</v>
      </c>
      <c r="D22" s="556" t="s">
        <v>1384</v>
      </c>
      <c r="E22" s="411"/>
      <c r="F22" s="411"/>
      <c r="G22" s="411"/>
      <c r="H22" s="411"/>
      <c r="I22" s="411"/>
      <c r="J22" s="553">
        <v>829436</v>
      </c>
      <c r="K22" s="356">
        <v>60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Formulas!Q116</f>
        <v>0</v>
      </c>
      <c r="D23" s="550" t="s">
        <v>1385</v>
      </c>
      <c r="E23" s="411"/>
      <c r="F23" s="411"/>
      <c r="G23" s="411"/>
      <c r="H23" s="411"/>
      <c r="I23" s="411"/>
      <c r="J23" s="553">
        <v>73025682</v>
      </c>
      <c r="K23" s="356">
        <v>148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Formulas!Q117</f>
        <v>0</v>
      </c>
      <c r="D24" s="550"/>
      <c r="E24" s="411"/>
      <c r="F24" s="411"/>
      <c r="G24" s="411"/>
      <c r="H24" s="411"/>
      <c r="I24" s="411"/>
      <c r="J24" s="553"/>
      <c r="K24" s="356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'Deck TakeOff'!E64</f>
        <v>0</v>
      </c>
      <c r="D25" s="550" t="s">
        <v>1386</v>
      </c>
      <c r="E25" s="411"/>
      <c r="F25" s="411"/>
      <c r="G25" s="411"/>
      <c r="H25" s="411"/>
      <c r="I25" s="411"/>
      <c r="J25" s="553"/>
      <c r="K25" s="356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94">
        <f>C19+C18</f>
        <v>0</v>
      </c>
      <c r="D26" s="550" t="s">
        <v>1376</v>
      </c>
      <c r="E26" s="411"/>
      <c r="F26" s="411"/>
      <c r="G26" s="411"/>
      <c r="H26" s="411"/>
      <c r="I26" s="411"/>
      <c r="J26" s="553">
        <v>1001303912</v>
      </c>
      <c r="K26" s="356">
        <v>12.98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94">
        <f>C22+C23</f>
        <v>0</v>
      </c>
      <c r="D27" s="550" t="s">
        <v>1375</v>
      </c>
      <c r="E27" s="411"/>
      <c r="F27" s="411"/>
      <c r="G27" s="411"/>
      <c r="H27" s="411"/>
      <c r="I27" s="411"/>
      <c r="J27" s="553">
        <v>513390</v>
      </c>
      <c r="K27" s="356">
        <v>18.5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94"/>
      <c r="D28" s="550"/>
      <c r="E28" s="411"/>
      <c r="F28" s="411"/>
      <c r="G28" s="411"/>
      <c r="H28" s="411"/>
      <c r="I28" s="411"/>
      <c r="J28" s="553"/>
      <c r="K28" s="152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94">
        <f>IF(C28&gt;0,1,0)</f>
        <v>0</v>
      </c>
      <c r="D29" s="550"/>
      <c r="E29" s="411"/>
      <c r="F29" s="411"/>
      <c r="G29" s="411"/>
      <c r="H29" s="411"/>
      <c r="I29" s="411"/>
      <c r="J29" s="553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553"/>
      <c r="K30" s="356">
        <f>'Material Price'!J342</f>
        <v>225</v>
      </c>
      <c r="L30" s="668">
        <f t="shared" si="1"/>
        <v>0</v>
      </c>
      <c r="M30" s="669"/>
      <c r="N30" s="178"/>
      <c r="O30" s="71"/>
    </row>
    <row r="31" spans="1:15" ht="25" thickBot="1" x14ac:dyDescent="0.3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554"/>
      <c r="K31" s="356">
        <f>'Material Price'!J343</f>
        <v>225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8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2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2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>K48*C48</f>
        <v>0</v>
      </c>
      <c r="M48" s="669"/>
      <c r="N48" s="178"/>
      <c r="O48" s="71"/>
    </row>
    <row r="49" spans="1:15" x14ac:dyDescent="0.3">
      <c r="A49" s="71"/>
      <c r="B49" s="166"/>
      <c r="C49" s="183"/>
      <c r="D49" s="681" t="s">
        <v>10</v>
      </c>
      <c r="E49" s="682"/>
      <c r="F49" s="682"/>
      <c r="G49" s="682"/>
      <c r="H49" s="682"/>
      <c r="I49" s="682"/>
      <c r="J49" s="682"/>
      <c r="K49" s="683"/>
      <c r="L49" s="686">
        <f>(SUM(L10:M48)*0.0625)</f>
        <v>0</v>
      </c>
      <c r="M49" s="686"/>
      <c r="N49" s="178"/>
      <c r="O49" s="71"/>
    </row>
    <row r="50" spans="1:15" x14ac:dyDescent="0.3">
      <c r="A50" s="71"/>
      <c r="B50" s="166"/>
      <c r="C50" s="183"/>
      <c r="D50" s="681" t="s">
        <v>1</v>
      </c>
      <c r="E50" s="682"/>
      <c r="F50" s="682"/>
      <c r="G50" s="682"/>
      <c r="H50" s="682"/>
      <c r="I50" s="682"/>
      <c r="J50" s="682"/>
      <c r="K50" s="683"/>
      <c r="L50" s="684">
        <f>SUM(L10:M49)</f>
        <v>0</v>
      </c>
      <c r="M50" s="684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D32:J32"/>
    <mergeCell ref="L32:M32"/>
    <mergeCell ref="L43:M4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</mergeCells>
  <printOptions horizontalCentered="1" verticalCentered="1"/>
  <pageMargins left="0" right="0" top="0" bottom="0" header="0" footer="0"/>
  <pageSetup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2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734</v>
      </c>
      <c r="E11" s="679"/>
      <c r="F11" s="679"/>
      <c r="G11" s="679"/>
      <c r="H11" s="679"/>
      <c r="I11" s="680"/>
      <c r="J11" s="546" t="s">
        <v>1346</v>
      </c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8">
        <f t="shared" ref="L13:L18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60">
        <f>Formulas!P111</f>
        <v>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8">
        <f t="shared" ref="L19:L24" si="2">K19*C19</f>
        <v>0</v>
      </c>
      <c r="M19" s="669"/>
      <c r="N19" s="178"/>
      <c r="O19" s="71"/>
    </row>
    <row r="20" spans="1:15" x14ac:dyDescent="0.3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8">
        <f t="shared" si="2"/>
        <v>0</v>
      </c>
      <c r="M20" s="669"/>
      <c r="N20" s="178"/>
      <c r="O20" s="71"/>
    </row>
    <row r="21" spans="1:15" x14ac:dyDescent="0.3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8">
        <f t="shared" si="2"/>
        <v>0</v>
      </c>
      <c r="M21" s="669"/>
      <c r="N21" s="178"/>
      <c r="O21" s="71"/>
    </row>
    <row r="22" spans="1:15" x14ac:dyDescent="0.3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8">
        <f t="shared" si="2"/>
        <v>0</v>
      </c>
      <c r="M22" s="669"/>
      <c r="N22" s="178"/>
      <c r="O22" s="71"/>
    </row>
    <row r="23" spans="1:15" x14ac:dyDescent="0.3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8">
        <f t="shared" si="2"/>
        <v>0</v>
      </c>
      <c r="M23" s="669"/>
      <c r="N23" s="178"/>
      <c r="O23" s="71"/>
    </row>
    <row r="24" spans="1:15" x14ac:dyDescent="0.3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8">
        <f t="shared" si="2"/>
        <v>0</v>
      </c>
      <c r="M24" s="669"/>
      <c r="N24" s="178"/>
      <c r="O24" s="71"/>
    </row>
    <row r="25" spans="1:15" x14ac:dyDescent="0.3">
      <c r="A25" s="71"/>
      <c r="B25" s="166"/>
      <c r="C25" s="360">
        <f>C21+C19+C23+C24</f>
        <v>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8">
        <f t="shared" ref="L25:L28" si="3">K25*C25</f>
        <v>0</v>
      </c>
      <c r="M25" s="669"/>
      <c r="N25" s="178"/>
      <c r="O25" s="71"/>
    </row>
    <row r="26" spans="1:15" x14ac:dyDescent="0.3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8">
        <f t="shared" si="3"/>
        <v>0</v>
      </c>
      <c r="M26" s="669"/>
      <c r="N26" s="178"/>
      <c r="O26" s="71"/>
    </row>
    <row r="27" spans="1:15" x14ac:dyDescent="0.3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8">
        <f t="shared" si="3"/>
        <v>0</v>
      </c>
      <c r="M27" s="669"/>
      <c r="N27" s="178"/>
      <c r="O27" s="71"/>
    </row>
    <row r="28" spans="1:15" x14ac:dyDescent="0.3">
      <c r="A28" s="71"/>
      <c r="B28" s="166"/>
      <c r="C28" s="360">
        <f>'Deck TakeOff'!E64</f>
        <v>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8">
        <f t="shared" si="3"/>
        <v>0</v>
      </c>
      <c r="M28" s="669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8">
        <f t="shared" ref="L29" si="4">K29*C29</f>
        <v>0</v>
      </c>
      <c r="M29" s="669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8">
        <f t="shared" ref="L30:L34" si="5">K30*C30</f>
        <v>0</v>
      </c>
      <c r="M30" s="669"/>
      <c r="N30" s="178"/>
      <c r="O30" s="71"/>
    </row>
    <row r="31" spans="1:15" x14ac:dyDescent="0.3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8">
        <f t="shared" ref="L31:L32" si="6">K31*C31</f>
        <v>0</v>
      </c>
      <c r="M31" s="669"/>
      <c r="N31" s="178"/>
      <c r="O31" s="71"/>
    </row>
    <row r="32" spans="1:15" x14ac:dyDescent="0.3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8">
        <f t="shared" si="6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737</v>
      </c>
      <c r="E33" s="679"/>
      <c r="F33" s="679"/>
      <c r="G33" s="679"/>
      <c r="H33" s="679"/>
      <c r="I33" s="679"/>
      <c r="J33" s="680"/>
      <c r="K33" s="356"/>
      <c r="L33" s="668">
        <f t="shared" si="5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8">
        <f t="shared" si="5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8">
        <f t="shared" ref="L35" si="7">K35*C35</f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8">
        <f t="shared" ref="L36:L37" si="8"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736</v>
      </c>
      <c r="E37" s="679"/>
      <c r="F37" s="679"/>
      <c r="G37" s="679"/>
      <c r="H37" s="679"/>
      <c r="I37" s="679"/>
      <c r="J37" s="680"/>
      <c r="K37" s="152"/>
      <c r="L37" s="668">
        <f t="shared" si="8"/>
        <v>0</v>
      </c>
      <c r="M37" s="669"/>
      <c r="N37" s="178"/>
      <c r="O37" s="71"/>
    </row>
    <row r="38" spans="1:15" x14ac:dyDescent="0.3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3" si="9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9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9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9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9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ref="L44:L48" si="10">K44*C44</f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10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10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10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 t="shared" si="10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>K49*C49</f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0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0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8">
    <mergeCell ref="D3:M3"/>
    <mergeCell ref="D4:M4"/>
    <mergeCell ref="E5:G5"/>
    <mergeCell ref="I5:J5"/>
    <mergeCell ref="E6:G6"/>
    <mergeCell ref="I6:J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L17:M17"/>
    <mergeCell ref="L18:M18"/>
    <mergeCell ref="L19:M19"/>
    <mergeCell ref="L20:M20"/>
    <mergeCell ref="L14:M14"/>
    <mergeCell ref="L15:M15"/>
    <mergeCell ref="L16:M16"/>
    <mergeCell ref="L21:M21"/>
    <mergeCell ref="L22:M22"/>
    <mergeCell ref="L23:M23"/>
    <mergeCell ref="L24:M24"/>
    <mergeCell ref="L28:M28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727</v>
      </c>
      <c r="E11" s="679"/>
      <c r="F11" s="679"/>
      <c r="G11" s="679"/>
      <c r="H11" s="679"/>
      <c r="I11" s="679"/>
      <c r="J11" s="680"/>
      <c r="K11" s="152"/>
      <c r="L11" s="668">
        <f t="shared" ref="L11:L47" si="0">K11*C11</f>
        <v>0</v>
      </c>
      <c r="M11" s="669"/>
      <c r="N11" s="178"/>
      <c r="O11" s="71"/>
    </row>
    <row r="12" spans="1:15" x14ac:dyDescent="0.3">
      <c r="A12" s="71"/>
      <c r="B12" s="166"/>
      <c r="C12" s="360"/>
      <c r="D12" s="566" t="s">
        <v>187</v>
      </c>
      <c r="E12" s="567"/>
      <c r="F12" s="567"/>
      <c r="G12" s="567"/>
      <c r="H12" s="567"/>
      <c r="I12" s="567"/>
      <c r="J12" s="575"/>
      <c r="K12" s="152">
        <f>'Material Price'!J19*8</f>
        <v>10.4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360"/>
      <c r="D13" s="566" t="s">
        <v>188</v>
      </c>
      <c r="E13" s="567"/>
      <c r="F13" s="567"/>
      <c r="G13" s="567"/>
      <c r="H13" s="567"/>
      <c r="I13" s="567"/>
      <c r="J13" s="575"/>
      <c r="K13" s="152">
        <f>'Material Price'!J19*10</f>
        <v>13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360">
        <f>Formulas!C99</f>
        <v>0</v>
      </c>
      <c r="D14" s="566" t="s">
        <v>189</v>
      </c>
      <c r="E14" s="567"/>
      <c r="F14" s="567"/>
      <c r="G14" s="567"/>
      <c r="H14" s="567"/>
      <c r="I14" s="567"/>
      <c r="J14" s="575"/>
      <c r="K14" s="152">
        <f>'Material Price'!J19*12</f>
        <v>15.600000000000001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/>
      <c r="D15" s="566" t="s">
        <v>190</v>
      </c>
      <c r="E15" s="567"/>
      <c r="F15" s="567"/>
      <c r="G15" s="567"/>
      <c r="H15" s="567"/>
      <c r="I15" s="567"/>
      <c r="J15" s="575"/>
      <c r="K15" s="152">
        <f>'Material Price'!J19*14</f>
        <v>18.2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>
        <f>Formulas!C100</f>
        <v>0</v>
      </c>
      <c r="D16" s="566" t="s">
        <v>191</v>
      </c>
      <c r="E16" s="567"/>
      <c r="F16" s="567"/>
      <c r="G16" s="567"/>
      <c r="H16" s="567"/>
      <c r="I16" s="567"/>
      <c r="J16" s="575"/>
      <c r="K16" s="152">
        <f>'Material Price'!J19*16</f>
        <v>20.8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>
        <f>Formulas!G97</f>
        <v>0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>
        <f>Formulas!G91</f>
        <v>0</v>
      </c>
      <c r="D18" s="566" t="s">
        <v>499</v>
      </c>
      <c r="E18" s="567"/>
      <c r="F18" s="567"/>
      <c r="G18" s="567"/>
      <c r="H18" s="567"/>
      <c r="I18" s="567"/>
      <c r="J18" s="575"/>
      <c r="K18" s="152">
        <f>'Material Price'!J85</f>
        <v>60</v>
      </c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>
        <f>ROUNDUP(Formulas!L35/110,0)</f>
        <v>0</v>
      </c>
      <c r="D19" s="566" t="s">
        <v>729</v>
      </c>
      <c r="E19" s="567"/>
      <c r="F19" s="567"/>
      <c r="G19" s="567"/>
      <c r="H19" s="567"/>
      <c r="I19" s="567"/>
      <c r="J19" s="575"/>
      <c r="K19" s="152">
        <f>'Material Price'!J118</f>
        <v>12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8">
        <f t="shared" si="0"/>
        <v>0</v>
      </c>
      <c r="M24" s="669"/>
      <c r="N24" s="178"/>
      <c r="O24" s="71"/>
    </row>
    <row r="25" spans="1:15" x14ac:dyDescent="0.3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8">
        <f t="shared" ref="L25" si="1">K25*C25</f>
        <v>0</v>
      </c>
      <c r="M25" s="669"/>
      <c r="N25" s="178"/>
      <c r="O25" s="71"/>
    </row>
    <row r="26" spans="1:15" x14ac:dyDescent="0.3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3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8">
        <f t="shared" si="0"/>
        <v>0</v>
      </c>
      <c r="M28" s="669"/>
      <c r="N28" s="178"/>
      <c r="O28" s="71"/>
    </row>
    <row r="29" spans="1:15" x14ac:dyDescent="0.3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8">
        <f t="shared" si="0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8">
        <f t="shared" si="0"/>
        <v>0</v>
      </c>
      <c r="M32" s="669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>K33*C33</f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3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3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3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3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3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0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46">
    <mergeCell ref="D3:M3"/>
    <mergeCell ref="D4:M4"/>
    <mergeCell ref="E5:G5"/>
    <mergeCell ref="I5:J5"/>
    <mergeCell ref="E6:G6"/>
    <mergeCell ref="I6:J6"/>
    <mergeCell ref="L11:M11"/>
    <mergeCell ref="D10:J10"/>
    <mergeCell ref="D11:J11"/>
    <mergeCell ref="L12:M12"/>
    <mergeCell ref="L13:M13"/>
    <mergeCell ref="D12:J12"/>
    <mergeCell ref="D13:J13"/>
    <mergeCell ref="E7:G7"/>
    <mergeCell ref="C8:M8"/>
    <mergeCell ref="D9:J9"/>
    <mergeCell ref="L9:M9"/>
    <mergeCell ref="L10:M10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16" zoomScaleNormal="100" zoomScaleSheetLayoutView="100" workbookViewId="0">
      <selection activeCell="C25" sqref="C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957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Formulas!Q111</f>
        <v>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94">
        <f>'Deck TakeOff'!E64</f>
        <v>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94">
        <f>ROUNDUP((((C18+C20+C22+C24)*5.6)+((C19+C21+C23+C25)*7.6))/12,0)</f>
        <v>0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94">
        <f>IF(C28&gt;0,1,0)</f>
        <v>0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8">
        <f t="shared" ref="L30" si="2">K30*C30</f>
        <v>0</v>
      </c>
      <c r="M30" s="669"/>
      <c r="N30" s="178"/>
      <c r="O30" s="71"/>
    </row>
    <row r="31" spans="1:15" x14ac:dyDescent="0.3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680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>K48*C48</f>
        <v>0</v>
      </c>
      <c r="M48" s="669"/>
      <c r="N48" s="178"/>
      <c r="O48" s="71"/>
    </row>
    <row r="49" spans="1:15" x14ac:dyDescent="0.3">
      <c r="A49" s="71"/>
      <c r="B49" s="166"/>
      <c r="C49" s="183"/>
      <c r="D49" s="681" t="s">
        <v>10</v>
      </c>
      <c r="E49" s="682"/>
      <c r="F49" s="682"/>
      <c r="G49" s="682"/>
      <c r="H49" s="682"/>
      <c r="I49" s="682"/>
      <c r="J49" s="682"/>
      <c r="K49" s="683"/>
      <c r="L49" s="686">
        <f>(SUM(L10:M48)*0.0625)</f>
        <v>0</v>
      </c>
      <c r="M49" s="686"/>
      <c r="N49" s="178"/>
      <c r="O49" s="71"/>
    </row>
    <row r="50" spans="1:15" x14ac:dyDescent="0.3">
      <c r="A50" s="71"/>
      <c r="B50" s="166"/>
      <c r="C50" s="183"/>
      <c r="D50" s="681" t="s">
        <v>1</v>
      </c>
      <c r="E50" s="682"/>
      <c r="F50" s="682"/>
      <c r="G50" s="682"/>
      <c r="H50" s="682"/>
      <c r="I50" s="682"/>
      <c r="J50" s="682"/>
      <c r="K50" s="683"/>
      <c r="L50" s="684">
        <f>SUM(L10:M49)</f>
        <v>0</v>
      </c>
      <c r="M50" s="684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  <mergeCell ref="L36:M36"/>
    <mergeCell ref="L37:M37"/>
    <mergeCell ref="L38:M38"/>
    <mergeCell ref="L27:M27"/>
    <mergeCell ref="L28:M28"/>
    <mergeCell ref="L29:M29"/>
    <mergeCell ref="L30:M30"/>
    <mergeCell ref="D32:J32"/>
    <mergeCell ref="L32:M32"/>
    <mergeCell ref="L33:M33"/>
    <mergeCell ref="L34:M34"/>
    <mergeCell ref="L35:M35"/>
    <mergeCell ref="L24:M24"/>
    <mergeCell ref="L25:M25"/>
    <mergeCell ref="L26:M26"/>
    <mergeCell ref="L21:M21"/>
    <mergeCell ref="L22:M22"/>
    <mergeCell ref="L23:M23"/>
    <mergeCell ref="L16:M16"/>
    <mergeCell ref="L17:M17"/>
    <mergeCell ref="L18:M18"/>
    <mergeCell ref="L19:M19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7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40">
        <f>K12*C12</f>
        <v>2558.8399999999997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997</v>
      </c>
      <c r="E14" s="567"/>
      <c r="F14" s="567"/>
      <c r="G14" s="567"/>
      <c r="H14" s="567"/>
      <c r="I14" s="567"/>
      <c r="J14" s="568"/>
      <c r="K14" s="152">
        <f>K12*12</f>
        <v>68.16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1000</v>
      </c>
      <c r="E17" s="567"/>
      <c r="F17" s="567"/>
      <c r="G17" s="567"/>
      <c r="H17" s="567"/>
      <c r="I17" s="567"/>
      <c r="J17" s="568"/>
      <c r="K17" s="152">
        <f>K12*12</f>
        <v>68.16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188.61499999999998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3206.4549999999995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40">
        <f>K12*C12</f>
        <v>2193.9349999999999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1007</v>
      </c>
      <c r="E14" s="567"/>
      <c r="F14" s="567"/>
      <c r="G14" s="567"/>
      <c r="H14" s="567"/>
      <c r="I14" s="567"/>
      <c r="J14" s="568"/>
      <c r="K14" s="152">
        <f>K12*12</f>
        <v>58.44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1010</v>
      </c>
      <c r="E17" s="567"/>
      <c r="F17" s="567"/>
      <c r="G17" s="567"/>
      <c r="H17" s="567"/>
      <c r="I17" s="567"/>
      <c r="J17" s="568"/>
      <c r="K17" s="152">
        <f>K12*12</f>
        <v>58.44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165.8084375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2818.7434374999998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40">
        <f>K12*C12</f>
        <v>1729.9199999999998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1015</v>
      </c>
      <c r="E14" s="567"/>
      <c r="F14" s="567"/>
      <c r="G14" s="567"/>
      <c r="H14" s="567"/>
      <c r="I14" s="567"/>
      <c r="J14" s="568"/>
      <c r="K14" s="152">
        <f>K12*12</f>
        <v>46.08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1018</v>
      </c>
      <c r="E17" s="567"/>
      <c r="F17" s="567"/>
      <c r="G17" s="567"/>
      <c r="H17" s="567"/>
      <c r="I17" s="567"/>
      <c r="J17" s="568"/>
      <c r="K17" s="152">
        <f>K12*12</f>
        <v>46.08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136.8075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2325.7275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40">
        <f>K12*C12</f>
        <v>2703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1024</v>
      </c>
      <c r="E14" s="567"/>
      <c r="F14" s="567"/>
      <c r="G14" s="567"/>
      <c r="H14" s="567"/>
      <c r="I14" s="567"/>
      <c r="J14" s="568"/>
      <c r="K14" s="152">
        <f>K12*12</f>
        <v>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1028</v>
      </c>
      <c r="E17" s="567"/>
      <c r="F17" s="567"/>
      <c r="G17" s="567"/>
      <c r="H17" s="567"/>
      <c r="I17" s="567"/>
      <c r="J17" s="568"/>
      <c r="K17" s="152">
        <f>K12*16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197.625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3359.625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40">
        <f>K12*C12</f>
        <v>2338.0950000000003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1032</v>
      </c>
      <c r="E14" s="567"/>
      <c r="F14" s="567"/>
      <c r="G14" s="567"/>
      <c r="H14" s="567"/>
      <c r="I14" s="567"/>
      <c r="J14" s="568"/>
      <c r="K14" s="152">
        <f>K12*12</f>
        <v>62.28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1035</v>
      </c>
      <c r="E17" s="567"/>
      <c r="F17" s="567"/>
      <c r="G17" s="567"/>
      <c r="H17" s="567"/>
      <c r="I17" s="567"/>
      <c r="J17" s="568"/>
      <c r="K17" s="152">
        <f>K12*16</f>
        <v>83.04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174.81843750000002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2971.9134375000003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40">
        <f>K12*C12</f>
        <v>1689.375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1042</v>
      </c>
      <c r="E14" s="567"/>
      <c r="F14" s="567"/>
      <c r="G14" s="567"/>
      <c r="H14" s="567"/>
      <c r="I14" s="567"/>
      <c r="J14" s="568"/>
      <c r="K14" s="152">
        <f>K12*12</f>
        <v>45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1045</v>
      </c>
      <c r="E17" s="567"/>
      <c r="F17" s="567"/>
      <c r="G17" s="567"/>
      <c r="H17" s="567"/>
      <c r="I17" s="567"/>
      <c r="J17" s="568"/>
      <c r="K17" s="152">
        <f>K12*16</f>
        <v>60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134.2734375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2282.6484375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40">
        <f>K12*C12</f>
        <v>1847.0499999999997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1049</v>
      </c>
      <c r="E14" s="567"/>
      <c r="F14" s="567"/>
      <c r="G14" s="567"/>
      <c r="H14" s="567"/>
      <c r="I14" s="567"/>
      <c r="J14" s="568"/>
      <c r="K14" s="152">
        <f>K12*12</f>
        <v>49.199999999999996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1052</v>
      </c>
      <c r="E17" s="567"/>
      <c r="F17" s="567"/>
      <c r="G17" s="567"/>
      <c r="H17" s="567"/>
      <c r="I17" s="567"/>
      <c r="J17" s="568"/>
      <c r="K17" s="152">
        <f>K12*16</f>
        <v>65.599999999999994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144.12812499999998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2450.1781249999999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40">
        <f>K12*C12</f>
        <v>1509.175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1059</v>
      </c>
      <c r="E14" s="567"/>
      <c r="F14" s="567"/>
      <c r="G14" s="567"/>
      <c r="H14" s="567"/>
      <c r="I14" s="567"/>
      <c r="J14" s="568"/>
      <c r="K14" s="152">
        <f>K12*12</f>
        <v>40.200000000000003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1062</v>
      </c>
      <c r="E17" s="567"/>
      <c r="F17" s="567"/>
      <c r="G17" s="567"/>
      <c r="H17" s="567"/>
      <c r="I17" s="567"/>
      <c r="J17" s="568"/>
      <c r="K17" s="152">
        <f>K12*16</f>
        <v>53.6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123.0109375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2091.1859374999999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40">
        <f>K12*C12</f>
        <v>1509.175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1066</v>
      </c>
      <c r="E14" s="567"/>
      <c r="F14" s="567"/>
      <c r="G14" s="567"/>
      <c r="H14" s="567"/>
      <c r="I14" s="567"/>
      <c r="J14" s="568"/>
      <c r="K14" s="152">
        <f>K12*12</f>
        <v>40.200000000000003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1069</v>
      </c>
      <c r="E17" s="567"/>
      <c r="F17" s="567"/>
      <c r="G17" s="567"/>
      <c r="H17" s="567"/>
      <c r="I17" s="567"/>
      <c r="J17" s="568"/>
      <c r="K17" s="152">
        <f>K12*16</f>
        <v>53.6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123.0109375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2091.1859374999999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40">
        <f>K12*C12</f>
        <v>1531.7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1073</v>
      </c>
      <c r="E14" s="567"/>
      <c r="F14" s="567"/>
      <c r="G14" s="567"/>
      <c r="H14" s="567"/>
      <c r="I14" s="567"/>
      <c r="J14" s="568"/>
      <c r="K14" s="152">
        <f>K12*12</f>
        <v>40.799999999999997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8">
        <f t="shared" si="1"/>
        <v>12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111.48125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1895.1812500000001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40">
        <f>K12*C12</f>
        <v>1306.45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1084</v>
      </c>
      <c r="E14" s="567"/>
      <c r="F14" s="567"/>
      <c r="G14" s="567"/>
      <c r="H14" s="567"/>
      <c r="I14" s="567"/>
      <c r="J14" s="568"/>
      <c r="K14" s="152">
        <f>K12*12</f>
        <v>34.799999999999997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8">
        <f t="shared" si="1"/>
        <v>12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97.403125000000003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1655.8531250000001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40">
        <f>K12*C12</f>
        <v>2477.75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1089</v>
      </c>
      <c r="E14" s="567"/>
      <c r="F14" s="567"/>
      <c r="G14" s="567"/>
      <c r="H14" s="567"/>
      <c r="I14" s="567"/>
      <c r="J14" s="568"/>
      <c r="K14" s="152">
        <f>K12*12</f>
        <v>66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1093</v>
      </c>
      <c r="E17" s="567"/>
      <c r="F17" s="567"/>
      <c r="G17" s="567"/>
      <c r="H17" s="567"/>
      <c r="I17" s="567"/>
      <c r="J17" s="568"/>
      <c r="K17" s="152">
        <f>16*K12</f>
        <v>88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175.671875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2986.421875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40">
        <f>K12*C12</f>
        <v>2297.5499999999997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1100</v>
      </c>
      <c r="E14" s="567"/>
      <c r="F14" s="567"/>
      <c r="G14" s="567"/>
      <c r="H14" s="567"/>
      <c r="I14" s="567"/>
      <c r="J14" s="568"/>
      <c r="K14" s="152">
        <f>K12*12</f>
        <v>61.199999999999996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1103</v>
      </c>
      <c r="E17" s="567"/>
      <c r="F17" s="567"/>
      <c r="G17" s="567"/>
      <c r="H17" s="567"/>
      <c r="I17" s="567"/>
      <c r="J17" s="568"/>
      <c r="K17" s="152">
        <f>16*K12</f>
        <v>81.599999999999994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164.40937499999998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2794.9593749999999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40">
        <f>K12*C12</f>
        <v>1982.2000000000003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1106</v>
      </c>
      <c r="E14" s="567"/>
      <c r="F14" s="567"/>
      <c r="G14" s="567"/>
      <c r="H14" s="567"/>
      <c r="I14" s="567"/>
      <c r="J14" s="568"/>
      <c r="K14" s="152">
        <f>K12*12</f>
        <v>52.800000000000004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1109</v>
      </c>
      <c r="E17" s="567"/>
      <c r="F17" s="567"/>
      <c r="G17" s="567"/>
      <c r="H17" s="567"/>
      <c r="I17" s="567"/>
      <c r="J17" s="568"/>
      <c r="K17" s="152">
        <f>12*K12</f>
        <v>52.800000000000004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566" t="s">
        <v>1110</v>
      </c>
      <c r="E18" s="567"/>
      <c r="F18" s="567"/>
      <c r="G18" s="567"/>
      <c r="H18" s="567"/>
      <c r="I18" s="567"/>
      <c r="J18" s="568"/>
      <c r="K18" s="356">
        <f>K12*16</f>
        <v>70.400000000000006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144.70000000000002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2459.9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40">
        <f>K12*C12</f>
        <v>1486.6499999999999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1114</v>
      </c>
      <c r="E14" s="567"/>
      <c r="F14" s="567"/>
      <c r="G14" s="567"/>
      <c r="H14" s="567"/>
      <c r="I14" s="567"/>
      <c r="J14" s="568"/>
      <c r="K14" s="152">
        <f>K12*12</f>
        <v>39.599999999999994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111.04062499999999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1887.690625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40">
        <f>K12*C12</f>
        <v>1486.6499999999999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1124</v>
      </c>
      <c r="E14" s="567"/>
      <c r="F14" s="567"/>
      <c r="G14" s="567"/>
      <c r="H14" s="567"/>
      <c r="I14" s="567"/>
      <c r="J14" s="568"/>
      <c r="K14" s="152">
        <f>K12*12</f>
        <v>39.599999999999994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111.04062499999999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1887.690625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40">
        <f>K12*C12</f>
        <v>1576.75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1131</v>
      </c>
      <c r="E14" s="567"/>
      <c r="F14" s="567"/>
      <c r="G14" s="567"/>
      <c r="H14" s="567"/>
      <c r="I14" s="567"/>
      <c r="J14" s="568"/>
      <c r="K14" s="152">
        <f>K12*12</f>
        <v>42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1135</v>
      </c>
      <c r="E17" s="567"/>
      <c r="F17" s="567"/>
      <c r="G17" s="567"/>
      <c r="H17" s="567"/>
      <c r="I17" s="567"/>
      <c r="J17" s="568"/>
      <c r="K17" s="356">
        <f>K12*12</f>
        <v>42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116.671875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1983.421875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40">
        <f>K12*C12</f>
        <v>2166.9049999999997</v>
      </c>
      <c r="M12" s="741"/>
      <c r="N12" s="178"/>
      <c r="O12" s="71"/>
    </row>
    <row r="13" spans="1:15" x14ac:dyDescent="0.3">
      <c r="A13" s="71"/>
      <c r="B13" s="166"/>
      <c r="C13" s="360"/>
      <c r="D13" s="826"/>
      <c r="E13" s="827"/>
      <c r="F13" s="827"/>
      <c r="G13" s="827"/>
      <c r="H13" s="827"/>
      <c r="I13" s="827"/>
      <c r="J13" s="82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1142</v>
      </c>
      <c r="E14" s="567"/>
      <c r="F14" s="567"/>
      <c r="G14" s="567"/>
      <c r="H14" s="567"/>
      <c r="I14" s="567"/>
      <c r="J14" s="568"/>
      <c r="K14" s="152">
        <f>K12*12</f>
        <v>57.72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1145</v>
      </c>
      <c r="E17" s="567"/>
      <c r="F17" s="567"/>
      <c r="G17" s="567"/>
      <c r="H17" s="567"/>
      <c r="I17" s="567"/>
      <c r="J17" s="568"/>
      <c r="K17" s="152">
        <f>16*K12</f>
        <v>76.959999999999994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165.43156249999998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2812.3365624999997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40">
        <f>K12*C12</f>
        <v>2703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1155</v>
      </c>
      <c r="E14" s="567"/>
      <c r="F14" s="567"/>
      <c r="G14" s="567"/>
      <c r="H14" s="567"/>
      <c r="I14" s="567"/>
      <c r="J14" s="568"/>
      <c r="K14" s="152">
        <f>K12*12</f>
        <v>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1158</v>
      </c>
      <c r="E17" s="567"/>
      <c r="F17" s="567"/>
      <c r="G17" s="567"/>
      <c r="H17" s="567"/>
      <c r="I17" s="567"/>
      <c r="J17" s="568"/>
      <c r="K17" s="152">
        <f>16*K12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198.9375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3381.9375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40">
        <f>K12*C12</f>
        <v>1320</v>
      </c>
      <c r="M12" s="741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1171</v>
      </c>
      <c r="E13" s="827"/>
      <c r="F13" s="827"/>
      <c r="G13" s="827"/>
      <c r="H13" s="827"/>
      <c r="I13" s="827"/>
      <c r="J13" s="828"/>
      <c r="K13" s="422">
        <f>'Material Price'!J201</f>
        <v>4.8099999999999996</v>
      </c>
      <c r="L13" s="668">
        <f t="shared" ref="L13:L37" si="1">K13*C13</f>
        <v>50.504999999999995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1164</v>
      </c>
      <c r="E14" s="567"/>
      <c r="F14" s="567"/>
      <c r="G14" s="567"/>
      <c r="H14" s="567"/>
      <c r="I14" s="567"/>
      <c r="J14" s="568"/>
      <c r="K14" s="152">
        <f>K12*12</f>
        <v>36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1167</v>
      </c>
      <c r="E17" s="567"/>
      <c r="F17" s="567"/>
      <c r="G17" s="567"/>
      <c r="H17" s="567"/>
      <c r="I17" s="567"/>
      <c r="J17" s="568"/>
      <c r="K17" s="152">
        <f>16*K13</f>
        <v>76.959999999999994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115.65656250000001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1966.1615625000002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40">
        <f>K12*C12</f>
        <v>1817.2</v>
      </c>
      <c r="M12" s="741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1175</v>
      </c>
      <c r="E13" s="827"/>
      <c r="F13" s="827"/>
      <c r="G13" s="827"/>
      <c r="H13" s="827"/>
      <c r="I13" s="827"/>
      <c r="J13" s="828"/>
      <c r="K13" s="422">
        <f>'Material Price'!J202</f>
        <v>6</v>
      </c>
      <c r="L13" s="668">
        <f t="shared" ref="L13:L37" si="1">K13*C13</f>
        <v>63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1176</v>
      </c>
      <c r="E14" s="567"/>
      <c r="F14" s="567"/>
      <c r="G14" s="567"/>
      <c r="H14" s="567"/>
      <c r="I14" s="567"/>
      <c r="J14" s="568"/>
      <c r="K14" s="152">
        <f>K12*12</f>
        <v>49.56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1179</v>
      </c>
      <c r="E17" s="567"/>
      <c r="F17" s="567"/>
      <c r="G17" s="567"/>
      <c r="H17" s="567"/>
      <c r="I17" s="567"/>
      <c r="J17" s="568"/>
      <c r="K17" s="152">
        <f>16*K13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147.51249999999999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2507.7124999999996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12" style="1" customWidth="1"/>
    <col min="7" max="7" width="13.19921875" style="2" customWidth="1"/>
    <col min="8" max="8" width="13.3984375" style="2" customWidth="1"/>
    <col min="9" max="9" width="10.796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835"/>
      <c r="D3" s="836"/>
      <c r="E3" s="836"/>
      <c r="F3" s="836"/>
      <c r="G3" s="836"/>
      <c r="H3" s="836"/>
      <c r="I3" s="836"/>
      <c r="J3" s="837"/>
      <c r="K3" s="178"/>
    </row>
    <row r="4" spans="1:11" ht="22.5" customHeight="1" thickBot="1" x14ac:dyDescent="0.3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5" customHeight="1" thickBot="1" x14ac:dyDescent="0.3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5" thickBot="1" x14ac:dyDescent="0.3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5" thickBot="1" x14ac:dyDescent="0.3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5" thickBot="1" x14ac:dyDescent="0.3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5" thickBot="1" x14ac:dyDescent="0.3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5" thickBot="1" x14ac:dyDescent="0.3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5" thickBot="1" x14ac:dyDescent="0.3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5" thickBot="1" x14ac:dyDescent="0.3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5" thickBot="1" x14ac:dyDescent="0.3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5" thickBot="1" x14ac:dyDescent="0.3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5" thickBot="1" x14ac:dyDescent="0.3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5" thickBot="1" x14ac:dyDescent="0.3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5" thickBot="1" x14ac:dyDescent="0.3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5" thickBot="1" x14ac:dyDescent="0.3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5" thickBot="1" x14ac:dyDescent="0.3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5" thickBot="1" x14ac:dyDescent="0.3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5" thickBot="1" x14ac:dyDescent="0.3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5" thickBot="1" x14ac:dyDescent="0.3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5" thickBot="1" x14ac:dyDescent="0.3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5" thickBot="1" x14ac:dyDescent="0.3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5" thickBot="1" x14ac:dyDescent="0.3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5" thickBot="1" x14ac:dyDescent="0.3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5" thickBot="1" x14ac:dyDescent="0.3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5" thickBot="1" x14ac:dyDescent="0.3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5" thickBot="1" x14ac:dyDescent="0.3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5" thickBot="1" x14ac:dyDescent="0.3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5" thickBot="1" x14ac:dyDescent="0.3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5" thickBot="1" x14ac:dyDescent="0.3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5" thickBot="1" x14ac:dyDescent="0.3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5" thickBot="1" x14ac:dyDescent="0.3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5" thickBot="1" x14ac:dyDescent="0.3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5" thickBot="1" x14ac:dyDescent="0.3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5" thickBot="1" x14ac:dyDescent="0.3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5" thickBot="1" x14ac:dyDescent="0.3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5" thickBot="1" x14ac:dyDescent="0.3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5" thickBot="1" x14ac:dyDescent="0.3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5" thickBot="1" x14ac:dyDescent="0.3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5" thickBot="1" x14ac:dyDescent="0.3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5" thickBot="1" x14ac:dyDescent="0.3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5" thickBot="1" x14ac:dyDescent="0.3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5" thickBot="1" x14ac:dyDescent="0.3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5" thickBot="1" x14ac:dyDescent="0.3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5" thickBot="1" x14ac:dyDescent="0.3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5" thickBot="1" x14ac:dyDescent="0.3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5" thickBot="1" x14ac:dyDescent="0.3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5" thickBot="1" x14ac:dyDescent="0.3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5" thickBot="1" x14ac:dyDescent="0.3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5" thickBot="1" x14ac:dyDescent="0.3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5" thickBot="1" x14ac:dyDescent="0.3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5" thickBot="1" x14ac:dyDescent="0.3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5" thickBot="1" x14ac:dyDescent="0.3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5" thickBot="1" x14ac:dyDescent="0.3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5" thickBot="1" x14ac:dyDescent="0.3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46"/>
      <c r="O57" s="846"/>
    </row>
    <row r="58" spans="1:15" ht="25" thickBot="1" x14ac:dyDescent="0.35">
      <c r="A58" s="71"/>
      <c r="B58" s="166"/>
      <c r="C58" s="839" t="str">
        <f>'Deck TakeOff'!C101</f>
        <v xml:space="preserve">Siding Repair </v>
      </c>
      <c r="D58" s="840"/>
      <c r="E58" s="840"/>
      <c r="F58" s="840"/>
      <c r="G58" s="840"/>
      <c r="H58" s="840"/>
      <c r="I58" s="841"/>
      <c r="J58" s="260">
        <f t="array" ref="J58:K58">'Deck TakeOff'!I101:J101</f>
        <v>0</v>
      </c>
      <c r="K58" s="178">
        <v>0</v>
      </c>
    </row>
    <row r="59" spans="1:15" s="37" customFormat="1" ht="25" thickBot="1" x14ac:dyDescent="0.35">
      <c r="A59" s="71"/>
      <c r="B59" s="166"/>
      <c r="C59" s="839">
        <f t="array" ref="C59:H59">'Deck TakeOff'!C102:H102</f>
        <v>0</v>
      </c>
      <c r="D59" s="840">
        <v>0</v>
      </c>
      <c r="E59" s="840">
        <v>0</v>
      </c>
      <c r="F59" s="840">
        <v>0</v>
      </c>
      <c r="G59" s="840">
        <v>0</v>
      </c>
      <c r="H59" s="840">
        <v>0</v>
      </c>
      <c r="I59" s="841"/>
      <c r="J59" s="260">
        <f t="array" ref="J59:K59">'Deck TakeOff'!I102:J102</f>
        <v>0</v>
      </c>
      <c r="K59" s="178">
        <v>0</v>
      </c>
      <c r="L59" s="1"/>
    </row>
    <row r="60" spans="1:15" s="37" customFormat="1" ht="25" thickBot="1" x14ac:dyDescent="0.35">
      <c r="A60" s="71"/>
      <c r="B60" s="166"/>
      <c r="C60" s="839">
        <f t="array" ref="C60:H60">'Deck TakeOff'!C103:H103</f>
        <v>0</v>
      </c>
      <c r="D60" s="840">
        <v>0</v>
      </c>
      <c r="E60" s="840">
        <v>0</v>
      </c>
      <c r="F60" s="840">
        <v>0</v>
      </c>
      <c r="G60" s="840">
        <v>0</v>
      </c>
      <c r="H60" s="840">
        <v>0</v>
      </c>
      <c r="I60" s="841"/>
      <c r="J60" s="260">
        <f t="array" ref="J60:K60">'Deck TakeOff'!I103:J103</f>
        <v>0</v>
      </c>
      <c r="K60" s="178">
        <v>0</v>
      </c>
      <c r="L60" s="1"/>
    </row>
    <row r="61" spans="1:15" s="37" customFormat="1" ht="25" thickBot="1" x14ac:dyDescent="0.35">
      <c r="A61" s="71"/>
      <c r="B61" s="166"/>
      <c r="C61" s="839">
        <f t="array" ref="C61:H61">'Deck TakeOff'!C104:H104</f>
        <v>0</v>
      </c>
      <c r="D61" s="840">
        <v>0</v>
      </c>
      <c r="E61" s="840">
        <v>0</v>
      </c>
      <c r="F61" s="840">
        <v>0</v>
      </c>
      <c r="G61" s="840">
        <v>0</v>
      </c>
      <c r="H61" s="840">
        <v>0</v>
      </c>
      <c r="I61" s="841"/>
      <c r="J61" s="260">
        <f t="array" ref="J61:K61">'Deck TakeOff'!I104:J104</f>
        <v>0</v>
      </c>
      <c r="K61" s="178">
        <v>0</v>
      </c>
      <c r="L61" s="1"/>
    </row>
    <row r="62" spans="1:15" s="37" customFormat="1" ht="25" thickBot="1" x14ac:dyDescent="0.35">
      <c r="A62" s="71"/>
      <c r="B62" s="166"/>
      <c r="C62" s="839">
        <f t="array" ref="C62:H62">'Deck TakeOff'!C105:H105</f>
        <v>0</v>
      </c>
      <c r="D62" s="840">
        <v>0</v>
      </c>
      <c r="E62" s="840">
        <v>0</v>
      </c>
      <c r="F62" s="840">
        <v>0</v>
      </c>
      <c r="G62" s="840">
        <v>0</v>
      </c>
      <c r="H62" s="840">
        <v>0</v>
      </c>
      <c r="I62" s="841"/>
      <c r="J62" s="260">
        <f t="array" ref="J62:K62">'Deck TakeOff'!I105:J105</f>
        <v>0</v>
      </c>
      <c r="K62" s="178">
        <v>0</v>
      </c>
      <c r="L62" s="1"/>
    </row>
    <row r="63" spans="1:15" s="37" customFormat="1" ht="25" thickBot="1" x14ac:dyDescent="0.35">
      <c r="A63" s="71"/>
      <c r="B63" s="166"/>
      <c r="C63" s="829" t="s">
        <v>357</v>
      </c>
      <c r="D63" s="830"/>
      <c r="E63" s="830"/>
      <c r="F63" s="830"/>
      <c r="G63" s="830"/>
      <c r="H63" s="830"/>
      <c r="I63" s="831"/>
      <c r="J63" s="258"/>
      <c r="K63" s="178"/>
      <c r="L63" s="1"/>
    </row>
    <row r="64" spans="1:15" s="37" customFormat="1" ht="25" thickBot="1" x14ac:dyDescent="0.35">
      <c r="A64" s="71"/>
      <c r="B64" s="166"/>
      <c r="C64" s="829" t="s">
        <v>320</v>
      </c>
      <c r="D64" s="830"/>
      <c r="E64" s="830"/>
      <c r="F64" s="830"/>
      <c r="G64" s="830"/>
      <c r="H64" s="830"/>
      <c r="I64" s="831"/>
      <c r="J64" s="258"/>
      <c r="K64" s="178"/>
      <c r="L64" s="1"/>
    </row>
    <row r="65" spans="1:15" s="37" customFormat="1" ht="25" thickBot="1" x14ac:dyDescent="0.35">
      <c r="A65" s="71"/>
      <c r="B65" s="166"/>
      <c r="C65" s="829" t="s">
        <v>321</v>
      </c>
      <c r="D65" s="830"/>
      <c r="E65" s="830"/>
      <c r="F65" s="830"/>
      <c r="G65" s="830"/>
      <c r="H65" s="830"/>
      <c r="I65" s="831"/>
      <c r="J65" s="259"/>
      <c r="K65" s="178"/>
      <c r="L65" s="1"/>
    </row>
    <row r="66" spans="1:15" s="37" customFormat="1" ht="25" thickBot="1" x14ac:dyDescent="0.35">
      <c r="A66" s="71"/>
      <c r="B66" s="166"/>
      <c r="C66" s="829" t="s">
        <v>322</v>
      </c>
      <c r="D66" s="830"/>
      <c r="E66" s="830"/>
      <c r="F66" s="830"/>
      <c r="G66" s="830"/>
      <c r="H66" s="830"/>
      <c r="I66" s="831"/>
      <c r="J66" s="259"/>
      <c r="K66" s="178"/>
      <c r="L66" s="1"/>
    </row>
    <row r="67" spans="1:15" s="37" customFormat="1" ht="25" thickBot="1" x14ac:dyDescent="0.35">
      <c r="A67" s="71"/>
      <c r="B67" s="166"/>
      <c r="C67" s="829" t="s">
        <v>323</v>
      </c>
      <c r="D67" s="830"/>
      <c r="E67" s="830"/>
      <c r="F67" s="830"/>
      <c r="G67" s="830"/>
      <c r="H67" s="830"/>
      <c r="I67" s="831"/>
      <c r="J67" s="259"/>
      <c r="K67" s="178"/>
      <c r="L67" s="1"/>
    </row>
    <row r="68" spans="1:15" s="37" customFormat="1" ht="25" thickBot="1" x14ac:dyDescent="0.35">
      <c r="A68" s="71"/>
      <c r="B68" s="166"/>
      <c r="C68" s="829" t="s">
        <v>324</v>
      </c>
      <c r="D68" s="830"/>
      <c r="E68" s="830"/>
      <c r="F68" s="830"/>
      <c r="G68" s="830"/>
      <c r="H68" s="830"/>
      <c r="I68" s="831"/>
      <c r="J68" s="259" t="s">
        <v>364</v>
      </c>
      <c r="K68" s="178"/>
      <c r="L68" s="1"/>
    </row>
    <row r="69" spans="1:15" s="37" customFormat="1" ht="25" thickBot="1" x14ac:dyDescent="0.3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5" thickBot="1" x14ac:dyDescent="0.3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5" thickBot="1" x14ac:dyDescent="0.35">
      <c r="A71" s="179"/>
      <c r="B71" s="166"/>
      <c r="C71" s="829" t="s">
        <v>327</v>
      </c>
      <c r="D71" s="830"/>
      <c r="E71" s="830"/>
      <c r="F71" s="830"/>
      <c r="G71" s="830"/>
      <c r="H71" s="830"/>
      <c r="I71" s="831"/>
      <c r="J71" s="259"/>
      <c r="K71" s="178"/>
    </row>
    <row r="72" spans="1:15" s="37" customFormat="1" x14ac:dyDescent="0.3">
      <c r="A72" s="179"/>
      <c r="B72" s="179"/>
      <c r="C72" s="832"/>
      <c r="D72" s="832"/>
      <c r="E72" s="832"/>
      <c r="F72" s="832"/>
      <c r="G72" s="247"/>
      <c r="H72" s="248"/>
      <c r="I72" s="247"/>
      <c r="J72" s="248"/>
      <c r="K72" s="207"/>
    </row>
    <row r="73" spans="1:15" s="37" customFormat="1" x14ac:dyDescent="0.3">
      <c r="A73" s="179"/>
      <c r="B73" s="179"/>
      <c r="C73" s="832"/>
      <c r="D73" s="832"/>
      <c r="E73" s="832"/>
      <c r="F73" s="832"/>
      <c r="G73" s="247"/>
      <c r="H73" s="248"/>
      <c r="I73" s="247"/>
      <c r="J73" s="248"/>
      <c r="K73" s="207"/>
    </row>
    <row r="74" spans="1:15" s="37" customFormat="1" x14ac:dyDescent="0.3">
      <c r="A74" s="179"/>
      <c r="B74" s="179"/>
      <c r="C74" s="832"/>
      <c r="D74" s="832"/>
      <c r="E74" s="832"/>
      <c r="F74" s="832"/>
      <c r="G74" s="247"/>
      <c r="H74" s="248"/>
      <c r="I74" s="247"/>
      <c r="J74" s="248"/>
      <c r="K74" s="207"/>
      <c r="O74" s="208"/>
    </row>
    <row r="75" spans="1:15" s="37" customFormat="1" x14ac:dyDescent="0.3">
      <c r="A75" s="179"/>
      <c r="B75" s="179"/>
      <c r="C75" s="832"/>
      <c r="D75" s="832"/>
      <c r="E75" s="832"/>
      <c r="F75" s="832"/>
      <c r="G75" s="247"/>
      <c r="H75" s="248"/>
      <c r="I75" s="247"/>
      <c r="J75" s="248"/>
      <c r="K75" s="207"/>
    </row>
    <row r="76" spans="1:15" s="37" customFormat="1" x14ac:dyDescent="0.3">
      <c r="A76" s="179"/>
      <c r="B76" s="179"/>
      <c r="C76" s="832"/>
      <c r="D76" s="832"/>
      <c r="E76" s="832"/>
      <c r="F76" s="832"/>
      <c r="G76" s="247"/>
      <c r="H76" s="248"/>
      <c r="I76" s="247"/>
      <c r="J76" s="248"/>
      <c r="K76" s="207"/>
    </row>
    <row r="77" spans="1:15" s="37" customFormat="1" x14ac:dyDescent="0.3">
      <c r="A77" s="179"/>
      <c r="B77" s="179"/>
      <c r="C77" s="832"/>
      <c r="D77" s="832"/>
      <c r="E77" s="832"/>
      <c r="F77" s="832"/>
      <c r="G77" s="247"/>
      <c r="H77" s="248"/>
      <c r="I77" s="247"/>
      <c r="J77" s="248"/>
      <c r="K77" s="207"/>
    </row>
    <row r="78" spans="1:15" s="37" customFormat="1" x14ac:dyDescent="0.3">
      <c r="A78" s="179"/>
      <c r="B78" s="179"/>
      <c r="C78" s="832"/>
      <c r="D78" s="832"/>
      <c r="E78" s="832"/>
      <c r="F78" s="832"/>
      <c r="G78" s="247"/>
      <c r="H78" s="248"/>
      <c r="I78" s="247"/>
      <c r="J78" s="248"/>
      <c r="K78" s="207"/>
    </row>
    <row r="79" spans="1:15" s="37" customFormat="1" x14ac:dyDescent="0.3">
      <c r="A79" s="179"/>
      <c r="B79" s="179"/>
      <c r="C79" s="832"/>
      <c r="D79" s="832"/>
      <c r="E79" s="832"/>
      <c r="F79" s="832"/>
      <c r="G79" s="247"/>
      <c r="H79" s="248"/>
      <c r="I79" s="247"/>
      <c r="J79" s="248"/>
      <c r="K79" s="207"/>
    </row>
    <row r="80" spans="1:15" s="37" customFormat="1" x14ac:dyDescent="0.3">
      <c r="A80" s="179"/>
      <c r="B80" s="179"/>
      <c r="C80" s="832"/>
      <c r="D80" s="832"/>
      <c r="E80" s="832"/>
      <c r="F80" s="832"/>
      <c r="G80" s="247"/>
      <c r="H80" s="248"/>
      <c r="I80" s="247"/>
      <c r="J80" s="248"/>
      <c r="K80" s="207"/>
    </row>
    <row r="81" spans="1:11" s="37" customFormat="1" x14ac:dyDescent="0.3">
      <c r="A81" s="179"/>
      <c r="B81" s="179"/>
      <c r="C81" s="832"/>
      <c r="D81" s="832"/>
      <c r="E81" s="832"/>
      <c r="F81" s="832"/>
      <c r="G81" s="247"/>
      <c r="H81" s="248"/>
      <c r="I81" s="247"/>
      <c r="J81" s="248"/>
      <c r="K81" s="207"/>
    </row>
    <row r="82" spans="1:11" s="37" customFormat="1" x14ac:dyDescent="0.3">
      <c r="A82" s="179"/>
      <c r="B82" s="179"/>
      <c r="C82" s="832"/>
      <c r="D82" s="832"/>
      <c r="E82" s="832"/>
      <c r="F82" s="832"/>
      <c r="G82" s="247"/>
      <c r="H82" s="248"/>
      <c r="I82" s="247"/>
      <c r="J82" s="248"/>
      <c r="K82" s="207"/>
    </row>
    <row r="83" spans="1:11" s="37" customFormat="1" x14ac:dyDescent="0.3">
      <c r="A83" s="179"/>
      <c r="B83" s="179"/>
      <c r="C83" s="832"/>
      <c r="D83" s="832"/>
      <c r="E83" s="832"/>
      <c r="F83" s="832"/>
      <c r="G83" s="247"/>
      <c r="H83" s="248"/>
      <c r="I83" s="247"/>
      <c r="J83" s="248"/>
      <c r="K83" s="207"/>
    </row>
    <row r="84" spans="1:11" s="37" customFormat="1" x14ac:dyDescent="0.3">
      <c r="A84" s="179"/>
      <c r="B84" s="179"/>
      <c r="C84" s="832"/>
      <c r="D84" s="832"/>
      <c r="E84" s="832"/>
      <c r="F84" s="832"/>
      <c r="G84" s="247"/>
      <c r="H84" s="248"/>
      <c r="I84" s="247"/>
      <c r="J84" s="248"/>
      <c r="K84" s="207"/>
    </row>
    <row r="85" spans="1:11" s="37" customFormat="1" x14ac:dyDescent="0.3">
      <c r="A85" s="179"/>
      <c r="B85" s="179"/>
      <c r="C85" s="832"/>
      <c r="D85" s="832"/>
      <c r="E85" s="832"/>
      <c r="F85" s="832"/>
      <c r="G85" s="247"/>
      <c r="H85" s="248"/>
      <c r="I85" s="247"/>
      <c r="J85" s="248"/>
      <c r="K85" s="207"/>
    </row>
    <row r="86" spans="1:11" s="37" customFormat="1" x14ac:dyDescent="0.3">
      <c r="A86" s="179"/>
      <c r="B86" s="179"/>
      <c r="C86" s="832"/>
      <c r="D86" s="832"/>
      <c r="E86" s="832"/>
      <c r="F86" s="832"/>
      <c r="G86" s="247"/>
      <c r="H86" s="248"/>
      <c r="I86" s="247"/>
      <c r="J86" s="248"/>
      <c r="K86" s="207"/>
    </row>
    <row r="87" spans="1:11" s="37" customFormat="1" x14ac:dyDescent="0.3">
      <c r="A87" s="179"/>
      <c r="B87" s="179"/>
      <c r="C87" s="832"/>
      <c r="D87" s="832"/>
      <c r="E87" s="832"/>
      <c r="F87" s="832"/>
      <c r="G87" s="247"/>
      <c r="H87" s="248"/>
      <c r="I87" s="247"/>
      <c r="J87" s="248"/>
      <c r="K87" s="207"/>
    </row>
    <row r="88" spans="1:11" s="37" customFormat="1" x14ac:dyDescent="0.3">
      <c r="A88" s="179"/>
      <c r="B88" s="179"/>
      <c r="C88" s="832"/>
      <c r="D88" s="832"/>
      <c r="E88" s="832"/>
      <c r="F88" s="832"/>
      <c r="G88" s="247"/>
      <c r="H88" s="248"/>
      <c r="I88" s="247"/>
      <c r="J88" s="248"/>
      <c r="K88" s="207"/>
    </row>
    <row r="89" spans="1:11" s="37" customFormat="1" x14ac:dyDescent="0.3">
      <c r="A89" s="179"/>
      <c r="B89" s="179"/>
      <c r="C89" s="832"/>
      <c r="D89" s="832"/>
      <c r="E89" s="832"/>
      <c r="F89" s="832"/>
      <c r="G89" s="247"/>
      <c r="H89" s="248"/>
      <c r="I89" s="247"/>
      <c r="J89" s="248"/>
      <c r="K89" s="207"/>
    </row>
    <row r="90" spans="1:11" s="37" customFormat="1" x14ac:dyDescent="0.3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3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3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3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3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3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3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3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3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3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3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3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3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3">
      <c r="A103" s="179"/>
      <c r="B103" s="179"/>
      <c r="C103" s="833"/>
      <c r="D103" s="833"/>
      <c r="E103" s="833"/>
      <c r="F103" s="833"/>
      <c r="G103" s="833"/>
      <c r="H103" s="833"/>
      <c r="I103" s="833"/>
      <c r="J103" s="833"/>
      <c r="K103" s="207"/>
    </row>
    <row r="104" spans="1:14" s="37" customFormat="1" x14ac:dyDescent="0.3">
      <c r="A104" s="179"/>
      <c r="B104" s="179"/>
      <c r="C104" s="834"/>
      <c r="D104" s="834"/>
      <c r="E104" s="834"/>
      <c r="F104" s="834"/>
      <c r="G104" s="834"/>
      <c r="H104" s="834"/>
      <c r="I104" s="834"/>
      <c r="J104" s="252"/>
      <c r="K104" s="207"/>
    </row>
    <row r="105" spans="1:14" s="37" customFormat="1" x14ac:dyDescent="0.3">
      <c r="A105" s="179"/>
      <c r="B105" s="179"/>
      <c r="C105" s="838"/>
      <c r="D105" s="838"/>
      <c r="E105" s="838"/>
      <c r="F105" s="838"/>
      <c r="G105" s="838"/>
      <c r="H105" s="838"/>
      <c r="I105" s="838"/>
      <c r="J105" s="252"/>
      <c r="K105" s="207"/>
    </row>
    <row r="106" spans="1:14" s="37" customFormat="1" x14ac:dyDescent="0.3">
      <c r="A106" s="179"/>
      <c r="B106" s="179"/>
      <c r="C106" s="838"/>
      <c r="D106" s="838"/>
      <c r="E106" s="838"/>
      <c r="F106" s="838"/>
      <c r="G106" s="838"/>
      <c r="H106" s="838"/>
      <c r="I106" s="838"/>
      <c r="J106" s="252"/>
      <c r="K106" s="207"/>
    </row>
    <row r="107" spans="1:14" s="37" customFormat="1" x14ac:dyDescent="0.3">
      <c r="A107" s="179"/>
      <c r="B107" s="179"/>
      <c r="C107" s="670"/>
      <c r="D107" s="670"/>
      <c r="E107" s="670"/>
      <c r="F107" s="670"/>
      <c r="G107" s="670"/>
      <c r="H107" s="670"/>
      <c r="I107" s="670"/>
      <c r="J107" s="252"/>
      <c r="K107" s="207"/>
    </row>
    <row r="108" spans="1:14" s="37" customFormat="1" x14ac:dyDescent="0.3">
      <c r="A108" s="179"/>
      <c r="B108" s="179"/>
      <c r="C108" s="670"/>
      <c r="D108" s="670"/>
      <c r="E108" s="670"/>
      <c r="F108" s="670"/>
      <c r="G108" s="670"/>
      <c r="H108" s="670"/>
      <c r="I108" s="670"/>
      <c r="J108" s="252"/>
      <c r="K108" s="207"/>
    </row>
    <row r="109" spans="1:14" s="37" customFormat="1" x14ac:dyDescent="0.3">
      <c r="A109" s="179"/>
      <c r="B109" s="179"/>
      <c r="C109" s="179"/>
      <c r="D109" s="179"/>
      <c r="E109" s="179"/>
      <c r="F109" s="670"/>
      <c r="G109" s="670"/>
      <c r="H109" s="670"/>
      <c r="I109" s="670"/>
      <c r="J109" s="252"/>
      <c r="K109" s="207"/>
    </row>
    <row r="110" spans="1:14" s="37" customFormat="1" ht="10.5" customHeight="1" x14ac:dyDescent="0.3">
      <c r="A110" s="179"/>
      <c r="B110" s="179"/>
      <c r="C110" s="838"/>
      <c r="D110" s="838"/>
      <c r="E110" s="838"/>
      <c r="F110" s="838"/>
      <c r="G110" s="838"/>
      <c r="H110" s="838"/>
      <c r="I110" s="838"/>
      <c r="J110" s="838"/>
      <c r="K110" s="207"/>
    </row>
    <row r="111" spans="1:14" s="37" customFormat="1" ht="21" customHeight="1" x14ac:dyDescent="0.3">
      <c r="A111" s="179"/>
      <c r="B111" s="179"/>
      <c r="C111" s="842"/>
      <c r="D111" s="842"/>
      <c r="E111" s="842"/>
      <c r="F111" s="842"/>
      <c r="G111" s="842"/>
      <c r="H111" s="842"/>
      <c r="I111" s="842"/>
      <c r="J111" s="842"/>
      <c r="K111" s="207"/>
    </row>
    <row r="112" spans="1:14" s="37" customFormat="1" x14ac:dyDescent="0.3">
      <c r="A112" s="179"/>
      <c r="B112" s="179"/>
      <c r="C112" s="843"/>
      <c r="D112" s="843"/>
      <c r="E112" s="843"/>
      <c r="F112" s="843"/>
      <c r="G112" s="843"/>
      <c r="H112" s="843"/>
      <c r="I112" s="844"/>
      <c r="J112" s="844"/>
      <c r="K112" s="207"/>
      <c r="N112" s="209"/>
    </row>
    <row r="113" spans="1:14" s="37" customFormat="1" x14ac:dyDescent="0.3">
      <c r="A113" s="179"/>
      <c r="B113" s="179"/>
      <c r="C113" s="843"/>
      <c r="D113" s="843"/>
      <c r="E113" s="843"/>
      <c r="F113" s="843"/>
      <c r="G113" s="843"/>
      <c r="H113" s="843"/>
      <c r="I113" s="844"/>
      <c r="J113" s="844"/>
      <c r="K113" s="207"/>
      <c r="N113" s="209"/>
    </row>
    <row r="114" spans="1:14" s="37" customFormat="1" x14ac:dyDescent="0.3">
      <c r="A114" s="179"/>
      <c r="B114" s="179"/>
      <c r="C114" s="843"/>
      <c r="D114" s="843"/>
      <c r="E114" s="843"/>
      <c r="F114" s="843"/>
      <c r="G114" s="843"/>
      <c r="H114" s="843"/>
      <c r="I114" s="844"/>
      <c r="J114" s="844"/>
      <c r="K114" s="207"/>
      <c r="N114" s="209"/>
    </row>
    <row r="115" spans="1:14" s="37" customFormat="1" x14ac:dyDescent="0.3">
      <c r="A115" s="179"/>
      <c r="B115" s="179"/>
      <c r="C115" s="843"/>
      <c r="D115" s="843"/>
      <c r="E115" s="843"/>
      <c r="F115" s="843"/>
      <c r="G115" s="843"/>
      <c r="H115" s="843"/>
      <c r="I115" s="845"/>
      <c r="J115" s="845"/>
      <c r="K115" s="207"/>
    </row>
    <row r="116" spans="1:14" s="37" customFormat="1" x14ac:dyDescent="0.3">
      <c r="A116" s="179"/>
      <c r="B116" s="179"/>
      <c r="C116" s="843"/>
      <c r="D116" s="843"/>
      <c r="E116" s="843"/>
      <c r="F116" s="843"/>
      <c r="G116" s="843"/>
      <c r="H116" s="843"/>
      <c r="I116" s="844"/>
      <c r="J116" s="844"/>
      <c r="K116" s="207"/>
    </row>
    <row r="117" spans="1:14" s="37" customFormat="1" x14ac:dyDescent="0.3">
      <c r="A117" s="179"/>
      <c r="B117" s="179"/>
      <c r="C117" s="843"/>
      <c r="D117" s="843"/>
      <c r="E117" s="843"/>
      <c r="F117" s="843"/>
      <c r="G117" s="843"/>
      <c r="H117" s="843"/>
      <c r="I117" s="844"/>
      <c r="J117" s="844"/>
      <c r="K117" s="207"/>
    </row>
    <row r="118" spans="1:14" s="37" customFormat="1" x14ac:dyDescent="0.3">
      <c r="A118" s="179"/>
      <c r="B118" s="179"/>
      <c r="C118" s="843"/>
      <c r="D118" s="843"/>
      <c r="E118" s="843"/>
      <c r="F118" s="843"/>
      <c r="G118" s="843"/>
      <c r="H118" s="843"/>
      <c r="I118" s="844"/>
      <c r="J118" s="844"/>
      <c r="K118" s="207"/>
    </row>
    <row r="119" spans="1:14" s="37" customFormat="1" x14ac:dyDescent="0.3">
      <c r="A119" s="179"/>
      <c r="B119" s="179"/>
      <c r="C119" s="843"/>
      <c r="D119" s="843"/>
      <c r="E119" s="843"/>
      <c r="F119" s="843"/>
      <c r="G119" s="843"/>
      <c r="H119" s="843"/>
      <c r="I119" s="844"/>
      <c r="J119" s="844"/>
      <c r="K119" s="207"/>
    </row>
    <row r="120" spans="1:14" s="37" customFormat="1" ht="24" customHeight="1" x14ac:dyDescent="0.3">
      <c r="A120" s="179"/>
      <c r="B120" s="179"/>
      <c r="C120" s="843"/>
      <c r="D120" s="843"/>
      <c r="E120" s="843"/>
      <c r="F120" s="843"/>
      <c r="G120" s="843"/>
      <c r="H120" s="843"/>
      <c r="I120" s="844"/>
      <c r="J120" s="844"/>
      <c r="K120" s="207"/>
    </row>
    <row r="121" spans="1:14" s="37" customFormat="1" ht="11.25" customHeight="1" x14ac:dyDescent="0.3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3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5" customHeight="1" x14ac:dyDescent="0.3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5" customHeight="1" x14ac:dyDescent="0.3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5" customHeight="1" x14ac:dyDescent="0.3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5" customHeight="1" x14ac:dyDescent="0.3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5" customHeight="1" x14ac:dyDescent="0.3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5" customHeight="1" x14ac:dyDescent="0.3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5" customHeight="1" x14ac:dyDescent="0.3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5" customHeight="1" x14ac:dyDescent="0.3"/>
    <row r="131" spans="1:14" ht="25" customHeight="1" x14ac:dyDescent="0.3"/>
    <row r="132" spans="1:14" ht="25" customHeight="1" x14ac:dyDescent="0.3"/>
    <row r="133" spans="1:14" ht="25" customHeight="1" x14ac:dyDescent="0.3"/>
    <row r="134" spans="1:14" ht="25" customHeight="1" x14ac:dyDescent="0.3"/>
    <row r="135" spans="1:14" ht="25" customHeight="1" x14ac:dyDescent="0.3"/>
    <row r="136" spans="1:14" ht="25" customHeight="1" x14ac:dyDescent="0.3"/>
    <row r="137" spans="1:14" ht="25" customHeight="1" x14ac:dyDescent="0.3"/>
    <row r="138" spans="1:14" ht="25" customHeight="1" x14ac:dyDescent="0.3"/>
    <row r="139" spans="1:14" ht="25" customHeight="1" x14ac:dyDescent="0.3"/>
  </sheetData>
  <sheetProtection selectLockedCells="1"/>
  <mergeCells count="59">
    <mergeCell ref="N57:O57"/>
    <mergeCell ref="C58:I58"/>
    <mergeCell ref="C59:I59"/>
    <mergeCell ref="C60:I60"/>
    <mergeCell ref="C61:I61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</mergeCells>
  <printOptions horizontalCentered="1" verticalCentered="1"/>
  <pageMargins left="0" right="0" top="0" bottom="0" header="0" footer="0"/>
  <pageSetup scale="4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847" t="s">
        <v>941</v>
      </c>
      <c r="E20" s="848"/>
      <c r="F20" s="848"/>
      <c r="G20" s="848"/>
      <c r="H20" s="848"/>
      <c r="I20" s="848"/>
      <c r="J20" s="849"/>
      <c r="K20" s="356">
        <f>'Material Price'!J281</f>
        <v>166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Formulas!M93</f>
        <v>0</v>
      </c>
      <c r="D21" s="847" t="s">
        <v>942</v>
      </c>
      <c r="E21" s="848"/>
      <c r="F21" s="848"/>
      <c r="G21" s="848"/>
      <c r="H21" s="848"/>
      <c r="I21" s="848"/>
      <c r="J21" s="849"/>
      <c r="K21" s="356">
        <f>'Material Price'!J292</f>
        <v>174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847" t="s">
        <v>943</v>
      </c>
      <c r="E22" s="848"/>
      <c r="F22" s="848"/>
      <c r="G22" s="848"/>
      <c r="H22" s="848"/>
      <c r="I22" s="848"/>
      <c r="J22" s="849"/>
      <c r="K22" s="356">
        <f>'Material Price'!J280</f>
        <v>143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Formulas!M92</f>
        <v>0</v>
      </c>
      <c r="D23" s="847" t="s">
        <v>944</v>
      </c>
      <c r="E23" s="848"/>
      <c r="F23" s="848"/>
      <c r="G23" s="848"/>
      <c r="H23" s="848"/>
      <c r="I23" s="848"/>
      <c r="J23" s="849"/>
      <c r="K23" s="356">
        <f>'Material Price'!J291</f>
        <v>158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585" t="s">
        <v>949</v>
      </c>
      <c r="E20" s="577"/>
      <c r="F20" s="577"/>
      <c r="G20" s="577"/>
      <c r="H20" s="577"/>
      <c r="I20" s="577"/>
      <c r="J20" s="578"/>
      <c r="K20" s="356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ROUNDUP((Formulas!J97+Formulas!J89)/18,0)</f>
        <v>0</v>
      </c>
      <c r="D21" s="585" t="s">
        <v>948</v>
      </c>
      <c r="E21" s="577"/>
      <c r="F21" s="577"/>
      <c r="G21" s="577"/>
      <c r="H21" s="577"/>
      <c r="I21" s="577"/>
      <c r="J21" s="578"/>
      <c r="K21" s="356">
        <f>'Material Price'!J288</f>
        <v>210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585" t="s">
        <v>950</v>
      </c>
      <c r="E22" s="577"/>
      <c r="F22" s="577"/>
      <c r="G22" s="577"/>
      <c r="H22" s="577"/>
      <c r="I22" s="577"/>
      <c r="J22" s="578"/>
      <c r="K22" s="356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Formulas!I82</f>
        <v>0</v>
      </c>
      <c r="D23" s="585" t="s">
        <v>947</v>
      </c>
      <c r="E23" s="577"/>
      <c r="F23" s="577"/>
      <c r="G23" s="577"/>
      <c r="H23" s="577"/>
      <c r="I23" s="577"/>
      <c r="J23" s="578"/>
      <c r="K23" s="356">
        <f>'Material Price'!J287</f>
        <v>167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8">
        <f t="shared" ref="L27" si="3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8">
        <f t="shared" ref="L32" si="4">K32*C32</f>
        <v>0</v>
      </c>
      <c r="M32" s="669"/>
      <c r="N32" s="178"/>
      <c r="O32" s="71"/>
    </row>
    <row r="33" spans="1:15" x14ac:dyDescent="0.3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678" t="s">
        <v>763</v>
      </c>
      <c r="E34" s="679"/>
      <c r="F34" s="679"/>
      <c r="G34" s="679"/>
      <c r="H34" s="679"/>
      <c r="I34" s="679"/>
      <c r="J34" s="680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7" si="5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5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5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5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5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5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5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5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35:M35"/>
    <mergeCell ref="L32:M32"/>
    <mergeCell ref="L27:M27"/>
    <mergeCell ref="D37:J37"/>
    <mergeCell ref="L37:M37"/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955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Formulas!J91</f>
        <v>0</v>
      </c>
      <c r="D21" s="585" t="s">
        <v>877</v>
      </c>
      <c r="E21" s="577"/>
      <c r="F21" s="577"/>
      <c r="G21" s="577"/>
      <c r="H21" s="577"/>
      <c r="I21" s="577"/>
      <c r="J21" s="578"/>
      <c r="K21" s="356">
        <f>'Material Price'!J273</f>
        <v>159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Formulas!J98</f>
        <v>0</v>
      </c>
      <c r="D22" s="585" t="s">
        <v>876</v>
      </c>
      <c r="E22" s="577"/>
      <c r="F22" s="577"/>
      <c r="G22" s="577"/>
      <c r="H22" s="577"/>
      <c r="I22" s="577"/>
      <c r="J22" s="578"/>
      <c r="K22" s="356">
        <f>'Material Price'!J277</f>
        <v>170</v>
      </c>
      <c r="L22" s="668">
        <f t="shared" ref="L22:L24" si="3">K22*C22</f>
        <v>0</v>
      </c>
      <c r="M22" s="669"/>
      <c r="N22" s="178"/>
      <c r="O22" s="71"/>
    </row>
    <row r="23" spans="1:15" x14ac:dyDescent="0.3">
      <c r="A23" s="71"/>
      <c r="B23" s="166"/>
      <c r="C23" s="360">
        <f>Formulas!I80</f>
        <v>0</v>
      </c>
      <c r="D23" s="585" t="s">
        <v>875</v>
      </c>
      <c r="E23" s="577"/>
      <c r="F23" s="577"/>
      <c r="G23" s="577"/>
      <c r="H23" s="577"/>
      <c r="I23" s="577"/>
      <c r="J23" s="578"/>
      <c r="K23" s="356">
        <f>'Material Price'!J271</f>
        <v>128</v>
      </c>
      <c r="L23" s="668">
        <f t="shared" si="3"/>
        <v>0</v>
      </c>
      <c r="M23" s="669"/>
      <c r="N23" s="178"/>
      <c r="O23" s="71"/>
    </row>
    <row r="24" spans="1:15" x14ac:dyDescent="0.3">
      <c r="A24" s="71"/>
      <c r="B24" s="166"/>
      <c r="C24" s="360">
        <f>Formulas!I81</f>
        <v>0</v>
      </c>
      <c r="D24" s="585" t="s">
        <v>874</v>
      </c>
      <c r="E24" s="577"/>
      <c r="F24" s="577"/>
      <c r="G24" s="577"/>
      <c r="H24" s="577"/>
      <c r="I24" s="577"/>
      <c r="J24" s="578"/>
      <c r="K24" s="356">
        <f>'Material Price'!J275</f>
        <v>137</v>
      </c>
      <c r="L24" s="668">
        <f t="shared" si="3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4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5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5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5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5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5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5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5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5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5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38:M38"/>
    <mergeCell ref="L29:M29"/>
    <mergeCell ref="L30:M30"/>
    <mergeCell ref="L31:M31"/>
    <mergeCell ref="L32:M32"/>
    <mergeCell ref="L34:M34"/>
    <mergeCell ref="L35:M35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D21:J21"/>
    <mergeCell ref="D22:J22"/>
    <mergeCell ref="D23:J23"/>
    <mergeCell ref="D24:J24"/>
    <mergeCell ref="L21:M21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956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847" t="s">
        <v>884</v>
      </c>
      <c r="E21" s="848"/>
      <c r="F21" s="848"/>
      <c r="G21" s="848"/>
      <c r="H21" s="848"/>
      <c r="I21" s="848"/>
      <c r="J21" s="849"/>
      <c r="K21" s="407">
        <f>'Material Price'!J281</f>
        <v>166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Formulas!M93</f>
        <v>0</v>
      </c>
      <c r="D22" s="847" t="s">
        <v>885</v>
      </c>
      <c r="E22" s="848"/>
      <c r="F22" s="848"/>
      <c r="G22" s="848"/>
      <c r="H22" s="848"/>
      <c r="I22" s="848"/>
      <c r="J22" s="849"/>
      <c r="K22" s="407">
        <f>'Material Price'!J292</f>
        <v>174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/>
      <c r="D23" s="847" t="s">
        <v>886</v>
      </c>
      <c r="E23" s="848"/>
      <c r="F23" s="848"/>
      <c r="G23" s="848"/>
      <c r="H23" s="848"/>
      <c r="I23" s="848"/>
      <c r="J23" s="849"/>
      <c r="K23" s="407">
        <f>'Material Price'!J280</f>
        <v>143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Formulas!M92</f>
        <v>0</v>
      </c>
      <c r="D24" s="847" t="s">
        <v>887</v>
      </c>
      <c r="E24" s="848"/>
      <c r="F24" s="848"/>
      <c r="G24" s="848"/>
      <c r="H24" s="848"/>
      <c r="I24" s="848"/>
      <c r="J24" s="849"/>
      <c r="K24" s="407">
        <f>'Material Price'!J291</f>
        <v>158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D21:J21"/>
    <mergeCell ref="L21:M21"/>
    <mergeCell ref="D22:J22"/>
    <mergeCell ref="L22:M22"/>
    <mergeCell ref="D23:J23"/>
    <mergeCell ref="L23:M23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959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Formulas!J91</f>
        <v>0</v>
      </c>
      <c r="D21" s="585" t="s">
        <v>878</v>
      </c>
      <c r="E21" s="577"/>
      <c r="F21" s="577"/>
      <c r="G21" s="577"/>
      <c r="H21" s="577"/>
      <c r="I21" s="577"/>
      <c r="J21" s="578"/>
      <c r="K21" s="356">
        <f>'Material Price'!J272</f>
        <v>144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60">
        <f>Formulas!J98</f>
        <v>0</v>
      </c>
      <c r="D22" s="585" t="s">
        <v>879</v>
      </c>
      <c r="E22" s="577"/>
      <c r="F22" s="577"/>
      <c r="G22" s="577"/>
      <c r="H22" s="577"/>
      <c r="I22" s="577"/>
      <c r="J22" s="578"/>
      <c r="K22" s="356">
        <f>'Material Price'!J276</f>
        <v>152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585" t="s">
        <v>880</v>
      </c>
      <c r="E23" s="577"/>
      <c r="F23" s="577"/>
      <c r="G23" s="577"/>
      <c r="H23" s="577"/>
      <c r="I23" s="577"/>
      <c r="J23" s="578"/>
      <c r="K23" s="356">
        <f>'Material Price'!J270</f>
        <v>116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585" t="s">
        <v>881</v>
      </c>
      <c r="E24" s="577"/>
      <c r="F24" s="577"/>
      <c r="G24" s="577"/>
      <c r="H24" s="577"/>
      <c r="I24" s="577"/>
      <c r="J24" s="578"/>
      <c r="K24" s="356">
        <f>'Material Price'!J274</f>
        <v>124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Formulas!Q112+Formulas!Q116+Formulas!Q120</f>
        <v>0</v>
      </c>
      <c r="D25" s="847" t="s">
        <v>771</v>
      </c>
      <c r="E25" s="848"/>
      <c r="F25" s="848"/>
      <c r="G25" s="848"/>
      <c r="H25" s="848"/>
      <c r="I25" s="848"/>
      <c r="J25" s="849"/>
      <c r="K25" s="356">
        <f>'Material Price'!J283</f>
        <v>178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Formulas!Q111+Formulas!Q115+Formulas!Q119</f>
        <v>0</v>
      </c>
      <c r="D26" s="847" t="s">
        <v>772</v>
      </c>
      <c r="E26" s="848"/>
      <c r="F26" s="848"/>
      <c r="G26" s="848"/>
      <c r="H26" s="848"/>
      <c r="I26" s="848"/>
      <c r="J26" s="849"/>
      <c r="K26" s="356">
        <f>'Material Price'!J284</f>
        <v>129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8">
        <f t="shared" ref="L29:L30" si="2">K29*C29</f>
        <v>0</v>
      </c>
      <c r="M29" s="669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8">
        <f t="shared" si="2"/>
        <v>0</v>
      </c>
      <c r="M30" s="669"/>
      <c r="N30" s="178"/>
      <c r="O30" s="71"/>
    </row>
    <row r="31" spans="1:15" x14ac:dyDescent="0.3">
      <c r="A31" s="71"/>
      <c r="B31" s="166"/>
      <c r="C31" s="360"/>
      <c r="D31" s="569" t="s">
        <v>612</v>
      </c>
      <c r="E31" s="570"/>
      <c r="F31" s="570"/>
      <c r="G31" s="570"/>
      <c r="H31" s="570"/>
      <c r="I31" s="570"/>
      <c r="J31" s="571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569" t="s">
        <v>618</v>
      </c>
      <c r="E32" s="570"/>
      <c r="F32" s="570"/>
      <c r="G32" s="570"/>
      <c r="H32" s="570"/>
      <c r="I32" s="570"/>
      <c r="J32" s="571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8" si="3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 t="shared" si="3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>K49*C49</f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0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0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6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41:M41"/>
    <mergeCell ref="L42:M42"/>
    <mergeCell ref="L43:M43"/>
    <mergeCell ref="L44:M44"/>
    <mergeCell ref="L45:M45"/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953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8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6" t="s">
        <v>740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8">
        <f t="shared" ref="L27" si="3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8">
        <f t="shared" ref="L32" si="4">K32*C32</f>
        <v>0</v>
      </c>
      <c r="M32" s="669"/>
      <c r="N32" s="178"/>
      <c r="O32" s="71"/>
    </row>
    <row r="33" spans="1:15" x14ac:dyDescent="0.3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8">
        <f t="shared" ref="L33" si="5">K33*C33</f>
        <v>0</v>
      </c>
      <c r="M33" s="669"/>
      <c r="N33" s="178"/>
      <c r="O33" s="71"/>
    </row>
    <row r="34" spans="1:15" x14ac:dyDescent="0.3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678" t="s">
        <v>763</v>
      </c>
      <c r="E35" s="679"/>
      <c r="F35" s="679"/>
      <c r="G35" s="679"/>
      <c r="H35" s="679"/>
      <c r="I35" s="679"/>
      <c r="J35" s="680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678" t="s">
        <v>601</v>
      </c>
      <c r="E38" s="679"/>
      <c r="F38" s="679"/>
      <c r="G38" s="679"/>
      <c r="H38" s="679"/>
      <c r="I38" s="679"/>
      <c r="J38" s="680"/>
      <c r="K38" s="152"/>
      <c r="L38" s="668">
        <f t="shared" si="1"/>
        <v>0</v>
      </c>
      <c r="M38" s="669"/>
      <c r="N38" s="178"/>
      <c r="O38" s="71"/>
    </row>
    <row r="39" spans="1:15" x14ac:dyDescent="0.3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8">
        <f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8">
        <f t="shared" ref="L40:L49" si="6">K40*C40</f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8">
        <f t="shared" si="6"/>
        <v>0</v>
      </c>
      <c r="M41" s="669"/>
      <c r="N41" s="178"/>
      <c r="O41" s="71"/>
    </row>
    <row r="42" spans="1:15" x14ac:dyDescent="0.3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8">
        <f t="shared" si="6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8">
        <f t="shared" si="6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8">
        <f t="shared" si="6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8">
        <f t="shared" si="6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8">
        <f t="shared" si="6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8">
        <f t="shared" si="6"/>
        <v>0</v>
      </c>
      <c r="M47" s="669"/>
      <c r="N47" s="178"/>
      <c r="O47" s="71"/>
    </row>
    <row r="48" spans="1:15" x14ac:dyDescent="0.3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8">
        <f t="shared" si="6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 t="shared" si="6"/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0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0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9"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D35:J35"/>
    <mergeCell ref="L35:M35"/>
    <mergeCell ref="L36:M36"/>
    <mergeCell ref="L37:M37"/>
    <mergeCell ref="D38:J38"/>
    <mergeCell ref="L38:M38"/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baseColWidth="10" defaultColWidth="9" defaultRowHeight="16" x14ac:dyDescent="0.2"/>
  <cols>
    <col min="4" max="4" width="11" customWidth="1"/>
    <col min="5" max="5" width="13" customWidth="1"/>
    <col min="7" max="7" width="9.19921875" customWidth="1"/>
    <col min="11" max="11" width="24.59765625" customWidth="1"/>
  </cols>
  <sheetData>
    <row r="1" spans="1:15" ht="23.25" customHeight="1" x14ac:dyDescent="0.2">
      <c r="A1" s="852" t="s">
        <v>119</v>
      </c>
      <c r="B1" s="852"/>
      <c r="C1" s="852"/>
      <c r="D1" s="852"/>
      <c r="E1" s="852"/>
      <c r="F1" s="852"/>
      <c r="G1" s="852"/>
      <c r="H1" s="852"/>
      <c r="I1" s="852"/>
      <c r="J1" s="144"/>
      <c r="L1" s="791" t="s">
        <v>131</v>
      </c>
      <c r="M1" s="791"/>
      <c r="N1" s="791"/>
      <c r="O1" s="791"/>
    </row>
    <row r="2" spans="1:15" ht="23.25" customHeight="1" x14ac:dyDescent="0.2">
      <c r="A2" s="851"/>
      <c r="B2" s="851"/>
      <c r="C2" s="851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2">
      <c r="A3" s="850" t="s">
        <v>120</v>
      </c>
      <c r="B3" s="850"/>
      <c r="C3" s="850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2">
      <c r="A4" s="850" t="s">
        <v>121</v>
      </c>
      <c r="B4" s="850"/>
      <c r="C4" s="850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2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2">
      <c r="A6" s="850" t="s">
        <v>122</v>
      </c>
      <c r="B6" s="850"/>
      <c r="C6" s="850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2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2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2">
      <c r="A9" s="850" t="s">
        <v>123</v>
      </c>
      <c r="B9" s="850"/>
      <c r="C9" s="850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2">
      <c r="A10" s="850" t="s">
        <v>124</v>
      </c>
      <c r="B10" s="850"/>
      <c r="C10" s="850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2">
      <c r="A11" s="850" t="s">
        <v>125</v>
      </c>
      <c r="B11" s="850"/>
      <c r="C11" s="850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2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2">
      <c r="A13" s="850" t="s">
        <v>126</v>
      </c>
      <c r="B13" s="850"/>
      <c r="C13" s="850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2">
      <c r="A14" s="850"/>
      <c r="B14" s="850"/>
      <c r="C14" s="850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2">
      <c r="A15" s="796"/>
      <c r="B15" s="796"/>
      <c r="C15" s="796"/>
    </row>
    <row r="16" spans="1:15" ht="23.25" customHeight="1" x14ac:dyDescent="0.2">
      <c r="A16" s="796"/>
      <c r="B16" s="796"/>
      <c r="C16" s="796"/>
    </row>
    <row r="17" ht="23.25" customHeight="1" x14ac:dyDescent="0.2"/>
    <row r="18" ht="23.25" customHeight="1" x14ac:dyDescent="0.2"/>
  </sheetData>
  <mergeCells count="13">
    <mergeCell ref="L1:O1"/>
    <mergeCell ref="A1:I1"/>
    <mergeCell ref="A9:C9"/>
    <mergeCell ref="A10:C10"/>
    <mergeCell ref="A11:C11"/>
    <mergeCell ref="A13:C13"/>
    <mergeCell ref="A16:C16"/>
    <mergeCell ref="A14:C14"/>
    <mergeCell ref="A2:C2"/>
    <mergeCell ref="A6:C6"/>
    <mergeCell ref="A3:C3"/>
    <mergeCell ref="A4:C4"/>
    <mergeCell ref="A15:C15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baseColWidth="10" defaultColWidth="9" defaultRowHeight="16" x14ac:dyDescent="0.2"/>
  <sheetData>
    <row r="1" spans="1:11" x14ac:dyDescent="0.2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2">
      <c r="A2" s="157"/>
      <c r="K2" s="158"/>
    </row>
    <row r="3" spans="1:11" x14ac:dyDescent="0.2">
      <c r="A3" s="157"/>
      <c r="K3" s="158"/>
    </row>
    <row r="4" spans="1:11" x14ac:dyDescent="0.2">
      <c r="A4" s="157"/>
      <c r="K4" s="158"/>
    </row>
    <row r="5" spans="1:11" x14ac:dyDescent="0.2">
      <c r="A5" s="157"/>
      <c r="K5" s="158"/>
    </row>
    <row r="6" spans="1:11" x14ac:dyDescent="0.2">
      <c r="A6" s="157"/>
      <c r="K6" s="158"/>
    </row>
    <row r="7" spans="1:11" x14ac:dyDescent="0.2">
      <c r="A7" s="157"/>
      <c r="K7" s="158"/>
    </row>
    <row r="8" spans="1:11" x14ac:dyDescent="0.2">
      <c r="A8" s="157"/>
      <c r="K8" s="158"/>
    </row>
    <row r="9" spans="1:11" x14ac:dyDescent="0.2">
      <c r="A9" s="157"/>
      <c r="K9" s="158"/>
    </row>
    <row r="10" spans="1:11" x14ac:dyDescent="0.2">
      <c r="A10" s="157"/>
      <c r="K10" s="158"/>
    </row>
    <row r="11" spans="1:11" x14ac:dyDescent="0.2">
      <c r="A11" s="157"/>
      <c r="K11" s="158"/>
    </row>
    <row r="12" spans="1:11" x14ac:dyDescent="0.2">
      <c r="A12" s="157"/>
      <c r="K12" s="158"/>
    </row>
    <row r="13" spans="1:11" x14ac:dyDescent="0.2">
      <c r="A13" s="157"/>
      <c r="K13" s="158"/>
    </row>
    <row r="14" spans="1:11" x14ac:dyDescent="0.2">
      <c r="A14" s="157"/>
      <c r="K14" s="158"/>
    </row>
    <row r="15" spans="1:11" x14ac:dyDescent="0.2">
      <c r="A15" s="157"/>
      <c r="K15" s="158"/>
    </row>
    <row r="16" spans="1:11" x14ac:dyDescent="0.2">
      <c r="A16" s="157"/>
      <c r="K16" s="158"/>
    </row>
    <row r="17" spans="1:11" x14ac:dyDescent="0.2">
      <c r="A17" s="157"/>
      <c r="K17" s="158"/>
    </row>
    <row r="18" spans="1:11" x14ac:dyDescent="0.2">
      <c r="A18" s="157"/>
      <c r="K18" s="158"/>
    </row>
    <row r="19" spans="1:11" x14ac:dyDescent="0.2">
      <c r="A19" s="157"/>
      <c r="K19" s="158"/>
    </row>
    <row r="20" spans="1:11" x14ac:dyDescent="0.2">
      <c r="A20" s="157"/>
      <c r="K20" s="158"/>
    </row>
    <row r="21" spans="1:11" x14ac:dyDescent="0.2">
      <c r="A21" s="157"/>
      <c r="K21" s="158"/>
    </row>
    <row r="22" spans="1:11" x14ac:dyDescent="0.2">
      <c r="A22" s="157"/>
      <c r="K22" s="158"/>
    </row>
    <row r="23" spans="1:11" x14ac:dyDescent="0.2">
      <c r="A23" s="157"/>
      <c r="K23" s="158"/>
    </row>
    <row r="24" spans="1:11" x14ac:dyDescent="0.2">
      <c r="A24" s="157"/>
      <c r="K24" s="158"/>
    </row>
    <row r="25" spans="1:11" x14ac:dyDescent="0.2">
      <c r="A25" s="157"/>
      <c r="K25" s="158"/>
    </row>
    <row r="26" spans="1:11" x14ac:dyDescent="0.2">
      <c r="A26" s="157"/>
      <c r="K26" s="158"/>
    </row>
    <row r="27" spans="1:11" x14ac:dyDescent="0.2">
      <c r="A27" s="157"/>
      <c r="K27" s="158"/>
    </row>
    <row r="28" spans="1:11" x14ac:dyDescent="0.2">
      <c r="A28" s="157"/>
      <c r="K28" s="158"/>
    </row>
    <row r="29" spans="1:11" x14ac:dyDescent="0.2">
      <c r="A29" s="157"/>
      <c r="K29" s="158"/>
    </row>
    <row r="30" spans="1:11" x14ac:dyDescent="0.2">
      <c r="A30" s="157"/>
      <c r="K30" s="158"/>
    </row>
    <row r="31" spans="1:11" x14ac:dyDescent="0.2">
      <c r="A31" s="157"/>
      <c r="K31" s="158"/>
    </row>
    <row r="32" spans="1:11" x14ac:dyDescent="0.2">
      <c r="A32" s="157"/>
      <c r="K32" s="158"/>
    </row>
    <row r="33" spans="1:11" x14ac:dyDescent="0.2">
      <c r="A33" s="157"/>
      <c r="K33" s="158"/>
    </row>
    <row r="34" spans="1:11" x14ac:dyDescent="0.2">
      <c r="A34" s="157"/>
      <c r="K34" s="158"/>
    </row>
    <row r="35" spans="1:11" x14ac:dyDescent="0.2">
      <c r="A35" s="157"/>
      <c r="K35" s="158"/>
    </row>
    <row r="36" spans="1:11" x14ac:dyDescent="0.2">
      <c r="A36" s="157"/>
      <c r="K36" s="158"/>
    </row>
    <row r="37" spans="1:11" x14ac:dyDescent="0.2">
      <c r="A37" s="157"/>
      <c r="K37" s="158"/>
    </row>
    <row r="38" spans="1:11" x14ac:dyDescent="0.2">
      <c r="A38" s="157"/>
      <c r="K38" s="158"/>
    </row>
    <row r="39" spans="1:11" x14ac:dyDescent="0.2">
      <c r="A39" s="157"/>
      <c r="K39" s="158"/>
    </row>
    <row r="40" spans="1:11" x14ac:dyDescent="0.2">
      <c r="A40" s="157"/>
      <c r="K40" s="158"/>
    </row>
    <row r="41" spans="1:11" x14ac:dyDescent="0.2">
      <c r="A41" s="157"/>
      <c r="K41" s="158"/>
    </row>
    <row r="42" spans="1:11" x14ac:dyDescent="0.2">
      <c r="A42" s="157"/>
      <c r="K42" s="158"/>
    </row>
    <row r="43" spans="1:11" x14ac:dyDescent="0.2">
      <c r="A43" s="157"/>
      <c r="K43" s="158"/>
    </row>
    <row r="44" spans="1:11" x14ac:dyDescent="0.2">
      <c r="A44" s="157"/>
      <c r="K44" s="158"/>
    </row>
    <row r="45" spans="1:11" x14ac:dyDescent="0.2">
      <c r="A45" s="157"/>
      <c r="K45" s="158"/>
    </row>
    <row r="46" spans="1:11" x14ac:dyDescent="0.2">
      <c r="A46" s="157"/>
      <c r="K46" s="158"/>
    </row>
    <row r="47" spans="1:11" ht="17" thickBot="1" x14ac:dyDescent="0.2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baseColWidth="10" defaultColWidth="9" defaultRowHeight="16" x14ac:dyDescent="0.2"/>
  <cols>
    <col min="1" max="1" width="41.3984375" customWidth="1"/>
    <col min="2" max="2" width="12.59765625" customWidth="1"/>
    <col min="3" max="3" width="11.19921875" customWidth="1"/>
    <col min="4" max="4" width="10.3984375" bestFit="1" customWidth="1"/>
    <col min="5" max="5" width="12.3984375" bestFit="1" customWidth="1"/>
    <col min="12" max="12" width="11.59765625" customWidth="1"/>
    <col min="13" max="13" width="12.3984375" bestFit="1" customWidth="1"/>
  </cols>
  <sheetData>
    <row r="1" spans="1:19" x14ac:dyDescent="0.2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53" t="s">
        <v>114</v>
      </c>
      <c r="J1" s="853"/>
      <c r="K1" s="853"/>
      <c r="L1" s="853"/>
      <c r="M1" s="853"/>
      <c r="N1" s="137"/>
      <c r="O1" s="137"/>
      <c r="P1" s="137" t="s">
        <v>130</v>
      </c>
      <c r="Q1" s="137"/>
      <c r="R1" s="137"/>
      <c r="S1" s="137"/>
    </row>
    <row r="2" spans="1:19" x14ac:dyDescent="0.2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2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2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2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2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2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2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2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2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2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2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2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2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2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2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2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2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2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2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2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2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2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2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2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2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2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2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2.3984375" style="1" customWidth="1"/>
    <col min="5" max="7" width="11.59765625" style="1" customWidth="1"/>
    <col min="8" max="8" width="37" style="1" customWidth="1"/>
    <col min="9" max="9" width="14.3984375" style="1" customWidth="1"/>
    <col min="10" max="10" width="9.796875" style="1" customWidth="1"/>
    <col min="11" max="11" width="18.59765625" style="2" customWidth="1"/>
    <col min="12" max="12" width="4.19921875" style="2" customWidth="1"/>
    <col min="13" max="13" width="7.59765625" style="2" customWidth="1"/>
    <col min="14" max="14" width="6.3984375" style="2" customWidth="1"/>
    <col min="15" max="15" width="2.59765625" style="3" customWidth="1"/>
    <col min="16" max="16" width="10.3984375" style="1" customWidth="1"/>
    <col min="17" max="17" width="3.3984375" style="1" customWidth="1"/>
    <col min="18" max="18" width="7.3984375" style="1" customWidth="1"/>
    <col min="19" max="19" width="1.59765625" style="1" customWidth="1"/>
    <col min="20" max="20" width="6" style="1" customWidth="1"/>
    <col min="21" max="21" width="3.3984375" style="1" customWidth="1"/>
    <col min="22" max="22" width="6" style="1" customWidth="1"/>
    <col min="23" max="23" width="3.3984375" style="1" customWidth="1"/>
    <col min="24" max="24" width="6.59765625" style="1" customWidth="1"/>
    <col min="25" max="25" width="3.3984375" style="1" customWidth="1"/>
    <col min="26" max="26" width="4.59765625" style="1" customWidth="1"/>
    <col min="27" max="27" width="2.19921875" style="1" customWidth="1"/>
    <col min="28" max="28" width="9.19921875" style="1" customWidth="1"/>
    <col min="29" max="30" width="8.796875" style="1"/>
    <col min="31" max="31" width="17.796875" style="1" customWidth="1"/>
    <col min="32" max="16384" width="8.796875" style="1"/>
  </cols>
  <sheetData>
    <row r="1" spans="1:28" ht="15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35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8" thickTop="1" thickBot="1" x14ac:dyDescent="0.35">
      <c r="A3" s="75"/>
      <c r="B3" s="83"/>
      <c r="C3" s="75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76"/>
      <c r="AA3" s="75"/>
      <c r="AB3" s="75"/>
    </row>
    <row r="4" spans="1:28" ht="14.25" customHeight="1" thickTop="1" thickBot="1" x14ac:dyDescent="0.35">
      <c r="A4" s="75"/>
      <c r="B4" s="83"/>
      <c r="C4" s="75"/>
      <c r="D4" s="894"/>
      <c r="E4" s="894"/>
      <c r="F4" s="894"/>
      <c r="G4" s="894"/>
      <c r="H4" s="894"/>
      <c r="I4" s="894"/>
      <c r="J4" s="894"/>
      <c r="K4" s="894"/>
      <c r="L4" s="894"/>
      <c r="M4" s="894"/>
      <c r="N4" s="894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7" thickBot="1" x14ac:dyDescent="0.35">
      <c r="A5" s="75"/>
      <c r="B5" s="83"/>
      <c r="C5" s="84" t="s">
        <v>53</v>
      </c>
      <c r="D5" s="85"/>
      <c r="E5" s="895">
        <f>'Deck TakeOff'!$E$5</f>
        <v>0</v>
      </c>
      <c r="F5" s="878"/>
      <c r="G5" s="878"/>
      <c r="H5" s="896"/>
      <c r="I5" s="75" t="s">
        <v>52</v>
      </c>
      <c r="J5" s="877">
        <f>'Deck TakeOff'!$I$5</f>
        <v>0</v>
      </c>
      <c r="K5" s="877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7" thickBot="1" x14ac:dyDescent="0.35">
      <c r="A6" s="75"/>
      <c r="B6" s="83"/>
      <c r="C6" s="84" t="s">
        <v>48</v>
      </c>
      <c r="D6" s="86"/>
      <c r="E6" s="878" t="e">
        <f>'Deck TakeOff'!#REF!</f>
        <v>#REF!</v>
      </c>
      <c r="F6" s="878"/>
      <c r="G6" s="878"/>
      <c r="H6" s="878"/>
      <c r="I6" s="84" t="s">
        <v>51</v>
      </c>
      <c r="J6" s="879" t="e">
        <f>'Deck TakeOff'!#REF!</f>
        <v>#REF!</v>
      </c>
      <c r="K6" s="879"/>
      <c r="L6" s="880"/>
      <c r="M6" s="881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6" x14ac:dyDescent="0.3">
      <c r="A7" s="75"/>
      <c r="B7" s="83"/>
      <c r="C7" s="84" t="s">
        <v>54</v>
      </c>
      <c r="D7" s="86"/>
      <c r="E7" s="892">
        <f>'Deck TakeOff'!$E$6</f>
        <v>0</v>
      </c>
      <c r="F7" s="892"/>
      <c r="G7" s="892"/>
      <c r="H7" s="892"/>
      <c r="I7" s="84" t="s">
        <v>47</v>
      </c>
      <c r="J7" s="893">
        <f>'Deck TakeOff'!$I$6</f>
        <v>0</v>
      </c>
      <c r="K7" s="893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7" thickBot="1" x14ac:dyDescent="0.35">
      <c r="A8" s="75"/>
      <c r="B8" s="83"/>
      <c r="C8" s="84" t="s">
        <v>55</v>
      </c>
      <c r="D8" s="90"/>
      <c r="E8" s="888" t="e">
        <f>'Deck TakeOff'!#REF!</f>
        <v>#REF!</v>
      </c>
      <c r="F8" s="889"/>
      <c r="G8" s="889"/>
      <c r="H8" s="890"/>
      <c r="I8" s="891"/>
      <c r="J8" s="891"/>
      <c r="K8" s="891"/>
      <c r="L8" s="897"/>
      <c r="M8" s="897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3">
      <c r="A9" s="75"/>
      <c r="B9" s="83"/>
      <c r="C9" s="84"/>
      <c r="D9" s="75"/>
      <c r="E9" s="75"/>
      <c r="F9" s="75"/>
      <c r="G9" s="75"/>
      <c r="H9" s="75"/>
      <c r="I9" s="891"/>
      <c r="J9" s="891"/>
      <c r="K9" s="891"/>
      <c r="L9" s="897"/>
      <c r="M9" s="897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3">
      <c r="A10" s="75"/>
      <c r="B10" s="83"/>
      <c r="C10" s="885" t="s">
        <v>99</v>
      </c>
      <c r="D10" s="886"/>
      <c r="E10" s="886"/>
      <c r="F10" s="886"/>
      <c r="G10" s="886"/>
      <c r="H10" s="886"/>
      <c r="I10" s="886"/>
      <c r="J10" s="886"/>
      <c r="K10" s="886"/>
      <c r="L10" s="886"/>
      <c r="M10" s="886"/>
      <c r="N10" s="886"/>
      <c r="O10" s="886"/>
      <c r="P10" s="886"/>
      <c r="Q10" s="886"/>
      <c r="R10" s="886"/>
      <c r="S10" s="886"/>
      <c r="T10" s="886"/>
      <c r="U10" s="886"/>
      <c r="V10" s="886"/>
      <c r="W10" s="886"/>
      <c r="X10" s="886"/>
      <c r="Y10" s="886"/>
      <c r="Z10" s="91"/>
      <c r="AA10" s="75"/>
      <c r="AB10" s="75"/>
    </row>
    <row r="11" spans="1:28" ht="26" x14ac:dyDescent="0.3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6" x14ac:dyDescent="0.3">
      <c r="A12" s="75"/>
      <c r="B12" s="83"/>
      <c r="C12" s="75"/>
      <c r="D12" s="92"/>
      <c r="E12" s="898" t="s">
        <v>80</v>
      </c>
      <c r="F12" s="898"/>
      <c r="G12" s="898"/>
      <c r="H12" s="898"/>
      <c r="I12" s="898"/>
      <c r="J12" s="898"/>
      <c r="K12" s="898"/>
      <c r="L12" s="898"/>
      <c r="M12" s="898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6" x14ac:dyDescent="0.3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6" x14ac:dyDescent="0.3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99" t="s">
        <v>60</v>
      </c>
      <c r="M14" s="899"/>
      <c r="N14" s="899"/>
      <c r="O14" s="899"/>
      <c r="P14" s="899"/>
      <c r="Q14" s="899"/>
      <c r="R14" s="899"/>
      <c r="S14" s="899"/>
      <c r="T14" s="899"/>
      <c r="U14" s="899"/>
      <c r="V14" s="75"/>
      <c r="W14" s="75"/>
      <c r="X14" s="75"/>
      <c r="Y14" s="75"/>
      <c r="Z14" s="76"/>
      <c r="AA14" s="75"/>
      <c r="AB14" s="75"/>
    </row>
    <row r="15" spans="1:28" ht="26" x14ac:dyDescent="0.3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74" t="s">
        <v>118</v>
      </c>
      <c r="M15" s="874"/>
      <c r="N15" s="874"/>
      <c r="O15" s="874"/>
      <c r="P15" s="874"/>
      <c r="Q15" s="874"/>
      <c r="R15" s="874"/>
      <c r="S15" s="874"/>
      <c r="T15" s="874"/>
      <c r="U15" s="874"/>
      <c r="V15" s="874"/>
      <c r="W15" s="75"/>
      <c r="X15" s="75"/>
      <c r="Y15" s="75"/>
      <c r="Z15" s="76"/>
      <c r="AA15" s="75"/>
      <c r="AB15" s="75"/>
    </row>
    <row r="16" spans="1:28" ht="26" x14ac:dyDescent="0.3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61" t="e">
        <f>'UPGRADES TABLE'!$E$4</f>
        <v>#REF!</v>
      </c>
      <c r="J16" s="861"/>
      <c r="K16" s="135"/>
      <c r="L16" s="874" t="s">
        <v>85</v>
      </c>
      <c r="M16" s="874"/>
      <c r="N16" s="874"/>
      <c r="O16" s="874"/>
      <c r="P16" s="874"/>
      <c r="Q16" s="883" t="s">
        <v>81</v>
      </c>
      <c r="R16" s="883"/>
      <c r="S16" s="75"/>
      <c r="T16" s="884"/>
      <c r="U16" s="884"/>
      <c r="V16" s="884"/>
      <c r="W16" s="75"/>
      <c r="X16" s="75"/>
      <c r="Y16" s="75"/>
      <c r="Z16" s="76"/>
      <c r="AA16" s="75"/>
      <c r="AB16" s="75"/>
    </row>
    <row r="17" spans="1:39" ht="26" x14ac:dyDescent="0.3">
      <c r="A17" s="75"/>
      <c r="B17" s="83"/>
      <c r="C17" s="75"/>
      <c r="D17" s="1" t="s">
        <v>82</v>
      </c>
      <c r="E17" s="109"/>
      <c r="F17" s="901" t="s">
        <v>115</v>
      </c>
      <c r="G17" s="901"/>
      <c r="H17" s="901"/>
      <c r="I17" s="857">
        <f>VLOOKUP(F17,'UPGRADES TABLE'!K3:L4,2,FALSE)</f>
        <v>0</v>
      </c>
      <c r="J17" s="857"/>
      <c r="K17" s="77"/>
      <c r="L17" s="846" t="s">
        <v>82</v>
      </c>
      <c r="M17" s="846"/>
      <c r="N17" s="846"/>
      <c r="O17" s="133"/>
      <c r="P17" s="900" t="s">
        <v>117</v>
      </c>
      <c r="Q17" s="900"/>
      <c r="R17" s="900"/>
      <c r="S17" s="900"/>
      <c r="T17" s="900"/>
      <c r="U17" s="900"/>
      <c r="V17" s="868">
        <f>VLOOKUP(P17,'UPGRADES TABLE'!K25:L26,2,FALSE)</f>
        <v>0</v>
      </c>
      <c r="W17" s="868"/>
      <c r="X17" s="868"/>
      <c r="Y17" s="868"/>
      <c r="Z17" s="136"/>
      <c r="AA17" s="75"/>
      <c r="AB17" s="75"/>
    </row>
    <row r="18" spans="1:39" ht="23.25" customHeight="1" x14ac:dyDescent="0.3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6" x14ac:dyDescent="0.3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3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87"/>
      <c r="M20" s="887"/>
      <c r="N20" s="887"/>
      <c r="O20" s="887"/>
      <c r="P20" s="887"/>
      <c r="Q20" s="887"/>
      <c r="R20" s="887"/>
      <c r="S20" s="887"/>
      <c r="T20" s="887"/>
      <c r="U20" s="887"/>
      <c r="V20" s="887"/>
      <c r="W20" s="887"/>
      <c r="X20" s="887"/>
      <c r="Y20" s="887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35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7" thickBot="1" x14ac:dyDescent="0.35">
      <c r="A22" s="75"/>
      <c r="B22" s="83"/>
      <c r="C22" s="75"/>
      <c r="D22" s="37" t="s">
        <v>82</v>
      </c>
      <c r="E22" s="109"/>
      <c r="F22" s="902" t="s">
        <v>70</v>
      </c>
      <c r="G22" s="902"/>
      <c r="H22" s="902"/>
      <c r="I22" s="132" t="e">
        <f>VLOOKUP(F22,'UPGRADES TABLE'!K8:L9,2,FALSE)</f>
        <v>#REF!</v>
      </c>
      <c r="J22" s="130"/>
      <c r="K22" s="73"/>
      <c r="L22" s="73"/>
      <c r="M22" s="865"/>
      <c r="N22" s="866"/>
      <c r="O22" s="866"/>
      <c r="P22" s="866"/>
      <c r="Q22" s="866"/>
      <c r="R22" s="866"/>
      <c r="S22" s="866"/>
      <c r="T22" s="866"/>
      <c r="U22" s="866"/>
      <c r="V22" s="867"/>
      <c r="W22" s="869"/>
      <c r="X22" s="870"/>
      <c r="Y22" s="73"/>
      <c r="Z22" s="76"/>
      <c r="AA22" s="75"/>
      <c r="AB22" s="75"/>
    </row>
    <row r="23" spans="1:39" ht="26" x14ac:dyDescent="0.3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7" thickBot="1" x14ac:dyDescent="0.35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7" thickBot="1" x14ac:dyDescent="0.35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58"/>
      <c r="N25" s="859"/>
      <c r="O25" s="859"/>
      <c r="P25" s="859"/>
      <c r="Q25" s="859"/>
      <c r="R25" s="859"/>
      <c r="S25" s="859"/>
      <c r="T25" s="859"/>
      <c r="U25" s="859"/>
      <c r="V25" s="860"/>
      <c r="W25" s="869"/>
      <c r="X25" s="870"/>
      <c r="Y25" s="73"/>
      <c r="Z25" s="76"/>
      <c r="AA25" s="75"/>
      <c r="AB25" s="75"/>
      <c r="AE25"/>
      <c r="AF25" s="128"/>
    </row>
    <row r="26" spans="1:39" ht="27" thickBot="1" x14ac:dyDescent="0.35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58"/>
      <c r="N26" s="859"/>
      <c r="O26" s="859"/>
      <c r="P26" s="859"/>
      <c r="Q26" s="859"/>
      <c r="R26" s="859"/>
      <c r="S26" s="859"/>
      <c r="T26" s="859"/>
      <c r="U26" s="859"/>
      <c r="V26" s="860"/>
      <c r="W26" s="869"/>
      <c r="X26" s="870"/>
      <c r="Y26" s="73"/>
      <c r="Z26" s="76"/>
      <c r="AA26" s="75"/>
      <c r="AB26" s="75"/>
      <c r="AE26"/>
      <c r="AF26" s="129"/>
    </row>
    <row r="27" spans="1:39" ht="27" thickBot="1" x14ac:dyDescent="0.35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58"/>
      <c r="N27" s="859"/>
      <c r="O27" s="859"/>
      <c r="P27" s="859"/>
      <c r="Q27" s="859"/>
      <c r="R27" s="859"/>
      <c r="S27" s="859"/>
      <c r="T27" s="859"/>
      <c r="U27" s="859"/>
      <c r="V27" s="860"/>
      <c r="W27" s="869"/>
      <c r="X27" s="870"/>
      <c r="Y27" s="73"/>
      <c r="Z27" s="76"/>
      <c r="AA27" s="75"/>
      <c r="AB27" s="75"/>
    </row>
    <row r="28" spans="1:39" ht="27" thickBot="1" x14ac:dyDescent="0.35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61" t="e">
        <f>'UPGRADES TABLE'!E16</f>
        <v>#REF!</v>
      </c>
      <c r="J28" s="861"/>
      <c r="K28" s="97"/>
      <c r="L28" s="73"/>
      <c r="M28" s="858"/>
      <c r="N28" s="859"/>
      <c r="O28" s="859"/>
      <c r="P28" s="859"/>
      <c r="Q28" s="859"/>
      <c r="R28" s="859"/>
      <c r="S28" s="859"/>
      <c r="T28" s="859"/>
      <c r="U28" s="859"/>
      <c r="V28" s="860"/>
      <c r="W28" s="869"/>
      <c r="X28" s="870"/>
      <c r="Y28" s="73"/>
      <c r="Z28" s="76"/>
      <c r="AA28" s="75"/>
      <c r="AB28" s="75"/>
    </row>
    <row r="29" spans="1:39" ht="27" thickBot="1" x14ac:dyDescent="0.35">
      <c r="A29" s="75"/>
      <c r="B29" s="83"/>
      <c r="C29" s="75"/>
      <c r="D29" s="1" t="s">
        <v>82</v>
      </c>
      <c r="E29" s="109"/>
      <c r="F29" s="901" t="s">
        <v>78</v>
      </c>
      <c r="G29" s="901"/>
      <c r="H29" s="901"/>
      <c r="I29" s="857" t="e">
        <f>VLOOKUP(F29,'UPGRADES TABLE'!K13:L16,2,FALSE)</f>
        <v>#REF!</v>
      </c>
      <c r="J29" s="857"/>
      <c r="K29" s="97"/>
      <c r="L29" s="73"/>
      <c r="M29" s="858"/>
      <c r="N29" s="859"/>
      <c r="O29" s="859"/>
      <c r="P29" s="859"/>
      <c r="Q29" s="859"/>
      <c r="R29" s="859"/>
      <c r="S29" s="859"/>
      <c r="T29" s="859"/>
      <c r="U29" s="859"/>
      <c r="V29" s="860"/>
      <c r="W29" s="869"/>
      <c r="X29" s="870"/>
      <c r="Y29" s="73"/>
      <c r="Z29" s="76"/>
      <c r="AA29" s="75"/>
      <c r="AB29" s="75"/>
    </row>
    <row r="30" spans="1:39" ht="26" x14ac:dyDescent="0.3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7" thickBot="1" x14ac:dyDescent="0.35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7" thickBot="1" x14ac:dyDescent="0.35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58"/>
      <c r="N32" s="859"/>
      <c r="O32" s="859"/>
      <c r="P32" s="859"/>
      <c r="Q32" s="859"/>
      <c r="R32" s="859"/>
      <c r="S32" s="859"/>
      <c r="T32" s="859"/>
      <c r="U32" s="859"/>
      <c r="V32" s="860"/>
      <c r="W32" s="869"/>
      <c r="X32" s="870"/>
      <c r="Y32" s="73"/>
      <c r="Z32" s="76"/>
      <c r="AA32" s="75"/>
      <c r="AB32" s="75"/>
    </row>
    <row r="33" spans="1:28" ht="27" thickBot="1" x14ac:dyDescent="0.35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61" t="e">
        <f>'UPGRADES TABLE'!$E$21</f>
        <v>#REF!</v>
      </c>
      <c r="J33" s="861"/>
      <c r="K33" s="97"/>
      <c r="L33" s="73"/>
      <c r="M33" s="858"/>
      <c r="N33" s="859"/>
      <c r="O33" s="859"/>
      <c r="P33" s="859"/>
      <c r="Q33" s="859"/>
      <c r="R33" s="859"/>
      <c r="S33" s="859"/>
      <c r="T33" s="859"/>
      <c r="U33" s="859"/>
      <c r="V33" s="860"/>
      <c r="W33" s="869"/>
      <c r="X33" s="870"/>
      <c r="Y33" s="73"/>
      <c r="Z33" s="76"/>
      <c r="AA33" s="75"/>
      <c r="AB33" s="75"/>
    </row>
    <row r="34" spans="1:28" ht="27" thickBot="1" x14ac:dyDescent="0.35">
      <c r="A34" s="75"/>
      <c r="B34" s="83"/>
      <c r="C34" s="75"/>
      <c r="D34" s="1" t="s">
        <v>82</v>
      </c>
      <c r="E34" s="109"/>
      <c r="F34" s="901" t="s">
        <v>116</v>
      </c>
      <c r="G34" s="901"/>
      <c r="H34" s="901"/>
      <c r="I34" s="857">
        <f>VLOOKUP(F34,'UPGRADES TABLE'!K20:L21,2,FALSE)</f>
        <v>0</v>
      </c>
      <c r="J34" s="857"/>
      <c r="K34" s="97"/>
      <c r="L34" s="73"/>
      <c r="M34" s="858"/>
      <c r="N34" s="859"/>
      <c r="O34" s="859"/>
      <c r="P34" s="859"/>
      <c r="Q34" s="859"/>
      <c r="R34" s="859"/>
      <c r="S34" s="859"/>
      <c r="T34" s="859"/>
      <c r="U34" s="859"/>
      <c r="V34" s="860"/>
      <c r="W34" s="869"/>
      <c r="X34" s="870"/>
      <c r="Y34" s="73"/>
      <c r="Z34" s="76"/>
      <c r="AA34" s="75"/>
      <c r="AB34" s="75"/>
    </row>
    <row r="35" spans="1:28" ht="26" x14ac:dyDescent="0.3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6" x14ac:dyDescent="0.3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6" x14ac:dyDescent="0.3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6" x14ac:dyDescent="0.3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6" x14ac:dyDescent="0.3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6" x14ac:dyDescent="0.3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6" x14ac:dyDescent="0.3">
      <c r="A41" s="75"/>
      <c r="B41" s="83"/>
      <c r="C41" s="905"/>
      <c r="D41" s="905"/>
      <c r="E41" s="905"/>
      <c r="F41" s="905"/>
      <c r="G41" s="905"/>
      <c r="H41" s="905"/>
      <c r="I41" s="905"/>
      <c r="J41" s="905"/>
      <c r="K41" s="905"/>
      <c r="L41" s="905"/>
      <c r="M41" s="905"/>
      <c r="N41" s="905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30" thickBot="1" x14ac:dyDescent="0.35">
      <c r="A42" s="75"/>
      <c r="B42" s="83"/>
      <c r="C42" s="73"/>
      <c r="D42" s="98"/>
      <c r="E42" s="862" t="s">
        <v>86</v>
      </c>
      <c r="F42" s="862"/>
      <c r="G42" s="862"/>
      <c r="H42" s="862"/>
      <c r="I42" s="862"/>
      <c r="J42" s="862"/>
      <c r="K42" s="862"/>
      <c r="L42" s="862"/>
      <c r="M42" s="862"/>
      <c r="N42" s="862"/>
      <c r="O42" s="862"/>
      <c r="P42" s="862"/>
      <c r="Q42" s="862"/>
      <c r="R42" s="862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30" thickBot="1" x14ac:dyDescent="0.35">
      <c r="A43" s="75"/>
      <c r="B43" s="83"/>
      <c r="C43" s="73"/>
      <c r="D43" s="98"/>
      <c r="E43" s="906" t="s">
        <v>100</v>
      </c>
      <c r="F43" s="907"/>
      <c r="G43" s="907"/>
      <c r="H43" s="907"/>
      <c r="I43" s="907"/>
      <c r="J43" s="907"/>
      <c r="K43" s="907"/>
      <c r="L43" s="907"/>
      <c r="M43" s="907"/>
      <c r="N43" s="908" t="s">
        <v>56</v>
      </c>
      <c r="O43" s="909"/>
      <c r="P43" s="909"/>
      <c r="Q43" s="909"/>
      <c r="R43" s="909"/>
      <c r="S43" s="909"/>
      <c r="T43" s="909"/>
      <c r="U43" s="910"/>
      <c r="V43" s="98"/>
      <c r="W43" s="98"/>
      <c r="X43" s="98"/>
      <c r="Y43" s="75"/>
      <c r="Z43" s="76"/>
      <c r="AA43" s="75"/>
      <c r="AB43" s="75"/>
    </row>
    <row r="44" spans="1:28" ht="30" thickBot="1" x14ac:dyDescent="0.35">
      <c r="A44" s="75"/>
      <c r="B44" s="83"/>
      <c r="C44" s="73"/>
      <c r="D44" s="98"/>
      <c r="E44" s="903" t="s">
        <v>87</v>
      </c>
      <c r="F44" s="904"/>
      <c r="G44" s="904"/>
      <c r="H44" s="904"/>
      <c r="I44" s="904"/>
      <c r="J44" s="904"/>
      <c r="K44" s="904"/>
      <c r="L44" s="904"/>
      <c r="M44" s="904"/>
      <c r="N44" s="871" t="e">
        <f>#REF!</f>
        <v>#REF!</v>
      </c>
      <c r="O44" s="872"/>
      <c r="P44" s="872"/>
      <c r="Q44" s="872"/>
      <c r="R44" s="872"/>
      <c r="S44" s="872"/>
      <c r="T44" s="872"/>
      <c r="U44" s="873"/>
      <c r="V44" s="98"/>
      <c r="W44" s="98"/>
      <c r="X44" s="98"/>
      <c r="Y44" s="75"/>
      <c r="Z44" s="76"/>
      <c r="AA44" s="75"/>
      <c r="AB44" s="75"/>
    </row>
    <row r="45" spans="1:28" ht="30" thickBot="1" x14ac:dyDescent="0.4">
      <c r="A45" s="75"/>
      <c r="B45" s="83"/>
      <c r="C45" s="75"/>
      <c r="D45" s="98"/>
      <c r="E45" s="911" t="s">
        <v>88</v>
      </c>
      <c r="F45" s="911"/>
      <c r="G45" s="911"/>
      <c r="H45" s="911"/>
      <c r="I45" s="911"/>
      <c r="J45" s="911"/>
      <c r="K45" s="911"/>
      <c r="L45" s="911"/>
      <c r="M45" s="911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30" thickBot="1" x14ac:dyDescent="0.35">
      <c r="A46" s="75"/>
      <c r="B46" s="83"/>
      <c r="C46" s="75"/>
      <c r="D46" s="98"/>
      <c r="E46" s="119" t="s">
        <v>50</v>
      </c>
      <c r="F46" s="120"/>
      <c r="G46" s="120"/>
      <c r="H46" s="863" t="str">
        <f>F17</f>
        <v>Timberline HD® Arc Shingles (included)</v>
      </c>
      <c r="I46" s="863"/>
      <c r="J46" s="863"/>
      <c r="K46" s="863"/>
      <c r="L46" s="863"/>
      <c r="M46" s="864"/>
      <c r="N46" s="854">
        <f>I17</f>
        <v>0</v>
      </c>
      <c r="O46" s="855"/>
      <c r="P46" s="855"/>
      <c r="Q46" s="855"/>
      <c r="R46" s="855"/>
      <c r="S46" s="855"/>
      <c r="T46" s="855"/>
      <c r="U46" s="856"/>
      <c r="V46" s="98"/>
      <c r="W46" s="98"/>
      <c r="X46" s="98"/>
      <c r="Y46" s="75"/>
      <c r="Z46" s="76"/>
      <c r="AA46" s="75"/>
      <c r="AB46" s="75"/>
    </row>
    <row r="47" spans="1:28" ht="30" thickBot="1" x14ac:dyDescent="0.35">
      <c r="A47" s="75"/>
      <c r="B47" s="83"/>
      <c r="C47" s="75"/>
      <c r="D47" s="121"/>
      <c r="E47" s="119" t="s">
        <v>63</v>
      </c>
      <c r="F47" s="120"/>
      <c r="G47" s="120"/>
      <c r="H47" s="863" t="str">
        <f>F22</f>
        <v>STORM GUARD ICE&amp;WATER™</v>
      </c>
      <c r="I47" s="863"/>
      <c r="J47" s="863"/>
      <c r="K47" s="863"/>
      <c r="L47" s="863"/>
      <c r="M47" s="864"/>
      <c r="N47" s="854" t="e">
        <f>I22</f>
        <v>#REF!</v>
      </c>
      <c r="O47" s="855"/>
      <c r="P47" s="855"/>
      <c r="Q47" s="855"/>
      <c r="R47" s="855"/>
      <c r="S47" s="855"/>
      <c r="T47" s="855"/>
      <c r="U47" s="856"/>
      <c r="V47" s="98"/>
      <c r="W47" s="98"/>
      <c r="X47" s="98"/>
      <c r="Y47" s="75"/>
      <c r="Z47" s="76"/>
      <c r="AA47" s="75"/>
      <c r="AB47" s="75"/>
    </row>
    <row r="48" spans="1:28" ht="30" thickBot="1" x14ac:dyDescent="0.35">
      <c r="A48" s="75"/>
      <c r="B48" s="83"/>
      <c r="C48" s="75"/>
      <c r="D48" s="98"/>
      <c r="E48" s="119" t="s">
        <v>64</v>
      </c>
      <c r="F48" s="120"/>
      <c r="G48" s="120"/>
      <c r="H48" s="863" t="str">
        <f>F29</f>
        <v>TigerPaw™</v>
      </c>
      <c r="I48" s="863"/>
      <c r="J48" s="863"/>
      <c r="K48" s="863"/>
      <c r="L48" s="863"/>
      <c r="M48" s="864"/>
      <c r="N48" s="854" t="e">
        <f>I29</f>
        <v>#REF!</v>
      </c>
      <c r="O48" s="855"/>
      <c r="P48" s="855"/>
      <c r="Q48" s="855"/>
      <c r="R48" s="855"/>
      <c r="S48" s="855"/>
      <c r="T48" s="855"/>
      <c r="U48" s="856"/>
      <c r="V48" s="98"/>
      <c r="W48" s="98"/>
      <c r="X48" s="98"/>
      <c r="Y48" s="75"/>
      <c r="Z48" s="76"/>
      <c r="AA48" s="75"/>
      <c r="AB48" s="75"/>
    </row>
    <row r="49" spans="1:28" ht="30" thickBot="1" x14ac:dyDescent="0.35">
      <c r="A49" s="75"/>
      <c r="B49" s="83"/>
      <c r="C49" s="75"/>
      <c r="D49" s="98"/>
      <c r="E49" s="119" t="s">
        <v>59</v>
      </c>
      <c r="F49" s="120"/>
      <c r="G49" s="120"/>
      <c r="H49" s="863" t="str">
        <f>F34</f>
        <v>Cobra® Exhaust Vent (included)</v>
      </c>
      <c r="I49" s="863"/>
      <c r="J49" s="863"/>
      <c r="K49" s="863"/>
      <c r="L49" s="863"/>
      <c r="M49" s="864"/>
      <c r="N49" s="854">
        <f>I34</f>
        <v>0</v>
      </c>
      <c r="O49" s="855"/>
      <c r="P49" s="855"/>
      <c r="Q49" s="855"/>
      <c r="R49" s="855"/>
      <c r="S49" s="855"/>
      <c r="T49" s="855"/>
      <c r="U49" s="856"/>
      <c r="V49" s="98"/>
      <c r="W49" s="98"/>
      <c r="X49" s="98"/>
      <c r="Y49" s="75"/>
      <c r="Z49" s="76"/>
      <c r="AA49" s="75"/>
      <c r="AB49" s="75"/>
    </row>
    <row r="50" spans="1:28" ht="30" thickBot="1" x14ac:dyDescent="0.35">
      <c r="A50" s="75"/>
      <c r="B50" s="83"/>
      <c r="C50" s="75"/>
      <c r="D50" s="98"/>
      <c r="E50" s="119" t="s">
        <v>89</v>
      </c>
      <c r="F50" s="120"/>
      <c r="G50" s="120"/>
      <c r="H50" s="863" t="str">
        <f>P17</f>
        <v>System Plus (included)</v>
      </c>
      <c r="I50" s="863"/>
      <c r="J50" s="863"/>
      <c r="K50" s="863"/>
      <c r="L50" s="863"/>
      <c r="M50" s="864"/>
      <c r="N50" s="854">
        <f>V17</f>
        <v>0</v>
      </c>
      <c r="O50" s="855"/>
      <c r="P50" s="855"/>
      <c r="Q50" s="855"/>
      <c r="R50" s="855"/>
      <c r="S50" s="855"/>
      <c r="T50" s="855"/>
      <c r="U50" s="856"/>
      <c r="V50" s="98"/>
      <c r="W50" s="98"/>
      <c r="X50" s="98"/>
      <c r="Y50" s="75"/>
      <c r="Z50" s="76"/>
      <c r="AA50" s="75"/>
      <c r="AB50" s="75"/>
    </row>
    <row r="51" spans="1:28" ht="30" thickBot="1" x14ac:dyDescent="0.4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875" t="e">
        <f>N50+N49+N48+N47+N46</f>
        <v>#REF!</v>
      </c>
      <c r="O51" s="876"/>
      <c r="P51" s="876"/>
      <c r="Q51" s="876"/>
      <c r="R51" s="876"/>
      <c r="S51" s="876"/>
      <c r="T51" s="876"/>
      <c r="U51" s="876"/>
      <c r="V51" s="98"/>
      <c r="W51" s="98"/>
      <c r="X51" s="98"/>
      <c r="Y51" s="75"/>
      <c r="Z51" s="76"/>
      <c r="AA51" s="75"/>
      <c r="AB51" s="75"/>
    </row>
    <row r="52" spans="1:28" ht="30" thickBot="1" x14ac:dyDescent="0.35">
      <c r="A52" s="75"/>
      <c r="B52" s="83"/>
      <c r="C52" s="75"/>
      <c r="D52" s="98"/>
      <c r="E52" s="903" t="s">
        <v>101</v>
      </c>
      <c r="F52" s="904" t="s">
        <v>98</v>
      </c>
      <c r="G52" s="904"/>
      <c r="H52" s="904"/>
      <c r="I52" s="904"/>
      <c r="J52" s="904"/>
      <c r="K52" s="904"/>
      <c r="L52" s="904"/>
      <c r="M52" s="912"/>
      <c r="N52" s="871" t="e">
        <f>N50+N49+N48+N47+N46+N44</f>
        <v>#REF!</v>
      </c>
      <c r="O52" s="872"/>
      <c r="P52" s="872"/>
      <c r="Q52" s="872"/>
      <c r="R52" s="872"/>
      <c r="S52" s="872"/>
      <c r="T52" s="872"/>
      <c r="U52" s="873"/>
      <c r="V52" s="98"/>
      <c r="W52" s="98"/>
      <c r="X52" s="98"/>
      <c r="Y52" s="75"/>
      <c r="Z52" s="76"/>
      <c r="AA52" s="75"/>
      <c r="AB52" s="75"/>
    </row>
    <row r="53" spans="1:28" ht="26" x14ac:dyDescent="0.3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6" x14ac:dyDescent="0.3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6" x14ac:dyDescent="0.3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6" x14ac:dyDescent="0.3">
      <c r="A56" s="75"/>
      <c r="B56" s="83"/>
      <c r="C56" s="75"/>
      <c r="D56" s="874"/>
      <c r="E56" s="874"/>
      <c r="F56" s="874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6" x14ac:dyDescent="0.3">
      <c r="A57" s="75"/>
      <c r="B57" s="83"/>
      <c r="C57" s="75"/>
      <c r="D57" s="874"/>
      <c r="E57" s="874"/>
      <c r="F57" s="874"/>
      <c r="G57" s="874"/>
      <c r="H57" s="874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6" x14ac:dyDescent="0.3">
      <c r="A58" s="75"/>
      <c r="B58" s="83"/>
      <c r="C58" s="75"/>
      <c r="D58" s="874"/>
      <c r="E58" s="874"/>
      <c r="F58" s="874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6" x14ac:dyDescent="0.3">
      <c r="A59" s="75"/>
      <c r="B59" s="83"/>
      <c r="C59" s="75"/>
      <c r="D59" s="874"/>
      <c r="E59" s="874"/>
      <c r="F59" s="874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6" x14ac:dyDescent="0.3">
      <c r="A60" s="75"/>
      <c r="B60" s="83"/>
      <c r="C60" s="75"/>
      <c r="D60" s="874"/>
      <c r="E60" s="874"/>
      <c r="F60" s="874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3">
      <c r="A61" s="75"/>
      <c r="B61" s="83"/>
      <c r="C61" s="75"/>
      <c r="D61" s="874"/>
      <c r="E61" s="874"/>
      <c r="F61" s="874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3">
      <c r="A62" s="75"/>
      <c r="B62" s="83"/>
      <c r="C62" s="75"/>
      <c r="D62" s="874"/>
      <c r="E62" s="874"/>
      <c r="F62" s="874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35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6" x14ac:dyDescent="0.3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6" x14ac:dyDescent="0.3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6" x14ac:dyDescent="0.3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6" x14ac:dyDescent="0.3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6" x14ac:dyDescent="0.3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6" x14ac:dyDescent="0.3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6" x14ac:dyDescent="0.3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6" x14ac:dyDescent="0.3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6" x14ac:dyDescent="0.3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6" x14ac:dyDescent="0.3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6" x14ac:dyDescent="0.3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6" x14ac:dyDescent="0.3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6" x14ac:dyDescent="0.3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6" x14ac:dyDescent="0.3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6" x14ac:dyDescent="0.3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6" x14ac:dyDescent="0.3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6" x14ac:dyDescent="0.3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6" x14ac:dyDescent="0.3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6" x14ac:dyDescent="0.3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6" x14ac:dyDescent="0.3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6" x14ac:dyDescent="0.3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6" x14ac:dyDescent="0.3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6" x14ac:dyDescent="0.3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6" x14ac:dyDescent="0.3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6" x14ac:dyDescent="0.3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6" x14ac:dyDescent="0.3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7" thickBot="1" x14ac:dyDescent="0.35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6" x14ac:dyDescent="0.3">
      <c r="A91" s="75"/>
      <c r="B91" s="83"/>
      <c r="Z91" s="76"/>
      <c r="AA91" s="75"/>
      <c r="AB91" s="75"/>
    </row>
    <row r="92" spans="1:28" ht="26" x14ac:dyDescent="0.3">
      <c r="A92" s="75"/>
      <c r="B92" s="83"/>
      <c r="Z92" s="76"/>
      <c r="AA92" s="75"/>
      <c r="AB92" s="75"/>
    </row>
    <row r="93" spans="1:28" ht="26" x14ac:dyDescent="0.3">
      <c r="A93" s="75"/>
      <c r="B93" s="83"/>
      <c r="Z93" s="76"/>
      <c r="AA93" s="75"/>
      <c r="AB93" s="75"/>
    </row>
    <row r="94" spans="1:28" ht="26" x14ac:dyDescent="0.3">
      <c r="A94" s="75"/>
      <c r="B94" s="83"/>
      <c r="Z94" s="76"/>
      <c r="AA94" s="75"/>
      <c r="AB94" s="75"/>
    </row>
    <row r="95" spans="1:28" ht="26" x14ac:dyDescent="0.3">
      <c r="A95" s="75"/>
      <c r="B95" s="83"/>
      <c r="Z95" s="76"/>
      <c r="AA95" s="75"/>
      <c r="AB95" s="75"/>
    </row>
    <row r="96" spans="1:28" ht="10.5" customHeight="1" x14ac:dyDescent="0.3">
      <c r="A96" s="75"/>
      <c r="B96" s="83"/>
      <c r="Z96" s="76"/>
      <c r="AA96" s="75"/>
      <c r="AB96" s="75"/>
    </row>
    <row r="97" spans="1:28" ht="24" customHeight="1" x14ac:dyDescent="0.3">
      <c r="A97" s="75"/>
      <c r="B97" s="83"/>
      <c r="Z97" s="76"/>
      <c r="AA97" s="75"/>
      <c r="AB97" s="75"/>
    </row>
    <row r="98" spans="1:28" ht="11.25" customHeight="1" thickBot="1" x14ac:dyDescent="0.35">
      <c r="A98" s="75"/>
      <c r="B98" s="105"/>
      <c r="Z98" s="108"/>
      <c r="AA98" s="75"/>
      <c r="AB98" s="75"/>
    </row>
    <row r="99" spans="1:28" ht="12" customHeight="1" x14ac:dyDescent="0.3"/>
    <row r="100" spans="1:28" ht="25" customHeight="1" x14ac:dyDescent="0.3"/>
    <row r="101" spans="1:28" ht="25" customHeight="1" x14ac:dyDescent="0.3"/>
    <row r="102" spans="1:28" ht="25" customHeight="1" x14ac:dyDescent="0.3"/>
    <row r="103" spans="1:28" ht="25" customHeight="1" x14ac:dyDescent="0.3"/>
    <row r="104" spans="1:28" ht="25" customHeight="1" x14ac:dyDescent="0.3"/>
    <row r="105" spans="1:28" ht="25" customHeight="1" x14ac:dyDescent="0.3"/>
    <row r="106" spans="1:28" ht="25" customHeight="1" x14ac:dyDescent="0.3"/>
    <row r="107" spans="1:28" ht="25" customHeight="1" x14ac:dyDescent="0.3"/>
    <row r="108" spans="1:28" ht="25" customHeight="1" x14ac:dyDescent="0.3"/>
    <row r="109" spans="1:28" ht="25" customHeight="1" x14ac:dyDescent="0.3"/>
    <row r="110" spans="1:28" ht="25" customHeight="1" x14ac:dyDescent="0.3"/>
    <row r="111" spans="1:28" ht="25" customHeight="1" x14ac:dyDescent="0.3"/>
    <row r="112" spans="1:28" ht="25" customHeight="1" x14ac:dyDescent="0.3"/>
    <row r="113" ht="25" customHeight="1" x14ac:dyDescent="0.3"/>
    <row r="114" ht="25" customHeight="1" x14ac:dyDescent="0.3"/>
    <row r="115" ht="25" customHeight="1" x14ac:dyDescent="0.3"/>
    <row r="116" ht="25" customHeight="1" x14ac:dyDescent="0.3"/>
  </sheetData>
  <mergeCells count="82"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  <mergeCell ref="L8:M9"/>
    <mergeCell ref="E12:M12"/>
    <mergeCell ref="L14:U14"/>
    <mergeCell ref="L15:V15"/>
    <mergeCell ref="L17:N17"/>
    <mergeCell ref="P17:U17"/>
    <mergeCell ref="I16:J16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J5:K5"/>
    <mergeCell ref="E6:H6"/>
    <mergeCell ref="J6:K6"/>
    <mergeCell ref="L6:M6"/>
    <mergeCell ref="D3:N3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M22:V22"/>
    <mergeCell ref="V17:Y17"/>
    <mergeCell ref="W27:X27"/>
    <mergeCell ref="W28:X28"/>
    <mergeCell ref="W22:X22"/>
    <mergeCell ref="N48:U48"/>
    <mergeCell ref="I29:J29"/>
    <mergeCell ref="I34:J34"/>
    <mergeCell ref="M33:V33"/>
    <mergeCell ref="I28:J28"/>
    <mergeCell ref="E42:R42"/>
    <mergeCell ref="I33:J33"/>
    <mergeCell ref="H47:M47"/>
  </mergeCells>
  <printOptions horizontalCentered="1" verticalCentered="1"/>
  <pageMargins left="0" right="0" top="0" bottom="0" header="0" footer="0"/>
  <pageSetup scale="52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37" customWidth="1"/>
    <col min="4" max="4" width="10.19921875" style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customWidth="1"/>
    <col min="12" max="12" width="14.59765625" style="2" customWidth="1"/>
    <col min="13" max="13" width="2.59765625" style="2" customWidth="1"/>
    <col min="14" max="14" width="2.19921875" style="3" customWidth="1"/>
    <col min="15" max="15" width="2.3984375" style="1" customWidth="1"/>
    <col min="16" max="18" width="8.796875" style="1"/>
    <col min="19" max="19" width="15.19921875" style="1" customWidth="1"/>
    <col min="20" max="16384" width="8.796875" style="1"/>
  </cols>
  <sheetData>
    <row r="1" spans="2:14" ht="9.75" customHeight="1" thickBot="1" x14ac:dyDescent="0.35"/>
    <row r="2" spans="2:14" ht="25" thickBot="1" x14ac:dyDescent="0.3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6" thickTop="1" thickBot="1" x14ac:dyDescent="0.35">
      <c r="B3" s="8"/>
      <c r="C3" s="1"/>
      <c r="D3" s="913"/>
      <c r="E3" s="913"/>
      <c r="F3" s="913"/>
      <c r="G3" s="913"/>
      <c r="H3" s="913"/>
      <c r="I3" s="913"/>
      <c r="J3" s="913"/>
      <c r="K3" s="913"/>
      <c r="L3" s="913"/>
      <c r="M3" s="913"/>
      <c r="N3" s="9"/>
    </row>
    <row r="4" spans="2:14" ht="14.25" customHeight="1" thickTop="1" thickBot="1" x14ac:dyDescent="0.35">
      <c r="B4" s="8"/>
      <c r="C4" s="1"/>
      <c r="D4" s="914"/>
      <c r="E4" s="914"/>
      <c r="F4" s="914"/>
      <c r="G4" s="914"/>
      <c r="H4" s="914"/>
      <c r="I4" s="914"/>
      <c r="J4" s="914"/>
      <c r="K4" s="914"/>
      <c r="L4" s="914"/>
      <c r="M4" s="914"/>
      <c r="N4" s="9"/>
    </row>
    <row r="5" spans="2:14" ht="25" thickBot="1" x14ac:dyDescent="0.35">
      <c r="B5" s="8"/>
      <c r="C5" s="10" t="s">
        <v>53</v>
      </c>
      <c r="E5" s="915"/>
      <c r="F5" s="916"/>
      <c r="G5" s="917"/>
      <c r="H5" s="1" t="s">
        <v>52</v>
      </c>
      <c r="I5" s="918"/>
      <c r="J5" s="918"/>
      <c r="N5" s="9"/>
    </row>
    <row r="6" spans="2:14" ht="25" thickBot="1" x14ac:dyDescent="0.35">
      <c r="B6" s="8"/>
      <c r="C6" s="11" t="s">
        <v>48</v>
      </c>
      <c r="D6" s="12"/>
      <c r="E6" s="916"/>
      <c r="F6" s="916"/>
      <c r="G6" s="916"/>
      <c r="H6" s="11" t="s">
        <v>51</v>
      </c>
      <c r="I6" s="916"/>
      <c r="J6" s="916"/>
      <c r="K6" s="919"/>
      <c r="L6" s="920"/>
      <c r="M6" s="13"/>
      <c r="N6" s="9"/>
    </row>
    <row r="7" spans="2:14" ht="25" thickBot="1" x14ac:dyDescent="0.35">
      <c r="B7" s="8"/>
      <c r="C7" s="11" t="s">
        <v>54</v>
      </c>
      <c r="D7" s="12"/>
      <c r="E7" s="921"/>
      <c r="F7" s="921"/>
      <c r="G7" s="921"/>
      <c r="H7" s="11" t="s">
        <v>47</v>
      </c>
      <c r="I7" s="921"/>
      <c r="J7" s="921"/>
      <c r="K7" s="49"/>
      <c r="L7" s="50"/>
      <c r="M7" s="13"/>
      <c r="N7" s="9"/>
    </row>
    <row r="8" spans="2:14" ht="25" thickBot="1" x14ac:dyDescent="0.35">
      <c r="B8" s="8"/>
      <c r="C8" s="11" t="s">
        <v>55</v>
      </c>
      <c r="D8" s="59"/>
      <c r="E8" s="922"/>
      <c r="F8" s="923"/>
      <c r="G8" s="924"/>
      <c r="H8" s="67"/>
      <c r="I8" s="67"/>
      <c r="J8" s="67"/>
      <c r="K8" s="68"/>
      <c r="L8" s="68"/>
      <c r="N8" s="9"/>
    </row>
    <row r="9" spans="2:14" x14ac:dyDescent="0.3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3">
      <c r="B10" s="8"/>
      <c r="C10" s="925" t="s">
        <v>9</v>
      </c>
      <c r="D10" s="926"/>
      <c r="E10" s="926"/>
      <c r="F10" s="926"/>
      <c r="G10" s="926"/>
      <c r="H10" s="926"/>
      <c r="I10" s="926"/>
      <c r="J10" s="926"/>
      <c r="K10" s="926"/>
      <c r="L10" s="926"/>
      <c r="M10" s="927"/>
      <c r="N10" s="9"/>
    </row>
    <row r="11" spans="2:14" ht="50" x14ac:dyDescent="0.3">
      <c r="B11" s="8"/>
      <c r="C11" s="39" t="s">
        <v>2</v>
      </c>
      <c r="D11" s="928" t="s">
        <v>0</v>
      </c>
      <c r="E11" s="928"/>
      <c r="F11" s="928"/>
      <c r="G11" s="928"/>
      <c r="H11" s="929" t="s">
        <v>16</v>
      </c>
      <c r="I11" s="930"/>
      <c r="J11" s="931"/>
      <c r="K11" s="14" t="s">
        <v>12</v>
      </c>
      <c r="L11" s="928" t="s">
        <v>11</v>
      </c>
      <c r="M11" s="928"/>
      <c r="N11" s="9"/>
    </row>
    <row r="12" spans="2:14" x14ac:dyDescent="0.3">
      <c r="B12" s="8"/>
      <c r="C12" s="40">
        <v>1</v>
      </c>
      <c r="D12" s="33" t="s">
        <v>46</v>
      </c>
      <c r="E12" s="34"/>
      <c r="F12" s="34"/>
      <c r="G12" s="35"/>
      <c r="H12" s="932"/>
      <c r="I12" s="933"/>
      <c r="J12" s="934"/>
      <c r="K12" s="15">
        <v>22.5</v>
      </c>
      <c r="L12" s="686">
        <f t="shared" ref="L12:L40" si="0">C12*K12</f>
        <v>22.5</v>
      </c>
      <c r="M12" s="686"/>
      <c r="N12" s="9"/>
    </row>
    <row r="13" spans="2:14" x14ac:dyDescent="0.3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3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3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3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3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3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3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3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3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3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3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3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3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3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3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3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3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3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3">
      <c r="B31" s="8"/>
      <c r="C31" s="40">
        <v>1</v>
      </c>
      <c r="D31" s="54" t="s">
        <v>27</v>
      </c>
      <c r="E31" s="55"/>
      <c r="F31" s="55"/>
      <c r="G31" s="56"/>
      <c r="H31" s="932"/>
      <c r="I31" s="933"/>
      <c r="J31" s="934"/>
      <c r="K31" s="15">
        <v>6</v>
      </c>
      <c r="L31" s="686">
        <f t="shared" si="0"/>
        <v>6</v>
      </c>
      <c r="M31" s="686"/>
      <c r="N31" s="9"/>
    </row>
    <row r="32" spans="2:19" x14ac:dyDescent="0.3">
      <c r="B32" s="8"/>
      <c r="C32" s="40">
        <v>1</v>
      </c>
      <c r="D32" s="54" t="s">
        <v>18</v>
      </c>
      <c r="E32" s="55"/>
      <c r="F32" s="55"/>
      <c r="G32" s="56"/>
      <c r="H32" s="932"/>
      <c r="I32" s="933"/>
      <c r="J32" s="934"/>
      <c r="K32" s="15">
        <v>104.36</v>
      </c>
      <c r="L32" s="686">
        <f t="shared" si="0"/>
        <v>104.36</v>
      </c>
      <c r="M32" s="686"/>
      <c r="N32" s="9"/>
    </row>
    <row r="33" spans="2:14" x14ac:dyDescent="0.3">
      <c r="B33" s="8"/>
      <c r="C33" s="40">
        <v>1</v>
      </c>
      <c r="D33" s="54" t="s">
        <v>26</v>
      </c>
      <c r="E33" s="55"/>
      <c r="F33" s="55"/>
      <c r="G33" s="56"/>
      <c r="H33" s="932"/>
      <c r="I33" s="933"/>
      <c r="J33" s="934"/>
      <c r="K33" s="15">
        <v>163</v>
      </c>
      <c r="L33" s="686">
        <f t="shared" si="0"/>
        <v>163</v>
      </c>
      <c r="M33" s="686"/>
      <c r="N33" s="9"/>
    </row>
    <row r="34" spans="2:14" x14ac:dyDescent="0.3">
      <c r="B34" s="8"/>
      <c r="C34" s="40">
        <v>1</v>
      </c>
      <c r="D34" s="54" t="s">
        <v>25</v>
      </c>
      <c r="E34" s="55"/>
      <c r="F34" s="55"/>
      <c r="G34" s="56"/>
      <c r="H34" s="932"/>
      <c r="I34" s="933"/>
      <c r="J34" s="934"/>
      <c r="K34" s="15">
        <v>192.51</v>
      </c>
      <c r="L34" s="686">
        <f t="shared" si="0"/>
        <v>192.51</v>
      </c>
      <c r="M34" s="686"/>
      <c r="N34" s="9"/>
    </row>
    <row r="35" spans="2:14" x14ac:dyDescent="0.3">
      <c r="B35" s="8"/>
      <c r="C35" s="40">
        <v>1</v>
      </c>
      <c r="D35" s="54" t="s">
        <v>24</v>
      </c>
      <c r="E35" s="55"/>
      <c r="F35" s="55"/>
      <c r="G35" s="56"/>
      <c r="H35" s="932"/>
      <c r="I35" s="933"/>
      <c r="J35" s="934"/>
      <c r="K35" s="15">
        <v>7</v>
      </c>
      <c r="L35" s="686">
        <f t="shared" si="0"/>
        <v>7</v>
      </c>
      <c r="M35" s="686"/>
      <c r="N35" s="9"/>
    </row>
    <row r="36" spans="2:14" x14ac:dyDescent="0.3">
      <c r="B36" s="8"/>
      <c r="C36" s="40">
        <v>1</v>
      </c>
      <c r="D36" s="54" t="s">
        <v>23</v>
      </c>
      <c r="E36" s="55"/>
      <c r="F36" s="55"/>
      <c r="G36" s="56"/>
      <c r="H36" s="932"/>
      <c r="I36" s="933"/>
      <c r="J36" s="934"/>
      <c r="K36" s="15">
        <v>3</v>
      </c>
      <c r="L36" s="686">
        <f t="shared" si="0"/>
        <v>3</v>
      </c>
      <c r="M36" s="686"/>
      <c r="N36" s="9"/>
    </row>
    <row r="37" spans="2:14" x14ac:dyDescent="0.3">
      <c r="B37" s="8"/>
      <c r="C37" s="40">
        <v>1</v>
      </c>
      <c r="D37" s="54" t="s">
        <v>22</v>
      </c>
      <c r="E37" s="55"/>
      <c r="F37" s="55"/>
      <c r="G37" s="56"/>
      <c r="H37" s="932"/>
      <c r="I37" s="933"/>
      <c r="J37" s="934"/>
      <c r="K37" s="15">
        <v>84</v>
      </c>
      <c r="L37" s="686">
        <f t="shared" si="0"/>
        <v>84</v>
      </c>
      <c r="M37" s="686"/>
      <c r="N37" s="9"/>
    </row>
    <row r="38" spans="2:14" x14ac:dyDescent="0.3">
      <c r="B38" s="8"/>
      <c r="C38" s="40">
        <v>1</v>
      </c>
      <c r="D38" s="54" t="s">
        <v>21</v>
      </c>
      <c r="E38" s="55"/>
      <c r="F38" s="55"/>
      <c r="G38" s="56"/>
      <c r="H38" s="932"/>
      <c r="I38" s="933"/>
      <c r="J38" s="934"/>
      <c r="K38" s="15">
        <v>6.57</v>
      </c>
      <c r="L38" s="686">
        <f t="shared" si="0"/>
        <v>6.57</v>
      </c>
      <c r="M38" s="686"/>
      <c r="N38" s="9"/>
    </row>
    <row r="39" spans="2:14" x14ac:dyDescent="0.3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86">
        <f t="shared" si="0"/>
        <v>4</v>
      </c>
      <c r="M39" s="686"/>
      <c r="N39" s="9"/>
    </row>
    <row r="40" spans="2:14" x14ac:dyDescent="0.3">
      <c r="B40" s="8"/>
      <c r="C40" s="40">
        <v>1</v>
      </c>
      <c r="D40" s="54" t="s">
        <v>19</v>
      </c>
      <c r="E40" s="55"/>
      <c r="F40" s="55"/>
      <c r="G40" s="56"/>
      <c r="H40" s="932"/>
      <c r="I40" s="933"/>
      <c r="J40" s="934"/>
      <c r="K40" s="15">
        <v>9</v>
      </c>
      <c r="L40" s="686">
        <f t="shared" si="0"/>
        <v>9</v>
      </c>
      <c r="M40" s="686"/>
      <c r="N40" s="16">
        <f>SUM(L12:M40)*6.5%</f>
        <v>118.34549999999997</v>
      </c>
    </row>
    <row r="41" spans="2:14" x14ac:dyDescent="0.3">
      <c r="B41" s="8"/>
      <c r="C41" s="40">
        <v>1</v>
      </c>
      <c r="D41" s="935" t="s">
        <v>10</v>
      </c>
      <c r="E41" s="936"/>
      <c r="F41" s="936"/>
      <c r="G41" s="937"/>
      <c r="H41" s="938"/>
      <c r="I41" s="939"/>
      <c r="J41" s="940"/>
      <c r="K41" s="15"/>
      <c r="L41" s="686">
        <f>N40</f>
        <v>118.34549999999997</v>
      </c>
      <c r="M41" s="686"/>
      <c r="N41" s="9"/>
    </row>
    <row r="42" spans="2:14" x14ac:dyDescent="0.3">
      <c r="B42" s="8"/>
      <c r="C42" s="40">
        <v>1</v>
      </c>
      <c r="D42" s="935" t="s">
        <v>1</v>
      </c>
      <c r="E42" s="936"/>
      <c r="F42" s="936"/>
      <c r="G42" s="937"/>
      <c r="H42" s="938"/>
      <c r="I42" s="939"/>
      <c r="J42" s="940"/>
      <c r="K42" s="15"/>
      <c r="L42" s="686">
        <f>SUM(L12:M41)</f>
        <v>1939.0454999999995</v>
      </c>
      <c r="M42" s="686"/>
      <c r="N42" s="9"/>
    </row>
    <row r="43" spans="2:14" ht="12.75" customHeight="1" x14ac:dyDescent="0.3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3">
      <c r="B44" s="8"/>
      <c r="C44" s="925" t="s">
        <v>8</v>
      </c>
      <c r="D44" s="926"/>
      <c r="E44" s="926"/>
      <c r="F44" s="926"/>
      <c r="G44" s="926"/>
      <c r="H44" s="926"/>
      <c r="I44" s="926"/>
      <c r="J44" s="926"/>
      <c r="K44" s="926"/>
      <c r="L44" s="926"/>
      <c r="M44" s="927"/>
      <c r="N44" s="9"/>
    </row>
    <row r="45" spans="2:14" ht="50" x14ac:dyDescent="0.3">
      <c r="B45" s="8"/>
      <c r="C45" s="39" t="s">
        <v>2</v>
      </c>
      <c r="D45" s="928" t="s">
        <v>0</v>
      </c>
      <c r="E45" s="928"/>
      <c r="F45" s="928"/>
      <c r="G45" s="928"/>
      <c r="H45" s="929" t="s">
        <v>16</v>
      </c>
      <c r="I45" s="930"/>
      <c r="J45" s="931"/>
      <c r="K45" s="14" t="s">
        <v>12</v>
      </c>
      <c r="L45" s="928" t="s">
        <v>11</v>
      </c>
      <c r="M45" s="928"/>
      <c r="N45" s="9"/>
    </row>
    <row r="46" spans="2:14" x14ac:dyDescent="0.3">
      <c r="B46" s="8"/>
      <c r="C46" s="40"/>
      <c r="D46" s="706"/>
      <c r="E46" s="707"/>
      <c r="F46" s="707"/>
      <c r="G46" s="708"/>
      <c r="H46" s="932"/>
      <c r="I46" s="933"/>
      <c r="J46" s="934"/>
      <c r="K46" s="15"/>
      <c r="L46" s="686"/>
      <c r="M46" s="686"/>
      <c r="N46" s="9"/>
    </row>
    <row r="47" spans="2:14" x14ac:dyDescent="0.3">
      <c r="B47" s="8"/>
      <c r="C47" s="40"/>
      <c r="D47" s="706"/>
      <c r="E47" s="707"/>
      <c r="F47" s="707"/>
      <c r="G47" s="708"/>
      <c r="H47" s="932"/>
      <c r="I47" s="933"/>
      <c r="J47" s="934"/>
      <c r="K47" s="15"/>
      <c r="L47" s="686"/>
      <c r="M47" s="686"/>
      <c r="N47" s="9"/>
    </row>
    <row r="48" spans="2:14" x14ac:dyDescent="0.3">
      <c r="B48" s="8"/>
      <c r="C48" s="40"/>
      <c r="D48" s="706"/>
      <c r="E48" s="707"/>
      <c r="F48" s="707"/>
      <c r="G48" s="708"/>
      <c r="H48" s="932"/>
      <c r="I48" s="933"/>
      <c r="J48" s="934"/>
      <c r="K48" s="15"/>
      <c r="L48" s="686">
        <f>C48*K48</f>
        <v>0</v>
      </c>
      <c r="M48" s="686"/>
      <c r="N48" s="9"/>
    </row>
    <row r="49" spans="2:14" x14ac:dyDescent="0.3">
      <c r="B49" s="8"/>
      <c r="C49" s="40"/>
      <c r="D49" s="706"/>
      <c r="E49" s="707"/>
      <c r="F49" s="707"/>
      <c r="G49" s="708"/>
      <c r="H49" s="932"/>
      <c r="I49" s="933"/>
      <c r="J49" s="934"/>
      <c r="K49" s="15"/>
      <c r="L49" s="668">
        <f>C49*K49</f>
        <v>0</v>
      </c>
      <c r="M49" s="669"/>
      <c r="N49" s="16">
        <f>SUM(L46:M49)*6.5%</f>
        <v>0</v>
      </c>
    </row>
    <row r="50" spans="2:14" x14ac:dyDescent="0.3">
      <c r="B50" s="8"/>
      <c r="C50" s="40"/>
      <c r="D50" s="935" t="s">
        <v>10</v>
      </c>
      <c r="E50" s="936"/>
      <c r="F50" s="936"/>
      <c r="G50" s="937"/>
      <c r="H50" s="938"/>
      <c r="I50" s="939"/>
      <c r="J50" s="940"/>
      <c r="K50" s="15"/>
      <c r="L50" s="686">
        <f>N49</f>
        <v>0</v>
      </c>
      <c r="M50" s="686"/>
      <c r="N50" s="9"/>
    </row>
    <row r="51" spans="2:14" x14ac:dyDescent="0.3">
      <c r="B51" s="8"/>
      <c r="C51" s="40"/>
      <c r="D51" s="935" t="s">
        <v>1</v>
      </c>
      <c r="E51" s="936"/>
      <c r="F51" s="936"/>
      <c r="G51" s="937"/>
      <c r="H51" s="938"/>
      <c r="I51" s="939"/>
      <c r="J51" s="940"/>
      <c r="K51" s="15"/>
      <c r="L51" s="686">
        <f>SUM(L46:M50)</f>
        <v>0</v>
      </c>
      <c r="M51" s="686"/>
      <c r="N51" s="9"/>
    </row>
    <row r="52" spans="2:14" ht="7.5" customHeight="1" x14ac:dyDescent="0.3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3">
      <c r="B53" s="8"/>
      <c r="C53" s="925" t="s">
        <v>14</v>
      </c>
      <c r="D53" s="926"/>
      <c r="E53" s="926"/>
      <c r="F53" s="926"/>
      <c r="G53" s="926"/>
      <c r="H53" s="926"/>
      <c r="I53" s="926"/>
      <c r="J53" s="926"/>
      <c r="K53" s="926"/>
      <c r="L53" s="926"/>
      <c r="M53" s="927"/>
      <c r="N53" s="9"/>
    </row>
    <row r="54" spans="2:14" ht="50" x14ac:dyDescent="0.3">
      <c r="B54" s="8"/>
      <c r="C54" s="39" t="s">
        <v>2</v>
      </c>
      <c r="D54" s="928" t="s">
        <v>0</v>
      </c>
      <c r="E54" s="928"/>
      <c r="F54" s="928"/>
      <c r="G54" s="928"/>
      <c r="H54" s="929" t="s">
        <v>16</v>
      </c>
      <c r="I54" s="930"/>
      <c r="J54" s="931"/>
      <c r="K54" s="14" t="s">
        <v>12</v>
      </c>
      <c r="L54" s="928" t="s">
        <v>11</v>
      </c>
      <c r="M54" s="928"/>
      <c r="N54" s="9"/>
    </row>
    <row r="55" spans="2:14" x14ac:dyDescent="0.3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41"/>
      <c r="M55" s="941"/>
      <c r="N55" s="9"/>
    </row>
    <row r="56" spans="2:14" x14ac:dyDescent="0.3">
      <c r="B56" s="8"/>
      <c r="C56" s="40"/>
      <c r="D56" s="54" t="s">
        <v>5</v>
      </c>
      <c r="E56" s="55"/>
      <c r="F56" s="55"/>
      <c r="G56" s="56"/>
      <c r="H56" s="932"/>
      <c r="I56" s="933"/>
      <c r="J56" s="934"/>
      <c r="K56" s="23"/>
      <c r="L56" s="941"/>
      <c r="M56" s="941"/>
      <c r="N56" s="9"/>
    </row>
    <row r="57" spans="2:14" x14ac:dyDescent="0.3">
      <c r="B57" s="8"/>
      <c r="C57" s="40"/>
      <c r="D57" s="54" t="s">
        <v>7</v>
      </c>
      <c r="E57" s="55"/>
      <c r="F57" s="55"/>
      <c r="G57" s="56"/>
      <c r="H57" s="932"/>
      <c r="I57" s="933"/>
      <c r="J57" s="934"/>
      <c r="K57" s="48"/>
      <c r="L57" s="941"/>
      <c r="M57" s="941"/>
      <c r="N57" s="9"/>
    </row>
    <row r="58" spans="2:14" x14ac:dyDescent="0.3">
      <c r="B58" s="8"/>
      <c r="C58" s="40"/>
      <c r="D58" s="54" t="s">
        <v>6</v>
      </c>
      <c r="E58" s="55"/>
      <c r="F58" s="55"/>
      <c r="G58" s="56"/>
      <c r="H58" s="932"/>
      <c r="I58" s="933"/>
      <c r="J58" s="934"/>
      <c r="K58" s="48"/>
      <c r="L58" s="941"/>
      <c r="M58" s="941"/>
      <c r="N58" s="9"/>
    </row>
    <row r="59" spans="2:14" x14ac:dyDescent="0.3">
      <c r="B59" s="8"/>
      <c r="C59" s="40"/>
      <c r="D59" s="54" t="s">
        <v>4</v>
      </c>
      <c r="E59" s="55"/>
      <c r="F59" s="55"/>
      <c r="G59" s="56"/>
      <c r="H59" s="932">
        <v>0.01</v>
      </c>
      <c r="I59" s="933"/>
      <c r="J59" s="934"/>
      <c r="K59" s="48"/>
      <c r="L59" s="941">
        <v>777</v>
      </c>
      <c r="M59" s="941"/>
      <c r="N59" s="9"/>
    </row>
    <row r="60" spans="2:14" x14ac:dyDescent="0.3">
      <c r="B60" s="8"/>
      <c r="C60" s="40"/>
      <c r="D60" s="935" t="s">
        <v>1</v>
      </c>
      <c r="E60" s="936"/>
      <c r="F60" s="936"/>
      <c r="G60" s="937"/>
      <c r="H60" s="938"/>
      <c r="I60" s="939"/>
      <c r="J60" s="940"/>
      <c r="K60" s="45"/>
      <c r="L60" s="686">
        <f>SUM(L55:M59)</f>
        <v>777</v>
      </c>
      <c r="M60" s="686"/>
      <c r="N60" s="9"/>
    </row>
    <row r="61" spans="2:14" ht="8.25" customHeight="1" x14ac:dyDescent="0.3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3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42"/>
      <c r="M62" s="942"/>
      <c r="N62" s="9"/>
    </row>
    <row r="63" spans="2:14" ht="9.75" customHeight="1" x14ac:dyDescent="0.3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3">
      <c r="B64" s="8"/>
      <c r="C64" s="925" t="s">
        <v>13</v>
      </c>
      <c r="D64" s="926"/>
      <c r="E64" s="926"/>
      <c r="F64" s="926"/>
      <c r="G64" s="926"/>
      <c r="H64" s="926"/>
      <c r="I64" s="926"/>
      <c r="J64" s="926"/>
      <c r="K64" s="926"/>
      <c r="L64" s="926"/>
      <c r="M64" s="927"/>
      <c r="N64" s="9"/>
    </row>
    <row r="65" spans="2:14" x14ac:dyDescent="0.3">
      <c r="B65" s="8"/>
      <c r="C65" s="40"/>
      <c r="D65" s="54" t="s">
        <v>9</v>
      </c>
      <c r="E65" s="55"/>
      <c r="F65" s="55"/>
      <c r="G65" s="56"/>
      <c r="H65" s="932"/>
      <c r="I65" s="933"/>
      <c r="J65" s="934"/>
      <c r="K65" s="48"/>
      <c r="L65" s="686">
        <f>L42</f>
        <v>1939.0454999999995</v>
      </c>
      <c r="M65" s="686"/>
      <c r="N65" s="9"/>
    </row>
    <row r="66" spans="2:14" x14ac:dyDescent="0.3">
      <c r="B66" s="8"/>
      <c r="C66" s="40"/>
      <c r="D66" s="54" t="s">
        <v>8</v>
      </c>
      <c r="E66" s="55"/>
      <c r="F66" s="55"/>
      <c r="G66" s="56"/>
      <c r="H66" s="932"/>
      <c r="I66" s="933"/>
      <c r="J66" s="934"/>
      <c r="K66" s="48"/>
      <c r="L66" s="686">
        <f>L51</f>
        <v>0</v>
      </c>
      <c r="M66" s="686"/>
      <c r="N66" s="9"/>
    </row>
    <row r="67" spans="2:14" x14ac:dyDescent="0.3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86">
        <f>L60</f>
        <v>777</v>
      </c>
      <c r="M67" s="686"/>
      <c r="N67" s="9"/>
    </row>
    <row r="68" spans="2:14" x14ac:dyDescent="0.3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86">
        <v>1200</v>
      </c>
      <c r="M68" s="686"/>
      <c r="N68" s="9"/>
    </row>
    <row r="69" spans="2:14" x14ac:dyDescent="0.3">
      <c r="B69" s="8"/>
      <c r="C69" s="40"/>
      <c r="D69" s="935" t="s">
        <v>1</v>
      </c>
      <c r="E69" s="936"/>
      <c r="F69" s="936"/>
      <c r="G69" s="937"/>
      <c r="H69" s="935"/>
      <c r="I69" s="936"/>
      <c r="J69" s="937"/>
      <c r="K69" s="45"/>
      <c r="L69" s="668">
        <f>L67+L66+L65+L68</f>
        <v>3916.0454999999993</v>
      </c>
      <c r="M69" s="669"/>
      <c r="N69" s="9"/>
    </row>
    <row r="70" spans="2:14" ht="10.5" customHeight="1" x14ac:dyDescent="0.3">
      <c r="B70" s="8"/>
      <c r="N70" s="9"/>
    </row>
    <row r="71" spans="2:14" ht="24" customHeight="1" x14ac:dyDescent="0.3">
      <c r="B71" s="8"/>
      <c r="I71" s="26" t="s">
        <v>17</v>
      </c>
      <c r="J71" s="27"/>
      <c r="K71" s="28"/>
      <c r="L71" s="943">
        <f>L69</f>
        <v>3916.0454999999993</v>
      </c>
      <c r="M71" s="943"/>
      <c r="N71" s="9"/>
    </row>
    <row r="72" spans="2:14" ht="11.25" customHeight="1" thickBot="1" x14ac:dyDescent="0.3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3"/>
    <row r="74" spans="2:14" ht="25" customHeight="1" x14ac:dyDescent="0.3"/>
    <row r="75" spans="2:14" ht="25" customHeight="1" x14ac:dyDescent="0.3"/>
    <row r="76" spans="2:14" ht="25" customHeight="1" x14ac:dyDescent="0.3"/>
    <row r="77" spans="2:14" ht="25" customHeight="1" x14ac:dyDescent="0.3"/>
    <row r="78" spans="2:14" ht="25" customHeight="1" x14ac:dyDescent="0.3"/>
    <row r="79" spans="2:14" ht="25" customHeight="1" x14ac:dyDescent="0.3"/>
    <row r="80" spans="2:14" ht="25" customHeight="1" x14ac:dyDescent="0.3"/>
    <row r="81" ht="25" customHeight="1" x14ac:dyDescent="0.3"/>
    <row r="82" ht="25" customHeight="1" x14ac:dyDescent="0.3"/>
    <row r="83" ht="25" customHeight="1" x14ac:dyDescent="0.3"/>
    <row r="84" ht="25" customHeight="1" x14ac:dyDescent="0.3"/>
    <row r="85" ht="25" customHeight="1" x14ac:dyDescent="0.3"/>
    <row r="86" ht="25" customHeight="1" x14ac:dyDescent="0.3"/>
    <row r="87" ht="25" customHeight="1" x14ac:dyDescent="0.3"/>
    <row r="88" ht="25" customHeight="1" x14ac:dyDescent="0.3"/>
    <row r="89" ht="25" customHeight="1" x14ac:dyDescent="0.3"/>
    <row r="90" ht="25" customHeight="1" x14ac:dyDescent="0.3"/>
  </sheetData>
  <mergeCells count="91">
    <mergeCell ref="L71:M71"/>
    <mergeCell ref="H66:J66"/>
    <mergeCell ref="L66:M66"/>
    <mergeCell ref="L67:M67"/>
    <mergeCell ref="L68:M68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H57:J57"/>
    <mergeCell ref="L57:M57"/>
    <mergeCell ref="H58:J58"/>
    <mergeCell ref="L58:M58"/>
    <mergeCell ref="H59:J59"/>
    <mergeCell ref="L59:M5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D48:G48"/>
    <mergeCell ref="H48:J48"/>
    <mergeCell ref="L48:M48"/>
    <mergeCell ref="D49:G49"/>
    <mergeCell ref="H49:J49"/>
    <mergeCell ref="L49:M49"/>
    <mergeCell ref="D46:G46"/>
    <mergeCell ref="H46:J46"/>
    <mergeCell ref="L46:M46"/>
    <mergeCell ref="D47:G47"/>
    <mergeCell ref="H47:J47"/>
    <mergeCell ref="L47:M47"/>
    <mergeCell ref="D42:G42"/>
    <mergeCell ref="H42:J42"/>
    <mergeCell ref="L42:M42"/>
    <mergeCell ref="C44:M44"/>
    <mergeCell ref="D45:G45"/>
    <mergeCell ref="H45:J45"/>
    <mergeCell ref="L45:M45"/>
    <mergeCell ref="L39:M39"/>
    <mergeCell ref="H40:J40"/>
    <mergeCell ref="L40:M40"/>
    <mergeCell ref="D41:G41"/>
    <mergeCell ref="H41:J41"/>
    <mergeCell ref="L41:M41"/>
    <mergeCell ref="H36:J36"/>
    <mergeCell ref="L36:M36"/>
    <mergeCell ref="H37:J37"/>
    <mergeCell ref="L37:M37"/>
    <mergeCell ref="H38:J38"/>
    <mergeCell ref="L38:M38"/>
    <mergeCell ref="H33:J33"/>
    <mergeCell ref="L33:M33"/>
    <mergeCell ref="H34:J34"/>
    <mergeCell ref="L34:M34"/>
    <mergeCell ref="H35:J35"/>
    <mergeCell ref="L35:M35"/>
    <mergeCell ref="H12:J12"/>
    <mergeCell ref="L12:M12"/>
    <mergeCell ref="H31:J31"/>
    <mergeCell ref="L31:M31"/>
    <mergeCell ref="H32:J32"/>
    <mergeCell ref="L32:M32"/>
    <mergeCell ref="E7:G7"/>
    <mergeCell ref="I7:J7"/>
    <mergeCell ref="E8:G8"/>
    <mergeCell ref="C10:M10"/>
    <mergeCell ref="D11:G11"/>
    <mergeCell ref="H11:J11"/>
    <mergeCell ref="L11:M11"/>
    <mergeCell ref="D3:M3"/>
    <mergeCell ref="D4:M4"/>
    <mergeCell ref="E5:G5"/>
    <mergeCell ref="I5:J5"/>
    <mergeCell ref="E6:G6"/>
    <mergeCell ref="I6:J6"/>
    <mergeCell ref="K6:L6"/>
  </mergeCells>
  <printOptions horizontalCentered="1" verticalCentered="1"/>
  <pageMargins left="0" right="0" top="0" bottom="0" header="0" footer="0"/>
  <pageSetup scale="4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55</vt:i4>
      </vt:variant>
      <vt:variant>
        <vt:lpstr>Intervalos Nomeados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Railings'!Area_de_impressao</vt:lpstr>
      <vt:lpstr>' RDI Transform Railings'!Area_de_impressao</vt:lpstr>
      <vt:lpstr>'AZEK Arbor Collection Decking'!Area_de_impressao</vt:lpstr>
      <vt:lpstr>'AZEK Harvest Collection Decking'!Area_de_impressao</vt:lpstr>
      <vt:lpstr>'AZEK Vintage Collection Decking'!Area_de_impressao</vt:lpstr>
      <vt:lpstr>'Contemporary Round Alu Ba '!Area_de_impressao</vt:lpstr>
      <vt:lpstr>'Contemporary- Square Comp Balus'!Area_de_impressao</vt:lpstr>
      <vt:lpstr>'Contemporary-Feeney Cablerail'!Area_de_impressao</vt:lpstr>
      <vt:lpstr>'Deck TakeOff'!Area_de_impressao</vt:lpstr>
      <vt:lpstr>'DuraLife MVP Harwoods'!Area_de_impressao</vt:lpstr>
      <vt:lpstr>'DuraLife MVP Landscape'!Area_de_impressao</vt:lpstr>
      <vt:lpstr>'DuraLife Siesta Hardwoods'!Area_de_impressao</vt:lpstr>
      <vt:lpstr>'DuraLife Siesta Landscape'!Area_de_impressao</vt:lpstr>
      <vt:lpstr>'Fiberon Good Life - Weekender'!Area_de_impressao</vt:lpstr>
      <vt:lpstr>'Fiberon Good Life Escapes'!Area_de_impressao</vt:lpstr>
      <vt:lpstr>'GAF Estimate'!Area_de_impressao</vt:lpstr>
      <vt:lpstr>'Galv. Strap Fastners Footings'!Area_de_impressao</vt:lpstr>
      <vt:lpstr>'General Estimate'!Area_de_impressao</vt:lpstr>
      <vt:lpstr>'Labor Calculations '!Area_de_impressao</vt:lpstr>
      <vt:lpstr>'Material Price'!Area_de_impressao</vt:lpstr>
      <vt:lpstr>'Moistur. Elevate-Original'!Area_de_impressao</vt:lpstr>
      <vt:lpstr>'Moistur. Elevate-Premium '!Area_de_impressao</vt:lpstr>
      <vt:lpstr>'Moistur. Vantage '!Area_de_impressao</vt:lpstr>
      <vt:lpstr>'Moistur. Vision Cool'!Area_de_impressao</vt:lpstr>
      <vt:lpstr>'Moistur. Vision Non Cool '!Area_de_impressao</vt:lpstr>
      <vt:lpstr>'PolyComposite Railings'!Area_de_impressao</vt:lpstr>
      <vt:lpstr>'Premier - Alum Round Balusters'!Area_de_impressao</vt:lpstr>
      <vt:lpstr>'Premier - Comp Black Balusters'!Area_de_impressao</vt:lpstr>
      <vt:lpstr>'Pressure Treated Decking Boards'!Area_de_impressao</vt:lpstr>
      <vt:lpstr>'PT Finish'!Area_de_impressao</vt:lpstr>
      <vt:lpstr>'PT Frame by LF'!Area_de_impressao</vt:lpstr>
      <vt:lpstr>'PT Frame Material'!Area_de_impressao</vt:lpstr>
      <vt:lpstr>'PVC - White Finish'!Area_de_impressao</vt:lpstr>
      <vt:lpstr>RUBBER!Area_de_impressao</vt:lpstr>
      <vt:lpstr>'Timbertech Edge Premier'!Area_de_impressao</vt:lpstr>
      <vt:lpstr>'Timbertech Edge Prime'!Area_de_impressao</vt:lpstr>
      <vt:lpstr>'Timbertech Edge Prime+'!Area_de_impressao</vt:lpstr>
      <vt:lpstr>'TimberTech Premier - Feeney'!Area_de_impressao</vt:lpstr>
      <vt:lpstr>'TimberTech Premier White Balust'!Area_de_impressao</vt:lpstr>
      <vt:lpstr>'Timbertech Pro Legacy '!Area_de_impressao</vt:lpstr>
      <vt:lpstr>'Timbertech Pro Reserve '!Area_de_impressao</vt:lpstr>
      <vt:lpstr>'Timbertech Pro Terrain'!Area_de_impressao</vt:lpstr>
      <vt:lpstr>'Trex Enhance Natural Decking'!Area_de_impressao</vt:lpstr>
      <vt:lpstr>'Trex Rain Scape'!Area_de_impressao</vt:lpstr>
      <vt:lpstr>'Trex Select Decking'!Area_de_impressao</vt:lpstr>
      <vt:lpstr>'Trex Select Round Bal- Cocktail'!Area_de_impressao</vt:lpstr>
      <vt:lpstr>'Trex Transcend Decking'!Area_de_impressao</vt:lpstr>
      <vt:lpstr>'Wolf Perspective '!Area_de_impressao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Auciomar Cerqueira</cp:lastModifiedBy>
  <cp:lastPrinted>2021-02-15T17:09:32Z</cp:lastPrinted>
  <dcterms:created xsi:type="dcterms:W3CDTF">2000-08-25T01:59:39Z</dcterms:created>
  <dcterms:modified xsi:type="dcterms:W3CDTF">2023-02-03T13:07:30Z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