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50" tabRatio="885" activeTab="6"/>
  </bookViews>
  <sheets>
    <sheet name="Main_" sheetId="1" r:id="rId1"/>
    <sheet name="rnwf_structure" sheetId="10" r:id="rId2"/>
    <sheet name="structure" sheetId="13" r:id="rId3"/>
    <sheet name="recepients" sheetId="14" r:id="rId4"/>
    <sheet name="infra_invest" sheetId="8" r:id="rId5"/>
    <sheet name="recepients_dynamics" sheetId="16" r:id="rId6"/>
    <sheet name="Лист1" sheetId="15" r:id="rId7"/>
  </sheets>
  <definedNames>
    <definedName name="_xlnm._FilterDatabase" localSheetId="4" hidden="1">infra_invest!$A$1:$G$159</definedName>
    <definedName name="_xlnm._FilterDatabase" localSheetId="3" hidden="1">recepients!$A$1:$B$1</definedName>
  </definedName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4" l="1"/>
  <c r="B21" i="14"/>
  <c r="B18" i="14"/>
  <c r="B15" i="14"/>
  <c r="B16" i="14"/>
  <c r="B17" i="14"/>
  <c r="B12" i="14"/>
  <c r="B11" i="14"/>
  <c r="B6" i="14"/>
  <c r="B9" i="14"/>
  <c r="B8" i="14"/>
  <c r="B7" i="14"/>
  <c r="B3" i="14"/>
  <c r="B2" i="14"/>
  <c r="AC12" i="13"/>
  <c r="AC11" i="13"/>
  <c r="AC10" i="13"/>
  <c r="AC9" i="13"/>
  <c r="AC8" i="13"/>
  <c r="AC7" i="13"/>
  <c r="AC6" i="13"/>
  <c r="AC5" i="13"/>
  <c r="AC4" i="13"/>
  <c r="AC20" i="10"/>
  <c r="AC19" i="10"/>
  <c r="AC18" i="10"/>
  <c r="AC17" i="10"/>
  <c r="AC16" i="10"/>
  <c r="AC15" i="10"/>
  <c r="AC14" i="10"/>
  <c r="AC13" i="10"/>
  <c r="AC12" i="10"/>
  <c r="AC11" i="10"/>
  <c r="AC10" i="10"/>
  <c r="AC9" i="10"/>
  <c r="AC8" i="10"/>
  <c r="AC7" i="10"/>
  <c r="AC6" i="10"/>
  <c r="AC5" i="10"/>
  <c r="AC4" i="10"/>
  <c r="AC3" i="10"/>
  <c r="AC2" i="10"/>
  <c r="AD52" i="1"/>
  <c r="AE52" i="1" s="1"/>
  <c r="AD30" i="1"/>
  <c r="AE30" i="1" s="1"/>
  <c r="AD27" i="1"/>
  <c r="AE27" i="1" s="1"/>
  <c r="AD28" i="1"/>
  <c r="AE28" i="1" s="1"/>
  <c r="AD26" i="1"/>
  <c r="AD34" i="1"/>
  <c r="AE34" i="1" s="1"/>
  <c r="AD33" i="1"/>
  <c r="AE33" i="1" s="1"/>
  <c r="AD36" i="1"/>
  <c r="AE36" i="1" s="1"/>
  <c r="AD40" i="1"/>
  <c r="AE40" i="1" s="1"/>
  <c r="AD39" i="1"/>
  <c r="AD41" i="1"/>
  <c r="AD42" i="1"/>
  <c r="AE42" i="1" s="1"/>
  <c r="AD25" i="1"/>
  <c r="AE25" i="1" s="1"/>
  <c r="AD23" i="1"/>
  <c r="AE23" i="1" s="1"/>
  <c r="AD22" i="1"/>
  <c r="AE22" i="1" s="1"/>
  <c r="AD19" i="1"/>
  <c r="AE19" i="1" s="1"/>
  <c r="AD18" i="1"/>
  <c r="AE18" i="1" s="1"/>
  <c r="AD17" i="1"/>
  <c r="AE17" i="1" s="1"/>
  <c r="AD9" i="1"/>
  <c r="AE9" i="1" s="1"/>
  <c r="AD10" i="1"/>
  <c r="AE10" i="1" s="1"/>
  <c r="AD11" i="1"/>
  <c r="AE11" i="1" s="1"/>
  <c r="AD12" i="1"/>
  <c r="AE12" i="1" s="1"/>
  <c r="AD13" i="1"/>
  <c r="AE13" i="1" s="1"/>
  <c r="AD8" i="1"/>
  <c r="AD15" i="1"/>
  <c r="AE15" i="1" s="1"/>
  <c r="AD16" i="1"/>
  <c r="AE16" i="1" s="1"/>
  <c r="AD14" i="1"/>
  <c r="AE14" i="1" s="1"/>
  <c r="AD21" i="1"/>
  <c r="AD20" i="1"/>
  <c r="AE20" i="1" s="1"/>
  <c r="AD43" i="1"/>
  <c r="AE41" i="1"/>
  <c r="AE43" i="1"/>
  <c r="AE44" i="1"/>
  <c r="AE45" i="1"/>
  <c r="AE46" i="1"/>
  <c r="AE47" i="1"/>
  <c r="AE48" i="1"/>
  <c r="AE49" i="1"/>
  <c r="AE50" i="1"/>
  <c r="AE51" i="1"/>
  <c r="AE3" i="1"/>
  <c r="AE4" i="1"/>
  <c r="AE5" i="1"/>
  <c r="AE6" i="1"/>
  <c r="AE7" i="1"/>
  <c r="AE8" i="1"/>
  <c r="AE21" i="1"/>
  <c r="AE26" i="1"/>
  <c r="AE29" i="1"/>
  <c r="AE31" i="1"/>
  <c r="AE32" i="1"/>
  <c r="AE35" i="1"/>
  <c r="AE37" i="1"/>
  <c r="AE38" i="1"/>
  <c r="AE39" i="1"/>
  <c r="AE2" i="1"/>
  <c r="B10" i="14"/>
  <c r="B4" i="14"/>
  <c r="AD24" i="1"/>
  <c r="AB6" i="13" l="1"/>
  <c r="AB20" i="10"/>
  <c r="AB19" i="10"/>
  <c r="AB18" i="10"/>
  <c r="AB12" i="13" s="1"/>
  <c r="AB17" i="10"/>
  <c r="AB16" i="10"/>
  <c r="AB11" i="13" s="1"/>
  <c r="AB15" i="10"/>
  <c r="AB10" i="13" s="1"/>
  <c r="AB14" i="10"/>
  <c r="AB9" i="13" s="1"/>
  <c r="AB13" i="10"/>
  <c r="AB12" i="10"/>
  <c r="AB8" i="13" s="1"/>
  <c r="AB11" i="10"/>
  <c r="AB9" i="10"/>
  <c r="AB8" i="10"/>
  <c r="AB5" i="13" s="1"/>
  <c r="AB7" i="10"/>
  <c r="AB6" i="10"/>
  <c r="AB5" i="10"/>
  <c r="AB4" i="10"/>
  <c r="AB3" i="10"/>
  <c r="AB2" i="10"/>
  <c r="AB4" i="13" s="1"/>
  <c r="AC52" i="1"/>
  <c r="AC30" i="1"/>
  <c r="AC27" i="1"/>
  <c r="AC28" i="1"/>
  <c r="AC26" i="1"/>
  <c r="AC34" i="1"/>
  <c r="AC33" i="1"/>
  <c r="AC36" i="1"/>
  <c r="AC43" i="1"/>
  <c r="AC40" i="1"/>
  <c r="AC25" i="1"/>
  <c r="AC22" i="1"/>
  <c r="AC21" i="1"/>
  <c r="AC20" i="1"/>
  <c r="AC19" i="1"/>
  <c r="AC18" i="1"/>
  <c r="AC17" i="1"/>
  <c r="AC15" i="1"/>
  <c r="AC13" i="1"/>
  <c r="AC12" i="1"/>
  <c r="AC11" i="1"/>
  <c r="AC10" i="1"/>
  <c r="AC9" i="1"/>
  <c r="AC8" i="1"/>
  <c r="AC16" i="1"/>
  <c r="AC14" i="1"/>
  <c r="AC42" i="1"/>
  <c r="AC41" i="1"/>
  <c r="AE24" i="1" l="1"/>
  <c r="AB10" i="10"/>
  <c r="AB7" i="13" s="1"/>
  <c r="AA20" i="10"/>
  <c r="AA19" i="10"/>
  <c r="AA18" i="10"/>
  <c r="AA12" i="13" s="1"/>
  <c r="AA17" i="10"/>
  <c r="AA16" i="10"/>
  <c r="AA15" i="10"/>
  <c r="AA10" i="13" s="1"/>
  <c r="AA14" i="10"/>
  <c r="AA9" i="13" s="1"/>
  <c r="AA13" i="10"/>
  <c r="AA12" i="10"/>
  <c r="AA8" i="13" s="1"/>
  <c r="AA11" i="10"/>
  <c r="AA9" i="10"/>
  <c r="AA6" i="13" s="1"/>
  <c r="AA8" i="10"/>
  <c r="AA5" i="13" s="1"/>
  <c r="AA7" i="10"/>
  <c r="AA6" i="10"/>
  <c r="AA5" i="10"/>
  <c r="AA4" i="10"/>
  <c r="AA3" i="10"/>
  <c r="AA2" i="10"/>
  <c r="AA4" i="13" s="1"/>
  <c r="AB52" i="1"/>
  <c r="AB30" i="1"/>
  <c r="AB27" i="1"/>
  <c r="AB28" i="1"/>
  <c r="AB26" i="1"/>
  <c r="AB34" i="1"/>
  <c r="AB33" i="1"/>
  <c r="AB36" i="1"/>
  <c r="AB43" i="1"/>
  <c r="AB40" i="1"/>
  <c r="AB41" i="1"/>
  <c r="AB25" i="1"/>
  <c r="AA25" i="1"/>
  <c r="AB22" i="1"/>
  <c r="AB20" i="1"/>
  <c r="AB19" i="1"/>
  <c r="AB18" i="1"/>
  <c r="AB17" i="1"/>
  <c r="AB15" i="1"/>
  <c r="AB9" i="1"/>
  <c r="AB10" i="1"/>
  <c r="AB11" i="1"/>
  <c r="AB12" i="1"/>
  <c r="AB13" i="1"/>
  <c r="AB8" i="1"/>
  <c r="AB16" i="1"/>
  <c r="AB14" i="1"/>
  <c r="AB21" i="1"/>
  <c r="AB42" i="1"/>
  <c r="AA11" i="13" l="1"/>
  <c r="AA10" i="10"/>
  <c r="AA7" i="13" s="1"/>
  <c r="Z20" i="10"/>
  <c r="Z19" i="10"/>
  <c r="Z18" i="10"/>
  <c r="Z12" i="13" s="1"/>
  <c r="Z17" i="10"/>
  <c r="Z16" i="10"/>
  <c r="Z11" i="13" s="1"/>
  <c r="Z15" i="10"/>
  <c r="Z10" i="13" s="1"/>
  <c r="Z14" i="10"/>
  <c r="Z9" i="13" s="1"/>
  <c r="Z13" i="10"/>
  <c r="Z12" i="10"/>
  <c r="Z8" i="13" s="1"/>
  <c r="Z11" i="10"/>
  <c r="Z9" i="10"/>
  <c r="Z6" i="13" s="1"/>
  <c r="Z8" i="10"/>
  <c r="Z5" i="13" s="1"/>
  <c r="Z7" i="10"/>
  <c r="Z6" i="10"/>
  <c r="Z5" i="10"/>
  <c r="Z4" i="10"/>
  <c r="Z3" i="10"/>
  <c r="Z2" i="10"/>
  <c r="Z4" i="13" s="1"/>
  <c r="AA52" i="1"/>
  <c r="AA30" i="1"/>
  <c r="AA28" i="1"/>
  <c r="AA27" i="1"/>
  <c r="AA26" i="1"/>
  <c r="AA34" i="1"/>
  <c r="AA33" i="1"/>
  <c r="AA36" i="1"/>
  <c r="AA41" i="1"/>
  <c r="AA43" i="1"/>
  <c r="AA22" i="1"/>
  <c r="AA21" i="1"/>
  <c r="AA19" i="1"/>
  <c r="AA18" i="1"/>
  <c r="AA17" i="1"/>
  <c r="AA13" i="1"/>
  <c r="AA12" i="1"/>
  <c r="AA11" i="1"/>
  <c r="AA10" i="1"/>
  <c r="AA9" i="1"/>
  <c r="AA8" i="1"/>
  <c r="AA15" i="1"/>
  <c r="AA16" i="1"/>
  <c r="AA14" i="1"/>
  <c r="AA20" i="1"/>
  <c r="AA42" i="1"/>
  <c r="Z10" i="10" l="1"/>
  <c r="Z7" i="13" s="1"/>
  <c r="Y20" i="10"/>
  <c r="Y19" i="10"/>
  <c r="Y18" i="10"/>
  <c r="Y12" i="13" s="1"/>
  <c r="Y17" i="10"/>
  <c r="Y16" i="10"/>
  <c r="Y15" i="10"/>
  <c r="Y10" i="13" s="1"/>
  <c r="Y14" i="10"/>
  <c r="Y9" i="13" s="1"/>
  <c r="Y13" i="10"/>
  <c r="Y12" i="10"/>
  <c r="Y8" i="13" s="1"/>
  <c r="Y11" i="10"/>
  <c r="Y9" i="10"/>
  <c r="Y6" i="13" s="1"/>
  <c r="Y8" i="10"/>
  <c r="Y5" i="13" s="1"/>
  <c r="Y7" i="10"/>
  <c r="Y6" i="10"/>
  <c r="Y5" i="10"/>
  <c r="Y4" i="10"/>
  <c r="Y3" i="10"/>
  <c r="Y2" i="10"/>
  <c r="Y4" i="13" s="1"/>
  <c r="Z52" i="1"/>
  <c r="Z26" i="1"/>
  <c r="Z25" i="1"/>
  <c r="Z30" i="1"/>
  <c r="Z27" i="1"/>
  <c r="Z28" i="1"/>
  <c r="Z34" i="1"/>
  <c r="Z33" i="1"/>
  <c r="Z36" i="1"/>
  <c r="Z43" i="1"/>
  <c r="Z40" i="1"/>
  <c r="Z21" i="1"/>
  <c r="Z22" i="1"/>
  <c r="Z19" i="1"/>
  <c r="Z18" i="1"/>
  <c r="Z42" i="1"/>
  <c r="Y11" i="13" l="1"/>
  <c r="X19" i="10"/>
  <c r="X18" i="10"/>
  <c r="X12" i="13" s="1"/>
  <c r="X7" i="10"/>
  <c r="X6" i="10"/>
  <c r="X5" i="10"/>
  <c r="X4" i="10"/>
  <c r="X3" i="10"/>
  <c r="X2" i="10"/>
  <c r="X4" i="13" s="1"/>
  <c r="X17" i="10"/>
  <c r="Y28" i="1"/>
  <c r="Y41" i="1"/>
  <c r="Z41" i="1" s="1"/>
  <c r="Y52" i="1"/>
  <c r="Y10" i="10" l="1"/>
  <c r="Y7" i="13" s="1"/>
  <c r="X20" i="10"/>
  <c r="W20" i="10"/>
  <c r="W19" i="10"/>
  <c r="W18" i="10"/>
  <c r="W12" i="13" s="1"/>
  <c r="W14" i="10"/>
  <c r="W9" i="13" s="1"/>
  <c r="W9" i="10"/>
  <c r="W6" i="13" s="1"/>
  <c r="W7" i="10"/>
  <c r="W6" i="10"/>
  <c r="W5" i="10"/>
  <c r="W4" i="10"/>
  <c r="W3" i="10"/>
  <c r="W2" i="10"/>
  <c r="W4" i="13" s="1"/>
  <c r="X52" i="1"/>
  <c r="X43" i="1"/>
  <c r="Y43" i="1" s="1"/>
  <c r="X34" i="1"/>
  <c r="Y34" i="1" s="1"/>
  <c r="X33" i="1"/>
  <c r="Y33" i="1" s="1"/>
  <c r="X25" i="1"/>
  <c r="Y25" i="1" s="1"/>
  <c r="X23" i="1"/>
  <c r="Y23" i="1" s="1"/>
  <c r="X14" i="10" l="1"/>
  <c r="X9" i="13" s="1"/>
  <c r="X11" i="10"/>
  <c r="W11" i="10"/>
  <c r="X9" i="10"/>
  <c r="X6" i="13" s="1"/>
  <c r="X10" i="10"/>
  <c r="W10" i="10"/>
  <c r="V20" i="10"/>
  <c r="V19" i="10"/>
  <c r="V18" i="10"/>
  <c r="V12" i="13" s="1"/>
  <c r="V14" i="10"/>
  <c r="V9" i="13" s="1"/>
  <c r="V11" i="10"/>
  <c r="V9" i="10"/>
  <c r="V6" i="13" s="1"/>
  <c r="V7" i="10"/>
  <c r="V6" i="10"/>
  <c r="V5" i="10"/>
  <c r="V4" i="10"/>
  <c r="V3" i="10"/>
  <c r="V2" i="10"/>
  <c r="V4" i="13" s="1"/>
  <c r="W21" i="1"/>
  <c r="X21" i="1" s="1"/>
  <c r="Y21" i="1" s="1"/>
  <c r="W52" i="1"/>
  <c r="E44" i="8"/>
  <c r="W7" i="13" l="1"/>
  <c r="X7" i="13"/>
  <c r="V10" i="10"/>
  <c r="V7" i="13" s="1"/>
  <c r="E2" i="15"/>
  <c r="G2" i="15" s="1"/>
  <c r="F2" i="15" l="1"/>
  <c r="U19" i="10"/>
  <c r="U18" i="10"/>
  <c r="U12" i="13" s="1"/>
  <c r="T10" i="10"/>
  <c r="U9" i="10"/>
  <c r="U6" i="13" s="1"/>
  <c r="U7" i="10"/>
  <c r="U6" i="10"/>
  <c r="U5" i="10"/>
  <c r="U4" i="10"/>
  <c r="U3" i="10"/>
  <c r="U2" i="10"/>
  <c r="U4" i="13" s="1"/>
  <c r="U10" i="10" l="1"/>
  <c r="V52" i="1"/>
  <c r="U20" i="10" s="1"/>
  <c r="V43" i="1"/>
  <c r="W43" i="1" s="1"/>
  <c r="T19" i="10" l="1"/>
  <c r="T18" i="10"/>
  <c r="T12" i="13" s="1"/>
  <c r="T7" i="10"/>
  <c r="T6" i="10"/>
  <c r="T5" i="10"/>
  <c r="T4" i="10"/>
  <c r="T3" i="10"/>
  <c r="T2" i="10"/>
  <c r="T4" i="13" s="1"/>
  <c r="U52" i="1"/>
  <c r="T20" i="10" s="1"/>
  <c r="S24" i="1"/>
  <c r="U8" i="1"/>
  <c r="V8" i="1" s="1"/>
  <c r="W8" i="1" l="1"/>
  <c r="S19" i="10"/>
  <c r="S18" i="10"/>
  <c r="S12" i="13" s="1"/>
  <c r="S7" i="10"/>
  <c r="S6" i="10"/>
  <c r="S5" i="10"/>
  <c r="S4" i="10"/>
  <c r="S3" i="10"/>
  <c r="S2" i="10"/>
  <c r="S4" i="13" s="1"/>
  <c r="T52" i="1"/>
  <c r="S20" i="10" s="1"/>
  <c r="T34" i="1"/>
  <c r="U34" i="1" s="1"/>
  <c r="V34" i="1" s="1"/>
  <c r="T33" i="1"/>
  <c r="U33" i="1" s="1"/>
  <c r="V33" i="1" l="1"/>
  <c r="U14" i="10" s="1"/>
  <c r="U9" i="13" s="1"/>
  <c r="T14" i="10"/>
  <c r="T9" i="13" s="1"/>
  <c r="S14" i="10"/>
  <c r="S9" i="13" s="1"/>
  <c r="X8" i="1"/>
  <c r="Y8" i="1" s="1"/>
  <c r="S10" i="10"/>
  <c r="R19" i="10"/>
  <c r="R18" i="10"/>
  <c r="R12" i="13" s="1"/>
  <c r="R7" i="10"/>
  <c r="R6" i="10"/>
  <c r="R5" i="10"/>
  <c r="R4" i="10"/>
  <c r="R3" i="10"/>
  <c r="R2" i="10"/>
  <c r="R4" i="13" s="1"/>
  <c r="S35" i="1"/>
  <c r="R14" i="10" s="1"/>
  <c r="R9" i="13" s="1"/>
  <c r="S40" i="1"/>
  <c r="T40" i="1" s="1"/>
  <c r="S43" i="1"/>
  <c r="T43" i="1" s="1"/>
  <c r="S41" i="1"/>
  <c r="T41" i="1" s="1"/>
  <c r="U41" i="1" s="1"/>
  <c r="V41" i="1" s="1"/>
  <c r="W41" i="1" s="1"/>
  <c r="S25" i="1"/>
  <c r="T25" i="1" s="1"/>
  <c r="S52" i="1"/>
  <c r="R20" i="10" s="1"/>
  <c r="Z8" i="1" l="1"/>
  <c r="U40" i="1"/>
  <c r="S16" i="10"/>
  <c r="S11" i="13" s="1"/>
  <c r="U25" i="1"/>
  <c r="S11" i="10"/>
  <c r="S7" i="13" s="1"/>
  <c r="R16" i="10"/>
  <c r="R11" i="13" s="1"/>
  <c r="R11" i="10"/>
  <c r="R10" i="10"/>
  <c r="R7" i="13" l="1"/>
  <c r="V25" i="1"/>
  <c r="U11" i="10" s="1"/>
  <c r="U7" i="13" s="1"/>
  <c r="T11" i="10"/>
  <c r="T7" i="13" s="1"/>
  <c r="V40" i="1"/>
  <c r="T16" i="10"/>
  <c r="T11" i="13" s="1"/>
  <c r="W40" i="1" l="1"/>
  <c r="U16" i="10"/>
  <c r="U11" i="13" s="1"/>
  <c r="Q19" i="10"/>
  <c r="Q18" i="10"/>
  <c r="Q12" i="13" s="1"/>
  <c r="Q16" i="10"/>
  <c r="Q11" i="13" s="1"/>
  <c r="Q11" i="10"/>
  <c r="Q7" i="10"/>
  <c r="Q6" i="10"/>
  <c r="Q5" i="10"/>
  <c r="Q4" i="10"/>
  <c r="Q3" i="10"/>
  <c r="Q2" i="10"/>
  <c r="Q4" i="13" s="1"/>
  <c r="P2" i="10"/>
  <c r="B22" i="14"/>
  <c r="B19" i="14"/>
  <c r="B14" i="14"/>
  <c r="B13" i="14"/>
  <c r="B5" i="14"/>
  <c r="X40" i="1" l="1"/>
  <c r="Y40" i="1" s="1"/>
  <c r="V16" i="10"/>
  <c r="V11" i="13" s="1"/>
  <c r="R52" i="1"/>
  <c r="Q20" i="10" s="1"/>
  <c r="Q52" i="1"/>
  <c r="R30" i="1"/>
  <c r="R27" i="1"/>
  <c r="S27" i="1" s="1"/>
  <c r="T27" i="1" s="1"/>
  <c r="U27" i="1" s="1"/>
  <c r="V27" i="1" s="1"/>
  <c r="W27" i="1" s="1"/>
  <c r="X27" i="1" s="1"/>
  <c r="Y27" i="1" s="1"/>
  <c r="R28" i="1"/>
  <c r="S28" i="1" s="1"/>
  <c r="T28" i="1" s="1"/>
  <c r="U28" i="1" s="1"/>
  <c r="V28" i="1" s="1"/>
  <c r="W28" i="1" s="1"/>
  <c r="R26" i="1"/>
  <c r="R33" i="1"/>
  <c r="Q14" i="10" s="1"/>
  <c r="Q9" i="13" s="1"/>
  <c r="R36" i="1"/>
  <c r="C68" i="8"/>
  <c r="C67" i="8"/>
  <c r="R23" i="1"/>
  <c r="R22" i="1"/>
  <c r="S22" i="1" s="1"/>
  <c r="T22" i="1" s="1"/>
  <c r="U22" i="1" s="1"/>
  <c r="V22" i="1" s="1"/>
  <c r="W22" i="1" s="1"/>
  <c r="X22" i="1" s="1"/>
  <c r="Y22" i="1" s="1"/>
  <c r="R17" i="1"/>
  <c r="S17" i="1" s="1"/>
  <c r="T17" i="1" s="1"/>
  <c r="U17" i="1" s="1"/>
  <c r="V17" i="1" s="1"/>
  <c r="W17" i="1" s="1"/>
  <c r="X17" i="1" s="1"/>
  <c r="Y17" i="1" s="1"/>
  <c r="Z17" i="1" s="1"/>
  <c r="R9" i="1"/>
  <c r="R10" i="1"/>
  <c r="S10" i="1" s="1"/>
  <c r="T10" i="1" s="1"/>
  <c r="U10" i="1" s="1"/>
  <c r="V10" i="1" s="1"/>
  <c r="W10" i="1" s="1"/>
  <c r="X10" i="1" s="1"/>
  <c r="Y10" i="1" s="1"/>
  <c r="R11" i="1"/>
  <c r="S11" i="1" s="1"/>
  <c r="T11" i="1" s="1"/>
  <c r="U11" i="1" s="1"/>
  <c r="V11" i="1" s="1"/>
  <c r="W11" i="1" s="1"/>
  <c r="X11" i="1" s="1"/>
  <c r="Y11" i="1" s="1"/>
  <c r="R12" i="1"/>
  <c r="S12" i="1" s="1"/>
  <c r="T12" i="1" s="1"/>
  <c r="U12" i="1" s="1"/>
  <c r="V12" i="1" s="1"/>
  <c r="W12" i="1" s="1"/>
  <c r="X12" i="1" s="1"/>
  <c r="Y12" i="1" s="1"/>
  <c r="R13" i="1"/>
  <c r="S13" i="1" s="1"/>
  <c r="T13" i="1" s="1"/>
  <c r="U13" i="1" s="1"/>
  <c r="V13" i="1" s="1"/>
  <c r="W13" i="1" s="1"/>
  <c r="X13" i="1" s="1"/>
  <c r="Y13" i="1" s="1"/>
  <c r="R8" i="1"/>
  <c r="S8" i="1" s="1"/>
  <c r="R15" i="1"/>
  <c r="S15" i="1" s="1"/>
  <c r="T15" i="1" s="1"/>
  <c r="U15" i="1" s="1"/>
  <c r="V15" i="1" s="1"/>
  <c r="W15" i="1" s="1"/>
  <c r="X15" i="1" s="1"/>
  <c r="Y15" i="1" s="1"/>
  <c r="Z15" i="1" s="1"/>
  <c r="R16" i="1"/>
  <c r="S16" i="1" s="1"/>
  <c r="T16" i="1" s="1"/>
  <c r="U16" i="1" s="1"/>
  <c r="V16" i="1" s="1"/>
  <c r="W16" i="1" s="1"/>
  <c r="X16" i="1" s="1"/>
  <c r="Y16" i="1" s="1"/>
  <c r="Z16" i="1" s="1"/>
  <c r="R14" i="1"/>
  <c r="S14" i="1" s="1"/>
  <c r="T14" i="1" s="1"/>
  <c r="U14" i="1" s="1"/>
  <c r="V14" i="1" s="1"/>
  <c r="W14" i="1" s="1"/>
  <c r="X14" i="1" s="1"/>
  <c r="Y14" i="1" s="1"/>
  <c r="Z14" i="1" s="1"/>
  <c r="R20" i="1"/>
  <c r="S20" i="1" s="1"/>
  <c r="T20" i="1" s="1"/>
  <c r="U20" i="1" s="1"/>
  <c r="V20" i="1" s="1"/>
  <c r="W20" i="1" s="1"/>
  <c r="X20" i="1" s="1"/>
  <c r="Y20" i="1" s="1"/>
  <c r="Z20" i="1" s="1"/>
  <c r="S23" i="1" l="1"/>
  <c r="Q9" i="10"/>
  <c r="Q6" i="13" s="1"/>
  <c r="S30" i="1"/>
  <c r="Q13" i="10"/>
  <c r="Z12" i="1"/>
  <c r="S36" i="1"/>
  <c r="Q15" i="10"/>
  <c r="Q10" i="13" s="1"/>
  <c r="Z10" i="1"/>
  <c r="S26" i="1"/>
  <c r="Q12" i="10"/>
  <c r="X16" i="10"/>
  <c r="X11" i="13" s="1"/>
  <c r="Z11" i="1"/>
  <c r="Z13" i="1"/>
  <c r="W16" i="10"/>
  <c r="W11" i="13" s="1"/>
  <c r="S9" i="1"/>
  <c r="Q8" i="10"/>
  <c r="Q5" i="13" s="1"/>
  <c r="Q10" i="10"/>
  <c r="Q7" i="13" s="1"/>
  <c r="C159" i="8"/>
  <c r="E158" i="8"/>
  <c r="E157" i="8"/>
  <c r="E156" i="8"/>
  <c r="E155" i="8"/>
  <c r="E154" i="8"/>
  <c r="E153" i="8"/>
  <c r="E151" i="8"/>
  <c r="E150" i="8"/>
  <c r="E149" i="8"/>
  <c r="E148" i="8"/>
  <c r="E147" i="8"/>
  <c r="E146" i="8"/>
  <c r="Q8" i="13" l="1"/>
  <c r="T36" i="1"/>
  <c r="R15" i="10"/>
  <c r="R10" i="13" s="1"/>
  <c r="T26" i="1"/>
  <c r="R12" i="10"/>
  <c r="T30" i="1"/>
  <c r="R13" i="10"/>
  <c r="T23" i="1"/>
  <c r="R9" i="10"/>
  <c r="R6" i="13" s="1"/>
  <c r="T9" i="1"/>
  <c r="R8" i="10"/>
  <c r="R5" i="13" s="1"/>
  <c r="C5" i="13"/>
  <c r="D5" i="13"/>
  <c r="E5" i="13"/>
  <c r="F5" i="13"/>
  <c r="G5" i="13"/>
  <c r="H5" i="13"/>
  <c r="I5" i="13"/>
  <c r="J5" i="13"/>
  <c r="B5" i="13"/>
  <c r="U23" i="1" l="1"/>
  <c r="T9" i="10" s="1"/>
  <c r="T6" i="13" s="1"/>
  <c r="S9" i="10"/>
  <c r="S6" i="13" s="1"/>
  <c r="U30" i="1"/>
  <c r="S13" i="10"/>
  <c r="R8" i="13"/>
  <c r="U26" i="1"/>
  <c r="S12" i="10"/>
  <c r="S8" i="13" s="1"/>
  <c r="U36" i="1"/>
  <c r="S15" i="10"/>
  <c r="S10" i="13" s="1"/>
  <c r="U9" i="1"/>
  <c r="V9" i="1" s="1"/>
  <c r="S8" i="10"/>
  <c r="S5" i="13" s="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B3" i="10"/>
  <c r="C2" i="10"/>
  <c r="C4" i="13" s="1"/>
  <c r="D2" i="10"/>
  <c r="D4" i="13" s="1"/>
  <c r="E2" i="10"/>
  <c r="E4" i="13" s="1"/>
  <c r="F2" i="10"/>
  <c r="F4" i="13" s="1"/>
  <c r="G2" i="10"/>
  <c r="G4" i="13" s="1"/>
  <c r="H2" i="10"/>
  <c r="H4" i="13" s="1"/>
  <c r="I2" i="10"/>
  <c r="I4" i="13" s="1"/>
  <c r="J2" i="10"/>
  <c r="J4" i="13" s="1"/>
  <c r="K2" i="10"/>
  <c r="K4" i="13" s="1"/>
  <c r="L2" i="10"/>
  <c r="L4" i="13" s="1"/>
  <c r="M2" i="10"/>
  <c r="M4" i="13" s="1"/>
  <c r="N2" i="10"/>
  <c r="N4" i="13" s="1"/>
  <c r="O2" i="10"/>
  <c r="O4" i="13" s="1"/>
  <c r="P4" i="13"/>
  <c r="B2" i="10"/>
  <c r="B4" i="13" s="1"/>
  <c r="V30" i="1" l="1"/>
  <c r="T13" i="10"/>
  <c r="V36" i="1"/>
  <c r="T15" i="10"/>
  <c r="T10" i="13" s="1"/>
  <c r="V26" i="1"/>
  <c r="T12" i="10"/>
  <c r="W9" i="1"/>
  <c r="U8" i="10"/>
  <c r="U5" i="13" s="1"/>
  <c r="T8" i="10"/>
  <c r="T5" i="13" s="1"/>
  <c r="A1" i="13"/>
  <c r="T8" i="13" l="1"/>
  <c r="W26" i="1"/>
  <c r="U12" i="10"/>
  <c r="W36" i="1"/>
  <c r="U15" i="10"/>
  <c r="U10" i="13" s="1"/>
  <c r="W30" i="1"/>
  <c r="U13" i="10"/>
  <c r="X9" i="1"/>
  <c r="Y9" i="1" s="1"/>
  <c r="V8" i="10"/>
  <c r="V5" i="13" s="1"/>
  <c r="P20" i="10"/>
  <c r="P19" i="10"/>
  <c r="P18" i="10"/>
  <c r="P12" i="13" s="1"/>
  <c r="P16" i="10"/>
  <c r="P11" i="13" s="1"/>
  <c r="P15" i="10"/>
  <c r="P10" i="13" s="1"/>
  <c r="P14" i="10"/>
  <c r="P9" i="13" s="1"/>
  <c r="P13" i="10"/>
  <c r="P12" i="10"/>
  <c r="P11" i="10"/>
  <c r="P9" i="10"/>
  <c r="P6" i="13" s="1"/>
  <c r="P8" i="10"/>
  <c r="P5" i="13" s="1"/>
  <c r="P7" i="10"/>
  <c r="P6" i="10"/>
  <c r="P5" i="10"/>
  <c r="P4" i="10"/>
  <c r="Q24" i="1"/>
  <c r="P10" i="10" s="1"/>
  <c r="X30" i="1" l="1"/>
  <c r="V13" i="10"/>
  <c r="X26" i="1"/>
  <c r="V12" i="10"/>
  <c r="V8" i="13" s="1"/>
  <c r="X36" i="1"/>
  <c r="V15" i="10"/>
  <c r="V10" i="13" s="1"/>
  <c r="U8" i="13"/>
  <c r="Z9" i="1"/>
  <c r="X8" i="10"/>
  <c r="X5" i="13" s="1"/>
  <c r="P8" i="13"/>
  <c r="W8" i="10"/>
  <c r="W5" i="13" s="1"/>
  <c r="P7" i="13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C18" i="10"/>
  <c r="C12" i="13" s="1"/>
  <c r="D18" i="10"/>
  <c r="D12" i="13" s="1"/>
  <c r="E18" i="10"/>
  <c r="E12" i="13" s="1"/>
  <c r="F18" i="10"/>
  <c r="F12" i="13" s="1"/>
  <c r="G18" i="10"/>
  <c r="G12" i="13" s="1"/>
  <c r="H18" i="10"/>
  <c r="H12" i="13" s="1"/>
  <c r="I18" i="10"/>
  <c r="I12" i="13" s="1"/>
  <c r="J18" i="10"/>
  <c r="J12" i="13" s="1"/>
  <c r="K18" i="10"/>
  <c r="K12" i="13" s="1"/>
  <c r="L18" i="10"/>
  <c r="L12" i="13" s="1"/>
  <c r="M18" i="10"/>
  <c r="M12" i="13" s="1"/>
  <c r="N18" i="10"/>
  <c r="N12" i="13" s="1"/>
  <c r="O18" i="10"/>
  <c r="O12" i="13" s="1"/>
  <c r="B19" i="10"/>
  <c r="B18" i="10"/>
  <c r="B12" i="13" s="1"/>
  <c r="Y36" i="1" l="1"/>
  <c r="W15" i="10"/>
  <c r="W10" i="13" s="1"/>
  <c r="Y26" i="1"/>
  <c r="W12" i="10"/>
  <c r="Y30" i="1"/>
  <c r="W13" i="10"/>
  <c r="K8" i="10"/>
  <c r="K5" i="13" s="1"/>
  <c r="M8" i="10"/>
  <c r="M5" i="13" s="1"/>
  <c r="O14" i="1"/>
  <c r="N8" i="10" s="1"/>
  <c r="N5" i="13" s="1"/>
  <c r="P22" i="1"/>
  <c r="P15" i="1"/>
  <c r="P12" i="1"/>
  <c r="P13" i="1"/>
  <c r="P9" i="1"/>
  <c r="P10" i="1"/>
  <c r="P11" i="1"/>
  <c r="P8" i="1"/>
  <c r="O16" i="10"/>
  <c r="O11" i="13" s="1"/>
  <c r="C16" i="10"/>
  <c r="C11" i="13" s="1"/>
  <c r="D16" i="10"/>
  <c r="D11" i="13" s="1"/>
  <c r="E16" i="10"/>
  <c r="E11" i="13" s="1"/>
  <c r="F16" i="10"/>
  <c r="F11" i="13" s="1"/>
  <c r="G16" i="10"/>
  <c r="G11" i="13" s="1"/>
  <c r="H16" i="10"/>
  <c r="H11" i="13" s="1"/>
  <c r="I16" i="10"/>
  <c r="I11" i="13" s="1"/>
  <c r="J16" i="10"/>
  <c r="J11" i="13" s="1"/>
  <c r="K16" i="10"/>
  <c r="K11" i="13" s="1"/>
  <c r="L16" i="10"/>
  <c r="L11" i="13" s="1"/>
  <c r="M16" i="10"/>
  <c r="M11" i="13" s="1"/>
  <c r="N16" i="10"/>
  <c r="N11" i="13" s="1"/>
  <c r="B16" i="10"/>
  <c r="B11" i="13" s="1"/>
  <c r="C15" i="10"/>
  <c r="C10" i="13" s="1"/>
  <c r="D15" i="10"/>
  <c r="D10" i="13" s="1"/>
  <c r="E15" i="10"/>
  <c r="E10" i="13" s="1"/>
  <c r="F15" i="10"/>
  <c r="F10" i="13" s="1"/>
  <c r="G15" i="10"/>
  <c r="G10" i="13" s="1"/>
  <c r="H15" i="10"/>
  <c r="H10" i="13" s="1"/>
  <c r="I15" i="10"/>
  <c r="I10" i="13" s="1"/>
  <c r="J15" i="10"/>
  <c r="J10" i="13" s="1"/>
  <c r="K15" i="10"/>
  <c r="K10" i="13" s="1"/>
  <c r="L15" i="10"/>
  <c r="L10" i="13" s="1"/>
  <c r="M15" i="10"/>
  <c r="M10" i="13" s="1"/>
  <c r="N15" i="10"/>
  <c r="N10" i="13" s="1"/>
  <c r="O15" i="10"/>
  <c r="O10" i="13" s="1"/>
  <c r="B15" i="10"/>
  <c r="B10" i="13" s="1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B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B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B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B7" i="10"/>
  <c r="C9" i="10"/>
  <c r="C6" i="13" s="1"/>
  <c r="D9" i="10"/>
  <c r="D6" i="13" s="1"/>
  <c r="E9" i="10"/>
  <c r="E6" i="13" s="1"/>
  <c r="F9" i="10"/>
  <c r="F6" i="13" s="1"/>
  <c r="G9" i="10"/>
  <c r="G6" i="13" s="1"/>
  <c r="H9" i="10"/>
  <c r="H6" i="13" s="1"/>
  <c r="I9" i="10"/>
  <c r="I6" i="13" s="1"/>
  <c r="J9" i="10"/>
  <c r="J6" i="13" s="1"/>
  <c r="K9" i="10"/>
  <c r="K6" i="13" s="1"/>
  <c r="L9" i="10"/>
  <c r="L6" i="13" s="1"/>
  <c r="M9" i="10"/>
  <c r="M6" i="13" s="1"/>
  <c r="N9" i="10"/>
  <c r="N6" i="13" s="1"/>
  <c r="O9" i="10"/>
  <c r="O6" i="13" s="1"/>
  <c r="B9" i="10"/>
  <c r="B6" i="13" s="1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B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B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B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B13" i="10"/>
  <c r="C14" i="10"/>
  <c r="C9" i="13" s="1"/>
  <c r="D14" i="10"/>
  <c r="D9" i="13" s="1"/>
  <c r="E14" i="10"/>
  <c r="E9" i="13" s="1"/>
  <c r="F14" i="10"/>
  <c r="F9" i="13" s="1"/>
  <c r="G14" i="10"/>
  <c r="G9" i="13" s="1"/>
  <c r="H14" i="10"/>
  <c r="H9" i="13" s="1"/>
  <c r="I14" i="10"/>
  <c r="I9" i="13" s="1"/>
  <c r="J14" i="10"/>
  <c r="J9" i="13" s="1"/>
  <c r="K14" i="10"/>
  <c r="K9" i="13" s="1"/>
  <c r="L14" i="10"/>
  <c r="L9" i="13" s="1"/>
  <c r="M14" i="10"/>
  <c r="M9" i="13" s="1"/>
  <c r="N14" i="10"/>
  <c r="N9" i="13" s="1"/>
  <c r="O14" i="10"/>
  <c r="O9" i="13" s="1"/>
  <c r="B14" i="10"/>
  <c r="B9" i="13" s="1"/>
  <c r="W8" i="13" l="1"/>
  <c r="X13" i="10"/>
  <c r="X12" i="10"/>
  <c r="X15" i="10"/>
  <c r="X10" i="13" s="1"/>
  <c r="F8" i="13"/>
  <c r="J7" i="13"/>
  <c r="N8" i="13"/>
  <c r="J8" i="13"/>
  <c r="N7" i="13"/>
  <c r="F7" i="13"/>
  <c r="M8" i="13"/>
  <c r="E8" i="13"/>
  <c r="I7" i="13"/>
  <c r="L8" i="13"/>
  <c r="D8" i="13"/>
  <c r="B7" i="13"/>
  <c r="H7" i="13"/>
  <c r="I8" i="13"/>
  <c r="M7" i="13"/>
  <c r="E7" i="13"/>
  <c r="K8" i="13"/>
  <c r="C8" i="13"/>
  <c r="O7" i="13"/>
  <c r="G7" i="13"/>
  <c r="B8" i="13"/>
  <c r="D7" i="13"/>
  <c r="H8" i="13"/>
  <c r="L7" i="13"/>
  <c r="O8" i="13"/>
  <c r="G8" i="13"/>
  <c r="K7" i="13"/>
  <c r="C7" i="13"/>
  <c r="P16" i="1"/>
  <c r="P14" i="1"/>
  <c r="O8" i="10" s="1"/>
  <c r="O5" i="13" s="1"/>
  <c r="P20" i="1"/>
  <c r="O52" i="1"/>
  <c r="N20" i="10" s="1"/>
  <c r="P52" i="1"/>
  <c r="O20" i="10" s="1"/>
  <c r="X8" i="13" l="1"/>
  <c r="C52" i="1"/>
  <c r="B20" i="10" s="1"/>
  <c r="M16" i="1"/>
  <c r="M20" i="1"/>
  <c r="M14" i="1"/>
  <c r="L8" i="10" s="1"/>
  <c r="L5" i="13" s="1"/>
  <c r="D52" i="1"/>
  <c r="C20" i="10" s="1"/>
  <c r="E52" i="1"/>
  <c r="D20" i="10" s="1"/>
  <c r="F52" i="1"/>
  <c r="E20" i="10" s="1"/>
  <c r="I52" i="1"/>
  <c r="H20" i="10" s="1"/>
  <c r="J52" i="1"/>
  <c r="I20" i="10" s="1"/>
  <c r="K52" i="1"/>
  <c r="J20" i="10" s="1"/>
  <c r="M52" i="1"/>
  <c r="L20" i="10" s="1"/>
  <c r="N52" i="1"/>
  <c r="M20" i="10" s="1"/>
  <c r="G52" i="1" l="1"/>
  <c r="F20" i="10" s="1"/>
  <c r="H52" i="1"/>
  <c r="G20" i="10" s="1"/>
  <c r="L52" i="1"/>
  <c r="K20" i="10" s="1"/>
</calcChain>
</file>

<file path=xl/comments1.xml><?xml version="1.0" encoding="utf-8"?>
<comments xmlns="http://schemas.openxmlformats.org/spreadsheetml/2006/main">
  <authors>
    <author>Автор</author>
  </authors>
  <commentList>
    <comment ref="L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08.06.28
% ставка 4,75%
Ежемесячные %%</t>
        </r>
      </text>
    </comment>
    <comment ref="L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31.12.27
% ставка 6,25%
Ежеквартальные %%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01.06.48
% ставка 6,25%+инфляция+1%
Ежеквартальные %%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26.09.34
% ставка ЛИБОР+2,75, 0,25, 2,86
Ежегодные %%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26.09.34
% ставка ЛИБОР+3, 0,25, 2,86
Ежегодные %%</t>
        </r>
      </text>
    </comment>
    <comment ref="L1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26.09.34
% ставка ЛИБОР+3,8, 0.25, 2.86
Ежегодные %%</t>
        </r>
      </text>
    </comment>
    <comment ref="L14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30.12.30
% ставка 6%
Ежегодные %%</t>
        </r>
      </text>
    </comment>
    <comment ref="L15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20.12.28
% ставка 6%
Ежегодные %%</t>
        </r>
      </text>
    </comment>
    <comment ref="L1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30.12.35
% ставка Инфляция+1%
Ежемесячные %%</t>
        </r>
      </text>
    </comment>
    <comment ref="L2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26.08.47
% ставка 5%
Ежемесячные %%</t>
        </r>
      </text>
    </comment>
    <comment ref="L22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21.11.42
% ставка 7.5(депозиты ЦБ)
Ежеквартальные %%</t>
        </r>
      </text>
    </comment>
    <comment ref="L2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M2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N2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O2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P2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Q2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L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M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N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O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P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Q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L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M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N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O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P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Q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L4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Курсовая разница +1,559,734 млн. руб.</t>
        </r>
      </text>
    </comment>
  </commentList>
</comments>
</file>

<file path=xl/sharedStrings.xml><?xml version="1.0" encoding="utf-8"?>
<sst xmlns="http://schemas.openxmlformats.org/spreadsheetml/2006/main" count="1065" uniqueCount="228">
  <si>
    <t>01.02.2023</t>
  </si>
  <si>
    <t>Евро, млн</t>
  </si>
  <si>
    <t>Китайский юань, млн</t>
  </si>
  <si>
    <t>Золото (обезличенное), кг</t>
  </si>
  <si>
    <t>Рубли, млн</t>
  </si>
  <si>
    <t>Счета в ЦБ РФ</t>
  </si>
  <si>
    <t>Долговые обязательства иностранных государств, млн. долл. США</t>
  </si>
  <si>
    <t>Ценные бумаги российских эмитентов, связанные с реализацией самоокупаемых инфраструктурных проектов, млн. руб.</t>
  </si>
  <si>
    <t>Ценные бумаги российских эмитентов, связанные с реализацией самоокупаемых инфраструктурных проектов, млн. долл. США</t>
  </si>
  <si>
    <t>Привилегированные акции кредитных организаций</t>
  </si>
  <si>
    <t>Субординированные депозиты в Банк ВТБ (ПАО) и Банк ГПБ (АО) в целях финансирования самоокупаемых инфраструктурных проектов, млн. руб.</t>
  </si>
  <si>
    <t>АО ДОМ.РФ, млн.руб</t>
  </si>
  <si>
    <t>ОАО РЖД, млн. руб</t>
  </si>
  <si>
    <t>Привилегированные акции</t>
  </si>
  <si>
    <t>Облигации</t>
  </si>
  <si>
    <t>АО Авиакомпания Сибирь, млн. руб</t>
  </si>
  <si>
    <t>АО ГТЛК, млн. руб</t>
  </si>
  <si>
    <t>ОАО АК Уральские авилинии, млн. руб</t>
  </si>
  <si>
    <t>Общий объем ФНБ, млн. руб</t>
  </si>
  <si>
    <t>Доля ВВП</t>
  </si>
  <si>
    <t>Общий объем ФНБ, млн. долл США</t>
  </si>
  <si>
    <t>Объем ликвидных активов Фонда</t>
  </si>
  <si>
    <t>Средства на банковских счетах в Банке России, млн. руб</t>
  </si>
  <si>
    <t>Средства на банковских счетах в Банке России, млн. долл США</t>
  </si>
  <si>
    <t>Депозиты и субординированные депозиты в ВЭБ.РФ</t>
  </si>
  <si>
    <t>Кредитование субъектов малого и среднего предпринимательства, млн.руб</t>
  </si>
  <si>
    <t>Обеспечение достаточности собственных средств (капитала) ВЭБ.РФ, млн. руб</t>
  </si>
  <si>
    <t>Не регламентировано (обкспечение достаточности ВЭБ.РФ), млн. руб</t>
  </si>
  <si>
    <t>01.03.2023</t>
  </si>
  <si>
    <t>01.07.2023</t>
  </si>
  <si>
    <t>Банк ВТБ, млн. руб</t>
  </si>
  <si>
    <t>Россельхозбанк, млн. руб</t>
  </si>
  <si>
    <t>Банк ГПБ, млн. руб</t>
  </si>
  <si>
    <t>Категория</t>
  </si>
  <si>
    <t>Активы</t>
  </si>
  <si>
    <t>Долговые обязательства иностранных государств</t>
  </si>
  <si>
    <t>Ценные бумаги российских эмитентов, связанные с реализацией самоокупаемых инфраструктурных проектов</t>
  </si>
  <si>
    <t>Обыкновенные акции</t>
  </si>
  <si>
    <t>Субординированные депозиты</t>
  </si>
  <si>
    <t>ООО НЛК-Финанс, млн. руб</t>
  </si>
  <si>
    <t>ООО ВК, млн. руб</t>
  </si>
  <si>
    <t>Объем активов Фонда</t>
  </si>
  <si>
    <t>Доля ликвидных средств в ВВП</t>
  </si>
  <si>
    <t>Доля фонда в ВВП</t>
  </si>
  <si>
    <t>Доля ликвидных средств в общем объеме Фонда</t>
  </si>
  <si>
    <t>Доля ликвидных средств в общем объеме Фонда в долл. США эквиваленте</t>
  </si>
  <si>
    <t>01.10.2023</t>
  </si>
  <si>
    <t>01.09.2023</t>
  </si>
  <si>
    <t>01.08.2023</t>
  </si>
  <si>
    <t>01.06.2023</t>
  </si>
  <si>
    <t>01.05.2023</t>
  </si>
  <si>
    <t>01.04.2023</t>
  </si>
  <si>
    <t>01.01.2023</t>
  </si>
  <si>
    <t>Кредитование АО ДОМ.РФ, млн. руб</t>
  </si>
  <si>
    <t>Проект Лизинг вагонов Московского метро (КЖЦ-1), млн. руб</t>
  </si>
  <si>
    <t>Проект Строительство нового аэропортового комплекса Центральный (г. Саратов), млн. руб</t>
  </si>
  <si>
    <t>Проект Лизинг вагонов Московского метро (КЖЦ-2), млн. руб</t>
  </si>
  <si>
    <t>Проект Обновление подвижного состава ГУП Петербургский метрополитен, млн. руб</t>
  </si>
  <si>
    <t>Субординированный депозит (Программа Фабрика проектного финансирования)</t>
  </si>
  <si>
    <t>Фунты стерлингов, млн</t>
  </si>
  <si>
    <t>Японские йены, млн</t>
  </si>
  <si>
    <t>01.10.2022</t>
  </si>
  <si>
    <t>01.11.2022</t>
  </si>
  <si>
    <t>01.12.2022</t>
  </si>
  <si>
    <t>«Центральная кольцевая автомобильная дорога (Московская область)»</t>
  </si>
  <si>
    <t>облигации</t>
  </si>
  <si>
    <t>ППК «Фонд развития территорий»</t>
  </si>
  <si>
    <t>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</t>
  </si>
  <si>
    <t>«Строительство автомобильной дороги «Казань - Екатеринбург» на участке Дюртюли - Ачит»</t>
  </si>
  <si>
    <t>АО «ГТЛК»</t>
  </si>
  <si>
    <t>«Приобретение воздушных судов для последующей передачи в лизинг национальному перевозчику в Дальневосточном федеральном округе»</t>
  </si>
  <si>
    <t>Год</t>
  </si>
  <si>
    <t>Месяц</t>
  </si>
  <si>
    <t>Инструмент</t>
  </si>
  <si>
    <t>Количество</t>
  </si>
  <si>
    <t>Получатель</t>
  </si>
  <si>
    <t>Программа</t>
  </si>
  <si>
    <t>Сентябрь</t>
  </si>
  <si>
    <t>«Программа льготного лизинга гражданских судов водного транспорта»</t>
  </si>
  <si>
    <t>Сумма, млн. руб</t>
  </si>
  <si>
    <t>Август</t>
  </si>
  <si>
    <t>ГК «Российские автомобильные дороги»</t>
  </si>
  <si>
    <t>ООО «Авиакапитал-Сервис»</t>
  </si>
  <si>
    <t>«Проект льготного лизинга отечественных воздушных судов»</t>
  </si>
  <si>
    <t>«Приобретение вертолетов отечественного производства для последующей передачи в лизинг для нужд российских авиакомпаний»</t>
  </si>
  <si>
    <t>ОАО «Ямал СПГ»</t>
  </si>
  <si>
    <t>ОАО АК «Уральские авиалинии»</t>
  </si>
  <si>
    <t>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</t>
  </si>
  <si>
    <t>Приобретение облигаций, август 2022 года</t>
  </si>
  <si>
    <t>Приобретение облигаций, июнь 2023 года</t>
  </si>
  <si>
    <t>Июль</t>
  </si>
  <si>
    <t>«Приобретение подвижного состава наземного общественного пассажирского транспорта для последующей передачи в лизинг»</t>
  </si>
  <si>
    <t>ООО «НЛК-Финанс»</t>
  </si>
  <si>
    <t>Приобретение облигаций, апрель 2023 года</t>
  </si>
  <si>
    <t>АО «Авиакомпания «Сибирь»</t>
  </si>
  <si>
    <t>Приобретение облигаций, июль 2022 года</t>
  </si>
  <si>
    <t>Июнь</t>
  </si>
  <si>
    <t>Май</t>
  </si>
  <si>
    <t>привилегированные акции</t>
  </si>
  <si>
    <t>ОАО «РЖД»</t>
  </si>
  <si>
    <t>«Развитие железнодорожной инфраструктуры Центрального транспортного узла»</t>
  </si>
  <si>
    <t>Апрель</t>
  </si>
  <si>
    <t>Март</t>
  </si>
  <si>
    <t>Февраль</t>
  </si>
  <si>
    <t>Декабрь</t>
  </si>
  <si>
    <t>«Строительство автомобильной дороги М-12 «Строящаяся скоростная автомобильная дорога Москва – Нижний Новгород – Казань»</t>
  </si>
  <si>
    <t>«Строительство автомобильной дороги М-11 «Нева», этап 3 на участке км 149 - км 208 (Обход г. Твери)»</t>
  </si>
  <si>
    <t>ООО «Инфраструктурные инвестиции - 3»</t>
  </si>
  <si>
    <t>«Строительство «интеллектуальных сетей», 2014 год</t>
  </si>
  <si>
    <t>Ноябрь</t>
  </si>
  <si>
    <t>ГК Фонд содействия реформированию жилищно-коммунального хозяйства</t>
  </si>
  <si>
    <t>Октябрь</t>
  </si>
  <si>
    <t>Банк ВТБ (ПАО), млн.руб*</t>
  </si>
  <si>
    <t>ООО «ЗапСибНефтехим»</t>
  </si>
  <si>
    <t>«Строительство интегрированного нефтехимического комплекса «Западно-Сибирский нефтехимический комбинат»</t>
  </si>
  <si>
    <t>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</t>
  </si>
  <si>
    <t>ПАО Аэрофлот, млн. Руб (1531234889 акций * 34,29 руб, 833333333 акций * 60 руб)</t>
  </si>
  <si>
    <t>* За счет субординированного депозита приобретение облигаций ГК "Российские автомобильные дороги" для реализации проекта «Центральная кольцевая автомобильная дорога (Московская область)», млн: 400 + 400 + 450 + 800 + 680 + 1350 + 500 + 2000 + 4000 + 2000</t>
  </si>
  <si>
    <t>Финансирование приобретения ВЭБ.РФ акций ГПБ, млн. руб**</t>
  </si>
  <si>
    <t>**В июне 2020 г. срок возврата депозита, размещенного в 2012 г. продлен до 8 июня 2028 г. при одновременном снижении процентной ставки с 6,25% до 4,75% годовых.</t>
  </si>
  <si>
    <t>ПАО Сбербанк, млн. руб (11293474001 * 189,44 руб)</t>
  </si>
  <si>
    <t>Январь</t>
  </si>
  <si>
    <t>Субординированные депозиты в Банке ГПБ (АО) в целях финансирования самоокупаемых инфраструктурных проектов, млн. руб.***</t>
  </si>
  <si>
    <t>АО «Атомэнергопром»</t>
  </si>
  <si>
    <t>«Сооружение АЭС «Ханхикиви-1» в Финляндии»</t>
  </si>
  <si>
    <t>ООО «Инфраструктурные инвестиции - 4»</t>
  </si>
  <si>
    <t>«Ликвидация цифрового неравенства в малонаселенных пунктах России»</t>
  </si>
  <si>
    <t>01.11.2023</t>
  </si>
  <si>
    <t>Проект комплекса наземного электрического транспорта в Нижнем Новгороде, млн. руб</t>
  </si>
  <si>
    <t>Volume of the National Wealth Fund, RUB mln</t>
  </si>
  <si>
    <t>Volume of the National Wealth Fund, USD mln</t>
  </si>
  <si>
    <t>Debt obligations of foreign countries, USD mln</t>
  </si>
  <si>
    <t>Securities of Russian issuers related to the implementation of self-sustaining infrastructure projects, RUB mln</t>
  </si>
  <si>
    <t>Securities of Russian issuers related to the implementation of self-sustaining infrastructure projects, USD mln</t>
  </si>
  <si>
    <t>Preferred shares of credit organizations, RUB mln</t>
  </si>
  <si>
    <t>Subordinated debt with GAZPROMBANK, RUB mln</t>
  </si>
  <si>
    <t>Common stocks, RUB mln</t>
  </si>
  <si>
    <t>Preferred shares, RUB mln</t>
  </si>
  <si>
    <t>Bonds, RUB mln</t>
  </si>
  <si>
    <t>Data</t>
  </si>
  <si>
    <t>Balance on Federal Treasury accounts with the Bank of the Russia, EUR mln</t>
  </si>
  <si>
    <t>Balance on Federal Treasury accounts with the Bank of the Russia, CNY mln</t>
  </si>
  <si>
    <t>Balance on Federal Treasury accounts with the Bank of the Russia, GOLD kg</t>
  </si>
  <si>
    <t>Balance on Federal Treasury accounts with the Bank of the Russia, RUB mln</t>
  </si>
  <si>
    <t>Volume of liquid assets of the Fund, RUB mln</t>
  </si>
  <si>
    <t>Volume of liquid assets of the Fund, USD mln</t>
  </si>
  <si>
    <t>Share of liquid assets in the total Fund in USD equivalent</t>
  </si>
  <si>
    <t>01.12.2023</t>
  </si>
  <si>
    <t>Deposits and subordinated debt with VEB_RF, RUB mln</t>
  </si>
  <si>
    <t>CBR exchange rate for USD</t>
  </si>
  <si>
    <t>Preferred shares and subordinated debt of credit organizations</t>
  </si>
  <si>
    <t>Liquid assets of the Fund</t>
  </si>
  <si>
    <t>Bonds</t>
  </si>
  <si>
    <t>Preferred shares</t>
  </si>
  <si>
    <t>Common stocks</t>
  </si>
  <si>
    <t>Securities related to the implementation of infrastructure projects</t>
  </si>
  <si>
    <t>Debt obligations of foreign countries</t>
  </si>
  <si>
    <t>Deposits and subordinated debt with VEB_RF</t>
  </si>
  <si>
    <t>Entity</t>
  </si>
  <si>
    <t>RUB, mln</t>
  </si>
  <si>
    <t>Sberbank</t>
  </si>
  <si>
    <t>RZD</t>
  </si>
  <si>
    <t>VEB.RF</t>
  </si>
  <si>
    <t>Сумма по полю Сумма, млн. руб</t>
  </si>
  <si>
    <t>Названия строк</t>
  </si>
  <si>
    <t>Общий итог</t>
  </si>
  <si>
    <t>(пусто)</t>
  </si>
  <si>
    <t>#</t>
  </si>
  <si>
    <t>Avtodor</t>
  </si>
  <si>
    <t>VTB</t>
  </si>
  <si>
    <t>Ukraine</t>
  </si>
  <si>
    <t>NLK-Finance</t>
  </si>
  <si>
    <t>Названия столбцов</t>
  </si>
  <si>
    <t>Yamal LNG</t>
  </si>
  <si>
    <t>GTLK</t>
  </si>
  <si>
    <t>Avia Capital Services</t>
  </si>
  <si>
    <t>DOM.RF</t>
  </si>
  <si>
    <t>Territory Development Fund</t>
  </si>
  <si>
    <t>Aeroflot</t>
  </si>
  <si>
    <t>Vkontakte (VK)</t>
  </si>
  <si>
    <t>Atomenergoprom</t>
  </si>
  <si>
    <t>RSHB</t>
  </si>
  <si>
    <t>II-4</t>
  </si>
  <si>
    <t>Gazprombank</t>
  </si>
  <si>
    <t>01.01.2024</t>
  </si>
  <si>
    <t>Rosteh</t>
  </si>
  <si>
    <t>01.02.2024</t>
  </si>
  <si>
    <t>01.03.2024</t>
  </si>
  <si>
    <t>01.04.2024</t>
  </si>
  <si>
    <t>01.05.2024</t>
  </si>
  <si>
    <t>Проект Комплекс по переработке этансодержащего газа в п. Усть-Луга</t>
  </si>
  <si>
    <t>Other RUS issuers</t>
  </si>
  <si>
    <t>Проект</t>
  </si>
  <si>
    <t>СПГ-завод в составе КПЭГ в Усть-Луге</t>
  </si>
  <si>
    <t>Паспорт</t>
  </si>
  <si>
    <t>Иные ссылки</t>
  </si>
  <si>
    <t>Neftegaz.RU</t>
  </si>
  <si>
    <t>Общий объем, млн руб</t>
  </si>
  <si>
    <t>Объем ФНБ, млн. руб</t>
  </si>
  <si>
    <t>Профинансировано, млн. руб.</t>
  </si>
  <si>
    <t>Доля профинансированного</t>
  </si>
  <si>
    <t>Осталось профинансировать</t>
  </si>
  <si>
    <t>Срок реализации проекта</t>
  </si>
  <si>
    <t>2021-2027</t>
  </si>
  <si>
    <t>Участники</t>
  </si>
  <si>
    <t>ООО «РусХимАльянс» (ПАО «Газпром» и АО «РусГаздобыча»), ООО «Балтийский Химический Комплекс» (АО «РусГаздобыча»)</t>
  </si>
  <si>
    <t>01.06.2024</t>
  </si>
  <si>
    <t>01.07.2024</t>
  </si>
  <si>
    <t>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</t>
  </si>
  <si>
    <t>ГК Ростех, млн. руб.</t>
  </si>
  <si>
    <t>01.08.2024</t>
  </si>
  <si>
    <t>Иные российские эмитенты, млн. руб.</t>
  </si>
  <si>
    <t>Иные российские эмитенты, млн. юаней</t>
  </si>
  <si>
    <t>Bonds, CNY mln</t>
  </si>
  <si>
    <t>Проект комплекса наземного электрического транспорта в Липецке, млн. руб</t>
  </si>
  <si>
    <t>Проект комплекса наземного электрического транспорта в Курске, млн. руб</t>
  </si>
  <si>
    <t>CBR exchange rate for CNY</t>
  </si>
  <si>
    <t>01.09.2024</t>
  </si>
  <si>
    <t>01.10.2024</t>
  </si>
  <si>
    <t>01.11.2024</t>
  </si>
  <si>
    <t>01.12.2024</t>
  </si>
  <si>
    <t>*** облигации ГК «Автодор» в целях финансирования инфраструктурного проекта «Центральная кольцевая автомобильная дорога (Московская область)» 2017 год</t>
  </si>
  <si>
    <t>01.01.2025</t>
  </si>
  <si>
    <t>ГК Ростех</t>
  </si>
  <si>
    <t>«Комплексная программа по расширению производства воздушных судов, авиационных двигателей, приборов и агрегатов, в том числе в целях создания системы послепродажного обслуживания гражданских воздушных судов</t>
  </si>
  <si>
    <t>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</t>
  </si>
  <si>
    <t>Mayak FSUE</t>
  </si>
  <si>
    <t>Ростех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</si>
</sst>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alibri Light"/>
      <family val="2"/>
      <charset val="204"/>
      <scheme val="major"/>
    </font>
    <font>
      <sz val="10"/>
      <color rgb="FF2A3143"/>
      <name val="Calibri Light"/>
      <family val="2"/>
      <charset val="204"/>
      <scheme val="maj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0" borderId="0" xfId="0" applyNumberFormat="1" applyFill="1"/>
    <xf numFmtId="0" fontId="0" fillId="0" borderId="0" xfId="0" applyFill="1"/>
    <xf numFmtId="0" fontId="0" fillId="3" borderId="0" xfId="0" applyFill="1"/>
    <xf numFmtId="165" fontId="0" fillId="0" borderId="0" xfId="0" applyNumberFormat="1" applyFill="1"/>
    <xf numFmtId="0" fontId="3" fillId="0" borderId="0" xfId="0" applyFont="1"/>
    <xf numFmtId="0" fontId="4" fillId="0" borderId="0" xfId="0" applyFont="1"/>
    <xf numFmtId="1" fontId="3" fillId="0" borderId="0" xfId="0" applyNumberFormat="1" applyFont="1"/>
    <xf numFmtId="1" fontId="0" fillId="0" borderId="0" xfId="0" applyNumberFormat="1"/>
    <xf numFmtId="1" fontId="0" fillId="0" borderId="0" xfId="0" applyNumberForma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5" fillId="2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6" fillId="0" borderId="0" xfId="1" applyAlignment="1">
      <alignment wrapText="1"/>
    </xf>
    <xf numFmtId="0" fontId="0" fillId="2" borderId="0" xfId="0" applyFill="1" applyAlignment="1">
      <alignment horizontal="left"/>
    </xf>
    <xf numFmtId="0" fontId="6" fillId="0" borderId="0" xfId="1"/>
  </cellXfs>
  <cellStyles count="2">
    <cellStyle name="Гиперссылка" xfId="1" builtinId="8"/>
    <cellStyle name="Обычный" xfId="0" builtinId="0"/>
  </cellStyles>
  <dxfs count="7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674.134173611114" createdVersion="6" refreshedVersion="6" minRefreshableVersion="3" recordCount="159">
  <cacheSource type="worksheet">
    <worksheetSource ref="A1:G1048576" sheet="infra_invest"/>
  </cacheSource>
  <cacheFields count="7">
    <cacheField name="Год" numFmtId="0">
      <sharedItems containsString="0" containsBlank="1" containsNumber="1" containsInteger="1" minValue="2014" maxValue="2024"/>
    </cacheField>
    <cacheField name="Месяц" numFmtId="0">
      <sharedItems containsBlank="1"/>
    </cacheField>
    <cacheField name="Сумма, млн. руб" numFmtId="0">
      <sharedItems containsString="0" containsBlank="1" containsNumber="1" minValue="-141802" maxValue="123643"/>
    </cacheField>
    <cacheField name="Инструмент" numFmtId="0">
      <sharedItems containsBlank="1" count="3">
        <s v="облигации"/>
        <s v="привилегированные акции"/>
        <m/>
      </sharedItems>
    </cacheField>
    <cacheField name="Количество" numFmtId="0">
      <sharedItems containsString="0" containsBlank="1" containsNumber="1" minValue="1" maxValue="123643009"/>
    </cacheField>
    <cacheField name="Получатель" numFmtId="0">
      <sharedItems containsBlank="1" count="17">
        <s v="АО «ГТЛК»"/>
        <s v="ООО «НЛК-Финанс»"/>
        <s v="ППК «Фонд развития территорий»"/>
        <s v="ГК «Российские автомобильные дороги»"/>
        <s v="ГК Ростех"/>
        <s v="ОАО «РЖД»"/>
        <s v="ООО «Авиакапитал-Сервис»"/>
        <s v="ГК Фонд содействия реформированию жилищно-коммунального хозяйства"/>
        <s v="ООО «ЗапСибНефтехим»"/>
        <s v="ОАО «Ямал СПГ»"/>
        <s v="АО «Атомэнергопром»"/>
        <s v="ООО «Инфраструктурные инвестиции - 3»"/>
        <s v="ООО «Инфраструктурные инвестиции - 4»"/>
        <s v="ОАО АК «Уральские авиалинии»"/>
        <s v="АО «Авиакомпания «Сибирь»"/>
        <m/>
        <s v="Получатель" u="1"/>
      </sharedItems>
    </cacheField>
    <cacheField name="Программа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">
  <r>
    <n v="2024"/>
    <s v="Декабрь"/>
    <n v="-5.4"/>
    <x v="0"/>
    <m/>
    <x v="0"/>
    <s v="«Программа льготного лизинга гражданских судов водного транспорта»"/>
  </r>
  <r>
    <n v="2024"/>
    <s v="Декабрь"/>
    <n v="-126.8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Декабрь"/>
    <n v="-2666.7"/>
    <x v="0"/>
    <m/>
    <x v="1"/>
    <m/>
  </r>
  <r>
    <n v="2024"/>
    <s v="Декабрь"/>
    <n v="347.4"/>
    <x v="0"/>
    <n v="347398"/>
    <x v="0"/>
    <s v="«Программа льготного лизинга гражданских судов водного транспорта»"/>
  </r>
  <r>
    <n v="2024"/>
    <s v="Декабрь"/>
    <n v="564.4"/>
    <x v="0"/>
    <n v="564369"/>
    <x v="2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"/>
  </r>
  <r>
    <n v="2024"/>
    <s v="Декабрь"/>
    <n v="2519.9"/>
    <x v="0"/>
    <n v="2519900"/>
    <x v="3"/>
    <s v="«Центральная кольцевая автомобильная дорога (Московская область)»"/>
  </r>
  <r>
    <n v="2024"/>
    <s v="Декабрь"/>
    <n v="6286.5"/>
    <x v="0"/>
    <n v="6286533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Декабрь"/>
    <n v="32841.800000000003"/>
    <x v="0"/>
    <n v="32841792"/>
    <x v="3"/>
    <s v="«Строительство автомобильной дороги «Казань - Екатеринбург» на участке Дюртюли - Ачит»"/>
  </r>
  <r>
    <n v="2024"/>
    <s v="Декабрь"/>
    <n v="111093.5"/>
    <x v="0"/>
    <n v="111093512"/>
    <x v="4"/>
    <s v="«Комплексная программа по расширению производства воздушных судов, авиационных двигателей, приборов и агрегатов, в том числе в целях создания системы послепродажного обслуживания гражданских воздушных судов"/>
  </r>
  <r>
    <n v="2024"/>
    <s v="Ноябрь"/>
    <n v="-78.900000000000006"/>
    <x v="0"/>
    <m/>
    <x v="0"/>
    <s v="«Приобретение вертолетов отечественного производства для последующей передачи в лизинг для нужд российских авиакомпаний»"/>
  </r>
  <r>
    <n v="2024"/>
    <s v="Ноябрь"/>
    <n v="-218.5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Ноябрь"/>
    <n v="-1020.1"/>
    <x v="0"/>
    <m/>
    <x v="1"/>
    <m/>
  </r>
  <r>
    <n v="2024"/>
    <s v="Ноябрь"/>
    <n v="2093.4"/>
    <x v="0"/>
    <n v="2093362"/>
    <x v="2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Ноябрь"/>
    <n v="4779"/>
    <x v="0"/>
    <n v="4778963"/>
    <x v="0"/>
    <s v="«Программа льготного лизинга гражданских судов водного транспорта»"/>
  </r>
  <r>
    <n v="2024"/>
    <s v="Ноябрь"/>
    <n v="6400"/>
    <x v="0"/>
    <n v="6400000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Октябрь"/>
    <n v="-131.69999999999999"/>
    <x v="0"/>
    <m/>
    <x v="0"/>
    <m/>
  </r>
  <r>
    <n v="2024"/>
    <s v="Октябрь"/>
    <n v="-804.7"/>
    <x v="0"/>
    <m/>
    <x v="1"/>
    <m/>
  </r>
  <r>
    <n v="2024"/>
    <s v="Октябрь"/>
    <n v="6613"/>
    <x v="0"/>
    <n v="6613007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Октябрь"/>
    <n v="7048.9"/>
    <x v="0"/>
    <n v="7048930"/>
    <x v="2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Сентябрь"/>
    <n v="-123.9"/>
    <x v="0"/>
    <m/>
    <x v="0"/>
    <m/>
  </r>
  <r>
    <n v="2024"/>
    <s v="Сентябрь"/>
    <n v="-3086.3"/>
    <x v="0"/>
    <m/>
    <x v="1"/>
    <m/>
  </r>
  <r>
    <n v="2024"/>
    <s v="Сентябрь"/>
    <n v="400"/>
    <x v="0"/>
    <n v="400000"/>
    <x v="3"/>
    <s v="«Центральная кольцевая автомобильная дорога (Московская область)»"/>
  </r>
  <r>
    <n v="2024"/>
    <s v="Сентябрь"/>
    <n v="810.7"/>
    <x v="0"/>
    <n v="810724"/>
    <x v="2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Сентябрь"/>
    <n v="2651"/>
    <x v="0"/>
    <n v="2650967"/>
    <x v="3"/>
    <s v="«Строительство автомобильной дороги «Казань - Екатеринбург» на участке Дюртюли - Ачит»"/>
  </r>
  <r>
    <n v="2024"/>
    <s v="Сентябрь"/>
    <n v="3680.4"/>
    <x v="0"/>
    <n v="3680356"/>
    <x v="0"/>
    <s v="«Программа льготного лизинга гражданских судов водного транспорта»"/>
  </r>
  <r>
    <n v="2024"/>
    <s v="Август"/>
    <n v="-49.1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вгуст"/>
    <n v="-1020.1"/>
    <x v="0"/>
    <m/>
    <x v="1"/>
    <m/>
  </r>
  <r>
    <n v="2024"/>
    <s v="Август"/>
    <n v="1066.8"/>
    <x v="0"/>
    <n v="1066780"/>
    <x v="2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Август"/>
    <n v="5883.7"/>
    <x v="0"/>
    <n v="5883653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вгуст"/>
    <n v="19500"/>
    <x v="0"/>
    <n v="19500000"/>
    <x v="3"/>
    <s v="«Строительство автомобильной дороги «Казань - Екатеринбург» на участке Дюртюли - Ачит»"/>
  </r>
  <r>
    <n v="2024"/>
    <s v="Июль"/>
    <n v="-80.8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ль"/>
    <n v="-804.7"/>
    <x v="0"/>
    <m/>
    <x v="1"/>
    <m/>
  </r>
  <r>
    <n v="2024"/>
    <s v="Июль"/>
    <n v="500"/>
    <x v="0"/>
    <n v="500000"/>
    <x v="3"/>
    <s v="«Центральная кольцевая автомобильная дорога (Московская область)»"/>
  </r>
  <r>
    <n v="2024"/>
    <s v="Июль"/>
    <n v="914.2"/>
    <x v="0"/>
    <n v="914206"/>
    <x v="0"/>
    <s v="«Программа льготного лизинга гражданских судов водного транспорта»"/>
  </r>
  <r>
    <n v="2024"/>
    <s v="Июль"/>
    <n v="3873.6"/>
    <x v="0"/>
    <n v="3873626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нь"/>
    <n v="-122.3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нь"/>
    <n v="-2673.2"/>
    <x v="0"/>
    <m/>
    <x v="1"/>
    <s v="Приобретение облигаций, апрель 2023 года"/>
  </r>
  <r>
    <n v="2024"/>
    <s v="Июнь"/>
    <n v="494.7"/>
    <x v="0"/>
    <n v="494731"/>
    <x v="0"/>
    <s v="«Программа льготного лизинга гражданских судов водного транспорта»"/>
  </r>
  <r>
    <n v="2024"/>
    <s v="Июнь"/>
    <n v="500"/>
    <x v="0"/>
    <n v="500000"/>
    <x v="3"/>
    <s v="«Центральная кольцевая автомобильная дорога (Московская область)»"/>
  </r>
  <r>
    <n v="2024"/>
    <s v="Июнь"/>
    <n v="6948.3"/>
    <x v="0"/>
    <n v="6948286"/>
    <x v="2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Июнь"/>
    <n v="9584.6"/>
    <x v="0"/>
    <n v="9584568"/>
    <x v="3"/>
    <s v="«Строительство автомобильной дороги «Казань - Екатеринбург» на участке Дюртюли - Ачит»"/>
  </r>
  <r>
    <n v="2024"/>
    <s v="Май"/>
    <n v="-111.4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й"/>
    <n v="-1020.1"/>
    <x v="0"/>
    <n v="524221.36499999999"/>
    <x v="1"/>
    <s v="Приобретение облигаций, апрель 2023 года"/>
  </r>
  <r>
    <n v="2024"/>
    <s v="Май"/>
    <n v="798.8"/>
    <x v="0"/>
    <n v="798819"/>
    <x v="0"/>
    <s v="«Программа льготного лизинга гражданских судов водного транспорта»"/>
  </r>
  <r>
    <n v="2024"/>
    <s v="Май"/>
    <n v="5408.4"/>
    <x v="0"/>
    <n v="5408378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й"/>
    <n v="8686.1"/>
    <x v="0"/>
    <n v="8686092"/>
    <x v="0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4"/>
    <s v="Май"/>
    <n v="16290"/>
    <x v="0"/>
    <n v="16290000"/>
    <x v="0"/>
    <s v="«Приобретение вертолетов отечественного производства для последующей передачи в лизинг для нужд российских авиакомпаний»"/>
  </r>
  <r>
    <n v="2024"/>
    <s v="Апрель"/>
    <n v="-15.5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прель"/>
    <n v="1609.9"/>
    <x v="0"/>
    <n v="1609865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прель"/>
    <n v="1994.2"/>
    <x v="0"/>
    <n v="1994162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Март"/>
    <n v="-49.9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рт"/>
    <n v="1226.9000000000001"/>
    <x v="0"/>
    <n v="1226864"/>
    <x v="0"/>
    <s v="«Программа льготного лизинга гражданских судов водного транспорта»"/>
  </r>
  <r>
    <n v="2024"/>
    <s v="Март"/>
    <n v="1893"/>
    <x v="0"/>
    <n v="1893011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Март"/>
    <n v="12859.2"/>
    <x v="0"/>
    <n v="12859247"/>
    <x v="3"/>
    <s v="«Строительство автомобильной дороги «Казань - Екатеринбург» на участке Дюртюли - Ачит»"/>
  </r>
  <r>
    <n v="2024"/>
    <s v="Февраль"/>
    <n v="1580.4"/>
    <x v="0"/>
    <n v="1580376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Февраль"/>
    <n v="4447.1000000000004"/>
    <x v="0"/>
    <n v="4447120"/>
    <x v="0"/>
    <s v="«Программа льготного лизинга гражданских судов водного транспорта»"/>
  </r>
  <r>
    <n v="2023"/>
    <s v="Декабрь"/>
    <n v="76841.3"/>
    <x v="1"/>
    <n v="76841289"/>
    <x v="5"/>
    <s v="«Развитие железнодорожной инфраструктуры Центрального транспортного узла»"/>
  </r>
  <r>
    <n v="2023"/>
    <s v="Декабрь"/>
    <n v="7896.7"/>
    <x v="0"/>
    <n v="7896728"/>
    <x v="3"/>
    <s v="«Строительство автомобильной дороги М-11 «Нева», этап 3 на участке км 149 - км 208 (Обход г. Твери)»"/>
  </r>
  <r>
    <n v="2023"/>
    <s v="Декабрь"/>
    <n v="34497.5"/>
    <x v="0"/>
    <n v="34497540"/>
    <x v="6"/>
    <s v="«Проект льготного лизинга отечественных воздушных судов»"/>
  </r>
  <r>
    <n v="2023"/>
    <s v="Декабрь"/>
    <n v="2286.6999999999998"/>
    <x v="0"/>
    <n v="2286725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Декабрь"/>
    <n v="2926.5"/>
    <x v="0"/>
    <n v="2926533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Декабрь"/>
    <n v="49570"/>
    <x v="0"/>
    <n v="49569991"/>
    <x v="3"/>
    <s v="«Строительство автомобильной дороги «Казань - Екатеринбург» на участке Дюртюли - Ачит»"/>
  </r>
  <r>
    <n v="2023"/>
    <s v="Декабрь"/>
    <n v="1600"/>
    <x v="0"/>
    <n v="1600000"/>
    <x v="3"/>
    <s v="«Центральная кольцевая автомобильная дорога (Московская область)»"/>
  </r>
  <r>
    <n v="2023"/>
    <s v="Декабрь"/>
    <n v="8720.7000000000007"/>
    <x v="0"/>
    <n v="8720735"/>
    <x v="0"/>
    <s v="«Программа льготного лизинга гражданских судов водного транспорта»"/>
  </r>
  <r>
    <n v="2024"/>
    <s v="Январь"/>
    <n v="-62.1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Декабрь"/>
    <n v="-7243.9000000000233"/>
    <x v="0"/>
    <m/>
    <x v="3"/>
    <m/>
  </r>
  <r>
    <n v="2023"/>
    <s v="Декабрь"/>
    <n v="-48.665200000003097"/>
    <x v="0"/>
    <m/>
    <x v="0"/>
    <m/>
  </r>
  <r>
    <n v="2023"/>
    <s v="Ноябрь"/>
    <n v="10797.1"/>
    <x v="0"/>
    <n v="10797144"/>
    <x v="0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Ноябрь"/>
    <n v="1551.5"/>
    <x v="0"/>
    <n v="1551604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Ноябрь"/>
    <n v="12000"/>
    <x v="0"/>
    <n v="12000000"/>
    <x v="3"/>
    <s v="«Строительство автомобильной дороги «Казань - Екатеринбург» на участке Дюртюли - Ачит»"/>
  </r>
  <r>
    <n v="2023"/>
    <s v="Ноябрь"/>
    <n v="6572.5"/>
    <x v="0"/>
    <n v="6572481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Ноябрь"/>
    <n v="1800"/>
    <x v="0"/>
    <n v="1800000"/>
    <x v="3"/>
    <s v="«Центральная кольцевая автомобильная дорога (Московская область)»"/>
  </r>
  <r>
    <n v="2023"/>
    <s v="Октябрь"/>
    <n v="500"/>
    <x v="0"/>
    <n v="500000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Октябрь"/>
    <n v="21091.3"/>
    <x v="0"/>
    <n v="21091262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Октябрь"/>
    <n v="400"/>
    <x v="0"/>
    <n v="400000"/>
    <x v="3"/>
    <s v="«Центральная кольцевая автомобильная дорога (Московская область)»"/>
  </r>
  <r>
    <n v="2023"/>
    <s v="Сентябрь"/>
    <n v="1100"/>
    <x v="0"/>
    <n v="1100000"/>
    <x v="3"/>
    <s v="«Центральная кольцевая автомобильная дорога (Московская область)»"/>
  </r>
  <r>
    <n v="2023"/>
    <s v="Сентябрь"/>
    <n v="13767"/>
    <x v="0"/>
    <n v="13766983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Сентябрь"/>
    <n v="19984.900000000001"/>
    <x v="0"/>
    <n v="19984872"/>
    <x v="3"/>
    <s v="«Строительство автомобильной дороги «Казань - Екатеринбург» на участке Дюртюли - Ачит»"/>
  </r>
  <r>
    <n v="2023"/>
    <s v="Сентябрь"/>
    <n v="1E-3"/>
    <x v="0"/>
    <n v="1"/>
    <x v="0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Сентябрь"/>
    <n v="21237.1"/>
    <x v="0"/>
    <n v="21237134"/>
    <x v="0"/>
    <s v="«Программа льготного лизинга гражданских судов водного транспорта»"/>
  </r>
  <r>
    <n v="2023"/>
    <s v="Август"/>
    <n v="2241.6"/>
    <x v="0"/>
    <n v="2241607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Август"/>
    <n v="4600"/>
    <x v="0"/>
    <n v="4600000"/>
    <x v="3"/>
    <s v="«Строительство автомобильной дороги «Казань - Екатеринбург» на участке Дюртюли - Ачит»"/>
  </r>
  <r>
    <n v="2023"/>
    <s v="Август"/>
    <n v="123643"/>
    <x v="0"/>
    <n v="123643009"/>
    <x v="6"/>
    <s v="«Проект льготного лизинга отечественных воздушных судов»"/>
  </r>
  <r>
    <n v="2023"/>
    <s v="Август"/>
    <n v="12766"/>
    <x v="0"/>
    <n v="12766000"/>
    <x v="0"/>
    <s v="«Приобретение вертолетов отечественного производства для последующей передачи в лизинг для нужд российских авиакомпаний»"/>
  </r>
  <r>
    <n v="2023"/>
    <s v="Август"/>
    <n v="16054.2"/>
    <x v="0"/>
    <n v="16054214"/>
    <x v="0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Июль"/>
    <n v="3134.9"/>
    <x v="0"/>
    <n v="3134869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Июль"/>
    <n v="2000"/>
    <x v="0"/>
    <n v="2000000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Июнь"/>
    <n v="9361.9"/>
    <x v="0"/>
    <n v="9361922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Июнь"/>
    <n v="28300"/>
    <x v="0"/>
    <n v="28300000"/>
    <x v="3"/>
    <s v="«Строительство автомобильной дороги «Казань - Екатеринбург» на участке Дюртюли - Ачит»"/>
  </r>
  <r>
    <n v="2023"/>
    <s v="Июнь"/>
    <n v="17248.8"/>
    <x v="0"/>
    <n v="17248770"/>
    <x v="6"/>
    <s v="«Проект льготного лизинга отечественных воздушных судов»"/>
  </r>
  <r>
    <n v="2023"/>
    <s v="Июнь"/>
    <n v="1578.2"/>
    <x v="0"/>
    <n v="1578243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Июнь"/>
    <n v="15450"/>
    <x v="0"/>
    <n v="15450000"/>
    <x v="0"/>
    <s v="«Приобретение вертолетов отечественного производства для последующей передачи в лизинг для нужд российских авиакомпаний»"/>
  </r>
  <r>
    <n v="2023"/>
    <s v="Июнь"/>
    <n v="6622.2"/>
    <x v="0"/>
    <n v="6622214"/>
    <x v="0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Май"/>
    <n v="5675.3"/>
    <x v="0"/>
    <n v="5675261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Май"/>
    <n v="10000"/>
    <x v="1"/>
    <n v="10000000"/>
    <x v="5"/>
    <s v="«Развитие железнодорожной инфраструктуры Центрального транспортного узла»"/>
  </r>
  <r>
    <n v="2023"/>
    <s v="Апрель"/>
    <n v="6343.1"/>
    <x v="0"/>
    <n v="6343082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Апрель"/>
    <n v="1700"/>
    <x v="0"/>
    <n v="1700000"/>
    <x v="3"/>
    <s v="«Строительство автомобильной дороги «Казань - Екатеринбург» на участке Дюртюли - Ачит»"/>
  </r>
  <r>
    <n v="2023"/>
    <s v="Март"/>
    <n v="11886"/>
    <x v="0"/>
    <n v="11886000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Декабрь"/>
    <n v="115000"/>
    <x v="0"/>
    <n v="115000000"/>
    <x v="3"/>
    <s v="«Строительство автомобильной дороги М-12 «Строящаяся скоростная автомобильная дорога Москва – Нижний Новгород – Казань»"/>
  </r>
  <r>
    <n v="2022"/>
    <s v="Декабрь"/>
    <n v="66940.600000000006"/>
    <x v="0"/>
    <n v="66940563"/>
    <x v="3"/>
    <s v="«Строительство автомобильной дороги «Казань - Екатеринбург» на участке Дюртюли - Ачит»"/>
  </r>
  <r>
    <n v="2022"/>
    <s v="Декабрь"/>
    <n v="17703.3"/>
    <x v="0"/>
    <n v="17703272"/>
    <x v="3"/>
    <s v="«Строительство автомобильной дороги М-11 «Нева», этап 3 на участке км 149 - км 208 (Обход г. Твери)»"/>
  </r>
  <r>
    <n v="2022"/>
    <s v="Ноябрь"/>
    <n v="35000"/>
    <x v="0"/>
    <n v="35000000"/>
    <x v="3"/>
    <s v="«Строительство автомобильной дороги М-12 «Строящаяся скоростная автомобильная дорога Москва – Нижний Новгород – Казань»"/>
  </r>
  <r>
    <n v="2022"/>
    <s v="Ноябрь"/>
    <n v="18300"/>
    <x v="1"/>
    <n v="18300000"/>
    <x v="5"/>
    <s v="«Развитие железнодорожной инфраструктуры Центрального транспортного узла»"/>
  </r>
  <r>
    <n v="2022"/>
    <s v="Ноябрь"/>
    <n v="12457.5"/>
    <x v="0"/>
    <n v="12457517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Октябрь"/>
    <n v="5031.2"/>
    <x v="0"/>
    <n v="5031235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Сентябрь"/>
    <n v="4607.3"/>
    <x v="0"/>
    <n v="4607263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Август"/>
    <n v="2078.6"/>
    <x v="0"/>
    <n v="2078621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Июль"/>
    <n v="1569.6"/>
    <x v="0"/>
    <n v="1569640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Июнь"/>
    <n v="4203.7"/>
    <x v="0"/>
    <n v="4203745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Май"/>
    <n v="3038"/>
    <x v="0"/>
    <n v="3037979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Апрель"/>
    <n v="4014"/>
    <x v="0"/>
    <n v="4014000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1"/>
    <s v="Июнь"/>
    <n v="13830"/>
    <x v="1"/>
    <n v="1383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1"/>
    <s v="Май"/>
    <n v="1670"/>
    <x v="1"/>
    <n v="167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Декабрь"/>
    <n v="24500"/>
    <x v="1"/>
    <n v="245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Август"/>
    <n v="2150"/>
    <x v="0"/>
    <n v="2150000"/>
    <x v="3"/>
    <s v="«Центральная кольцевая автомобильная дорога (Московская область)»"/>
  </r>
  <r>
    <n v="2020"/>
    <s v="Август"/>
    <n v="7359.9"/>
    <x v="1"/>
    <n v="73599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Июль"/>
    <n v="13600"/>
    <x v="0"/>
    <n v="13600000"/>
    <x v="3"/>
    <s v="«Центральная кольцевая автомобильная дорога (Московская область)»"/>
  </r>
  <r>
    <n v="2020"/>
    <s v="Июль"/>
    <n v="6500"/>
    <x v="1"/>
    <n v="65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Июнь"/>
    <n v="3000"/>
    <x v="0"/>
    <n v="3000000"/>
    <x v="3"/>
    <s v="«Центральная кольцевая автомобильная дорога (Московская область)»"/>
  </r>
  <r>
    <n v="2020"/>
    <s v="Май"/>
    <n v="6640.1"/>
    <x v="1"/>
    <n v="66401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Апрель"/>
    <n v="3000"/>
    <x v="0"/>
    <n v="3000000"/>
    <x v="3"/>
    <s v="«Центральная кольцевая автомобильная дорога (Московская область)»"/>
  </r>
  <r>
    <n v="2020"/>
    <s v="Февраль"/>
    <n v="6000"/>
    <x v="0"/>
    <n v="6000000"/>
    <x v="3"/>
    <s v="«Центральная кольцевая автомобильная дорога (Московская область)»"/>
  </r>
  <r>
    <n v="2019"/>
    <s v="Ноябрь"/>
    <n v="4000"/>
    <x v="0"/>
    <n v="4000000"/>
    <x v="3"/>
    <s v="«Центральная кольцевая автомобильная дорога (Московская область)»"/>
  </r>
  <r>
    <n v="2019"/>
    <s v="Ноябрь"/>
    <n v="4055.2"/>
    <x v="1"/>
    <n v="4055202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9"/>
    <s v="Октябрь"/>
    <n v="2500"/>
    <x v="0"/>
    <n v="2500000"/>
    <x v="3"/>
    <s v="«Центральная кольцевая автомобильная дорога (Московская область)»"/>
  </r>
  <r>
    <n v="2019"/>
    <s v="Октябрь"/>
    <n v="15444.8"/>
    <x v="1"/>
    <n v="15444798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9"/>
    <s v="Сентябрь"/>
    <n v="2000"/>
    <x v="0"/>
    <n v="2000000"/>
    <x v="3"/>
    <s v="«Центральная кольцевая автомобильная дорога (Московская область)»"/>
  </r>
  <r>
    <n v="2019"/>
    <s v="Июль"/>
    <n v="500"/>
    <x v="0"/>
    <n v="500000"/>
    <x v="3"/>
    <s v="«Центральная кольцевая автомобильная дорога (Московская область)»"/>
  </r>
  <r>
    <n v="2019"/>
    <s v="Июнь"/>
    <n v="2000"/>
    <x v="0"/>
    <n v="2000000"/>
    <x v="3"/>
    <s v="«Центральная кольцевая автомобильная дорога (Московская область)»"/>
  </r>
  <r>
    <n v="2019"/>
    <s v="Май"/>
    <n v="3000"/>
    <x v="0"/>
    <n v="3000000"/>
    <x v="3"/>
    <s v="«Центральная кольцевая автомобильная дорога (Московская область)»"/>
  </r>
  <r>
    <n v="2019"/>
    <s v="Январь"/>
    <n v="2000"/>
    <x v="0"/>
    <n v="2000000"/>
    <x v="3"/>
    <s v="«Центральная кольцевая автомобильная дорога (Московская область)»"/>
  </r>
  <r>
    <n v="2018"/>
    <s v="Декабрь"/>
    <n v="12240.8"/>
    <x v="0"/>
    <n v="12240800"/>
    <x v="3"/>
    <s v="«Центральная кольцевая автомобильная дорога (Московская область)»"/>
  </r>
  <r>
    <n v="2018"/>
    <s v="Декабрь"/>
    <n v="20000"/>
    <x v="1"/>
    <n v="200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8"/>
    <s v="Ноябрь"/>
    <n v="12759.2"/>
    <x v="0"/>
    <n v="12759200"/>
    <x v="3"/>
    <s v="«Центральная кольцевая автомобильная дорога (Московская область)»"/>
  </r>
  <r>
    <n v="2018"/>
    <s v="Октябрь"/>
    <n v="2000"/>
    <x v="0"/>
    <n v="2000000"/>
    <x v="3"/>
    <s v="«Центральная кольцевая автомобильная дорога (Московская область)»"/>
  </r>
  <r>
    <n v="2018"/>
    <s v="Сентябрь"/>
    <n v="2000"/>
    <x v="0"/>
    <n v="2000000"/>
    <x v="3"/>
    <s v="«Центральная кольцевая автомобильная дорога (Московская область)»"/>
  </r>
  <r>
    <n v="2017"/>
    <s v="Август"/>
    <n v="16710"/>
    <x v="0"/>
    <n v="16710000"/>
    <x v="3"/>
    <s v="«Центральная кольцевая автомобильная дорога (Московская область)»"/>
  </r>
  <r>
    <n v="2015"/>
    <s v="Декабрь"/>
    <n v="118600"/>
    <x v="0"/>
    <n v="1750000"/>
    <x v="8"/>
    <s v="«Строительство интегрированного нефтехимического комплекса «Западно-Сибирский нефтехимический комбинат»"/>
  </r>
  <r>
    <n v="2015"/>
    <s v="Ноябрь"/>
    <n v="75000"/>
    <x v="0"/>
    <n v="1156206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15"/>
    <s v="Март"/>
    <n v="50000"/>
    <x v="1"/>
    <n v="500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5"/>
    <s v="Март"/>
    <n v="57500"/>
    <x v="1"/>
    <n v="57500000"/>
    <x v="10"/>
    <s v="«Сооружение АЭС «Ханхикиви-1» в Финляндии»"/>
  </r>
  <r>
    <n v="2015"/>
    <s v="Февраль"/>
    <n v="75000"/>
    <x v="0"/>
    <n v="120702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14"/>
    <s v="Декабрь"/>
    <n v="1080"/>
    <x v="0"/>
    <n v="1080000"/>
    <x v="11"/>
    <s v="«Строительство «интеллектуальных сетей», 2014 год"/>
  </r>
  <r>
    <n v="2014"/>
    <s v="Декабрь"/>
    <n v="4050"/>
    <x v="0"/>
    <n v="4050000"/>
    <x v="12"/>
    <s v="«Ликвидация цифрового неравенства в малонаселенных пунктах России»"/>
  </r>
  <r>
    <n v="2023"/>
    <s v="Октябрь"/>
    <n v="-0.02"/>
    <x v="0"/>
    <n v="20000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Октябрь"/>
    <n v="-524.20000000000005"/>
    <x v="0"/>
    <n v="524221.36499999999"/>
    <x v="1"/>
    <s v="Приобретение облигаций, апрель 2023 года"/>
  </r>
  <r>
    <n v="2023"/>
    <s v="Сентябрь"/>
    <n v="-2298.9"/>
    <x v="0"/>
    <n v="2298929"/>
    <x v="13"/>
    <s v="Приобретение облигаций, август 2022 года"/>
  </r>
  <r>
    <n v="2023"/>
    <s v="Сентябрь"/>
    <n v="-1.5800000000000002E-2"/>
    <x v="0"/>
    <n v="15.8"/>
    <x v="0"/>
    <s v="Приобретение облигаций, июнь 2023 года"/>
  </r>
  <r>
    <n v="2023"/>
    <s v="Август"/>
    <n v="-6775.9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3"/>
    <s v="Июль"/>
    <n v="-524.20000000000005"/>
    <x v="0"/>
    <n v="524221.36499999999"/>
    <x v="1"/>
    <s v="Приобретение облигаций, апрель 2023 года"/>
  </r>
  <r>
    <n v="2023"/>
    <s v="Июль"/>
    <n v="-11851.9"/>
    <x v="0"/>
    <n v="11851945"/>
    <x v="14"/>
    <s v="Приобретение облигаций, июль 2022 года"/>
  </r>
  <r>
    <n v="2023"/>
    <s v="Июнь"/>
    <n v="-5498.3"/>
    <x v="0"/>
    <n v="67984.912799999991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3"/>
    <s v="Февраль"/>
    <n v="-5353.7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Декабрь"/>
    <n v="-4199.8"/>
    <x v="0"/>
    <n v="67984.912799999991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Декабрь"/>
    <n v="-1080"/>
    <x v="0"/>
    <n v="1080000"/>
    <x v="11"/>
    <s v="«Строительство «интеллектуальных сетей», 2014 год"/>
  </r>
  <r>
    <n v="2022"/>
    <s v="Август"/>
    <n v="-4284.2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Март"/>
    <n v="-6640.2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Февраль"/>
    <n v="-141802"/>
    <x v="0"/>
    <n v="1750000"/>
    <x v="8"/>
    <s v="«Строительство интегрированного нефтехимического комплекса «Западно-Сибирский нефтехимический комбинат»"/>
  </r>
  <r>
    <m/>
    <m/>
    <m/>
    <x v="2"/>
    <m/>
    <x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J2:N20" firstHeaderRow="1" firstDataRow="2" firstDataCol="1"/>
  <pivotFields count="7"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8">
        <item x="10"/>
        <item x="0"/>
        <item x="3"/>
        <item x="7"/>
        <item x="5"/>
        <item x="9"/>
        <item x="6"/>
        <item x="8"/>
        <item x="11"/>
        <item x="12"/>
        <item x="2"/>
        <item x="15"/>
        <item m="1" x="16"/>
        <item x="1"/>
        <item x="13"/>
        <item x="14"/>
        <item x="4"/>
        <item t="default"/>
      </items>
    </pivotField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Сумма по полю Сумма, млн. руб" fld="2" baseField="0" baseItem="379974688"/>
  </dataFields>
  <formats count="75">
    <format dxfId="74">
      <pivotArea dataOnly="0" labelOnly="1" fieldPosition="0">
        <references count="1">
          <reference field="5" count="1">
            <x v="2"/>
          </reference>
        </references>
      </pivotArea>
    </format>
    <format dxfId="73">
      <pivotArea dataOnly="0" labelOnly="1" fieldPosition="0">
        <references count="1">
          <reference field="5" count="1">
            <x v="6"/>
          </reference>
        </references>
      </pivotArea>
    </format>
    <format dxfId="72">
      <pivotArea dataOnly="0" labelOnly="1" fieldPosition="0">
        <references count="1">
          <reference field="5" count="1">
            <x v="1"/>
          </reference>
        </references>
      </pivotArea>
    </format>
    <format dxfId="71">
      <pivotArea dataOnly="0" labelOnly="1" fieldPosition="0">
        <references count="1">
          <reference field="5" count="1">
            <x v="9"/>
          </reference>
        </references>
      </pivotArea>
    </format>
    <format dxfId="70">
      <pivotArea dataOnly="0" labelOnly="1" fieldPosition="0">
        <references count="1">
          <reference field="5" count="1">
            <x v="10"/>
          </reference>
        </references>
      </pivotArea>
    </format>
    <format dxfId="69">
      <pivotArea dataOnly="0" labelOnly="1" fieldPosition="0">
        <references count="1">
          <reference field="5" count="1">
            <x v="3"/>
          </reference>
        </references>
      </pivotArea>
    </format>
    <format dxfId="68">
      <pivotArea dataOnly="0" labelOnly="1" fieldPosition="0">
        <references count="1">
          <reference field="5" count="1">
            <x v="4"/>
          </reference>
        </references>
      </pivotArea>
    </format>
    <format dxfId="67">
      <pivotArea dataOnly="0" labelOnly="1" fieldPosition="0">
        <references count="1">
          <reference field="5" count="1">
            <x v="0"/>
          </reference>
        </references>
      </pivotArea>
    </format>
    <format dxfId="66">
      <pivotArea dataOnly="0" labelOnly="1" fieldPosition="0">
        <references count="1">
          <reference field="5" count="0"/>
        </references>
      </pivotArea>
    </format>
    <format dxfId="65">
      <pivotArea dataOnly="0" labelOnly="1" fieldPosition="0">
        <references count="1">
          <reference field="5" count="1">
            <x v="1"/>
          </reference>
        </references>
      </pivotArea>
    </format>
    <format dxfId="64">
      <pivotArea dataOnly="0" labelOnly="1" fieldPosition="0">
        <references count="1">
          <reference field="5" count="1">
            <x v="2"/>
          </reference>
        </references>
      </pivotArea>
    </format>
    <format dxfId="63">
      <pivotArea dataOnly="0" labelOnly="1" fieldPosition="0">
        <references count="1">
          <reference field="5" count="1">
            <x v="3"/>
          </reference>
        </references>
      </pivotArea>
    </format>
    <format dxfId="62">
      <pivotArea dataOnly="0" labelOnly="1" fieldPosition="0">
        <references count="1">
          <reference field="5" count="1">
            <x v="10"/>
          </reference>
        </references>
      </pivotArea>
    </format>
    <format dxfId="61">
      <pivotArea dataOnly="0" labelOnly="1" fieldPosition="0">
        <references count="1">
          <reference field="5" count="1">
            <x v="6"/>
          </reference>
        </references>
      </pivotArea>
    </format>
    <format dxfId="60">
      <pivotArea dataOnly="0" labelOnly="1" fieldPosition="0">
        <references count="1">
          <reference field="5" count="1">
            <x v="9"/>
          </reference>
        </references>
      </pivotArea>
    </format>
    <format dxfId="59">
      <pivotArea dataOnly="0" labelOnly="1" fieldPosition="0">
        <references count="1">
          <reference field="5" count="1">
            <x v="4"/>
          </reference>
        </references>
      </pivotArea>
    </format>
    <format dxfId="58">
      <pivotArea dataOnly="0" labelOnly="1" fieldPosition="0">
        <references count="1">
          <reference field="5" count="1">
            <x v="0"/>
          </reference>
        </references>
      </pivotArea>
    </format>
    <format dxfId="57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6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5">
      <pivotArea dataOnly="0" labelOnly="1" fieldPosition="0">
        <references count="1">
          <reference field="5" count="1">
            <x v="2"/>
          </reference>
        </references>
      </pivotArea>
    </format>
    <format dxfId="54">
      <pivotArea dataOnly="0" labelOnly="1" fieldPosition="0">
        <references count="1">
          <reference field="5" count="1">
            <x v="2"/>
          </reference>
        </references>
      </pivotArea>
    </format>
    <format dxfId="53">
      <pivotArea dataOnly="0" labelOnly="1" fieldPosition="0">
        <references count="1">
          <reference field="5" count="1">
            <x v="6"/>
          </reference>
        </references>
      </pivotArea>
    </format>
    <format dxfId="52">
      <pivotArea dataOnly="0" labelOnly="1" fieldPosition="0">
        <references count="1">
          <reference field="5" count="1">
            <x v="3"/>
          </reference>
        </references>
      </pivotArea>
    </format>
    <format dxfId="51">
      <pivotArea dataOnly="0" labelOnly="1" fieldPosition="0">
        <references count="1">
          <reference field="5" count="1">
            <x v="10"/>
          </reference>
        </references>
      </pivotArea>
    </format>
    <format dxfId="50">
      <pivotArea dataOnly="0" labelOnly="1" fieldPosition="0">
        <references count="1">
          <reference field="5" count="1">
            <x v="1"/>
          </reference>
        </references>
      </pivotArea>
    </format>
    <format dxfId="49">
      <pivotArea dataOnly="0" labelOnly="1" fieldPosition="0">
        <references count="1">
          <reference field="5" count="1">
            <x v="9"/>
          </reference>
        </references>
      </pivotArea>
    </format>
    <format dxfId="48">
      <pivotArea dataOnly="0" labelOnly="1" fieldPosition="0">
        <references count="1">
          <reference field="5" count="1">
            <x v="4"/>
          </reference>
        </references>
      </pivotArea>
    </format>
    <format dxfId="47">
      <pivotArea dataOnly="0" labelOnly="1" fieldPosition="0">
        <references count="1">
          <reference field="5" count="1">
            <x v="0"/>
          </reference>
        </references>
      </pivotArea>
    </format>
    <format dxfId="46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45">
      <pivotArea dataOnly="0" labelOnly="1" fieldPosition="0">
        <references count="1">
          <reference field="5" count="1">
            <x v="2"/>
          </reference>
        </references>
      </pivotArea>
    </format>
    <format dxfId="44">
      <pivotArea dataOnly="0" labelOnly="1" fieldPosition="0">
        <references count="1">
          <reference field="5" count="1">
            <x v="6"/>
          </reference>
        </references>
      </pivotArea>
    </format>
    <format dxfId="43">
      <pivotArea dataOnly="0" labelOnly="1" fieldPosition="0">
        <references count="1">
          <reference field="5" count="1">
            <x v="10"/>
          </reference>
        </references>
      </pivotArea>
    </format>
    <format dxfId="42">
      <pivotArea dataOnly="0" labelOnly="1" fieldPosition="0">
        <references count="1">
          <reference field="5" count="1">
            <x v="3"/>
          </reference>
        </references>
      </pivotArea>
    </format>
    <format dxfId="41">
      <pivotArea dataOnly="0" labelOnly="1" fieldPosition="0">
        <references count="1">
          <reference field="5" count="1">
            <x v="1"/>
          </reference>
        </references>
      </pivotArea>
    </format>
    <format dxfId="40">
      <pivotArea dataOnly="0" labelOnly="1" fieldPosition="0">
        <references count="1">
          <reference field="5" count="1">
            <x v="9"/>
          </reference>
        </references>
      </pivotArea>
    </format>
    <format dxfId="39">
      <pivotArea dataOnly="0" labelOnly="1" fieldPosition="0">
        <references count="1">
          <reference field="5" count="1">
            <x v="4"/>
          </reference>
        </references>
      </pivotArea>
    </format>
    <format dxfId="38">
      <pivotArea dataOnly="0" labelOnly="1" fieldPosition="0">
        <references count="1">
          <reference field="5" count="1">
            <x v="0"/>
          </reference>
        </references>
      </pivotArea>
    </format>
    <format dxfId="37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6">
      <pivotArea dataOnly="0" labelOnly="1" fieldPosition="0">
        <references count="1">
          <reference field="5" count="1">
            <x v="4"/>
          </reference>
        </references>
      </pivotArea>
    </format>
    <format dxfId="35">
      <pivotArea dataOnly="0" labelOnly="1" fieldPosition="0">
        <references count="1">
          <reference field="5" count="1">
            <x v="6"/>
          </reference>
        </references>
      </pivotArea>
    </format>
    <format dxfId="34">
      <pivotArea dataOnly="0" labelOnly="1" fieldPosition="0">
        <references count="1">
          <reference field="5" count="1">
            <x v="3"/>
          </reference>
        </references>
      </pivotArea>
    </format>
    <format dxfId="33">
      <pivotArea dataOnly="0" labelOnly="1" fieldPosition="0">
        <references count="1">
          <reference field="5" count="1">
            <x v="10"/>
          </reference>
        </references>
      </pivotArea>
    </format>
    <format dxfId="32">
      <pivotArea dataOnly="0" labelOnly="1" fieldPosition="0">
        <references count="1">
          <reference field="5" count="1">
            <x v="1"/>
          </reference>
        </references>
      </pivotArea>
    </format>
    <format dxfId="31">
      <pivotArea dataOnly="0" labelOnly="1" fieldPosition="0">
        <references count="1">
          <reference field="5" count="1">
            <x v="9"/>
          </reference>
        </references>
      </pivotArea>
    </format>
    <format dxfId="30">
      <pivotArea dataOnly="0" labelOnly="1" fieldPosition="0">
        <references count="1">
          <reference field="5" count="1">
            <x v="0"/>
          </reference>
        </references>
      </pivotArea>
    </format>
    <format dxfId="29">
      <pivotArea dataOnly="0" labelOnly="1" fieldPosition="0">
        <references count="1">
          <reference field="5" count="0"/>
        </references>
      </pivotArea>
    </format>
    <format dxfId="28">
      <pivotArea dataOnly="0" labelOnly="1" fieldPosition="0">
        <references count="1">
          <reference field="5" count="1">
            <x v="2"/>
          </reference>
        </references>
      </pivotArea>
    </format>
    <format dxfId="27">
      <pivotArea dataOnly="0" labelOnly="1" fieldPosition="0">
        <references count="1">
          <reference field="5" count="1">
            <x v="6"/>
          </reference>
        </references>
      </pivotArea>
    </format>
    <format dxfId="26">
      <pivotArea dataOnly="0" labelOnly="1" fieldPosition="0">
        <references count="1">
          <reference field="5" count="1">
            <x v="10"/>
          </reference>
        </references>
      </pivotArea>
    </format>
    <format dxfId="25">
      <pivotArea dataOnly="0" labelOnly="1" fieldPosition="0">
        <references count="1">
          <reference field="5" count="1">
            <x v="3"/>
          </reference>
        </references>
      </pivotArea>
    </format>
    <format dxfId="24">
      <pivotArea dataOnly="0" labelOnly="1" fieldPosition="0">
        <references count="1">
          <reference field="5" count="1">
            <x v="1"/>
          </reference>
        </references>
      </pivotArea>
    </format>
    <format dxfId="23">
      <pivotArea dataOnly="0" labelOnly="1" fieldPosition="0">
        <references count="1">
          <reference field="5" count="1">
            <x v="9"/>
          </reference>
        </references>
      </pivotArea>
    </format>
    <format dxfId="22">
      <pivotArea dataOnly="0" labelOnly="1" fieldPosition="0">
        <references count="1">
          <reference field="5" count="1">
            <x v="4"/>
          </reference>
        </references>
      </pivotArea>
    </format>
    <format dxfId="21">
      <pivotArea dataOnly="0" labelOnly="1" fieldPosition="0">
        <references count="1">
          <reference field="5" count="1">
            <x v="0"/>
          </reference>
        </references>
      </pivotArea>
    </format>
    <format dxfId="20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9">
      <pivotArea dataOnly="0" labelOnly="1" fieldPosition="0">
        <references count="1">
          <reference field="5" count="1">
            <x v="2"/>
          </reference>
        </references>
      </pivotArea>
    </format>
    <format dxfId="18">
      <pivotArea dataOnly="0" labelOnly="1" fieldPosition="0">
        <references count="1">
          <reference field="5" count="1">
            <x v="6"/>
          </reference>
        </references>
      </pivotArea>
    </format>
    <format dxfId="17">
      <pivotArea dataOnly="0" labelOnly="1" fieldPosition="0">
        <references count="1">
          <reference field="5" count="1">
            <x v="10"/>
          </reference>
        </references>
      </pivotArea>
    </format>
    <format dxfId="16">
      <pivotArea dataOnly="0" labelOnly="1" fieldPosition="0">
        <references count="1">
          <reference field="5" count="1">
            <x v="3"/>
          </reference>
        </references>
      </pivotArea>
    </format>
    <format dxfId="15">
      <pivotArea dataOnly="0" labelOnly="1" fieldPosition="0">
        <references count="1">
          <reference field="5" count="1">
            <x v="1"/>
          </reference>
        </references>
      </pivotArea>
    </format>
    <format dxfId="14">
      <pivotArea dataOnly="0" labelOnly="1" fieldPosition="0">
        <references count="1">
          <reference field="5" count="1">
            <x v="9"/>
          </reference>
        </references>
      </pivotArea>
    </format>
    <format dxfId="13">
      <pivotArea dataOnly="0" labelOnly="1" fieldPosition="0">
        <references count="1">
          <reference field="5" count="1">
            <x v="4"/>
          </reference>
        </references>
      </pivotArea>
    </format>
    <format dxfId="12">
      <pivotArea dataOnly="0" labelOnly="1" fieldPosition="0">
        <references count="1">
          <reference field="5" count="1">
            <x v="0"/>
          </reference>
        </references>
      </pivotArea>
    </format>
    <format dxfId="11">
      <pivotArea type="origin" dataOnly="0" labelOnly="1" outline="0" fieldPosition="0"/>
    </format>
    <format dxfId="10">
      <pivotArea field="5" type="button" dataOnly="0" labelOnly="1" outline="0" axis="axisRow" fieldPosition="0"/>
    </format>
    <format dxfId="9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8">
      <pivotArea dataOnly="0" labelOnly="1" fieldPosition="0">
        <references count="1">
          <reference field="5" count="1">
            <x v="2"/>
          </reference>
        </references>
      </pivotArea>
    </format>
    <format dxfId="7">
      <pivotArea dataOnly="0" labelOnly="1" fieldPosition="0">
        <references count="1">
          <reference field="5" count="1">
            <x v="2"/>
          </reference>
        </references>
      </pivotArea>
    </format>
    <format dxfId="6">
      <pivotArea dataOnly="0" labelOnly="1" fieldPosition="0">
        <references count="1">
          <reference field="5" count="1">
            <x v="6"/>
          </reference>
        </references>
      </pivotArea>
    </format>
    <format dxfId="5">
      <pivotArea dataOnly="0" labelOnly="1" fieldPosition="0">
        <references count="1">
          <reference field="5" count="1">
            <x v="10"/>
          </reference>
        </references>
      </pivotArea>
    </format>
    <format dxfId="4">
      <pivotArea dataOnly="0" labelOnly="1" fieldPosition="0">
        <references count="1">
          <reference field="5" count="1">
            <x v="3"/>
          </reference>
        </references>
      </pivotArea>
    </format>
    <format dxfId="3">
      <pivotArea dataOnly="0" labelOnly="1" fieldPosition="0">
        <references count="1">
          <reference field="5" count="1">
            <x v="1"/>
          </reference>
        </references>
      </pivotArea>
    </format>
    <format dxfId="2">
      <pivotArea dataOnly="0" labelOnly="1" fieldPosition="0">
        <references count="1">
          <reference field="5" count="1">
            <x v="9"/>
          </reference>
        </references>
      </pivotArea>
    </format>
    <format dxfId="1">
      <pivotArea dataOnly="0" labelOnly="1" fieldPosition="0">
        <references count="1">
          <reference field="5" count="1">
            <x v="4"/>
          </reference>
        </references>
      </pivotArea>
    </format>
    <format dxfId="0">
      <pivotArea dataOnly="0" labelOnly="1" fieldPosition="0">
        <references count="1">
          <reference field="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static.government.ru/media/files/WqduZlYo4645YP7BAKRdxaUADiAo4G6c.pdf" TargetMode="External"/><Relationship Id="rId1" Type="http://schemas.openxmlformats.org/officeDocument/2006/relationships/hyperlink" Target="https://neftegaz.ru/news/Gazohimija/816850-kompleks-po-pererabotke-gaza-v-ust-luge-poluchit-finansirovanie-fn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79"/>
  <sheetViews>
    <sheetView zoomScale="55" zoomScaleNormal="55" workbookViewId="0">
      <pane xSplit="2" ySplit="1" topLeftCell="Z26" activePane="bottomRight" state="frozen"/>
      <selection pane="topRight" activeCell="C1" sqref="C1"/>
      <selection pane="bottomLeft" activeCell="A2" sqref="A2"/>
      <selection pane="bottomRight" activeCell="AF50" sqref="AF50"/>
    </sheetView>
  </sheetViews>
  <sheetFormatPr defaultRowHeight="14.5" x14ac:dyDescent="0.35"/>
  <cols>
    <col min="1" max="1" width="14.1796875" customWidth="1"/>
    <col min="2" max="2" width="97.90625" customWidth="1"/>
    <col min="3" max="7" width="12.453125" customWidth="1"/>
    <col min="8" max="11" width="12.08984375" customWidth="1"/>
    <col min="12" max="12" width="11.36328125" style="6" bestFit="1" customWidth="1"/>
    <col min="13" max="14" width="11.36328125" style="6" customWidth="1"/>
    <col min="15" max="16" width="11.7265625" customWidth="1"/>
    <col min="17" max="18" width="11.453125" bestFit="1" customWidth="1"/>
    <col min="19" max="30" width="11.453125" customWidth="1"/>
    <col min="31" max="31" width="12.1796875" bestFit="1" customWidth="1"/>
    <col min="32" max="32" width="16.81640625" bestFit="1" customWidth="1"/>
    <col min="33" max="33" width="15.81640625" bestFit="1" customWidth="1"/>
  </cols>
  <sheetData>
    <row r="1" spans="1:63" x14ac:dyDescent="0.35">
      <c r="A1" s="7" t="s">
        <v>33</v>
      </c>
      <c r="B1" s="7" t="s">
        <v>34</v>
      </c>
      <c r="C1" s="7" t="s">
        <v>61</v>
      </c>
      <c r="D1" s="7" t="s">
        <v>62</v>
      </c>
      <c r="E1" s="7" t="s">
        <v>63</v>
      </c>
      <c r="F1" s="7" t="s">
        <v>52</v>
      </c>
      <c r="G1" s="7" t="s">
        <v>0</v>
      </c>
      <c r="H1" s="7" t="s">
        <v>28</v>
      </c>
      <c r="I1" s="7" t="s">
        <v>51</v>
      </c>
      <c r="J1" s="7" t="s">
        <v>50</v>
      </c>
      <c r="K1" s="7" t="s">
        <v>49</v>
      </c>
      <c r="L1" s="7" t="s">
        <v>29</v>
      </c>
      <c r="M1" s="7" t="s">
        <v>48</v>
      </c>
      <c r="N1" s="7" t="s">
        <v>47</v>
      </c>
      <c r="O1" s="7" t="s">
        <v>46</v>
      </c>
      <c r="P1" s="7" t="s">
        <v>127</v>
      </c>
      <c r="Q1" s="7" t="s">
        <v>147</v>
      </c>
      <c r="R1" s="7" t="s">
        <v>184</v>
      </c>
      <c r="S1" s="7" t="s">
        <v>186</v>
      </c>
      <c r="T1" s="7" t="s">
        <v>187</v>
      </c>
      <c r="U1" s="7" t="s">
        <v>188</v>
      </c>
      <c r="V1" s="7" t="s">
        <v>189</v>
      </c>
      <c r="W1" s="7" t="s">
        <v>206</v>
      </c>
      <c r="X1" s="7" t="s">
        <v>207</v>
      </c>
      <c r="Y1" s="7" t="s">
        <v>210</v>
      </c>
      <c r="Z1" s="7" t="s">
        <v>217</v>
      </c>
      <c r="AA1" s="7" t="s">
        <v>218</v>
      </c>
      <c r="AB1" s="7" t="s">
        <v>219</v>
      </c>
      <c r="AC1" s="7" t="s">
        <v>220</v>
      </c>
      <c r="AD1" s="7" t="s">
        <v>222</v>
      </c>
    </row>
    <row r="2" spans="1:63" x14ac:dyDescent="0.35">
      <c r="A2" t="s">
        <v>5</v>
      </c>
      <c r="B2" t="s">
        <v>1</v>
      </c>
      <c r="C2" s="1">
        <v>49188.800000000003</v>
      </c>
      <c r="D2" s="1">
        <v>45733.5</v>
      </c>
      <c r="E2" s="1">
        <v>41891.699999999997</v>
      </c>
      <c r="F2" s="1">
        <v>10464.5</v>
      </c>
      <c r="G2" s="1">
        <v>10464.5</v>
      </c>
      <c r="H2" s="1">
        <v>10464.5</v>
      </c>
      <c r="I2" s="1">
        <v>10398.799999999999</v>
      </c>
      <c r="J2" s="1">
        <v>9233.6</v>
      </c>
      <c r="K2" s="1">
        <v>9054.6</v>
      </c>
      <c r="L2" s="5">
        <v>7278.7</v>
      </c>
      <c r="M2" s="5">
        <v>7278.7</v>
      </c>
      <c r="N2" s="5">
        <v>5224.6000000000004</v>
      </c>
      <c r="O2" s="1">
        <v>4070.6</v>
      </c>
      <c r="P2" s="1">
        <v>3666.6</v>
      </c>
      <c r="Q2" s="1">
        <v>3268.8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7">
        <f>AD2-AC2</f>
        <v>0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x14ac:dyDescent="0.35">
      <c r="A3" t="s">
        <v>5</v>
      </c>
      <c r="B3" t="s">
        <v>59</v>
      </c>
      <c r="C3" s="1">
        <v>5313.3</v>
      </c>
      <c r="D3" s="1">
        <v>4938.3</v>
      </c>
      <c r="E3" s="1">
        <v>2769.6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7">
        <f t="shared" ref="AE3:AE52" si="0">AD3-AC3</f>
        <v>0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x14ac:dyDescent="0.35">
      <c r="A4" t="s">
        <v>5</v>
      </c>
      <c r="B4" t="s">
        <v>60</v>
      </c>
      <c r="C4" s="1">
        <v>768257.7</v>
      </c>
      <c r="D4" s="1">
        <v>692698.4</v>
      </c>
      <c r="E4" s="1">
        <v>478478.3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7">
        <f t="shared" si="0"/>
        <v>0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spans="1:63" x14ac:dyDescent="0.35">
      <c r="A5" t="s">
        <v>5</v>
      </c>
      <c r="B5" t="s">
        <v>2</v>
      </c>
      <c r="C5" s="1">
        <v>309720.09999999998</v>
      </c>
      <c r="D5" s="1">
        <v>309720.09999999998</v>
      </c>
      <c r="E5" s="1">
        <v>309720.09999999998</v>
      </c>
      <c r="F5" s="1">
        <v>309720.09999999998</v>
      </c>
      <c r="G5" s="1">
        <v>307445.90000000002</v>
      </c>
      <c r="H5" s="1">
        <v>300067.90000000002</v>
      </c>
      <c r="I5" s="1">
        <v>292588.79999999999</v>
      </c>
      <c r="J5" s="1">
        <v>288330.09999999998</v>
      </c>
      <c r="K5" s="1">
        <v>285736.09999999998</v>
      </c>
      <c r="L5" s="5">
        <v>282284.2</v>
      </c>
      <c r="M5" s="5">
        <v>280158.90000000002</v>
      </c>
      <c r="N5" s="5">
        <v>279773.7</v>
      </c>
      <c r="O5" s="1">
        <v>279773.7</v>
      </c>
      <c r="P5" s="1">
        <v>279773.7</v>
      </c>
      <c r="Q5" s="1">
        <v>279773.7</v>
      </c>
      <c r="R5" s="1">
        <v>227330.7</v>
      </c>
      <c r="S5" s="1">
        <v>227517.1</v>
      </c>
      <c r="T5" s="1">
        <v>227517.1</v>
      </c>
      <c r="U5" s="1">
        <v>227615.8</v>
      </c>
      <c r="V5" s="1">
        <v>227615.8</v>
      </c>
      <c r="W5" s="1">
        <v>227615.8</v>
      </c>
      <c r="X5" s="1">
        <v>229532.6</v>
      </c>
      <c r="Y5" s="1">
        <v>226532.6</v>
      </c>
      <c r="Z5" s="1">
        <v>223782.6</v>
      </c>
      <c r="AA5" s="1">
        <v>221782.6</v>
      </c>
      <c r="AB5" s="1">
        <v>220532.6</v>
      </c>
      <c r="AC5" s="1">
        <v>219532.6</v>
      </c>
      <c r="AD5" s="1">
        <v>164044.20000000001</v>
      </c>
      <c r="AE5" s="17">
        <f t="shared" si="0"/>
        <v>-55488.399999999994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 spans="1:63" x14ac:dyDescent="0.35">
      <c r="A6" t="s">
        <v>5</v>
      </c>
      <c r="B6" t="s">
        <v>3</v>
      </c>
      <c r="C6" s="1">
        <v>554910.5</v>
      </c>
      <c r="D6" s="1">
        <v>554910.5</v>
      </c>
      <c r="E6" s="1">
        <v>554910.5</v>
      </c>
      <c r="F6" s="1">
        <v>554910.5</v>
      </c>
      <c r="G6" s="1">
        <v>551277.5</v>
      </c>
      <c r="H6" s="1">
        <v>539245.1</v>
      </c>
      <c r="I6" s="1">
        <v>527382.30000000005</v>
      </c>
      <c r="J6" s="1">
        <v>520974</v>
      </c>
      <c r="K6" s="1">
        <v>517114.1</v>
      </c>
      <c r="L6" s="5">
        <v>511986.9</v>
      </c>
      <c r="M6" s="5">
        <v>508835.4</v>
      </c>
      <c r="N6" s="5">
        <v>508265.3</v>
      </c>
      <c r="O6" s="1">
        <v>508265.3</v>
      </c>
      <c r="P6" s="1">
        <v>508265.3</v>
      </c>
      <c r="Q6" s="1">
        <v>508265.3</v>
      </c>
      <c r="R6" s="1">
        <v>358960.6</v>
      </c>
      <c r="S6" s="1">
        <v>358960.6</v>
      </c>
      <c r="T6" s="1">
        <v>358014.6</v>
      </c>
      <c r="U6" s="1">
        <v>334863.2</v>
      </c>
      <c r="V6" s="1">
        <v>334367.3</v>
      </c>
      <c r="W6" s="1">
        <v>329705.3</v>
      </c>
      <c r="X6" s="1">
        <v>303578.59999999998</v>
      </c>
      <c r="Y6" s="1">
        <v>298840.40000000002</v>
      </c>
      <c r="Z6" s="1">
        <v>293188.59999999998</v>
      </c>
      <c r="AA6" s="1">
        <v>292494.09999999998</v>
      </c>
      <c r="AB6" s="1">
        <v>283575.3</v>
      </c>
      <c r="AC6" s="1">
        <v>279562.59999999998</v>
      </c>
      <c r="AD6" s="1">
        <v>187749.1</v>
      </c>
      <c r="AE6" s="17">
        <f t="shared" si="0"/>
        <v>-91813.499999999971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 spans="1:63" x14ac:dyDescent="0.35">
      <c r="A7" t="s">
        <v>5</v>
      </c>
      <c r="B7" t="s">
        <v>4</v>
      </c>
      <c r="C7" s="1">
        <v>264.3</v>
      </c>
      <c r="D7" s="1">
        <v>526.70000000000005</v>
      </c>
      <c r="E7" s="1">
        <v>242.7</v>
      </c>
      <c r="F7" s="1">
        <v>274.8</v>
      </c>
      <c r="G7" s="1">
        <v>530.1</v>
      </c>
      <c r="H7" s="1">
        <v>6124</v>
      </c>
      <c r="I7" s="1">
        <v>140.69999999999999</v>
      </c>
      <c r="J7" s="1">
        <v>232.8</v>
      </c>
      <c r="K7" s="1">
        <v>228</v>
      </c>
      <c r="L7" s="5">
        <v>400.4</v>
      </c>
      <c r="M7" s="5">
        <v>5490.5</v>
      </c>
      <c r="N7" s="5">
        <v>6775.9</v>
      </c>
      <c r="O7" s="1">
        <v>395.9</v>
      </c>
      <c r="P7" s="1">
        <v>261.8</v>
      </c>
      <c r="Q7" s="1">
        <v>1187.5999999999999</v>
      </c>
      <c r="R7" s="1">
        <v>1514</v>
      </c>
      <c r="S7" s="1">
        <v>294.8</v>
      </c>
      <c r="T7" s="1">
        <v>1241</v>
      </c>
      <c r="U7" s="1">
        <v>1650.1</v>
      </c>
      <c r="V7" s="1">
        <v>299.7</v>
      </c>
      <c r="W7" s="1">
        <v>1252</v>
      </c>
      <c r="X7" s="1">
        <v>1676</v>
      </c>
      <c r="Y7" s="1">
        <v>368.5</v>
      </c>
      <c r="Z7" s="1">
        <v>1261.9000000000001</v>
      </c>
      <c r="AA7" s="1">
        <v>1612.3</v>
      </c>
      <c r="AB7" s="1">
        <v>410.2</v>
      </c>
      <c r="AC7" s="1">
        <v>1429.9</v>
      </c>
      <c r="AD7" s="1">
        <v>1630.9</v>
      </c>
      <c r="AE7" s="17">
        <f t="shared" si="0"/>
        <v>201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63" x14ac:dyDescent="0.35">
      <c r="A8" t="s">
        <v>24</v>
      </c>
      <c r="B8" t="s">
        <v>118</v>
      </c>
      <c r="C8" s="1"/>
      <c r="D8" s="1"/>
      <c r="E8" s="1"/>
      <c r="F8" s="1"/>
      <c r="G8" s="1">
        <v>50000</v>
      </c>
      <c r="H8" s="1"/>
      <c r="I8" s="1"/>
      <c r="J8" s="1"/>
      <c r="K8" s="1"/>
      <c r="L8" s="5">
        <v>50000</v>
      </c>
      <c r="M8" s="5">
        <v>50000</v>
      </c>
      <c r="N8" s="5">
        <v>50000</v>
      </c>
      <c r="O8" s="1">
        <v>50000</v>
      </c>
      <c r="P8" s="1">
        <f>O8</f>
        <v>50000</v>
      </c>
      <c r="Q8" s="1">
        <v>50000</v>
      </c>
      <c r="R8" s="1">
        <f>Q8</f>
        <v>50000</v>
      </c>
      <c r="S8" s="1">
        <f>R8</f>
        <v>50000</v>
      </c>
      <c r="T8" s="1">
        <v>50000</v>
      </c>
      <c r="U8" s="1">
        <f t="shared" ref="U8:V13" si="1">T8</f>
        <v>50000</v>
      </c>
      <c r="V8" s="1">
        <f>U8</f>
        <v>50000</v>
      </c>
      <c r="W8" s="1">
        <f t="shared" ref="W8:W12" si="2">V8</f>
        <v>50000</v>
      </c>
      <c r="X8" s="1">
        <f t="shared" ref="X8:X13" si="3">W8</f>
        <v>50000</v>
      </c>
      <c r="Y8" s="1">
        <f t="shared" ref="Y8:Y13" si="4">X8</f>
        <v>50000</v>
      </c>
      <c r="Z8" s="1">
        <f t="shared" ref="Z8:Z13" si="5">Y8</f>
        <v>50000</v>
      </c>
      <c r="AA8" s="1">
        <f t="shared" ref="AA8:AB13" si="6">Z8</f>
        <v>50000</v>
      </c>
      <c r="AB8" s="1">
        <f>AA8</f>
        <v>50000</v>
      </c>
      <c r="AC8" s="1">
        <f>AB8</f>
        <v>50000</v>
      </c>
      <c r="AD8" s="1">
        <f>AC8</f>
        <v>50000</v>
      </c>
      <c r="AE8" s="17">
        <f t="shared" si="0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</row>
    <row r="9" spans="1:63" x14ac:dyDescent="0.35">
      <c r="A9" t="s">
        <v>24</v>
      </c>
      <c r="B9" t="s">
        <v>25</v>
      </c>
      <c r="C9" s="1"/>
      <c r="D9" s="1"/>
      <c r="E9" s="1"/>
      <c r="F9" s="1"/>
      <c r="G9" s="1">
        <v>30000</v>
      </c>
      <c r="H9" s="1"/>
      <c r="I9" s="1"/>
      <c r="J9" s="1"/>
      <c r="K9" s="1"/>
      <c r="L9" s="5">
        <v>30000</v>
      </c>
      <c r="M9" s="5">
        <v>30000</v>
      </c>
      <c r="N9" s="5">
        <v>30000</v>
      </c>
      <c r="O9" s="1">
        <v>30000</v>
      </c>
      <c r="P9" s="1">
        <f t="shared" ref="P9:P13" si="7">O9</f>
        <v>30000</v>
      </c>
      <c r="Q9" s="1">
        <v>30000</v>
      </c>
      <c r="R9" s="1">
        <f t="shared" ref="R9:R13" si="8">Q9</f>
        <v>30000</v>
      </c>
      <c r="S9" s="1">
        <f t="shared" ref="S9:T13" si="9">R9</f>
        <v>30000</v>
      </c>
      <c r="T9" s="1">
        <f t="shared" si="9"/>
        <v>30000</v>
      </c>
      <c r="U9" s="1">
        <f t="shared" si="1"/>
        <v>30000</v>
      </c>
      <c r="V9" s="1">
        <f t="shared" si="1"/>
        <v>30000</v>
      </c>
      <c r="W9" s="1">
        <f t="shared" si="2"/>
        <v>30000</v>
      </c>
      <c r="X9" s="1">
        <f t="shared" si="3"/>
        <v>30000</v>
      </c>
      <c r="Y9" s="1">
        <f t="shared" si="4"/>
        <v>30000</v>
      </c>
      <c r="Z9" s="1">
        <f t="shared" si="5"/>
        <v>30000</v>
      </c>
      <c r="AA9" s="1">
        <f t="shared" si="6"/>
        <v>30000</v>
      </c>
      <c r="AB9" s="1">
        <f t="shared" si="6"/>
        <v>30000</v>
      </c>
      <c r="AC9" s="1">
        <f>AB9</f>
        <v>30000</v>
      </c>
      <c r="AD9" s="1">
        <f t="shared" ref="AD9:AD13" si="10">AC9</f>
        <v>30000</v>
      </c>
      <c r="AE9" s="17">
        <f t="shared" si="0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63" x14ac:dyDescent="0.35">
      <c r="A10" t="s">
        <v>24</v>
      </c>
      <c r="B10" t="s">
        <v>53</v>
      </c>
      <c r="C10" s="1"/>
      <c r="D10" s="1"/>
      <c r="E10" s="1"/>
      <c r="F10" s="1"/>
      <c r="G10" s="1">
        <v>40000</v>
      </c>
      <c r="H10" s="1"/>
      <c r="I10" s="1"/>
      <c r="J10" s="1"/>
      <c r="K10" s="1"/>
      <c r="L10" s="5">
        <v>40000</v>
      </c>
      <c r="M10" s="5">
        <v>40000</v>
      </c>
      <c r="N10" s="5">
        <v>40000</v>
      </c>
      <c r="O10" s="1">
        <v>40000</v>
      </c>
      <c r="P10" s="1">
        <f t="shared" si="7"/>
        <v>40000</v>
      </c>
      <c r="Q10" s="1">
        <v>40000</v>
      </c>
      <c r="R10" s="1">
        <f t="shared" si="8"/>
        <v>40000</v>
      </c>
      <c r="S10" s="1">
        <f t="shared" si="9"/>
        <v>40000</v>
      </c>
      <c r="T10" s="1">
        <f t="shared" si="9"/>
        <v>40000</v>
      </c>
      <c r="U10" s="1">
        <f t="shared" si="1"/>
        <v>40000</v>
      </c>
      <c r="V10" s="1">
        <f t="shared" si="1"/>
        <v>40000</v>
      </c>
      <c r="W10" s="1">
        <f t="shared" si="2"/>
        <v>40000</v>
      </c>
      <c r="X10" s="1">
        <f t="shared" si="3"/>
        <v>40000</v>
      </c>
      <c r="Y10" s="1">
        <f t="shared" si="4"/>
        <v>40000</v>
      </c>
      <c r="Z10" s="1">
        <f t="shared" si="5"/>
        <v>40000</v>
      </c>
      <c r="AA10" s="1">
        <f t="shared" si="6"/>
        <v>40000</v>
      </c>
      <c r="AB10" s="1">
        <f t="shared" si="6"/>
        <v>40000</v>
      </c>
      <c r="AC10" s="1">
        <f>AB10</f>
        <v>40000</v>
      </c>
      <c r="AD10" s="1">
        <f t="shared" si="10"/>
        <v>40000</v>
      </c>
      <c r="AE10" s="17">
        <f t="shared" si="0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</row>
    <row r="11" spans="1:63" x14ac:dyDescent="0.35">
      <c r="A11" t="s">
        <v>24</v>
      </c>
      <c r="B11" t="s">
        <v>26</v>
      </c>
      <c r="C11" s="1"/>
      <c r="D11" s="1"/>
      <c r="E11" s="1"/>
      <c r="F11" s="1"/>
      <c r="G11" s="1">
        <v>138830</v>
      </c>
      <c r="H11" s="1"/>
      <c r="I11" s="1"/>
      <c r="J11" s="1"/>
      <c r="K11" s="1"/>
      <c r="L11" s="5">
        <v>138830</v>
      </c>
      <c r="M11" s="5">
        <v>138830</v>
      </c>
      <c r="N11" s="5">
        <v>138830</v>
      </c>
      <c r="O11" s="5">
        <v>138830</v>
      </c>
      <c r="P11" s="1">
        <f t="shared" si="7"/>
        <v>138830</v>
      </c>
      <c r="Q11" s="1">
        <v>138830</v>
      </c>
      <c r="R11" s="1">
        <f t="shared" si="8"/>
        <v>138830</v>
      </c>
      <c r="S11" s="1">
        <f t="shared" si="9"/>
        <v>138830</v>
      </c>
      <c r="T11" s="1">
        <f t="shared" si="9"/>
        <v>138830</v>
      </c>
      <c r="U11" s="1">
        <f t="shared" si="1"/>
        <v>138830</v>
      </c>
      <c r="V11" s="1">
        <f t="shared" si="1"/>
        <v>138830</v>
      </c>
      <c r="W11" s="1">
        <f t="shared" si="2"/>
        <v>138830</v>
      </c>
      <c r="X11" s="1">
        <f t="shared" si="3"/>
        <v>138830</v>
      </c>
      <c r="Y11" s="1">
        <f t="shared" si="4"/>
        <v>138830</v>
      </c>
      <c r="Z11" s="1">
        <f t="shared" si="5"/>
        <v>138830</v>
      </c>
      <c r="AA11" s="1">
        <f t="shared" si="6"/>
        <v>138830</v>
      </c>
      <c r="AB11" s="1">
        <f t="shared" si="6"/>
        <v>138830</v>
      </c>
      <c r="AC11" s="1">
        <f>AB11</f>
        <v>138830</v>
      </c>
      <c r="AD11" s="1">
        <f t="shared" si="10"/>
        <v>138830</v>
      </c>
      <c r="AE11" s="17">
        <f t="shared" si="0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</row>
    <row r="12" spans="1:63" x14ac:dyDescent="0.35">
      <c r="A12" t="s">
        <v>24</v>
      </c>
      <c r="B12" t="s">
        <v>26</v>
      </c>
      <c r="C12" s="1"/>
      <c r="D12" s="1"/>
      <c r="E12" s="1"/>
      <c r="F12" s="1"/>
      <c r="G12" s="1">
        <v>197580</v>
      </c>
      <c r="H12" s="1"/>
      <c r="I12" s="1"/>
      <c r="J12" s="1"/>
      <c r="K12" s="1"/>
      <c r="L12" s="5">
        <v>197580</v>
      </c>
      <c r="M12" s="5">
        <v>197580</v>
      </c>
      <c r="N12" s="5">
        <v>197580</v>
      </c>
      <c r="O12" s="5">
        <v>197580</v>
      </c>
      <c r="P12" s="1">
        <f t="shared" si="7"/>
        <v>197580</v>
      </c>
      <c r="Q12" s="1">
        <v>197580</v>
      </c>
      <c r="R12" s="1">
        <f t="shared" si="8"/>
        <v>197580</v>
      </c>
      <c r="S12" s="1">
        <f t="shared" si="9"/>
        <v>197580</v>
      </c>
      <c r="T12" s="1">
        <f t="shared" si="9"/>
        <v>197580</v>
      </c>
      <c r="U12" s="1">
        <f t="shared" si="1"/>
        <v>197580</v>
      </c>
      <c r="V12" s="1">
        <f t="shared" si="1"/>
        <v>197580</v>
      </c>
      <c r="W12" s="1">
        <f t="shared" si="2"/>
        <v>197580</v>
      </c>
      <c r="X12" s="1">
        <f t="shared" si="3"/>
        <v>197580</v>
      </c>
      <c r="Y12" s="1">
        <f t="shared" si="4"/>
        <v>197580</v>
      </c>
      <c r="Z12" s="1">
        <f t="shared" si="5"/>
        <v>197580</v>
      </c>
      <c r="AA12" s="1">
        <f t="shared" si="6"/>
        <v>197580</v>
      </c>
      <c r="AB12" s="1">
        <f t="shared" si="6"/>
        <v>197580</v>
      </c>
      <c r="AC12" s="1">
        <f>AB12</f>
        <v>197580</v>
      </c>
      <c r="AD12" s="1">
        <f t="shared" si="10"/>
        <v>197580</v>
      </c>
      <c r="AE12" s="17">
        <f t="shared" si="0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</row>
    <row r="13" spans="1:63" x14ac:dyDescent="0.35">
      <c r="A13" t="s">
        <v>24</v>
      </c>
      <c r="B13" t="s">
        <v>27</v>
      </c>
      <c r="C13" s="1"/>
      <c r="D13" s="1"/>
      <c r="E13" s="1"/>
      <c r="F13" s="1"/>
      <c r="G13" s="1">
        <v>16240</v>
      </c>
      <c r="H13" s="1"/>
      <c r="I13" s="1"/>
      <c r="J13" s="1"/>
      <c r="K13" s="1"/>
      <c r="L13" s="5">
        <v>16240</v>
      </c>
      <c r="M13" s="5">
        <v>16240</v>
      </c>
      <c r="N13" s="5">
        <v>16240</v>
      </c>
      <c r="O13" s="5">
        <v>16240</v>
      </c>
      <c r="P13" s="1">
        <f t="shared" si="7"/>
        <v>16240</v>
      </c>
      <c r="Q13" s="1">
        <v>16240</v>
      </c>
      <c r="R13" s="1">
        <f t="shared" si="8"/>
        <v>16240</v>
      </c>
      <c r="S13" s="1">
        <f t="shared" si="9"/>
        <v>16240</v>
      </c>
      <c r="T13" s="1">
        <f t="shared" si="9"/>
        <v>16240</v>
      </c>
      <c r="U13" s="1">
        <f t="shared" si="1"/>
        <v>16240</v>
      </c>
      <c r="V13" s="1">
        <f t="shared" si="1"/>
        <v>16240</v>
      </c>
      <c r="W13" s="1">
        <f>V13</f>
        <v>16240</v>
      </c>
      <c r="X13" s="1">
        <f t="shared" si="3"/>
        <v>16240</v>
      </c>
      <c r="Y13" s="1">
        <f t="shared" si="4"/>
        <v>16240</v>
      </c>
      <c r="Z13" s="1">
        <f t="shared" si="5"/>
        <v>16240</v>
      </c>
      <c r="AA13" s="1">
        <f t="shared" si="6"/>
        <v>16240</v>
      </c>
      <c r="AB13" s="1">
        <f t="shared" si="6"/>
        <v>16240</v>
      </c>
      <c r="AC13" s="1">
        <f>AB13</f>
        <v>16240</v>
      </c>
      <c r="AD13" s="1">
        <f t="shared" si="10"/>
        <v>16240</v>
      </c>
      <c r="AE13" s="17">
        <f t="shared" si="0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</row>
    <row r="14" spans="1:63" x14ac:dyDescent="0.35">
      <c r="A14" t="s">
        <v>24</v>
      </c>
      <c r="B14" t="s">
        <v>54</v>
      </c>
      <c r="C14" s="1"/>
      <c r="D14" s="1"/>
      <c r="E14" s="1"/>
      <c r="F14" s="1"/>
      <c r="G14" s="1">
        <v>18350</v>
      </c>
      <c r="H14" s="1"/>
      <c r="I14" s="1"/>
      <c r="J14" s="1"/>
      <c r="K14" s="1"/>
      <c r="L14" s="5">
        <v>17660</v>
      </c>
      <c r="M14" s="5">
        <f>L14-139.8</f>
        <v>17520.2</v>
      </c>
      <c r="N14" s="5">
        <v>17390</v>
      </c>
      <c r="O14" s="1">
        <f>17250-0.7</f>
        <v>17249.3</v>
      </c>
      <c r="P14" s="1">
        <f>O14-142.9</f>
        <v>17106.399999999998</v>
      </c>
      <c r="Q14" s="1">
        <v>16980</v>
      </c>
      <c r="R14" s="1">
        <f>Q14-145</f>
        <v>16835</v>
      </c>
      <c r="S14" s="1">
        <f>R14-142.2</f>
        <v>16692.8</v>
      </c>
      <c r="T14" s="1">
        <f>S14-143.4</f>
        <v>16549.399999999998</v>
      </c>
      <c r="U14" s="1">
        <f>T14-152.6</f>
        <v>16396.8</v>
      </c>
      <c r="V14" s="1">
        <f>U14-145.6</f>
        <v>16251.199999999999</v>
      </c>
      <c r="W14" s="1">
        <f>V14-150.7</f>
        <v>16100.499999999998</v>
      </c>
      <c r="X14" s="1">
        <f>W14-147.9</f>
        <v>15952.599999999999</v>
      </c>
      <c r="Y14" s="1">
        <f>X14-152.9</f>
        <v>15799.699999999999</v>
      </c>
      <c r="Z14" s="1">
        <f>Y14-150.2</f>
        <v>15649.499999999998</v>
      </c>
      <c r="AA14" s="1">
        <f>Z14-151.3</f>
        <v>15498.199999999999</v>
      </c>
      <c r="AB14" s="1">
        <f>AA14-156.3</f>
        <v>15341.9</v>
      </c>
      <c r="AC14" s="1">
        <f>AB14-153.7</f>
        <v>15188.199999999999</v>
      </c>
      <c r="AD14" s="1">
        <f>AC14-158.6</f>
        <v>15029.599999999999</v>
      </c>
      <c r="AE14" s="17">
        <f t="shared" si="0"/>
        <v>-158.60000000000036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spans="1:63" x14ac:dyDescent="0.35">
      <c r="A15" t="s">
        <v>24</v>
      </c>
      <c r="B15" t="s">
        <v>55</v>
      </c>
      <c r="C15" s="1"/>
      <c r="D15" s="1"/>
      <c r="E15" s="1"/>
      <c r="F15" s="1"/>
      <c r="G15" s="1">
        <v>4830</v>
      </c>
      <c r="H15" s="1"/>
      <c r="I15" s="1"/>
      <c r="J15" s="1"/>
      <c r="K15" s="1"/>
      <c r="L15" s="5">
        <v>4550</v>
      </c>
      <c r="M15" s="5">
        <v>4550</v>
      </c>
      <c r="N15" s="5">
        <v>4550</v>
      </c>
      <c r="O15" s="1">
        <v>4410</v>
      </c>
      <c r="P15" s="1">
        <f>O15</f>
        <v>4410</v>
      </c>
      <c r="Q15" s="1">
        <v>4410</v>
      </c>
      <c r="R15" s="1">
        <f>Q15-140.7</f>
        <v>4269.3</v>
      </c>
      <c r="S15" s="1">
        <f>R15</f>
        <v>4269.3</v>
      </c>
      <c r="T15" s="1">
        <f>S15</f>
        <v>4269.3</v>
      </c>
      <c r="U15" s="1">
        <f>T15-140.7</f>
        <v>4128.6000000000004</v>
      </c>
      <c r="V15" s="1">
        <f>U15</f>
        <v>4128.6000000000004</v>
      </c>
      <c r="W15" s="1">
        <f>V15</f>
        <v>4128.6000000000004</v>
      </c>
      <c r="X15" s="1">
        <f>W15-140.7</f>
        <v>3987.9000000000005</v>
      </c>
      <c r="Y15" s="1">
        <f>X15</f>
        <v>3987.9000000000005</v>
      </c>
      <c r="Z15" s="1">
        <f>Y15</f>
        <v>3987.9000000000005</v>
      </c>
      <c r="AA15" s="1">
        <f>Z15-140.7</f>
        <v>3847.2000000000007</v>
      </c>
      <c r="AB15" s="1">
        <f>AA15</f>
        <v>3847.2000000000007</v>
      </c>
      <c r="AC15" s="1">
        <f>AB15</f>
        <v>3847.2000000000007</v>
      </c>
      <c r="AD15" s="1">
        <f>AC15-140.7</f>
        <v>3706.5000000000009</v>
      </c>
      <c r="AE15" s="17">
        <f t="shared" si="0"/>
        <v>-140.69999999999982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</row>
    <row r="16" spans="1:63" x14ac:dyDescent="0.35">
      <c r="A16" t="s">
        <v>24</v>
      </c>
      <c r="B16" t="s">
        <v>56</v>
      </c>
      <c r="C16" s="1"/>
      <c r="D16" s="1"/>
      <c r="E16" s="1"/>
      <c r="F16" s="1"/>
      <c r="G16" s="1">
        <v>31590</v>
      </c>
      <c r="H16" s="1"/>
      <c r="I16" s="1"/>
      <c r="J16" s="1"/>
      <c r="K16" s="1"/>
      <c r="L16" s="5">
        <v>31030</v>
      </c>
      <c r="M16" s="5">
        <f>L16-115.3</f>
        <v>30914.7</v>
      </c>
      <c r="N16" s="5">
        <v>30820</v>
      </c>
      <c r="O16" s="1">
        <v>30700</v>
      </c>
      <c r="P16" s="1">
        <f>O16-118.9</f>
        <v>30581.1</v>
      </c>
      <c r="Q16" s="1">
        <v>30470</v>
      </c>
      <c r="R16" s="1">
        <f>Q16-121.4</f>
        <v>30348.6</v>
      </c>
      <c r="S16" s="1">
        <f>R16-90.4</f>
        <v>30258.199999999997</v>
      </c>
      <c r="T16" s="1">
        <f>S16-158.8</f>
        <v>30099.399999999998</v>
      </c>
      <c r="U16" s="1">
        <f>T16-167.3</f>
        <v>29932.1</v>
      </c>
      <c r="V16" s="1">
        <f>U16-154.1</f>
        <v>29778</v>
      </c>
      <c r="W16" s="1">
        <f>V16-162.4</f>
        <v>29615.599999999999</v>
      </c>
      <c r="X16" s="1">
        <f>W16-156.5</f>
        <v>29459.1</v>
      </c>
      <c r="Y16" s="1">
        <f>X16-150.6</f>
        <v>29308.5</v>
      </c>
      <c r="Z16" s="1">
        <f>Y16-172.9</f>
        <v>29135.599999999999</v>
      </c>
      <c r="AA16" s="1">
        <f>Z16-160.1</f>
        <v>28975.5</v>
      </c>
      <c r="AB16" s="1">
        <f>AA16-161.2</f>
        <v>28814.3</v>
      </c>
      <c r="AC16" s="1">
        <f>AB16-169.4</f>
        <v>28644.899999999998</v>
      </c>
      <c r="AD16" s="1">
        <f>AC16-170.6</f>
        <v>28474.3</v>
      </c>
      <c r="AE16" s="17">
        <f t="shared" si="0"/>
        <v>-170.59999999999854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</row>
    <row r="17" spans="1:63" x14ac:dyDescent="0.35">
      <c r="A17" t="s">
        <v>24</v>
      </c>
      <c r="B17" t="s">
        <v>128</v>
      </c>
      <c r="C17" s="1"/>
      <c r="D17" s="1"/>
      <c r="E17" s="1"/>
      <c r="F17" s="1"/>
      <c r="G17" s="1"/>
      <c r="H17" s="1"/>
      <c r="I17" s="1"/>
      <c r="J17" s="1"/>
      <c r="K17" s="1"/>
      <c r="L17" s="5"/>
      <c r="M17" s="5"/>
      <c r="N17" s="5"/>
      <c r="O17" s="1">
        <v>0</v>
      </c>
      <c r="P17" s="1">
        <v>154.9</v>
      </c>
      <c r="Q17" s="1">
        <v>154.9</v>
      </c>
      <c r="R17" s="1">
        <f t="shared" ref="R17:W17" si="11">Q17</f>
        <v>154.9</v>
      </c>
      <c r="S17" s="1">
        <f t="shared" si="11"/>
        <v>154.9</v>
      </c>
      <c r="T17" s="1">
        <f t="shared" si="11"/>
        <v>154.9</v>
      </c>
      <c r="U17" s="1">
        <f t="shared" si="11"/>
        <v>154.9</v>
      </c>
      <c r="V17" s="1">
        <f t="shared" si="11"/>
        <v>154.9</v>
      </c>
      <c r="W17" s="1">
        <f t="shared" si="11"/>
        <v>154.9</v>
      </c>
      <c r="X17" s="1">
        <f t="shared" ref="X17:AC17" si="12">W17</f>
        <v>154.9</v>
      </c>
      <c r="Y17" s="1">
        <f t="shared" si="12"/>
        <v>154.9</v>
      </c>
      <c r="Z17" s="1">
        <f t="shared" si="12"/>
        <v>154.9</v>
      </c>
      <c r="AA17" s="1">
        <f t="shared" si="12"/>
        <v>154.9</v>
      </c>
      <c r="AB17" s="1">
        <f t="shared" si="12"/>
        <v>154.9</v>
      </c>
      <c r="AC17" s="1">
        <f t="shared" si="12"/>
        <v>154.9</v>
      </c>
      <c r="AD17" s="1">
        <f>AC17</f>
        <v>154.9</v>
      </c>
      <c r="AE17" s="17">
        <f t="shared" si="0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</row>
    <row r="18" spans="1:63" x14ac:dyDescent="0.35">
      <c r="A18" t="s">
        <v>24</v>
      </c>
      <c r="B18" t="s">
        <v>215</v>
      </c>
      <c r="C18" s="1"/>
      <c r="D18" s="1"/>
      <c r="E18" s="1"/>
      <c r="F18" s="1"/>
      <c r="G18" s="1"/>
      <c r="H18" s="1"/>
      <c r="I18" s="1"/>
      <c r="J18" s="1"/>
      <c r="K18" s="1"/>
      <c r="L18" s="5"/>
      <c r="M18" s="5"/>
      <c r="N18" s="5"/>
      <c r="O18" s="1"/>
      <c r="P18" s="1"/>
      <c r="Q18" s="1"/>
      <c r="R18" s="1"/>
      <c r="S18" s="1"/>
      <c r="T18" s="1"/>
      <c r="U18" s="1"/>
      <c r="V18" s="1"/>
      <c r="W18" s="1"/>
      <c r="X18" s="1"/>
      <c r="Y18" s="1">
        <v>300.5</v>
      </c>
      <c r="Z18" s="1">
        <f t="shared" ref="Z18:AB19" si="13">Y18</f>
        <v>300.5</v>
      </c>
      <c r="AA18" s="1">
        <f t="shared" si="13"/>
        <v>300.5</v>
      </c>
      <c r="AB18" s="1">
        <f t="shared" si="13"/>
        <v>300.5</v>
      </c>
      <c r="AC18" s="1">
        <f>AB18</f>
        <v>300.5</v>
      </c>
      <c r="AD18" s="1">
        <f>AC18</f>
        <v>300.5</v>
      </c>
      <c r="AE18" s="17">
        <f t="shared" si="0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x14ac:dyDescent="0.35">
      <c r="A19" t="s">
        <v>24</v>
      </c>
      <c r="B19" t="s">
        <v>214</v>
      </c>
      <c r="C19" s="1"/>
      <c r="D19" s="1"/>
      <c r="E19" s="1"/>
      <c r="F19" s="1"/>
      <c r="G19" s="1"/>
      <c r="H19" s="1"/>
      <c r="I19" s="1"/>
      <c r="J19" s="1"/>
      <c r="K19" s="1"/>
      <c r="L19" s="5"/>
      <c r="M19" s="5"/>
      <c r="N19" s="5"/>
      <c r="O19" s="1"/>
      <c r="P19" s="1"/>
      <c r="Q19" s="1"/>
      <c r="R19" s="1"/>
      <c r="S19" s="1"/>
      <c r="T19" s="1"/>
      <c r="U19" s="1"/>
      <c r="V19" s="1"/>
      <c r="W19" s="1"/>
      <c r="X19" s="1"/>
      <c r="Y19" s="1">
        <v>939.5</v>
      </c>
      <c r="Z19" s="1">
        <f t="shared" si="13"/>
        <v>939.5</v>
      </c>
      <c r="AA19" s="1">
        <f t="shared" si="13"/>
        <v>939.5</v>
      </c>
      <c r="AB19" s="1">
        <f t="shared" si="13"/>
        <v>939.5</v>
      </c>
      <c r="AC19" s="1">
        <f>AB19</f>
        <v>939.5</v>
      </c>
      <c r="AD19" s="1">
        <f>AC19</f>
        <v>939.5</v>
      </c>
      <c r="AE19" s="17">
        <f t="shared" si="0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x14ac:dyDescent="0.35">
      <c r="A20" t="s">
        <v>24</v>
      </c>
      <c r="B20" t="s">
        <v>57</v>
      </c>
      <c r="C20" s="1"/>
      <c r="D20" s="1"/>
      <c r="E20" s="1"/>
      <c r="F20" s="1"/>
      <c r="G20" s="1">
        <v>2170</v>
      </c>
      <c r="H20" s="1"/>
      <c r="I20" s="1"/>
      <c r="J20" s="1"/>
      <c r="K20" s="1"/>
      <c r="L20" s="5">
        <v>7130</v>
      </c>
      <c r="M20" s="5">
        <f>L20+2405.9</f>
        <v>9535.9</v>
      </c>
      <c r="N20" s="5">
        <v>11170</v>
      </c>
      <c r="O20" s="1">
        <v>12020</v>
      </c>
      <c r="P20" s="1">
        <f>O20+842.4</f>
        <v>12862.4</v>
      </c>
      <c r="Q20" s="1">
        <v>13700</v>
      </c>
      <c r="R20" s="1">
        <f>Q20+870.5</f>
        <v>14570.5</v>
      </c>
      <c r="S20" s="1">
        <f t="shared" ref="S20:T23" si="14">R20</f>
        <v>14570.5</v>
      </c>
      <c r="T20" s="1">
        <f t="shared" si="14"/>
        <v>14570.5</v>
      </c>
      <c r="U20" s="1">
        <f>T20</f>
        <v>14570.5</v>
      </c>
      <c r="V20" s="1">
        <f>U20+1786.7</f>
        <v>16357.2</v>
      </c>
      <c r="W20" s="1">
        <f>V20+893.3</f>
        <v>17250.5</v>
      </c>
      <c r="X20" s="1">
        <f>W20+917.7</f>
        <v>18168.2</v>
      </c>
      <c r="Y20" s="1">
        <f>X20+917.7</f>
        <v>19085.900000000001</v>
      </c>
      <c r="Z20" s="1">
        <f>Y20+917.7</f>
        <v>20003.600000000002</v>
      </c>
      <c r="AA20" s="1">
        <f>Z20+938</f>
        <v>20941.600000000002</v>
      </c>
      <c r="AB20" s="1">
        <f>AA20</f>
        <v>20941.600000000002</v>
      </c>
      <c r="AC20" s="1">
        <f>AB20</f>
        <v>20941.600000000002</v>
      </c>
      <c r="AD20" s="1">
        <f>AC20+2832.8</f>
        <v>23774.400000000001</v>
      </c>
      <c r="AE20" s="17">
        <f t="shared" si="0"/>
        <v>2832.7999999999993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x14ac:dyDescent="0.35">
      <c r="A21" t="s">
        <v>24</v>
      </c>
      <c r="B21" t="s">
        <v>190</v>
      </c>
      <c r="C21" s="1"/>
      <c r="D21" s="1"/>
      <c r="E21" s="1"/>
      <c r="F21" s="1"/>
      <c r="G21" s="1"/>
      <c r="H21" s="1"/>
      <c r="I21" s="1"/>
      <c r="J21" s="1"/>
      <c r="K21" s="1"/>
      <c r="L21" s="5"/>
      <c r="M21" s="5"/>
      <c r="N21" s="5"/>
      <c r="O21" s="1"/>
      <c r="P21" s="1"/>
      <c r="Q21" s="1"/>
      <c r="R21" s="1"/>
      <c r="S21" s="1"/>
      <c r="T21" s="1"/>
      <c r="U21" s="1"/>
      <c r="V21" s="1">
        <v>316</v>
      </c>
      <c r="W21" s="1">
        <f>V21</f>
        <v>316</v>
      </c>
      <c r="X21" s="1">
        <f>W21</f>
        <v>316</v>
      </c>
      <c r="Y21" s="1">
        <f>X21+26885</f>
        <v>27201</v>
      </c>
      <c r="Z21" s="1">
        <f>Y21</f>
        <v>27201</v>
      </c>
      <c r="AA21" s="1">
        <f>Z21</f>
        <v>27201</v>
      </c>
      <c r="AB21" s="1">
        <f>AA21+62050</f>
        <v>89251</v>
      </c>
      <c r="AC21" s="1">
        <f>AB21</f>
        <v>89251</v>
      </c>
      <c r="AD21" s="1">
        <f>AC21+137039</f>
        <v>226290</v>
      </c>
      <c r="AE21" s="17">
        <f t="shared" si="0"/>
        <v>137039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x14ac:dyDescent="0.35">
      <c r="A22" t="s">
        <v>24</v>
      </c>
      <c r="B22" t="s">
        <v>58</v>
      </c>
      <c r="C22" s="1"/>
      <c r="D22" s="1"/>
      <c r="E22" s="1"/>
      <c r="F22" s="1"/>
      <c r="G22" s="1">
        <v>120000</v>
      </c>
      <c r="H22" s="1"/>
      <c r="I22" s="1"/>
      <c r="J22" s="1"/>
      <c r="K22" s="1"/>
      <c r="L22" s="5">
        <v>120000</v>
      </c>
      <c r="M22" s="5">
        <v>120000</v>
      </c>
      <c r="N22" s="5">
        <v>120000</v>
      </c>
      <c r="O22" s="1">
        <v>120000</v>
      </c>
      <c r="P22" s="1">
        <f>O22</f>
        <v>120000</v>
      </c>
      <c r="Q22" s="1">
        <v>120000</v>
      </c>
      <c r="R22" s="1">
        <f>Q22</f>
        <v>120000</v>
      </c>
      <c r="S22" s="1">
        <f t="shared" si="14"/>
        <v>120000</v>
      </c>
      <c r="T22" s="1">
        <f t="shared" si="14"/>
        <v>120000</v>
      </c>
      <c r="U22" s="1">
        <f>T22</f>
        <v>120000</v>
      </c>
      <c r="V22" s="1">
        <f>U22</f>
        <v>120000</v>
      </c>
      <c r="W22" s="1">
        <f>V22</f>
        <v>120000</v>
      </c>
      <c r="X22" s="1">
        <f>W22</f>
        <v>120000</v>
      </c>
      <c r="Y22" s="1">
        <f>X22</f>
        <v>120000</v>
      </c>
      <c r="Z22" s="1">
        <f>Y22</f>
        <v>120000</v>
      </c>
      <c r="AA22" s="1">
        <f>Z22</f>
        <v>120000</v>
      </c>
      <c r="AB22" s="1">
        <f>AA22</f>
        <v>120000</v>
      </c>
      <c r="AC22" s="1">
        <f>AB22</f>
        <v>120000</v>
      </c>
      <c r="AD22" s="1">
        <f>AC22</f>
        <v>120000</v>
      </c>
      <c r="AE22" s="17">
        <f t="shared" si="0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x14ac:dyDescent="0.35">
      <c r="A23" t="s">
        <v>35</v>
      </c>
      <c r="B23" t="s">
        <v>6</v>
      </c>
      <c r="C23" s="1">
        <v>3000</v>
      </c>
      <c r="D23" s="1">
        <v>3000</v>
      </c>
      <c r="E23" s="1">
        <v>3000</v>
      </c>
      <c r="F23" s="1">
        <v>3000</v>
      </c>
      <c r="G23" s="1">
        <v>3000</v>
      </c>
      <c r="H23" s="1">
        <v>3000</v>
      </c>
      <c r="I23" s="1">
        <v>3000</v>
      </c>
      <c r="J23" s="1">
        <v>3000</v>
      </c>
      <c r="K23" s="1">
        <v>3000</v>
      </c>
      <c r="L23" s="5">
        <v>3000</v>
      </c>
      <c r="M23" s="5">
        <v>3000</v>
      </c>
      <c r="N23" s="5">
        <v>3000</v>
      </c>
      <c r="O23" s="1">
        <v>3000</v>
      </c>
      <c r="P23" s="1">
        <v>3000</v>
      </c>
      <c r="Q23" s="1">
        <v>3000</v>
      </c>
      <c r="R23" s="1">
        <f>Q23</f>
        <v>3000</v>
      </c>
      <c r="S23" s="1">
        <f t="shared" si="14"/>
        <v>3000</v>
      </c>
      <c r="T23" s="1">
        <f t="shared" si="14"/>
        <v>3000</v>
      </c>
      <c r="U23" s="1">
        <f>T23</f>
        <v>3000</v>
      </c>
      <c r="V23" s="1">
        <v>3000</v>
      </c>
      <c r="W23" s="1">
        <v>3000</v>
      </c>
      <c r="X23" s="1">
        <f>W23</f>
        <v>3000</v>
      </c>
      <c r="Y23" s="1">
        <f>X23</f>
        <v>3000</v>
      </c>
      <c r="Z23" s="1">
        <v>3000</v>
      </c>
      <c r="AA23" s="1">
        <v>3000</v>
      </c>
      <c r="AB23" s="1">
        <v>3000</v>
      </c>
      <c r="AC23" s="1">
        <v>3000</v>
      </c>
      <c r="AD23" s="1">
        <f>AC23</f>
        <v>3000</v>
      </c>
      <c r="AE23" s="17">
        <f t="shared" si="0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spans="1:63" x14ac:dyDescent="0.35">
      <c r="A24" t="s">
        <v>36</v>
      </c>
      <c r="B24" t="s">
        <v>7</v>
      </c>
      <c r="C24" s="1">
        <v>314357.40000000002</v>
      </c>
      <c r="D24" s="1">
        <v>319388.7</v>
      </c>
      <c r="E24" s="1">
        <v>385146.2</v>
      </c>
      <c r="F24" s="1">
        <v>583710</v>
      </c>
      <c r="G24" s="1">
        <v>583710</v>
      </c>
      <c r="H24" s="1">
        <v>583710</v>
      </c>
      <c r="I24" s="1">
        <v>595596</v>
      </c>
      <c r="J24" s="1">
        <v>603639.1</v>
      </c>
      <c r="K24" s="1">
        <v>619314.4</v>
      </c>
      <c r="L24" s="5">
        <v>697875.5</v>
      </c>
      <c r="M24" s="5">
        <v>703010.4</v>
      </c>
      <c r="N24" s="5">
        <v>862315.2</v>
      </c>
      <c r="O24" s="1">
        <v>918404.2</v>
      </c>
      <c r="P24" s="1">
        <v>940395.4</v>
      </c>
      <c r="Q24" s="1">
        <f>386744.9+140891.8+117073.5+88556.5+4050+178300+57500</f>
        <v>973116.7</v>
      </c>
      <c r="R24" s="1">
        <v>1157407</v>
      </c>
      <c r="S24" s="1">
        <f>R24</f>
        <v>1157407</v>
      </c>
      <c r="T24" s="1">
        <v>1163373</v>
      </c>
      <c r="U24" s="1">
        <v>1179302</v>
      </c>
      <c r="V24" s="1">
        <v>1182890</v>
      </c>
      <c r="W24" s="1">
        <v>1213962.3</v>
      </c>
      <c r="X24" s="1">
        <v>1231367.6000000001</v>
      </c>
      <c r="Y24" s="1">
        <v>1236574.6000000001</v>
      </c>
      <c r="Z24" s="1">
        <v>1262976</v>
      </c>
      <c r="AA24" s="1">
        <v>1270394.2</v>
      </c>
      <c r="AB24" s="1">
        <v>1283924.3999999999</v>
      </c>
      <c r="AC24" s="1">
        <v>1296899.4000000001</v>
      </c>
      <c r="AD24" s="1">
        <f>GETPIVOTDATA("Сумма, млн. руб",infra_invest!$J$2,"Получатель","АО «Атомэнергопром»")+GETPIVOTDATA("Сумма, млн. руб",infra_invest!$J$2,"Получатель","АО «ГТЛК»")+GETPIVOTDATA("Сумма, млн. руб",infra_invest!$J$2,"Получатель","ГК «Российские автомобильные дороги»")+GETPIVOTDATA("Сумма, млн. руб",infra_invest!$J$2,"Получатель","ГК Фонд содействия реформированию жилищно-коммунального хозяйства")+GETPIVOTDATA("Сумма, млн. руб",infra_invest!$J$2,"Получатель","ООО «Авиакапитал-Сервис»")+GETPIVOTDATA("Сумма, млн. руб",infra_invest!$J$2,"Получатель","ООО «Инфраструктурные инвестиции - 4»")+GETPIVOTDATA("Сумма, млн. руб",infra_invest!$J$2,"Получатель","ППК «Фонд развития территорий»")+GETPIVOTDATA("Сумма, млн. руб",infra_invest!$J$2,"Получатель","ОАО «РЖД»")</f>
        <v>1339327.2</v>
      </c>
      <c r="AE24" s="17">
        <f t="shared" si="0"/>
        <v>42427.799999999814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 spans="1:63" x14ac:dyDescent="0.35">
      <c r="A25" t="s">
        <v>36</v>
      </c>
      <c r="B25" t="s">
        <v>8</v>
      </c>
      <c r="C25" s="1">
        <v>2221.4</v>
      </c>
      <c r="D25" s="1">
        <v>2221.4</v>
      </c>
      <c r="E25" s="1">
        <v>2221.4</v>
      </c>
      <c r="F25" s="1">
        <v>2153.4</v>
      </c>
      <c r="G25" s="1">
        <v>2153.4</v>
      </c>
      <c r="H25" s="1">
        <v>2082.4</v>
      </c>
      <c r="I25" s="1">
        <v>2082.4</v>
      </c>
      <c r="J25" s="1">
        <v>2082.4</v>
      </c>
      <c r="K25" s="1">
        <v>2082.4</v>
      </c>
      <c r="L25" s="5">
        <v>2014.4</v>
      </c>
      <c r="M25" s="5">
        <v>2014.4</v>
      </c>
      <c r="N25" s="5">
        <v>1943.5</v>
      </c>
      <c r="O25" s="1">
        <v>1943.5</v>
      </c>
      <c r="P25" s="1">
        <v>1943.5</v>
      </c>
      <c r="Q25" s="1">
        <v>1943.5</v>
      </c>
      <c r="R25" s="1">
        <v>1875.5</v>
      </c>
      <c r="S25" s="1">
        <f t="shared" ref="S25:T28" si="15">R25</f>
        <v>1875.5</v>
      </c>
      <c r="T25" s="1">
        <f t="shared" si="15"/>
        <v>1875.5</v>
      </c>
      <c r="U25" s="1">
        <f t="shared" ref="U25:V28" si="16">T25</f>
        <v>1875.5</v>
      </c>
      <c r="V25" s="1">
        <f t="shared" si="16"/>
        <v>1875.5</v>
      </c>
      <c r="W25" s="1">
        <v>1875.4</v>
      </c>
      <c r="X25" s="1">
        <f t="shared" ref="X25:Y27" si="17">W25</f>
        <v>1875.4</v>
      </c>
      <c r="Y25" s="1">
        <f t="shared" si="17"/>
        <v>1875.4</v>
      </c>
      <c r="Z25" s="1">
        <f t="shared" ref="Z25:AA28" si="18">Y25</f>
        <v>1875.4</v>
      </c>
      <c r="AA25" s="1">
        <f>Z25</f>
        <v>1875.4</v>
      </c>
      <c r="AB25" s="1">
        <f>AA25</f>
        <v>1875.4</v>
      </c>
      <c r="AC25" s="1">
        <f>AB25</f>
        <v>1875.4</v>
      </c>
      <c r="AD25" s="1">
        <f>AC25</f>
        <v>1875.4</v>
      </c>
      <c r="AE25" s="17">
        <f t="shared" si="0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1:63" x14ac:dyDescent="0.35">
      <c r="A26" t="s">
        <v>9</v>
      </c>
      <c r="B26" t="s">
        <v>30</v>
      </c>
      <c r="C26" s="1">
        <v>214037.9</v>
      </c>
      <c r="D26" s="1">
        <v>214037.9</v>
      </c>
      <c r="E26" s="1">
        <v>214037.9</v>
      </c>
      <c r="F26" s="1">
        <v>214037.9</v>
      </c>
      <c r="G26" s="1">
        <v>214037.9</v>
      </c>
      <c r="H26" s="1">
        <v>214037.9</v>
      </c>
      <c r="I26" s="1">
        <v>214037.9</v>
      </c>
      <c r="J26" s="1">
        <v>214037.9</v>
      </c>
      <c r="K26" s="1">
        <v>214037.9</v>
      </c>
      <c r="L26" s="5">
        <v>214037.9</v>
      </c>
      <c r="M26" s="5">
        <v>214037.9</v>
      </c>
      <c r="N26" s="5">
        <v>214037.9</v>
      </c>
      <c r="O26" s="5">
        <v>214037.9</v>
      </c>
      <c r="P26" s="5">
        <v>214037.9</v>
      </c>
      <c r="Q26" s="5">
        <v>214037.9</v>
      </c>
      <c r="R26" s="1">
        <f>Q26</f>
        <v>214037.9</v>
      </c>
      <c r="S26" s="1">
        <f t="shared" si="15"/>
        <v>214037.9</v>
      </c>
      <c r="T26" s="1">
        <f t="shared" si="15"/>
        <v>214037.9</v>
      </c>
      <c r="U26" s="1">
        <f t="shared" si="16"/>
        <v>214037.9</v>
      </c>
      <c r="V26" s="1">
        <f t="shared" si="16"/>
        <v>214037.9</v>
      </c>
      <c r="W26" s="1">
        <f>V26</f>
        <v>214037.9</v>
      </c>
      <c r="X26" s="1">
        <f t="shared" si="17"/>
        <v>214037.9</v>
      </c>
      <c r="Y26" s="1">
        <f t="shared" si="17"/>
        <v>214037.9</v>
      </c>
      <c r="Z26" s="1">
        <f t="shared" si="18"/>
        <v>214037.9</v>
      </c>
      <c r="AA26" s="1">
        <f t="shared" si="18"/>
        <v>214037.9</v>
      </c>
      <c r="AB26" s="1">
        <f t="shared" ref="AB26:AC28" si="19">AA26</f>
        <v>214037.9</v>
      </c>
      <c r="AC26" s="1">
        <f t="shared" si="19"/>
        <v>214037.9</v>
      </c>
      <c r="AD26" s="1">
        <f>AC26</f>
        <v>214037.9</v>
      </c>
      <c r="AE26" s="17">
        <f t="shared" si="0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x14ac:dyDescent="0.35">
      <c r="A27" t="s">
        <v>9</v>
      </c>
      <c r="B27" t="s">
        <v>31</v>
      </c>
      <c r="C27" s="1">
        <v>25000</v>
      </c>
      <c r="D27" s="1">
        <v>25000</v>
      </c>
      <c r="E27" s="1">
        <v>25000</v>
      </c>
      <c r="F27" s="1">
        <v>25000</v>
      </c>
      <c r="G27" s="1">
        <v>25000</v>
      </c>
      <c r="H27" s="1">
        <v>25000</v>
      </c>
      <c r="I27" s="1">
        <v>25000</v>
      </c>
      <c r="J27" s="1">
        <v>25000</v>
      </c>
      <c r="K27" s="1">
        <v>25000</v>
      </c>
      <c r="L27" s="5">
        <v>25000</v>
      </c>
      <c r="M27" s="5">
        <v>25000</v>
      </c>
      <c r="N27" s="5">
        <v>25000</v>
      </c>
      <c r="O27" s="5">
        <v>25000</v>
      </c>
      <c r="P27" s="5">
        <v>25000</v>
      </c>
      <c r="Q27" s="5">
        <v>25000</v>
      </c>
      <c r="R27" s="1">
        <f>Q27</f>
        <v>25000</v>
      </c>
      <c r="S27" s="1">
        <f t="shared" si="15"/>
        <v>25000</v>
      </c>
      <c r="T27" s="1">
        <f t="shared" si="15"/>
        <v>25000</v>
      </c>
      <c r="U27" s="1">
        <f t="shared" si="16"/>
        <v>25000</v>
      </c>
      <c r="V27" s="1">
        <f t="shared" si="16"/>
        <v>25000</v>
      </c>
      <c r="W27" s="1">
        <f>V27</f>
        <v>25000</v>
      </c>
      <c r="X27" s="1">
        <f t="shared" si="17"/>
        <v>25000</v>
      </c>
      <c r="Y27" s="1">
        <f t="shared" si="17"/>
        <v>25000</v>
      </c>
      <c r="Z27" s="1">
        <f t="shared" si="18"/>
        <v>25000</v>
      </c>
      <c r="AA27" s="1">
        <f t="shared" si="18"/>
        <v>25000</v>
      </c>
      <c r="AB27" s="1">
        <f t="shared" si="19"/>
        <v>25000</v>
      </c>
      <c r="AC27" s="1">
        <f t="shared" si="19"/>
        <v>25000</v>
      </c>
      <c r="AD27" s="1">
        <f>AC27</f>
        <v>25000</v>
      </c>
      <c r="AE27" s="17">
        <f t="shared" si="0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x14ac:dyDescent="0.35">
      <c r="A28" t="s">
        <v>9</v>
      </c>
      <c r="B28" t="s">
        <v>32</v>
      </c>
      <c r="C28" s="1">
        <v>89954</v>
      </c>
      <c r="D28" s="1">
        <v>89954</v>
      </c>
      <c r="E28" s="1">
        <v>89954</v>
      </c>
      <c r="F28" s="1">
        <v>89954</v>
      </c>
      <c r="G28" s="1">
        <v>89954</v>
      </c>
      <c r="H28" s="1">
        <v>89954</v>
      </c>
      <c r="I28" s="1">
        <v>89954</v>
      </c>
      <c r="J28" s="1">
        <v>89954</v>
      </c>
      <c r="K28" s="1">
        <v>89954</v>
      </c>
      <c r="L28" s="5">
        <v>89954</v>
      </c>
      <c r="M28" s="5">
        <v>89954</v>
      </c>
      <c r="N28" s="5">
        <v>89954</v>
      </c>
      <c r="O28" s="5">
        <v>89954</v>
      </c>
      <c r="P28" s="5">
        <v>89954</v>
      </c>
      <c r="Q28" s="5">
        <v>89954</v>
      </c>
      <c r="R28" s="1">
        <f>Q28</f>
        <v>89954</v>
      </c>
      <c r="S28" s="1">
        <f t="shared" si="15"/>
        <v>89954</v>
      </c>
      <c r="T28" s="1">
        <f t="shared" si="15"/>
        <v>89954</v>
      </c>
      <c r="U28" s="1">
        <f t="shared" si="16"/>
        <v>89954</v>
      </c>
      <c r="V28" s="1">
        <f t="shared" si="16"/>
        <v>89954</v>
      </c>
      <c r="W28" s="1">
        <f>V28</f>
        <v>89954</v>
      </c>
      <c r="X28" s="1">
        <v>164954</v>
      </c>
      <c r="Y28" s="1">
        <f>X28</f>
        <v>164954</v>
      </c>
      <c r="Z28" s="1">
        <f t="shared" si="18"/>
        <v>164954</v>
      </c>
      <c r="AA28" s="1">
        <f t="shared" si="18"/>
        <v>164954</v>
      </c>
      <c r="AB28" s="1">
        <f t="shared" si="19"/>
        <v>164954</v>
      </c>
      <c r="AC28" s="1">
        <f t="shared" si="19"/>
        <v>164954</v>
      </c>
      <c r="AD28" s="1">
        <f>AC28</f>
        <v>164954</v>
      </c>
      <c r="AE28" s="17">
        <f t="shared" si="0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spans="1:63" x14ac:dyDescent="0.35">
      <c r="A29" t="s">
        <v>38</v>
      </c>
      <c r="B29" t="s">
        <v>10</v>
      </c>
      <c r="C29" s="1">
        <v>138433.9</v>
      </c>
      <c r="D29" s="1">
        <v>138433.9</v>
      </c>
      <c r="E29" s="1">
        <v>138433.9</v>
      </c>
      <c r="F29" s="1">
        <v>138433.9</v>
      </c>
      <c r="G29" s="1">
        <v>138433.9</v>
      </c>
      <c r="H29" s="1">
        <v>138433.9</v>
      </c>
      <c r="I29" s="1">
        <v>0</v>
      </c>
      <c r="J29" s="1">
        <v>0</v>
      </c>
      <c r="K29" s="1">
        <v>0</v>
      </c>
      <c r="L29" s="5">
        <v>0</v>
      </c>
      <c r="M29" s="5">
        <v>0</v>
      </c>
      <c r="N29" s="5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7">
        <f t="shared" si="0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spans="1:63" x14ac:dyDescent="0.35">
      <c r="A30" t="s">
        <v>38</v>
      </c>
      <c r="B30" t="s">
        <v>122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38433.9</v>
      </c>
      <c r="J30" s="1">
        <v>38433.9</v>
      </c>
      <c r="K30" s="1">
        <v>38433.9</v>
      </c>
      <c r="L30" s="5">
        <v>38433.9</v>
      </c>
      <c r="M30" s="5">
        <v>38433.9</v>
      </c>
      <c r="N30" s="5">
        <v>38433.9</v>
      </c>
      <c r="O30" s="1">
        <v>38433.9</v>
      </c>
      <c r="P30" s="1">
        <v>38433.9</v>
      </c>
      <c r="Q30" s="1">
        <v>38433.9</v>
      </c>
      <c r="R30" s="1">
        <f t="shared" ref="R30:W30" si="20">Q30</f>
        <v>38433.9</v>
      </c>
      <c r="S30" s="1">
        <f t="shared" si="20"/>
        <v>38433.9</v>
      </c>
      <c r="T30" s="1">
        <f t="shared" si="20"/>
        <v>38433.9</v>
      </c>
      <c r="U30" s="1">
        <f t="shared" si="20"/>
        <v>38433.9</v>
      </c>
      <c r="V30" s="1">
        <f t="shared" si="20"/>
        <v>38433.9</v>
      </c>
      <c r="W30" s="1">
        <f t="shared" si="20"/>
        <v>38433.9</v>
      </c>
      <c r="X30" s="1">
        <f t="shared" ref="X30:AC30" si="21">W30</f>
        <v>38433.9</v>
      </c>
      <c r="Y30" s="1">
        <f t="shared" si="21"/>
        <v>38433.9</v>
      </c>
      <c r="Z30" s="1">
        <f t="shared" si="21"/>
        <v>38433.9</v>
      </c>
      <c r="AA30" s="1">
        <f t="shared" si="21"/>
        <v>38433.9</v>
      </c>
      <c r="AB30" s="1">
        <f t="shared" si="21"/>
        <v>38433.9</v>
      </c>
      <c r="AC30" s="1">
        <f t="shared" si="21"/>
        <v>38433.9</v>
      </c>
      <c r="AD30" s="1">
        <f>AC30</f>
        <v>38433.9</v>
      </c>
      <c r="AE30" s="17">
        <f t="shared" si="0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spans="1:63" x14ac:dyDescent="0.35">
      <c r="A31" t="s">
        <v>37</v>
      </c>
      <c r="B31" t="s">
        <v>120</v>
      </c>
      <c r="C31" s="1">
        <v>1231892.1000000001</v>
      </c>
      <c r="D31" s="1">
        <v>1432125.4</v>
      </c>
      <c r="E31" s="1">
        <v>1534896.1</v>
      </c>
      <c r="F31" s="1">
        <v>1590911.7</v>
      </c>
      <c r="G31" s="1">
        <v>1758281</v>
      </c>
      <c r="H31" s="1">
        <v>1920003.5</v>
      </c>
      <c r="I31" s="1">
        <v>2420417.2999999998</v>
      </c>
      <c r="J31" s="1">
        <v>2708739.7</v>
      </c>
      <c r="K31" s="1">
        <v>2756172.3</v>
      </c>
      <c r="L31" s="5">
        <v>2705012.9</v>
      </c>
      <c r="M31" s="5">
        <v>2931447</v>
      </c>
      <c r="N31" s="5">
        <v>2997062.1</v>
      </c>
      <c r="O31" s="1">
        <v>2944773.3</v>
      </c>
      <c r="P31" s="1">
        <v>3028345.1</v>
      </c>
      <c r="Q31" s="1">
        <v>3110787.4</v>
      </c>
      <c r="R31" s="1">
        <v>3067646.3</v>
      </c>
      <c r="S31" s="1">
        <v>3113497.8</v>
      </c>
      <c r="T31" s="1">
        <v>3303115.3</v>
      </c>
      <c r="U31" s="1">
        <v>3373360.7</v>
      </c>
      <c r="V31" s="1">
        <v>3483246.2</v>
      </c>
      <c r="W31" s="1">
        <v>3553491.6</v>
      </c>
      <c r="X31" s="1">
        <v>3698838.6</v>
      </c>
      <c r="Y31" s="1">
        <v>3271719.4</v>
      </c>
      <c r="Z31" s="1">
        <v>2895985.5</v>
      </c>
      <c r="AA31" s="1">
        <v>3057256.3</v>
      </c>
      <c r="AB31" s="1">
        <v>2708852.7</v>
      </c>
      <c r="AC31" s="1">
        <v>2632508.7999999998</v>
      </c>
      <c r="AD31" s="1">
        <v>3124000.8</v>
      </c>
      <c r="AE31" s="17">
        <f t="shared" si="0"/>
        <v>491492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spans="1:63" x14ac:dyDescent="0.35">
      <c r="A32" t="s">
        <v>37</v>
      </c>
      <c r="B32" t="s">
        <v>116</v>
      </c>
      <c r="C32" s="1">
        <v>53439.199999999997</v>
      </c>
      <c r="D32" s="1">
        <v>60627.5</v>
      </c>
      <c r="E32" s="1">
        <v>58793.2</v>
      </c>
      <c r="F32" s="1">
        <v>58073.8</v>
      </c>
      <c r="G32" s="1">
        <v>65876.899999999994</v>
      </c>
      <c r="H32" s="1">
        <v>66822.7</v>
      </c>
      <c r="I32" s="1">
        <v>74507.5</v>
      </c>
      <c r="J32" s="1">
        <v>94511.8</v>
      </c>
      <c r="K32" s="1">
        <v>94157.1</v>
      </c>
      <c r="L32" s="5">
        <v>100730.6</v>
      </c>
      <c r="M32" s="5">
        <v>107256.8</v>
      </c>
      <c r="N32" s="5">
        <v>104111.9</v>
      </c>
      <c r="O32" s="1">
        <v>97869.5</v>
      </c>
      <c r="P32" s="1">
        <v>92785.7</v>
      </c>
      <c r="Q32" s="1">
        <v>86046.6</v>
      </c>
      <c r="R32" s="1">
        <v>82901.8</v>
      </c>
      <c r="S32" s="1">
        <v>92076.3</v>
      </c>
      <c r="T32" s="1">
        <v>90823.1</v>
      </c>
      <c r="U32" s="1">
        <v>105719.8</v>
      </c>
      <c r="V32" s="1">
        <v>121964.4</v>
      </c>
      <c r="W32" s="1">
        <v>130264.1</v>
      </c>
      <c r="X32" s="1">
        <v>148471.20000000001</v>
      </c>
      <c r="Y32" s="1">
        <v>128206.9</v>
      </c>
      <c r="Z32" s="1">
        <v>112884.5</v>
      </c>
      <c r="AA32" s="1">
        <v>130145.8</v>
      </c>
      <c r="AB32" s="1">
        <v>127426.6</v>
      </c>
      <c r="AC32" s="1">
        <v>126433.5</v>
      </c>
      <c r="AD32" s="1">
        <v>139533.20000000001</v>
      </c>
      <c r="AE32" s="17">
        <f t="shared" si="0"/>
        <v>13099.700000000012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spans="1:63" x14ac:dyDescent="0.35">
      <c r="A33" t="s">
        <v>37</v>
      </c>
      <c r="B33" t="s">
        <v>11</v>
      </c>
      <c r="C33" s="1">
        <v>50000</v>
      </c>
      <c r="D33" s="1">
        <v>50000</v>
      </c>
      <c r="E33" s="1">
        <v>50000</v>
      </c>
      <c r="F33" s="1">
        <v>50000</v>
      </c>
      <c r="G33" s="1">
        <v>50000</v>
      </c>
      <c r="H33" s="1">
        <v>50000</v>
      </c>
      <c r="I33" s="1">
        <v>50000</v>
      </c>
      <c r="J33" s="1">
        <v>50000</v>
      </c>
      <c r="K33" s="1">
        <v>50000</v>
      </c>
      <c r="L33" s="5">
        <v>137000</v>
      </c>
      <c r="M33" s="5">
        <v>137000</v>
      </c>
      <c r="N33" s="5">
        <v>137000</v>
      </c>
      <c r="O33" s="1">
        <v>137000</v>
      </c>
      <c r="P33" s="1">
        <v>137000</v>
      </c>
      <c r="Q33" s="1">
        <v>137000</v>
      </c>
      <c r="R33" s="1">
        <f>Q33</f>
        <v>137000</v>
      </c>
      <c r="S33" s="1">
        <v>137000</v>
      </c>
      <c r="T33" s="1">
        <f t="shared" ref="T33:V34" si="22">S33</f>
        <v>137000</v>
      </c>
      <c r="U33" s="1">
        <f t="shared" si="22"/>
        <v>137000</v>
      </c>
      <c r="V33" s="1">
        <f t="shared" si="22"/>
        <v>137000</v>
      </c>
      <c r="W33" s="1">
        <v>137000</v>
      </c>
      <c r="X33" s="1">
        <f t="shared" ref="X33:Z34" si="23">W33</f>
        <v>137000</v>
      </c>
      <c r="Y33" s="1">
        <f t="shared" si="23"/>
        <v>137000</v>
      </c>
      <c r="Z33" s="1">
        <f t="shared" si="23"/>
        <v>137000</v>
      </c>
      <c r="AA33" s="1">
        <f t="shared" ref="AA33:AC34" si="24">Z33</f>
        <v>137000</v>
      </c>
      <c r="AB33" s="1">
        <f t="shared" si="24"/>
        <v>137000</v>
      </c>
      <c r="AC33" s="1">
        <f t="shared" si="24"/>
        <v>137000</v>
      </c>
      <c r="AD33" s="1">
        <f>AC33</f>
        <v>137000</v>
      </c>
      <c r="AE33" s="17">
        <f t="shared" si="0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x14ac:dyDescent="0.35">
      <c r="A34" t="s">
        <v>37</v>
      </c>
      <c r="B34" t="s">
        <v>16</v>
      </c>
      <c r="C34" s="1">
        <v>58334</v>
      </c>
      <c r="D34" s="1">
        <v>58334</v>
      </c>
      <c r="E34" s="1">
        <v>58334</v>
      </c>
      <c r="F34" s="1">
        <v>58334</v>
      </c>
      <c r="G34" s="1">
        <v>58334</v>
      </c>
      <c r="H34" s="1">
        <v>58334</v>
      </c>
      <c r="I34" s="1">
        <v>58334</v>
      </c>
      <c r="J34" s="1">
        <v>58334</v>
      </c>
      <c r="K34" s="1">
        <v>58334</v>
      </c>
      <c r="L34" s="5">
        <v>58334</v>
      </c>
      <c r="M34" s="5">
        <v>58334</v>
      </c>
      <c r="N34" s="5">
        <v>58334</v>
      </c>
      <c r="O34" s="1">
        <v>58334</v>
      </c>
      <c r="P34" s="1">
        <v>58334</v>
      </c>
      <c r="Q34" s="1">
        <v>58334</v>
      </c>
      <c r="R34" s="1">
        <v>58334</v>
      </c>
      <c r="S34" s="1">
        <v>58334</v>
      </c>
      <c r="T34" s="1">
        <f t="shared" si="22"/>
        <v>58334</v>
      </c>
      <c r="U34" s="1">
        <f t="shared" si="22"/>
        <v>58334</v>
      </c>
      <c r="V34" s="1">
        <f t="shared" si="22"/>
        <v>58334</v>
      </c>
      <c r="W34" s="1">
        <v>58334</v>
      </c>
      <c r="X34" s="1">
        <f t="shared" si="23"/>
        <v>58334</v>
      </c>
      <c r="Y34" s="1">
        <f t="shared" si="23"/>
        <v>58334</v>
      </c>
      <c r="Z34" s="1">
        <f t="shared" si="23"/>
        <v>58334</v>
      </c>
      <c r="AA34" s="1">
        <f t="shared" si="24"/>
        <v>58334</v>
      </c>
      <c r="AB34" s="1">
        <f t="shared" si="24"/>
        <v>58334</v>
      </c>
      <c r="AC34" s="1">
        <f t="shared" si="24"/>
        <v>58334</v>
      </c>
      <c r="AD34" s="1">
        <f>AC34</f>
        <v>58334</v>
      </c>
      <c r="AE34" s="17">
        <f t="shared" si="0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x14ac:dyDescent="0.35">
      <c r="A35" t="s">
        <v>37</v>
      </c>
      <c r="B35" t="s">
        <v>112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105853.1</v>
      </c>
      <c r="J35" s="1">
        <v>130289.7</v>
      </c>
      <c r="K35" s="1">
        <v>130084.9</v>
      </c>
      <c r="L35" s="5">
        <v>127216.9</v>
      </c>
      <c r="M35" s="5">
        <v>150482.9</v>
      </c>
      <c r="N35" s="5">
        <v>168598.2</v>
      </c>
      <c r="O35" s="1">
        <v>151214.5</v>
      </c>
      <c r="P35" s="1">
        <v>147205.20000000001</v>
      </c>
      <c r="Q35" s="1">
        <v>138806</v>
      </c>
      <c r="R35" s="1">
        <v>133713.79999999999</v>
      </c>
      <c r="S35" s="1">
        <f>143693.3</f>
        <v>143693.29999999999</v>
      </c>
      <c r="T35" s="1">
        <v>136845.20000000001</v>
      </c>
      <c r="U35" s="1">
        <v>133040.70000000001</v>
      </c>
      <c r="V35" s="1">
        <v>137137.79999999999</v>
      </c>
      <c r="W35" s="1">
        <v>116856.9</v>
      </c>
      <c r="X35" s="1">
        <v>125021.9</v>
      </c>
      <c r="Y35" s="1">
        <v>114989.8</v>
      </c>
      <c r="Z35" s="1">
        <v>109206.9</v>
      </c>
      <c r="AA35" s="1">
        <v>105730.2</v>
      </c>
      <c r="AB35" s="1">
        <v>88416.7</v>
      </c>
      <c r="AC35" s="1">
        <v>81568.600000000006</v>
      </c>
      <c r="AD35" s="1">
        <v>93052.4</v>
      </c>
      <c r="AE35" s="17">
        <f t="shared" si="0"/>
        <v>11483.799999999988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x14ac:dyDescent="0.35">
      <c r="A36" t="s">
        <v>13</v>
      </c>
      <c r="B36" t="s">
        <v>12</v>
      </c>
      <c r="C36" s="1">
        <v>250000</v>
      </c>
      <c r="D36" s="1">
        <v>250000</v>
      </c>
      <c r="E36" s="1">
        <v>250000</v>
      </c>
      <c r="F36" s="1">
        <v>467000</v>
      </c>
      <c r="G36" s="1">
        <v>467000</v>
      </c>
      <c r="H36" s="1">
        <v>467000</v>
      </c>
      <c r="I36" s="1">
        <v>467000</v>
      </c>
      <c r="J36" s="1">
        <v>467000</v>
      </c>
      <c r="K36" s="1">
        <v>467000</v>
      </c>
      <c r="L36" s="5">
        <v>467000</v>
      </c>
      <c r="M36" s="5">
        <v>467000</v>
      </c>
      <c r="N36" s="5">
        <v>467000</v>
      </c>
      <c r="O36" s="1">
        <v>467000</v>
      </c>
      <c r="P36" s="1">
        <v>467000</v>
      </c>
      <c r="Q36" s="1">
        <v>467000</v>
      </c>
      <c r="R36" s="1">
        <f t="shared" ref="R36:W36" si="25">Q36</f>
        <v>467000</v>
      </c>
      <c r="S36" s="1">
        <f t="shared" si="25"/>
        <v>467000</v>
      </c>
      <c r="T36" s="1">
        <f t="shared" si="25"/>
        <v>467000</v>
      </c>
      <c r="U36" s="1">
        <f t="shared" si="25"/>
        <v>467000</v>
      </c>
      <c r="V36" s="1">
        <f t="shared" si="25"/>
        <v>467000</v>
      </c>
      <c r="W36" s="1">
        <f t="shared" si="25"/>
        <v>467000</v>
      </c>
      <c r="X36" s="1">
        <f t="shared" ref="X36:AC36" si="26">W36</f>
        <v>467000</v>
      </c>
      <c r="Y36" s="1">
        <f t="shared" si="26"/>
        <v>467000</v>
      </c>
      <c r="Z36" s="1">
        <f t="shared" si="26"/>
        <v>467000</v>
      </c>
      <c r="AA36" s="1">
        <f t="shared" si="26"/>
        <v>467000</v>
      </c>
      <c r="AB36" s="1">
        <f t="shared" si="26"/>
        <v>467000</v>
      </c>
      <c r="AC36" s="1">
        <f t="shared" si="26"/>
        <v>467000</v>
      </c>
      <c r="AD36" s="1">
        <f>AC36</f>
        <v>467000</v>
      </c>
      <c r="AE36" s="17">
        <f t="shared" si="0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x14ac:dyDescent="0.35">
      <c r="A37" t="s">
        <v>14</v>
      </c>
      <c r="B37" t="s">
        <v>15</v>
      </c>
      <c r="C37" s="1">
        <v>11851.9</v>
      </c>
      <c r="D37" s="1">
        <v>11851.9</v>
      </c>
      <c r="E37" s="1">
        <v>11851.9</v>
      </c>
      <c r="F37" s="1">
        <v>11851.9</v>
      </c>
      <c r="G37" s="1">
        <v>11851.9</v>
      </c>
      <c r="H37" s="1">
        <v>11851.9</v>
      </c>
      <c r="I37" s="1">
        <v>11851.9</v>
      </c>
      <c r="J37" s="1">
        <v>11851.9</v>
      </c>
      <c r="K37" s="1">
        <v>11851.9</v>
      </c>
      <c r="L37" s="5">
        <v>11851.9</v>
      </c>
      <c r="M37" s="5">
        <v>0</v>
      </c>
      <c r="N37" s="5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7">
        <f t="shared" si="0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x14ac:dyDescent="0.35">
      <c r="A38" t="s">
        <v>14</v>
      </c>
      <c r="B38" t="s">
        <v>17</v>
      </c>
      <c r="C38" s="1">
        <v>2298.9</v>
      </c>
      <c r="D38" s="1">
        <v>2298.9</v>
      </c>
      <c r="E38" s="1">
        <v>2298.9</v>
      </c>
      <c r="F38" s="1">
        <v>2298.9</v>
      </c>
      <c r="G38" s="1">
        <v>2298.9</v>
      </c>
      <c r="H38" s="1">
        <v>2298.9</v>
      </c>
      <c r="I38" s="1">
        <v>2298.9</v>
      </c>
      <c r="J38" s="1">
        <v>2298.9</v>
      </c>
      <c r="K38" s="1">
        <v>2298.9</v>
      </c>
      <c r="L38" s="5">
        <v>2298.9</v>
      </c>
      <c r="M38" s="5">
        <v>2298.9</v>
      </c>
      <c r="N38" s="5">
        <v>2298.9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7">
        <f t="shared" si="0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x14ac:dyDescent="0.35">
      <c r="A39" t="s">
        <v>14</v>
      </c>
      <c r="B39" t="s">
        <v>39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34948.1</v>
      </c>
      <c r="K39" s="5">
        <v>34948.1</v>
      </c>
      <c r="L39" s="5">
        <v>34948.1</v>
      </c>
      <c r="M39" s="5">
        <v>34423.9</v>
      </c>
      <c r="N39" s="5">
        <v>97014.5</v>
      </c>
      <c r="O39" s="1">
        <v>167543.5</v>
      </c>
      <c r="P39" s="1">
        <v>185719.7</v>
      </c>
      <c r="Q39" s="1">
        <v>190195.1</v>
      </c>
      <c r="R39" s="1">
        <v>296818.8</v>
      </c>
      <c r="S39" s="1">
        <v>296014</v>
      </c>
      <c r="T39" s="1">
        <v>294994</v>
      </c>
      <c r="U39" s="1">
        <v>292320.8</v>
      </c>
      <c r="V39" s="1">
        <v>291516.09999999998</v>
      </c>
      <c r="W39" s="1">
        <v>290496</v>
      </c>
      <c r="X39" s="1">
        <v>287822.8</v>
      </c>
      <c r="Y39" s="1">
        <v>287018.09999999998</v>
      </c>
      <c r="Z39" s="1">
        <v>285998</v>
      </c>
      <c r="AA39" s="1">
        <v>282911.8</v>
      </c>
      <c r="AB39" s="1">
        <v>282107.09999999998</v>
      </c>
      <c r="AC39" s="1">
        <v>281087</v>
      </c>
      <c r="AD39" s="1">
        <f>278420.3</f>
        <v>278420.3</v>
      </c>
      <c r="AE39" s="17">
        <f t="shared" si="0"/>
        <v>-2666.7000000000116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x14ac:dyDescent="0.35">
      <c r="A40" t="s">
        <v>14</v>
      </c>
      <c r="B40" t="s">
        <v>40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60000</v>
      </c>
      <c r="K40" s="5">
        <v>60000</v>
      </c>
      <c r="L40" s="5">
        <v>60000</v>
      </c>
      <c r="M40" s="5">
        <v>60000</v>
      </c>
      <c r="N40" s="5">
        <v>60000</v>
      </c>
      <c r="O40" s="1">
        <v>60000</v>
      </c>
      <c r="P40" s="1">
        <v>60000</v>
      </c>
      <c r="Q40" s="1">
        <v>60000</v>
      </c>
      <c r="R40" s="1">
        <v>60000</v>
      </c>
      <c r="S40" s="1">
        <f t="shared" ref="S40:T43" si="27">R40</f>
        <v>60000</v>
      </c>
      <c r="T40" s="1">
        <f t="shared" si="27"/>
        <v>60000</v>
      </c>
      <c r="U40" s="1">
        <f t="shared" ref="U40:W41" si="28">T40</f>
        <v>60000</v>
      </c>
      <c r="V40" s="1">
        <f t="shared" si="28"/>
        <v>60000</v>
      </c>
      <c r="W40" s="1">
        <f t="shared" si="28"/>
        <v>60000</v>
      </c>
      <c r="X40" s="1">
        <f>W40</f>
        <v>60000</v>
      </c>
      <c r="Y40" s="1">
        <f>X40</f>
        <v>60000</v>
      </c>
      <c r="Z40" s="1">
        <f>Y40</f>
        <v>60000</v>
      </c>
      <c r="AA40" s="1">
        <v>60000</v>
      </c>
      <c r="AB40" s="1">
        <f>AA40</f>
        <v>60000</v>
      </c>
      <c r="AC40" s="1">
        <f>AB40</f>
        <v>60000</v>
      </c>
      <c r="AD40" s="1">
        <f>AC40</f>
        <v>60000</v>
      </c>
      <c r="AE40" s="17">
        <f t="shared" si="0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x14ac:dyDescent="0.35">
      <c r="A41" t="s">
        <v>14</v>
      </c>
      <c r="B41" t="s">
        <v>211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5">
        <v>0</v>
      </c>
      <c r="L41" s="5">
        <v>0</v>
      </c>
      <c r="M41" s="5">
        <v>0</v>
      </c>
      <c r="N41" s="5">
        <v>0</v>
      </c>
      <c r="O41" s="1">
        <v>0</v>
      </c>
      <c r="P41" s="1">
        <v>0</v>
      </c>
      <c r="Q41" s="1">
        <v>0</v>
      </c>
      <c r="R41" s="1">
        <v>11000</v>
      </c>
      <c r="S41" s="1">
        <f t="shared" si="27"/>
        <v>11000</v>
      </c>
      <c r="T41" s="1">
        <f t="shared" si="27"/>
        <v>11000</v>
      </c>
      <c r="U41" s="1">
        <f t="shared" si="28"/>
        <v>11000</v>
      </c>
      <c r="V41" s="1">
        <f t="shared" si="28"/>
        <v>11000</v>
      </c>
      <c r="W41" s="1">
        <f t="shared" si="28"/>
        <v>11000</v>
      </c>
      <c r="X41" s="1">
        <v>16000</v>
      </c>
      <c r="Y41" s="1">
        <f>X41</f>
        <v>16000</v>
      </c>
      <c r="Z41" s="1">
        <f>Y41+12500</f>
        <v>28500</v>
      </c>
      <c r="AA41" s="1">
        <f>Z41</f>
        <v>28500</v>
      </c>
      <c r="AB41" s="1">
        <f>AA41</f>
        <v>28500</v>
      </c>
      <c r="AC41" s="1">
        <f>AB41+21200</f>
        <v>49700</v>
      </c>
      <c r="AD41" s="1">
        <f>AC41</f>
        <v>49700</v>
      </c>
      <c r="AE41" s="17">
        <f t="shared" si="0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x14ac:dyDescent="0.35">
      <c r="A42" t="s">
        <v>14</v>
      </c>
      <c r="B42" t="s">
        <v>212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5">
        <v>0</v>
      </c>
      <c r="L42" s="5">
        <v>0</v>
      </c>
      <c r="M42" s="5">
        <v>0</v>
      </c>
      <c r="N42" s="5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3000</v>
      </c>
      <c r="Z42" s="1">
        <f>Y42+2750</f>
        <v>5750</v>
      </c>
      <c r="AA42" s="1">
        <f>Z42+2000</f>
        <v>7750</v>
      </c>
      <c r="AB42" s="1">
        <f>AA42+1250</f>
        <v>9000</v>
      </c>
      <c r="AC42" s="1">
        <f>AB42+1000</f>
        <v>10000</v>
      </c>
      <c r="AD42" s="1">
        <f>AC42</f>
        <v>10000</v>
      </c>
      <c r="AE42" s="17">
        <f t="shared" si="0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x14ac:dyDescent="0.35">
      <c r="A43" t="s">
        <v>14</v>
      </c>
      <c r="B43" t="s">
        <v>209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5">
        <v>0</v>
      </c>
      <c r="L43" s="5">
        <v>0</v>
      </c>
      <c r="M43" s="5">
        <v>0</v>
      </c>
      <c r="N43" s="5">
        <v>0</v>
      </c>
      <c r="O43" s="1">
        <v>0</v>
      </c>
      <c r="P43" s="1">
        <v>0</v>
      </c>
      <c r="Q43" s="1">
        <v>0</v>
      </c>
      <c r="R43" s="1">
        <v>17952.400000000001</v>
      </c>
      <c r="S43" s="1">
        <f t="shared" si="27"/>
        <v>17952.400000000001</v>
      </c>
      <c r="T43" s="1">
        <f t="shared" si="27"/>
        <v>17952.400000000001</v>
      </c>
      <c r="U43" s="1">
        <v>153989.70000000001</v>
      </c>
      <c r="V43" s="1">
        <f>U43</f>
        <v>153989.70000000001</v>
      </c>
      <c r="W43" s="1">
        <f>V43</f>
        <v>153989.70000000001</v>
      </c>
      <c r="X43" s="1">
        <f>247324.7</f>
        <v>247324.7</v>
      </c>
      <c r="Y43" s="1">
        <f>X43</f>
        <v>247324.7</v>
      </c>
      <c r="Z43" s="1">
        <f>Y43</f>
        <v>247324.7</v>
      </c>
      <c r="AA43" s="1">
        <f>Z43</f>
        <v>247324.7</v>
      </c>
      <c r="AB43" s="1">
        <f>AA43</f>
        <v>247324.7</v>
      </c>
      <c r="AC43" s="1">
        <f>AB43</f>
        <v>247324.7</v>
      </c>
      <c r="AD43" s="1">
        <f>AC43+111093.5</f>
        <v>358418.2</v>
      </c>
      <c r="AE43" s="17">
        <f t="shared" si="0"/>
        <v>111093.5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s="3" customFormat="1" x14ac:dyDescent="0.3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17">
        <f t="shared" si="0"/>
        <v>0</v>
      </c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</row>
    <row r="45" spans="1:63" x14ac:dyDescent="0.35">
      <c r="A45" t="s">
        <v>41</v>
      </c>
      <c r="B45" t="s">
        <v>18</v>
      </c>
      <c r="C45" s="1">
        <v>10792185.6</v>
      </c>
      <c r="D45" s="1">
        <v>11374082</v>
      </c>
      <c r="E45" s="1">
        <v>11389507.9</v>
      </c>
      <c r="F45" s="1">
        <v>10434580.800000001</v>
      </c>
      <c r="G45" s="1">
        <v>10807595</v>
      </c>
      <c r="H45" s="1">
        <v>11106403.6</v>
      </c>
      <c r="I45" s="1">
        <v>11906061.4</v>
      </c>
      <c r="J45" s="1">
        <v>12475588.300000001</v>
      </c>
      <c r="K45" s="1">
        <v>12353145.800000001</v>
      </c>
      <c r="L45" s="5">
        <v>12670270.1</v>
      </c>
      <c r="M45" s="5">
        <v>13313450.5</v>
      </c>
      <c r="N45" s="5">
        <v>13703597.699999999</v>
      </c>
      <c r="O45" s="1">
        <v>13648337.699999999</v>
      </c>
      <c r="P45" s="1">
        <v>13541231.5</v>
      </c>
      <c r="Q45" s="1">
        <v>13432971.800000001</v>
      </c>
      <c r="R45" s="1">
        <v>11965074.699999999</v>
      </c>
      <c r="S45" s="1">
        <v>11922371.199999999</v>
      </c>
      <c r="T45" s="1">
        <v>12258661.199999999</v>
      </c>
      <c r="U45" s="1">
        <v>12534406.300000001</v>
      </c>
      <c r="V45" s="1">
        <v>12750839.4</v>
      </c>
      <c r="W45" s="1">
        <v>12703814.5</v>
      </c>
      <c r="X45" s="1">
        <v>12601672.4</v>
      </c>
      <c r="Y45" s="1">
        <v>12277510.9</v>
      </c>
      <c r="Z45" s="1">
        <v>12165767</v>
      </c>
      <c r="AA45" s="1">
        <v>12787132.6</v>
      </c>
      <c r="AB45" s="1">
        <v>12726198.800000001</v>
      </c>
      <c r="AC45" s="1">
        <v>13096719.1</v>
      </c>
      <c r="AD45" s="1">
        <v>11879972.699999999</v>
      </c>
      <c r="AE45" s="17">
        <f t="shared" si="0"/>
        <v>-1216746.4000000004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x14ac:dyDescent="0.35">
      <c r="A46" t="s">
        <v>41</v>
      </c>
      <c r="B46" t="s">
        <v>20</v>
      </c>
      <c r="C46" s="1">
        <v>187974.6</v>
      </c>
      <c r="D46" s="1">
        <v>184841.3</v>
      </c>
      <c r="E46" s="1">
        <v>186486.39999999999</v>
      </c>
      <c r="F46" s="1">
        <v>148350.20000000001</v>
      </c>
      <c r="G46" s="1">
        <v>155297.79999999999</v>
      </c>
      <c r="H46" s="1">
        <v>147236.70000000001</v>
      </c>
      <c r="I46" s="1">
        <v>154451.1</v>
      </c>
      <c r="J46" s="1">
        <v>154958.29999999999</v>
      </c>
      <c r="K46" s="1">
        <v>153099.20000000001</v>
      </c>
      <c r="L46" s="5">
        <v>145578.20000000001</v>
      </c>
      <c r="M46" s="5">
        <v>146336.5</v>
      </c>
      <c r="N46" s="5">
        <v>142852.5</v>
      </c>
      <c r="O46" s="1">
        <v>140105.5</v>
      </c>
      <c r="P46" s="1">
        <v>145224.4</v>
      </c>
      <c r="Q46" s="1">
        <v>151129.1</v>
      </c>
      <c r="R46" s="1">
        <v>133407.29999999999</v>
      </c>
      <c r="S46" s="1">
        <v>133526.1</v>
      </c>
      <c r="T46" s="1">
        <v>133436</v>
      </c>
      <c r="U46" s="1">
        <v>135703.70000000001</v>
      </c>
      <c r="V46" s="1">
        <v>138929.70000000001</v>
      </c>
      <c r="W46" s="1">
        <v>141488.5</v>
      </c>
      <c r="X46" s="1">
        <v>146961.70000000001</v>
      </c>
      <c r="Y46" s="1">
        <v>142216</v>
      </c>
      <c r="Z46" s="1">
        <v>133415.9</v>
      </c>
      <c r="AA46" s="1">
        <v>137922.29999999999</v>
      </c>
      <c r="AB46" s="1">
        <v>131126.29999999999</v>
      </c>
      <c r="AC46" s="1">
        <v>121557.5</v>
      </c>
      <c r="AD46" s="1">
        <v>116837.2</v>
      </c>
      <c r="AE46" s="17">
        <f t="shared" si="0"/>
        <v>-4720.3000000000029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x14ac:dyDescent="0.35">
      <c r="A47" t="s">
        <v>43</v>
      </c>
      <c r="B47" t="s">
        <v>19</v>
      </c>
      <c r="C47" s="2">
        <v>8.1000000000000003E-2</v>
      </c>
      <c r="D47" s="2">
        <v>8.5000000000000006E-2</v>
      </c>
      <c r="E47" s="2">
        <v>8.5000000000000006E-2</v>
      </c>
      <c r="F47" s="2">
        <v>7.8E-2</v>
      </c>
      <c r="G47" s="2">
        <v>7.1999999999999995E-2</v>
      </c>
      <c r="H47" s="2">
        <v>7.3999999999999996E-2</v>
      </c>
      <c r="I47" s="2">
        <v>7.9000000000000001E-2</v>
      </c>
      <c r="J47" s="2">
        <v>8.3000000000000004E-2</v>
      </c>
      <c r="K47" s="2">
        <v>8.2000000000000003E-2</v>
      </c>
      <c r="L47" s="8">
        <v>8.4000000000000005E-2</v>
      </c>
      <c r="M47" s="8">
        <v>8.8999999999999996E-2</v>
      </c>
      <c r="N47" s="8">
        <v>9.0999999999999998E-2</v>
      </c>
      <c r="O47" s="2">
        <v>9.0999999999999998E-2</v>
      </c>
      <c r="P47" s="2">
        <v>0.09</v>
      </c>
      <c r="Q47" s="2">
        <v>0.09</v>
      </c>
      <c r="R47" s="2">
        <v>0.08</v>
      </c>
      <c r="S47" s="2">
        <v>6.6000000000000003E-2</v>
      </c>
      <c r="T47" s="2">
        <v>6.8000000000000005E-2</v>
      </c>
      <c r="U47" s="2">
        <v>7.0000000000000007E-2</v>
      </c>
      <c r="V47" s="2">
        <v>7.0999999999999994E-2</v>
      </c>
      <c r="W47" s="2">
        <v>7.0999999999999994E-2</v>
      </c>
      <c r="X47" s="2">
        <v>7.0000000000000007E-2</v>
      </c>
      <c r="Y47" s="2">
        <v>6.4000000000000001E-2</v>
      </c>
      <c r="Z47" s="2">
        <v>6.4000000000000001E-2</v>
      </c>
      <c r="AA47" s="2">
        <v>6.7000000000000004E-2</v>
      </c>
      <c r="AB47" s="2">
        <v>6.6000000000000003E-2</v>
      </c>
      <c r="AC47" s="2">
        <v>6.8000000000000005E-2</v>
      </c>
      <c r="AD47" s="2">
        <v>6.2E-2</v>
      </c>
      <c r="AE47" s="17">
        <f t="shared" si="0"/>
        <v>-6.0000000000000053E-3</v>
      </c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</row>
    <row r="48" spans="1:63" s="3" customFormat="1" x14ac:dyDescent="0.3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17">
        <f t="shared" si="0"/>
        <v>0</v>
      </c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</row>
    <row r="49" spans="1:63" x14ac:dyDescent="0.35">
      <c r="A49" t="s">
        <v>21</v>
      </c>
      <c r="B49" t="s">
        <v>22</v>
      </c>
      <c r="C49" s="1">
        <v>7524361.2999999998</v>
      </c>
      <c r="D49" s="1">
        <v>7872548.2999999998</v>
      </c>
      <c r="E49" s="1">
        <v>7601763</v>
      </c>
      <c r="F49" s="1">
        <v>6132655.2000000002</v>
      </c>
      <c r="G49" s="1">
        <v>6334590.5999999996</v>
      </c>
      <c r="H49" s="1">
        <v>6446231</v>
      </c>
      <c r="I49" s="1">
        <v>6712063.4000000004</v>
      </c>
      <c r="J49" s="1">
        <v>6828671.4000000004</v>
      </c>
      <c r="K49" s="1">
        <v>6643004.4000000004</v>
      </c>
      <c r="L49" s="5">
        <v>6811125</v>
      </c>
      <c r="M49" s="5">
        <v>7183391.5</v>
      </c>
      <c r="N49" s="5">
        <v>7251634.9000000004</v>
      </c>
      <c r="O49" s="1">
        <v>7140176.0999999996</v>
      </c>
      <c r="P49" s="1">
        <v>6938308.7999999998</v>
      </c>
      <c r="Q49" s="1">
        <v>6746505.0999999996</v>
      </c>
      <c r="R49" s="1">
        <v>5011778</v>
      </c>
      <c r="S49" s="1">
        <v>4907126.4000000004</v>
      </c>
      <c r="T49" s="1">
        <v>5044614.2</v>
      </c>
      <c r="U49" s="1">
        <v>5087766.7</v>
      </c>
      <c r="V49" s="1">
        <v>5172247.3</v>
      </c>
      <c r="W49" s="1">
        <v>5046039</v>
      </c>
      <c r="X49" s="1">
        <v>4603329.0999999996</v>
      </c>
      <c r="Y49" s="1">
        <v>4665093</v>
      </c>
      <c r="Z49" s="1">
        <v>4854458.2</v>
      </c>
      <c r="AA49" s="1">
        <v>5255172.0999999996</v>
      </c>
      <c r="AB49" s="1">
        <v>5447193.4000000004</v>
      </c>
      <c r="AC49" s="1">
        <v>5792014.7999999998</v>
      </c>
      <c r="AD49" s="1">
        <v>3809866.8</v>
      </c>
      <c r="AE49" s="17">
        <f t="shared" si="0"/>
        <v>-1982148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</row>
    <row r="50" spans="1:63" x14ac:dyDescent="0.35">
      <c r="A50" t="s">
        <v>21</v>
      </c>
      <c r="B50" t="s">
        <v>23</v>
      </c>
      <c r="C50" s="1">
        <v>131056.8</v>
      </c>
      <c r="D50" s="1">
        <v>127937.60000000001</v>
      </c>
      <c r="E50" s="1">
        <v>124467.7</v>
      </c>
      <c r="F50" s="1">
        <v>87189</v>
      </c>
      <c r="G50" s="1">
        <v>91023.8</v>
      </c>
      <c r="H50" s="1">
        <v>85457.2</v>
      </c>
      <c r="I50" s="1">
        <v>87072.1</v>
      </c>
      <c r="J50" s="1">
        <v>84818.4</v>
      </c>
      <c r="K50" s="1">
        <v>82330.3</v>
      </c>
      <c r="L50" s="5">
        <v>78258.100000000006</v>
      </c>
      <c r="M50" s="5">
        <v>78957.2</v>
      </c>
      <c r="N50" s="5">
        <v>75594.3</v>
      </c>
      <c r="O50" s="1">
        <v>73296.7</v>
      </c>
      <c r="P50" s="1">
        <v>74410.600000000006</v>
      </c>
      <c r="Q50" s="1">
        <v>75905.3</v>
      </c>
      <c r="R50" s="1">
        <v>55880</v>
      </c>
      <c r="S50" s="1">
        <v>54958</v>
      </c>
      <c r="T50" s="1">
        <v>54910.8</v>
      </c>
      <c r="U50" s="1">
        <v>55082.7</v>
      </c>
      <c r="V50" s="1">
        <v>56355.4</v>
      </c>
      <c r="W50" s="1">
        <v>56200.2</v>
      </c>
      <c r="X50" s="1">
        <v>53684.4</v>
      </c>
      <c r="Y50" s="1">
        <v>54037.9</v>
      </c>
      <c r="Z50" s="1">
        <v>53236.4</v>
      </c>
      <c r="AA50" s="1">
        <v>56682.400000000001</v>
      </c>
      <c r="AB50" s="1">
        <v>56126</v>
      </c>
      <c r="AC50" s="1">
        <v>53758.7</v>
      </c>
      <c r="AD50" s="1">
        <v>37469.300000000003</v>
      </c>
      <c r="AE50" s="17">
        <f t="shared" si="0"/>
        <v>-16289.399999999994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</row>
    <row r="51" spans="1:63" x14ac:dyDescent="0.35">
      <c r="A51" t="s">
        <v>42</v>
      </c>
      <c r="B51" t="s">
        <v>19</v>
      </c>
      <c r="C51" s="2">
        <v>5.6000000000000001E-2</v>
      </c>
      <c r="D51" s="2">
        <v>5.8999999999999997E-2</v>
      </c>
      <c r="E51" s="2">
        <v>5.7000000000000002E-2</v>
      </c>
      <c r="F51" s="2">
        <v>4.5999999999999999E-2</v>
      </c>
      <c r="G51" s="2">
        <v>4.2000000000000003E-2</v>
      </c>
      <c r="H51" s="2">
        <v>4.2999999999999997E-2</v>
      </c>
      <c r="I51" s="2">
        <v>4.4999999999999998E-2</v>
      </c>
      <c r="J51" s="2">
        <v>4.5999999999999999E-2</v>
      </c>
      <c r="K51" s="2">
        <v>4.3999999999999997E-2</v>
      </c>
      <c r="L51" s="8">
        <v>4.4999999999999998E-2</v>
      </c>
      <c r="M51" s="8">
        <v>4.8000000000000001E-2</v>
      </c>
      <c r="N51" s="8">
        <v>4.8000000000000001E-2</v>
      </c>
      <c r="O51" s="2">
        <v>4.8000000000000001E-2</v>
      </c>
      <c r="P51" s="2">
        <v>4.5999999999999999E-2</v>
      </c>
      <c r="Q51" s="2">
        <v>4.4999999999999998E-2</v>
      </c>
      <c r="R51" s="2">
        <v>3.3000000000000002E-2</v>
      </c>
      <c r="S51" s="2">
        <v>2.7E-2</v>
      </c>
      <c r="T51" s="2">
        <v>2.8000000000000001E-2</v>
      </c>
      <c r="U51" s="2">
        <v>2.8000000000000001E-2</v>
      </c>
      <c r="V51" s="2">
        <v>2.9000000000000001E-2</v>
      </c>
      <c r="W51" s="2">
        <v>2.8000000000000001E-2</v>
      </c>
      <c r="X51" s="2">
        <v>2.5999999999999999E-2</v>
      </c>
      <c r="Y51" s="2">
        <v>2.4E-2</v>
      </c>
      <c r="Z51" s="2">
        <v>2.5000000000000001E-2</v>
      </c>
      <c r="AA51" s="2">
        <v>2.5000000000000001E-2</v>
      </c>
      <c r="AB51" s="2">
        <v>2.8000000000000001E-2</v>
      </c>
      <c r="AC51" s="2">
        <v>0.03</v>
      </c>
      <c r="AD51" s="2">
        <v>0.02</v>
      </c>
      <c r="AE51" s="17">
        <f t="shared" si="0"/>
        <v>-9.9999999999999985E-3</v>
      </c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</row>
    <row r="52" spans="1:63" x14ac:dyDescent="0.35">
      <c r="A52" t="s">
        <v>44</v>
      </c>
      <c r="B52" t="s">
        <v>45</v>
      </c>
      <c r="C52" s="2">
        <f>C50/C46</f>
        <v>0.6972048351213409</v>
      </c>
      <c r="D52" s="2">
        <f>D50/D46</f>
        <v>0.69214834563487715</v>
      </c>
      <c r="E52" s="2">
        <f>E50/E46</f>
        <v>0.66743580228906774</v>
      </c>
      <c r="F52" s="2">
        <f>F50/F46</f>
        <v>0.58772418237386936</v>
      </c>
      <c r="G52" s="2">
        <f>G50/G46</f>
        <v>0.58612420781234509</v>
      </c>
      <c r="H52" s="2">
        <f t="shared" ref="H52:P52" si="29">H50/H46</f>
        <v>0.58040692300221342</v>
      </c>
      <c r="I52" s="2">
        <f t="shared" si="29"/>
        <v>0.56375189299396378</v>
      </c>
      <c r="J52" s="2">
        <f t="shared" si="29"/>
        <v>0.54736274210545677</v>
      </c>
      <c r="K52" s="2">
        <f t="shared" si="29"/>
        <v>0.53775787202023262</v>
      </c>
      <c r="L52" s="2">
        <f t="shared" si="29"/>
        <v>0.53756743798178575</v>
      </c>
      <c r="M52" s="2">
        <f t="shared" si="29"/>
        <v>0.53955916671507109</v>
      </c>
      <c r="N52" s="2">
        <f t="shared" si="29"/>
        <v>0.52917729826219351</v>
      </c>
      <c r="O52" s="2">
        <f>O50/O46</f>
        <v>0.5231536235194193</v>
      </c>
      <c r="P52" s="2">
        <f t="shared" si="29"/>
        <v>0.512383593941514</v>
      </c>
      <c r="Q52" s="2">
        <f t="shared" ref="Q52:AB52" si="30">Q50/Q46</f>
        <v>0.5022546948271378</v>
      </c>
      <c r="R52" s="2">
        <f t="shared" si="30"/>
        <v>0.41886763318049314</v>
      </c>
      <c r="S52" s="2">
        <f t="shared" si="30"/>
        <v>0.41158994383869518</v>
      </c>
      <c r="T52" s="2">
        <f t="shared" si="30"/>
        <v>0.41151413411673016</v>
      </c>
      <c r="U52" s="2">
        <f t="shared" si="30"/>
        <v>0.40590418684236312</v>
      </c>
      <c r="V52" s="2">
        <f t="shared" si="30"/>
        <v>0.40563968683442053</v>
      </c>
      <c r="W52" s="2">
        <f t="shared" si="30"/>
        <v>0.39720684013188351</v>
      </c>
      <c r="X52" s="2">
        <f t="shared" si="30"/>
        <v>0.36529517554573743</v>
      </c>
      <c r="Y52" s="2">
        <f t="shared" si="30"/>
        <v>0.37997060808910393</v>
      </c>
      <c r="Z52" s="2">
        <f t="shared" si="30"/>
        <v>0.39902590320943759</v>
      </c>
      <c r="AA52" s="2">
        <f t="shared" si="30"/>
        <v>0.41097342489213134</v>
      </c>
      <c r="AB52" s="2">
        <f t="shared" si="30"/>
        <v>0.42803007482099326</v>
      </c>
      <c r="AC52" s="2">
        <f>AC50/AC46</f>
        <v>0.4422491413528577</v>
      </c>
      <c r="AD52" s="2">
        <f>AD50/AD46</f>
        <v>0.32069666167967054</v>
      </c>
      <c r="AE52" s="17">
        <f t="shared" si="0"/>
        <v>-0.12155247967318716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</row>
    <row r="53" spans="1:63" x14ac:dyDescent="0.35">
      <c r="C53" s="1"/>
      <c r="D53" s="1"/>
      <c r="E53" s="1"/>
      <c r="F53" s="1"/>
      <c r="G53" s="1"/>
      <c r="H53" s="1"/>
      <c r="I53" s="1"/>
      <c r="J53" s="1"/>
      <c r="K53" s="1"/>
      <c r="L53" s="5"/>
      <c r="M53" s="5"/>
      <c r="N53" s="5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</row>
    <row r="54" spans="1:63" x14ac:dyDescent="0.35">
      <c r="C54" s="1"/>
      <c r="D54" s="1"/>
      <c r="E54" s="1"/>
      <c r="F54" s="1"/>
      <c r="G54" s="1"/>
      <c r="H54" s="1"/>
      <c r="I54" s="1"/>
      <c r="J54" s="1"/>
      <c r="K54" s="1"/>
      <c r="L54" s="5"/>
      <c r="M54" s="5"/>
      <c r="N54" s="5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</row>
    <row r="55" spans="1:63" x14ac:dyDescent="0.35">
      <c r="A55" t="s">
        <v>117</v>
      </c>
      <c r="C55" s="1"/>
      <c r="D55" s="1"/>
      <c r="E55" s="1"/>
      <c r="F55" s="1"/>
      <c r="G55" s="1"/>
      <c r="H55" s="1"/>
      <c r="I55" s="1"/>
      <c r="J55" s="1"/>
      <c r="K55" s="1"/>
      <c r="L55" s="5"/>
      <c r="M55" s="5"/>
      <c r="N55" s="5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</row>
    <row r="56" spans="1:63" x14ac:dyDescent="0.35">
      <c r="A56" t="s">
        <v>119</v>
      </c>
      <c r="C56" s="1"/>
      <c r="D56" s="1"/>
      <c r="E56" s="1"/>
      <c r="F56" s="1"/>
      <c r="G56" s="1"/>
      <c r="H56" s="1"/>
      <c r="I56" s="1"/>
      <c r="J56" s="1"/>
      <c r="K56" s="1"/>
      <c r="L56" s="5"/>
      <c r="M56" s="5"/>
      <c r="N56" s="5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</row>
    <row r="57" spans="1:63" x14ac:dyDescent="0.35">
      <c r="A57" t="s">
        <v>221</v>
      </c>
      <c r="C57" s="1"/>
      <c r="D57" s="1"/>
      <c r="E57" s="1"/>
      <c r="F57" s="1"/>
      <c r="G57" s="1"/>
      <c r="H57" s="1"/>
      <c r="I57" s="1"/>
      <c r="J57" s="1"/>
      <c r="K57" s="1"/>
      <c r="L57" s="5"/>
      <c r="M57" s="5"/>
      <c r="N57" s="5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</row>
    <row r="58" spans="1:63" x14ac:dyDescent="0.35">
      <c r="C58" s="1"/>
      <c r="D58" s="1"/>
      <c r="E58" s="1"/>
      <c r="F58" s="1"/>
      <c r="G58" s="1"/>
      <c r="H58" s="1"/>
      <c r="I58" s="1"/>
      <c r="J58" s="1"/>
      <c r="K58" s="1"/>
      <c r="L58" s="5"/>
      <c r="M58" s="5"/>
      <c r="N58" s="5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</row>
    <row r="59" spans="1:63" x14ac:dyDescent="0.35">
      <c r="C59" s="1"/>
      <c r="D59" s="1"/>
      <c r="E59" s="1"/>
      <c r="F59" s="1"/>
      <c r="G59" s="1"/>
      <c r="H59" s="1"/>
      <c r="I59" s="1"/>
      <c r="J59" s="1"/>
      <c r="K59" s="1"/>
      <c r="L59" s="5"/>
      <c r="M59" s="5"/>
      <c r="N59" s="5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</row>
    <row r="60" spans="1:63" x14ac:dyDescent="0.35">
      <c r="C60" s="1"/>
      <c r="D60" s="1"/>
      <c r="E60" s="1"/>
      <c r="F60" s="1"/>
      <c r="G60" s="1"/>
      <c r="H60" s="1"/>
      <c r="I60" s="1"/>
      <c r="J60" s="1"/>
      <c r="K60" s="1"/>
      <c r="L60" s="5"/>
      <c r="M60" s="5"/>
      <c r="N60" s="5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</row>
    <row r="61" spans="1:63" x14ac:dyDescent="0.35">
      <c r="C61" s="1"/>
      <c r="D61" s="1"/>
      <c r="E61" s="1"/>
      <c r="F61" s="1"/>
      <c r="G61" s="1"/>
      <c r="H61" s="1"/>
      <c r="I61" s="1"/>
      <c r="J61" s="1"/>
      <c r="K61" s="1"/>
      <c r="L61" s="5"/>
      <c r="M61" s="5"/>
      <c r="N61" s="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</row>
    <row r="62" spans="1:63" x14ac:dyDescent="0.35">
      <c r="C62" s="1"/>
      <c r="D62" s="1"/>
      <c r="E62" s="1"/>
      <c r="F62" s="1"/>
      <c r="G62" s="1"/>
      <c r="H62" s="1"/>
      <c r="I62" s="1"/>
      <c r="J62" s="1"/>
      <c r="K62" s="1"/>
      <c r="L62" s="5"/>
      <c r="M62" s="5"/>
      <c r="N62" s="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</row>
    <row r="63" spans="1:63" x14ac:dyDescent="0.35">
      <c r="C63" s="1"/>
      <c r="D63" s="1"/>
      <c r="E63" s="1"/>
      <c r="F63" s="1"/>
      <c r="G63" s="1"/>
      <c r="H63" s="1"/>
      <c r="I63" s="1"/>
      <c r="J63" s="1"/>
      <c r="K63" s="1"/>
      <c r="L63" s="5"/>
      <c r="M63" s="5"/>
      <c r="N63" s="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</row>
    <row r="64" spans="1:63" x14ac:dyDescent="0.35">
      <c r="C64" s="1"/>
      <c r="D64" s="1"/>
      <c r="E64" s="1"/>
      <c r="F64" s="1"/>
      <c r="G64" s="1"/>
      <c r="H64" s="1"/>
      <c r="I64" s="1"/>
      <c r="J64" s="1"/>
      <c r="K64" s="1"/>
      <c r="L64" s="5"/>
      <c r="M64" s="5"/>
      <c r="N64" s="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</row>
    <row r="65" spans="3:63" x14ac:dyDescent="0.35">
      <c r="C65" s="1"/>
      <c r="D65" s="1"/>
      <c r="E65" s="1"/>
      <c r="F65" s="1"/>
      <c r="G65" s="1"/>
      <c r="H65" s="1"/>
      <c r="I65" s="1"/>
      <c r="J65" s="1"/>
      <c r="K65" s="1"/>
      <c r="L65" s="5"/>
      <c r="M65" s="5"/>
      <c r="N65" s="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</row>
    <row r="66" spans="3:63" x14ac:dyDescent="0.35">
      <c r="C66" s="1"/>
      <c r="D66" s="1"/>
      <c r="E66" s="1"/>
      <c r="F66" s="1"/>
      <c r="G66" s="1"/>
      <c r="H66" s="1"/>
      <c r="I66" s="1"/>
      <c r="J66" s="1"/>
      <c r="K66" s="1"/>
      <c r="L66" s="5"/>
      <c r="M66" s="5"/>
      <c r="N66" s="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</row>
    <row r="67" spans="3:63" x14ac:dyDescent="0.35">
      <c r="C67" s="1"/>
      <c r="D67" s="1"/>
      <c r="E67" s="1"/>
      <c r="F67" s="1"/>
      <c r="G67" s="1"/>
      <c r="H67" s="1"/>
      <c r="I67" s="1"/>
      <c r="J67" s="1"/>
      <c r="K67" s="1"/>
      <c r="L67" s="5"/>
      <c r="M67" s="5"/>
      <c r="N67" s="5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</row>
    <row r="68" spans="3:63" x14ac:dyDescent="0.35">
      <c r="C68" s="1"/>
      <c r="D68" s="1"/>
      <c r="E68" s="1"/>
      <c r="F68" s="1"/>
      <c r="G68" s="1"/>
      <c r="H68" s="1"/>
      <c r="I68" s="1"/>
      <c r="J68" s="1"/>
      <c r="K68" s="1"/>
      <c r="L68" s="5"/>
      <c r="M68" s="5"/>
      <c r="N68" s="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</row>
    <row r="69" spans="3:63" x14ac:dyDescent="0.35"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5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</row>
    <row r="70" spans="3:63" x14ac:dyDescent="0.35">
      <c r="C70" s="1"/>
      <c r="D70" s="1"/>
      <c r="E70" s="1"/>
      <c r="F70" s="1"/>
      <c r="G70" s="1"/>
      <c r="H70" s="1"/>
      <c r="I70" s="1"/>
      <c r="J70" s="1"/>
      <c r="K70" s="1"/>
      <c r="L70" s="5"/>
      <c r="M70" s="5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</row>
    <row r="71" spans="3:63" x14ac:dyDescent="0.35">
      <c r="C71" s="1"/>
      <c r="D71" s="1"/>
      <c r="E71" s="1"/>
      <c r="F71" s="1"/>
      <c r="G71" s="1"/>
      <c r="H71" s="1"/>
      <c r="I71" s="1"/>
      <c r="J71" s="1"/>
      <c r="K71" s="1"/>
      <c r="L71" s="5"/>
      <c r="M71" s="5"/>
      <c r="N71" s="5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</row>
    <row r="72" spans="3:63" x14ac:dyDescent="0.35">
      <c r="C72" s="1"/>
      <c r="D72" s="1"/>
      <c r="E72" s="1"/>
      <c r="F72" s="1"/>
      <c r="G72" s="1"/>
      <c r="H72" s="1"/>
      <c r="I72" s="1"/>
      <c r="J72" s="1"/>
      <c r="K72" s="1"/>
      <c r="L72" s="5"/>
      <c r="M72" s="5"/>
      <c r="N72" s="5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</row>
    <row r="73" spans="3:63" x14ac:dyDescent="0.35">
      <c r="C73" s="1"/>
      <c r="D73" s="1"/>
      <c r="E73" s="1"/>
      <c r="F73" s="1"/>
      <c r="G73" s="1"/>
      <c r="H73" s="1"/>
      <c r="I73" s="1"/>
      <c r="J73" s="1"/>
      <c r="K73" s="1"/>
      <c r="L73" s="5"/>
      <c r="M73" s="5"/>
      <c r="N73" s="5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</row>
    <row r="74" spans="3:63" x14ac:dyDescent="0.35">
      <c r="C74" s="1"/>
      <c r="D74" s="1"/>
      <c r="E74" s="1"/>
      <c r="F74" s="1"/>
      <c r="G74" s="1"/>
      <c r="H74" s="1"/>
      <c r="I74" s="1"/>
      <c r="J74" s="1"/>
      <c r="K74" s="1"/>
      <c r="L74" s="5"/>
      <c r="M74" s="5"/>
      <c r="N74" s="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</row>
    <row r="75" spans="3:63" x14ac:dyDescent="0.35">
      <c r="C75" s="1"/>
      <c r="D75" s="1"/>
      <c r="E75" s="1"/>
      <c r="F75" s="1"/>
      <c r="G75" s="1"/>
      <c r="H75" s="1"/>
      <c r="I75" s="1"/>
      <c r="J75" s="1"/>
      <c r="K75" s="1"/>
      <c r="L75" s="5"/>
      <c r="M75" s="5"/>
      <c r="N75" s="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</row>
    <row r="76" spans="3:63" x14ac:dyDescent="0.35">
      <c r="C76" s="1"/>
      <c r="D76" s="1"/>
      <c r="E76" s="1"/>
      <c r="F76" s="1"/>
      <c r="G76" s="1"/>
      <c r="H76" s="1"/>
      <c r="I76" s="1"/>
      <c r="J76" s="1"/>
      <c r="K76" s="1"/>
      <c r="L76" s="5"/>
      <c r="M76" s="5"/>
      <c r="N76" s="5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</row>
    <row r="77" spans="3:63" x14ac:dyDescent="0.35">
      <c r="C77" s="1"/>
      <c r="D77" s="1"/>
      <c r="E77" s="1"/>
      <c r="F77" s="1"/>
      <c r="G77" s="1"/>
      <c r="H77" s="1"/>
      <c r="I77" s="1"/>
      <c r="J77" s="1"/>
      <c r="K77" s="1"/>
      <c r="L77" s="5"/>
      <c r="M77" s="5"/>
      <c r="N77" s="5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</row>
    <row r="78" spans="3:63" x14ac:dyDescent="0.35">
      <c r="C78" s="1"/>
      <c r="D78" s="1"/>
      <c r="E78" s="1"/>
      <c r="F78" s="1"/>
      <c r="G78" s="1"/>
      <c r="H78" s="1"/>
      <c r="I78" s="1"/>
      <c r="J78" s="1"/>
      <c r="K78" s="1"/>
      <c r="L78" s="5"/>
      <c r="M78" s="5"/>
      <c r="N78" s="5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</row>
    <row r="79" spans="3:63" x14ac:dyDescent="0.35">
      <c r="C79" s="1"/>
      <c r="D79" s="1"/>
      <c r="E79" s="1"/>
      <c r="F79" s="1"/>
      <c r="G79" s="1"/>
      <c r="H79" s="1"/>
      <c r="I79" s="1"/>
      <c r="J79" s="1"/>
      <c r="K79" s="1"/>
      <c r="L79" s="5"/>
      <c r="M79" s="5"/>
      <c r="N79" s="5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</row>
  </sheetData>
  <pageMargins left="0.7" right="0.7" top="0.75" bottom="0.75" header="0.3" footer="0.3"/>
  <pageSetup paperSize="9" orientation="portrait" r:id="rId1"/>
  <ignoredErrors>
    <ignoredError sqref="P14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workbookViewId="0">
      <pane xSplit="1" ySplit="1" topLeftCell="V8" activePane="bottomRight" state="frozen"/>
      <selection pane="topRight" activeCell="B1" sqref="B1"/>
      <selection pane="bottomLeft" activeCell="A2" sqref="A2"/>
      <selection pane="bottomRight" activeCell="AC20" sqref="AC20"/>
    </sheetView>
  </sheetViews>
  <sheetFormatPr defaultRowHeight="14.5" x14ac:dyDescent="0.35"/>
  <cols>
    <col min="1" max="1" width="67.7265625" customWidth="1"/>
    <col min="2" max="15" width="11.36328125" bestFit="1" customWidth="1"/>
    <col min="16" max="16" width="10.26953125" customWidth="1"/>
    <col min="17" max="18" width="10" customWidth="1"/>
    <col min="19" max="20" width="9.90625" bestFit="1" customWidth="1"/>
    <col min="21" max="21" width="10.08984375" customWidth="1"/>
    <col min="22" max="29" width="9.90625" bestFit="1" customWidth="1"/>
  </cols>
  <sheetData>
    <row r="1" spans="1:29" x14ac:dyDescent="0.35">
      <c r="A1" t="s">
        <v>139</v>
      </c>
      <c r="B1" t="s">
        <v>61</v>
      </c>
      <c r="C1" t="s">
        <v>62</v>
      </c>
      <c r="D1" t="s">
        <v>63</v>
      </c>
      <c r="E1" t="s">
        <v>52</v>
      </c>
      <c r="F1" t="s">
        <v>0</v>
      </c>
      <c r="G1" t="s">
        <v>28</v>
      </c>
      <c r="H1" t="s">
        <v>51</v>
      </c>
      <c r="I1" t="s">
        <v>50</v>
      </c>
      <c r="J1" t="s">
        <v>49</v>
      </c>
      <c r="K1" t="s">
        <v>29</v>
      </c>
      <c r="L1" t="s">
        <v>48</v>
      </c>
      <c r="M1" t="s">
        <v>47</v>
      </c>
      <c r="N1" t="s">
        <v>46</v>
      </c>
      <c r="O1" t="s">
        <v>127</v>
      </c>
      <c r="P1" t="s">
        <v>147</v>
      </c>
      <c r="Q1" t="s">
        <v>184</v>
      </c>
      <c r="R1" t="s">
        <v>186</v>
      </c>
      <c r="S1" t="s">
        <v>187</v>
      </c>
      <c r="T1" t="s">
        <v>188</v>
      </c>
      <c r="U1" t="s">
        <v>189</v>
      </c>
      <c r="V1" t="s">
        <v>206</v>
      </c>
      <c r="W1" t="s">
        <v>207</v>
      </c>
      <c r="X1" t="s">
        <v>210</v>
      </c>
      <c r="Y1" t="s">
        <v>217</v>
      </c>
      <c r="Z1" t="s">
        <v>218</v>
      </c>
      <c r="AA1" t="s">
        <v>219</v>
      </c>
      <c r="AB1" t="s">
        <v>220</v>
      </c>
      <c r="AC1" t="s">
        <v>222</v>
      </c>
    </row>
    <row r="2" spans="1:29" x14ac:dyDescent="0.35">
      <c r="A2" t="s">
        <v>129</v>
      </c>
      <c r="B2" s="12">
        <f>Main_!C45</f>
        <v>10792185.6</v>
      </c>
      <c r="C2" s="12">
        <f>Main_!D45</f>
        <v>11374082</v>
      </c>
      <c r="D2" s="12">
        <f>Main_!E45</f>
        <v>11389507.9</v>
      </c>
      <c r="E2" s="12">
        <f>Main_!F45</f>
        <v>10434580.800000001</v>
      </c>
      <c r="F2" s="12">
        <f>Main_!G45</f>
        <v>10807595</v>
      </c>
      <c r="G2" s="12">
        <f>Main_!H45</f>
        <v>11106403.6</v>
      </c>
      <c r="H2" s="12">
        <f>Main_!I45</f>
        <v>11906061.4</v>
      </c>
      <c r="I2" s="12">
        <f>Main_!J45</f>
        <v>12475588.300000001</v>
      </c>
      <c r="J2" s="12">
        <f>Main_!K45</f>
        <v>12353145.800000001</v>
      </c>
      <c r="K2" s="12">
        <f>Main_!L45</f>
        <v>12670270.1</v>
      </c>
      <c r="L2" s="12">
        <f>Main_!M45</f>
        <v>13313450.5</v>
      </c>
      <c r="M2" s="12">
        <f>Main_!N45</f>
        <v>13703597.699999999</v>
      </c>
      <c r="N2" s="12">
        <f>Main_!O45</f>
        <v>13648337.699999999</v>
      </c>
      <c r="O2" s="12">
        <f>Main_!P45</f>
        <v>13541231.5</v>
      </c>
      <c r="P2" s="12">
        <f>Main_!Q45</f>
        <v>13432971.800000001</v>
      </c>
      <c r="Q2" s="12">
        <f>Main_!R45</f>
        <v>11965074.699999999</v>
      </c>
      <c r="R2" s="12">
        <f>Main_!S45</f>
        <v>11922371.199999999</v>
      </c>
      <c r="S2" s="12">
        <f>Main_!T45</f>
        <v>12258661.199999999</v>
      </c>
      <c r="T2" s="12">
        <f>Main_!U45</f>
        <v>12534406.300000001</v>
      </c>
      <c r="U2" s="12">
        <f>Main_!V45</f>
        <v>12750839.4</v>
      </c>
      <c r="V2" s="12">
        <f>Main_!W45</f>
        <v>12703814.5</v>
      </c>
      <c r="W2" s="12">
        <f>Main_!X45</f>
        <v>12601672.4</v>
      </c>
      <c r="X2" s="12">
        <f>Main_!Y45</f>
        <v>12277510.9</v>
      </c>
      <c r="Y2" s="12">
        <f>Main_!Z45</f>
        <v>12165767</v>
      </c>
      <c r="Z2" s="12">
        <f>Main_!AA45</f>
        <v>12787132.6</v>
      </c>
      <c r="AA2" s="12">
        <f>Main_!AB45</f>
        <v>12726198.800000001</v>
      </c>
      <c r="AB2" s="12">
        <f>Main_!AC45</f>
        <v>13096719.1</v>
      </c>
      <c r="AC2" s="12">
        <f>Main_!AD45</f>
        <v>11879972.699999999</v>
      </c>
    </row>
    <row r="3" spans="1:29" x14ac:dyDescent="0.35">
      <c r="A3" t="s">
        <v>130</v>
      </c>
      <c r="B3" s="12">
        <f>Main_!C46</f>
        <v>187974.6</v>
      </c>
      <c r="C3" s="12">
        <f>Main_!D46</f>
        <v>184841.3</v>
      </c>
      <c r="D3" s="12">
        <f>Main_!E46</f>
        <v>186486.39999999999</v>
      </c>
      <c r="E3" s="12">
        <f>Main_!F46</f>
        <v>148350.20000000001</v>
      </c>
      <c r="F3" s="12">
        <f>Main_!G46</f>
        <v>155297.79999999999</v>
      </c>
      <c r="G3" s="12">
        <f>Main_!H46</f>
        <v>147236.70000000001</v>
      </c>
      <c r="H3" s="12">
        <f>Main_!I46</f>
        <v>154451.1</v>
      </c>
      <c r="I3" s="12">
        <f>Main_!J46</f>
        <v>154958.29999999999</v>
      </c>
      <c r="J3" s="12">
        <f>Main_!K46</f>
        <v>153099.20000000001</v>
      </c>
      <c r="K3" s="12">
        <f>Main_!L46</f>
        <v>145578.20000000001</v>
      </c>
      <c r="L3" s="12">
        <f>Main_!M46</f>
        <v>146336.5</v>
      </c>
      <c r="M3" s="12">
        <f>Main_!N46</f>
        <v>142852.5</v>
      </c>
      <c r="N3" s="12">
        <f>Main_!O46</f>
        <v>140105.5</v>
      </c>
      <c r="O3" s="12">
        <f>Main_!P46</f>
        <v>145224.4</v>
      </c>
      <c r="P3" s="12">
        <f>Main_!Q46</f>
        <v>151129.1</v>
      </c>
      <c r="Q3" s="12">
        <f>Main_!R46</f>
        <v>133407.29999999999</v>
      </c>
      <c r="R3" s="12">
        <f>Main_!S46</f>
        <v>133526.1</v>
      </c>
      <c r="S3" s="12">
        <f>Main_!T46</f>
        <v>133436</v>
      </c>
      <c r="T3" s="12">
        <f>Main_!U46</f>
        <v>135703.70000000001</v>
      </c>
      <c r="U3" s="12">
        <f>Main_!V46</f>
        <v>138929.70000000001</v>
      </c>
      <c r="V3" s="12">
        <f>Main_!W46</f>
        <v>141488.5</v>
      </c>
      <c r="W3" s="12">
        <f>Main_!X46</f>
        <v>146961.70000000001</v>
      </c>
      <c r="X3" s="12">
        <f>Main_!Y46</f>
        <v>142216</v>
      </c>
      <c r="Y3" s="12">
        <f>Main_!Z46</f>
        <v>133415.9</v>
      </c>
      <c r="Z3" s="12">
        <f>Main_!AA46</f>
        <v>137922.29999999999</v>
      </c>
      <c r="AA3" s="12">
        <f>Main_!AB46</f>
        <v>131126.29999999999</v>
      </c>
      <c r="AB3" s="12">
        <f>Main_!AC46</f>
        <v>121557.5</v>
      </c>
      <c r="AC3" s="12">
        <f>Main_!AD46</f>
        <v>116837.2</v>
      </c>
    </row>
    <row r="4" spans="1:29" x14ac:dyDescent="0.35">
      <c r="A4" t="s">
        <v>140</v>
      </c>
      <c r="B4" s="12">
        <f>Main_!C2</f>
        <v>49188.800000000003</v>
      </c>
      <c r="C4" s="12">
        <f>Main_!D2</f>
        <v>45733.5</v>
      </c>
      <c r="D4" s="12">
        <f>Main_!E2</f>
        <v>41891.699999999997</v>
      </c>
      <c r="E4" s="12">
        <f>Main_!F2</f>
        <v>10464.5</v>
      </c>
      <c r="F4" s="12">
        <f>Main_!G2</f>
        <v>10464.5</v>
      </c>
      <c r="G4" s="12">
        <f>Main_!H2</f>
        <v>10464.5</v>
      </c>
      <c r="H4" s="12">
        <f>Main_!I2</f>
        <v>10398.799999999999</v>
      </c>
      <c r="I4" s="12">
        <f>Main_!J2</f>
        <v>9233.6</v>
      </c>
      <c r="J4" s="12">
        <f>Main_!K2</f>
        <v>9054.6</v>
      </c>
      <c r="K4" s="12">
        <f>Main_!L2</f>
        <v>7278.7</v>
      </c>
      <c r="L4" s="12">
        <f>Main_!M2</f>
        <v>7278.7</v>
      </c>
      <c r="M4" s="12">
        <f>Main_!N2</f>
        <v>5224.6000000000004</v>
      </c>
      <c r="N4" s="12">
        <f>Main_!O2</f>
        <v>4070.6</v>
      </c>
      <c r="O4" s="12">
        <f>Main_!P2</f>
        <v>3666.6</v>
      </c>
      <c r="P4" s="12">
        <f>Main_!Q2</f>
        <v>3268.8</v>
      </c>
      <c r="Q4" s="12">
        <f>Main_!R2</f>
        <v>0</v>
      </c>
      <c r="R4" s="12">
        <f>Main_!S2</f>
        <v>0</v>
      </c>
      <c r="S4" s="12">
        <f>Main_!T2</f>
        <v>0</v>
      </c>
      <c r="T4" s="12">
        <f>Main_!U2</f>
        <v>0</v>
      </c>
      <c r="U4" s="12">
        <f>Main_!V2</f>
        <v>0</v>
      </c>
      <c r="V4" s="12">
        <f>Main_!W2</f>
        <v>0</v>
      </c>
      <c r="W4" s="12">
        <f>Main_!X2</f>
        <v>0</v>
      </c>
      <c r="X4" s="12">
        <f>Main_!Y2</f>
        <v>0</v>
      </c>
      <c r="Y4" s="12">
        <f>Main_!Z2</f>
        <v>0</v>
      </c>
      <c r="Z4" s="12">
        <f>Main_!AA2</f>
        <v>0</v>
      </c>
      <c r="AA4" s="12">
        <f>Main_!AB2</f>
        <v>0</v>
      </c>
      <c r="AB4" s="12">
        <f>Main_!AC2</f>
        <v>0</v>
      </c>
      <c r="AC4" s="12">
        <f>Main_!AD2</f>
        <v>0</v>
      </c>
    </row>
    <row r="5" spans="1:29" x14ac:dyDescent="0.35">
      <c r="A5" t="s">
        <v>141</v>
      </c>
      <c r="B5" s="12">
        <f>Main_!C5</f>
        <v>309720.09999999998</v>
      </c>
      <c r="C5" s="12">
        <f>Main_!D5</f>
        <v>309720.09999999998</v>
      </c>
      <c r="D5" s="12">
        <f>Main_!E5</f>
        <v>309720.09999999998</v>
      </c>
      <c r="E5" s="12">
        <f>Main_!F5</f>
        <v>309720.09999999998</v>
      </c>
      <c r="F5" s="12">
        <f>Main_!G5</f>
        <v>307445.90000000002</v>
      </c>
      <c r="G5" s="12">
        <f>Main_!H5</f>
        <v>300067.90000000002</v>
      </c>
      <c r="H5" s="12">
        <f>Main_!I5</f>
        <v>292588.79999999999</v>
      </c>
      <c r="I5" s="12">
        <f>Main_!J5</f>
        <v>288330.09999999998</v>
      </c>
      <c r="J5" s="12">
        <f>Main_!K5</f>
        <v>285736.09999999998</v>
      </c>
      <c r="K5" s="12">
        <f>Main_!L5</f>
        <v>282284.2</v>
      </c>
      <c r="L5" s="12">
        <f>Main_!M5</f>
        <v>280158.90000000002</v>
      </c>
      <c r="M5" s="12">
        <f>Main_!N5</f>
        <v>279773.7</v>
      </c>
      <c r="N5" s="12">
        <f>Main_!O5</f>
        <v>279773.7</v>
      </c>
      <c r="O5" s="12">
        <f>Main_!P5</f>
        <v>279773.7</v>
      </c>
      <c r="P5" s="12">
        <f>Main_!Q5</f>
        <v>279773.7</v>
      </c>
      <c r="Q5" s="12">
        <f>Main_!R5</f>
        <v>227330.7</v>
      </c>
      <c r="R5" s="12">
        <f>Main_!S5</f>
        <v>227517.1</v>
      </c>
      <c r="S5" s="12">
        <f>Main_!T5</f>
        <v>227517.1</v>
      </c>
      <c r="T5" s="12">
        <f>Main_!U5</f>
        <v>227615.8</v>
      </c>
      <c r="U5" s="12">
        <f>Main_!V5</f>
        <v>227615.8</v>
      </c>
      <c r="V5" s="12">
        <f>Main_!W5</f>
        <v>227615.8</v>
      </c>
      <c r="W5" s="12">
        <f>Main_!X5</f>
        <v>229532.6</v>
      </c>
      <c r="X5" s="12">
        <f>Main_!Y5</f>
        <v>226532.6</v>
      </c>
      <c r="Y5" s="12">
        <f>Main_!Z5</f>
        <v>223782.6</v>
      </c>
      <c r="Z5" s="12">
        <f>Main_!AA5</f>
        <v>221782.6</v>
      </c>
      <c r="AA5" s="12">
        <f>Main_!AB5</f>
        <v>220532.6</v>
      </c>
      <c r="AB5" s="12">
        <f>Main_!AC5</f>
        <v>219532.6</v>
      </c>
      <c r="AC5" s="12">
        <f>Main_!AD5</f>
        <v>164044.20000000001</v>
      </c>
    </row>
    <row r="6" spans="1:29" x14ac:dyDescent="0.35">
      <c r="A6" t="s">
        <v>142</v>
      </c>
      <c r="B6" s="12">
        <f>Main_!C6</f>
        <v>554910.5</v>
      </c>
      <c r="C6" s="12">
        <f>Main_!D6</f>
        <v>554910.5</v>
      </c>
      <c r="D6" s="12">
        <f>Main_!E6</f>
        <v>554910.5</v>
      </c>
      <c r="E6" s="12">
        <f>Main_!F6</f>
        <v>554910.5</v>
      </c>
      <c r="F6" s="12">
        <f>Main_!G6</f>
        <v>551277.5</v>
      </c>
      <c r="G6" s="12">
        <f>Main_!H6</f>
        <v>539245.1</v>
      </c>
      <c r="H6" s="12">
        <f>Main_!I6</f>
        <v>527382.30000000005</v>
      </c>
      <c r="I6" s="12">
        <f>Main_!J6</f>
        <v>520974</v>
      </c>
      <c r="J6" s="12">
        <f>Main_!K6</f>
        <v>517114.1</v>
      </c>
      <c r="K6" s="12">
        <f>Main_!L6</f>
        <v>511986.9</v>
      </c>
      <c r="L6" s="12">
        <f>Main_!M6</f>
        <v>508835.4</v>
      </c>
      <c r="M6" s="12">
        <f>Main_!N6</f>
        <v>508265.3</v>
      </c>
      <c r="N6" s="12">
        <f>Main_!O6</f>
        <v>508265.3</v>
      </c>
      <c r="O6" s="12">
        <f>Main_!P6</f>
        <v>508265.3</v>
      </c>
      <c r="P6" s="12">
        <f>Main_!Q6</f>
        <v>508265.3</v>
      </c>
      <c r="Q6" s="12">
        <f>Main_!R6</f>
        <v>358960.6</v>
      </c>
      <c r="R6" s="12">
        <f>Main_!S6</f>
        <v>358960.6</v>
      </c>
      <c r="S6" s="12">
        <f>Main_!T6</f>
        <v>358014.6</v>
      </c>
      <c r="T6" s="12">
        <f>Main_!U6</f>
        <v>334863.2</v>
      </c>
      <c r="U6" s="12">
        <f>Main_!V6</f>
        <v>334367.3</v>
      </c>
      <c r="V6" s="12">
        <f>Main_!W6</f>
        <v>329705.3</v>
      </c>
      <c r="W6" s="12">
        <f>Main_!X6</f>
        <v>303578.59999999998</v>
      </c>
      <c r="X6" s="12">
        <f>Main_!Y6</f>
        <v>298840.40000000002</v>
      </c>
      <c r="Y6" s="12">
        <f>Main_!Z6</f>
        <v>293188.59999999998</v>
      </c>
      <c r="Z6" s="12">
        <f>Main_!AA6</f>
        <v>292494.09999999998</v>
      </c>
      <c r="AA6" s="12">
        <f>Main_!AB6</f>
        <v>283575.3</v>
      </c>
      <c r="AB6" s="12">
        <f>Main_!AC6</f>
        <v>279562.59999999998</v>
      </c>
      <c r="AC6" s="12">
        <f>Main_!AD6</f>
        <v>187749.1</v>
      </c>
    </row>
    <row r="7" spans="1:29" x14ac:dyDescent="0.35">
      <c r="A7" t="s">
        <v>143</v>
      </c>
      <c r="B7" s="12">
        <f>Main_!C7</f>
        <v>264.3</v>
      </c>
      <c r="C7" s="12">
        <f>Main_!D7</f>
        <v>526.70000000000005</v>
      </c>
      <c r="D7" s="12">
        <f>Main_!E7</f>
        <v>242.7</v>
      </c>
      <c r="E7" s="12">
        <f>Main_!F7</f>
        <v>274.8</v>
      </c>
      <c r="F7" s="12">
        <f>Main_!G7</f>
        <v>530.1</v>
      </c>
      <c r="G7" s="12">
        <f>Main_!H7</f>
        <v>6124</v>
      </c>
      <c r="H7" s="12">
        <f>Main_!I7</f>
        <v>140.69999999999999</v>
      </c>
      <c r="I7" s="12">
        <f>Main_!J7</f>
        <v>232.8</v>
      </c>
      <c r="J7" s="12">
        <f>Main_!K7</f>
        <v>228</v>
      </c>
      <c r="K7" s="12">
        <f>Main_!L7</f>
        <v>400.4</v>
      </c>
      <c r="L7" s="12">
        <f>Main_!M7</f>
        <v>5490.5</v>
      </c>
      <c r="M7" s="12">
        <f>Main_!N7</f>
        <v>6775.9</v>
      </c>
      <c r="N7" s="12">
        <f>Main_!O7</f>
        <v>395.9</v>
      </c>
      <c r="O7" s="12">
        <f>Main_!P7</f>
        <v>261.8</v>
      </c>
      <c r="P7" s="12">
        <f>Main_!Q7</f>
        <v>1187.5999999999999</v>
      </c>
      <c r="Q7" s="12">
        <f>Main_!R7</f>
        <v>1514</v>
      </c>
      <c r="R7" s="12">
        <f>Main_!S7</f>
        <v>294.8</v>
      </c>
      <c r="S7" s="12">
        <f>Main_!T7</f>
        <v>1241</v>
      </c>
      <c r="T7" s="12">
        <f>Main_!U7</f>
        <v>1650.1</v>
      </c>
      <c r="U7" s="12">
        <f>Main_!V7</f>
        <v>299.7</v>
      </c>
      <c r="V7" s="12">
        <f>Main_!W7</f>
        <v>1252</v>
      </c>
      <c r="W7" s="12">
        <f>Main_!X7</f>
        <v>1676</v>
      </c>
      <c r="X7" s="12">
        <f>Main_!Y7</f>
        <v>368.5</v>
      </c>
      <c r="Y7" s="12">
        <f>Main_!Z7</f>
        <v>1261.9000000000001</v>
      </c>
      <c r="Z7" s="12">
        <f>Main_!AA7</f>
        <v>1612.3</v>
      </c>
      <c r="AA7" s="12">
        <f>Main_!AB7</f>
        <v>410.2</v>
      </c>
      <c r="AB7" s="12">
        <f>Main_!AC7</f>
        <v>1429.9</v>
      </c>
      <c r="AC7" s="12">
        <f>Main_!AD7</f>
        <v>1630.9</v>
      </c>
    </row>
    <row r="8" spans="1:29" x14ac:dyDescent="0.35">
      <c r="A8" t="s">
        <v>148</v>
      </c>
      <c r="B8" s="12">
        <v>528449</v>
      </c>
      <c r="C8" s="12">
        <v>528186</v>
      </c>
      <c r="D8" s="12">
        <v>650116</v>
      </c>
      <c r="E8" s="12">
        <v>649841</v>
      </c>
      <c r="F8" s="12">
        <v>649586</v>
      </c>
      <c r="G8" s="12">
        <v>649346</v>
      </c>
      <c r="H8" s="12">
        <v>648927</v>
      </c>
      <c r="I8" s="12">
        <v>648694</v>
      </c>
      <c r="J8" s="12">
        <v>648466</v>
      </c>
      <c r="K8" s="12">
        <f>SUM(Main_!L8:L22)</f>
        <v>653020</v>
      </c>
      <c r="L8" s="12">
        <f>SUM(Main_!M8:M22)</f>
        <v>655170.80000000005</v>
      </c>
      <c r="M8" s="12">
        <f>SUM(Main_!N8:N22)</f>
        <v>656580</v>
      </c>
      <c r="N8" s="12">
        <f>SUM(Main_!O8:O22)</f>
        <v>657029.30000000005</v>
      </c>
      <c r="O8" s="12">
        <f>SUM(Main_!P8:P22)</f>
        <v>657764.80000000005</v>
      </c>
      <c r="P8" s="12">
        <f>SUM(Main_!Q8:Q22)</f>
        <v>658364.9</v>
      </c>
      <c r="Q8" s="12">
        <f>SUM(Main_!R8:R22)</f>
        <v>658828.30000000005</v>
      </c>
      <c r="R8" s="12">
        <f>SUM(Main_!S8:S22)</f>
        <v>658595.69999999995</v>
      </c>
      <c r="S8" s="12">
        <f>SUM(Main_!T8:T22)</f>
        <v>658293.5</v>
      </c>
      <c r="T8" s="12">
        <f>SUM(Main_!U8:U22)</f>
        <v>657832.89999999991</v>
      </c>
      <c r="U8" s="12">
        <f>SUM(Main_!V8:V22)</f>
        <v>659635.9</v>
      </c>
      <c r="V8" s="12">
        <f>SUM(Main_!W8:W22)</f>
        <v>660216.1</v>
      </c>
      <c r="W8" s="12">
        <f>SUM(Main_!X8:X22)</f>
        <v>660688.69999999995</v>
      </c>
      <c r="X8" s="12">
        <f>SUM(Main_!Y8:Y22)</f>
        <v>689427.9</v>
      </c>
      <c r="Y8" s="12">
        <f>SUM(Main_!Z8:Z22)</f>
        <v>690022.5</v>
      </c>
      <c r="Z8" s="12">
        <f>SUM(Main_!AA8:AA22)</f>
        <v>690508.4</v>
      </c>
      <c r="AA8" s="12">
        <f>SUM(Main_!AB8:AB22)</f>
        <v>752240.9</v>
      </c>
      <c r="AB8" s="12">
        <f>SUM(Main_!AC8:AC22)</f>
        <v>751917.8</v>
      </c>
      <c r="AC8" s="12">
        <f>SUM(Main_!AD8:AD22)</f>
        <v>891319.7</v>
      </c>
    </row>
    <row r="9" spans="1:29" x14ac:dyDescent="0.35">
      <c r="A9" t="s">
        <v>131</v>
      </c>
      <c r="B9" s="12">
        <f>Main_!C23</f>
        <v>3000</v>
      </c>
      <c r="C9" s="12">
        <f>Main_!D23</f>
        <v>3000</v>
      </c>
      <c r="D9" s="12">
        <f>Main_!E23</f>
        <v>3000</v>
      </c>
      <c r="E9" s="12">
        <f>Main_!F23</f>
        <v>3000</v>
      </c>
      <c r="F9" s="12">
        <f>Main_!G23</f>
        <v>3000</v>
      </c>
      <c r="G9" s="12">
        <f>Main_!H23</f>
        <v>3000</v>
      </c>
      <c r="H9" s="12">
        <f>Main_!I23</f>
        <v>3000</v>
      </c>
      <c r="I9" s="12">
        <f>Main_!J23</f>
        <v>3000</v>
      </c>
      <c r="J9" s="12">
        <f>Main_!K23</f>
        <v>3000</v>
      </c>
      <c r="K9" s="12">
        <f>Main_!L23</f>
        <v>3000</v>
      </c>
      <c r="L9" s="12">
        <f>Main_!M23</f>
        <v>3000</v>
      </c>
      <c r="M9" s="12">
        <f>Main_!N23</f>
        <v>3000</v>
      </c>
      <c r="N9" s="12">
        <f>Main_!O23</f>
        <v>3000</v>
      </c>
      <c r="O9" s="12">
        <f>Main_!P23</f>
        <v>3000</v>
      </c>
      <c r="P9" s="12">
        <f>Main_!Q23</f>
        <v>3000</v>
      </c>
      <c r="Q9" s="12">
        <f>Main_!R23</f>
        <v>3000</v>
      </c>
      <c r="R9" s="12">
        <f>Main_!S23</f>
        <v>3000</v>
      </c>
      <c r="S9" s="12">
        <f>Main_!T23</f>
        <v>3000</v>
      </c>
      <c r="T9" s="12">
        <f>Main_!U23</f>
        <v>3000</v>
      </c>
      <c r="U9" s="12">
        <f>Main_!V23</f>
        <v>3000</v>
      </c>
      <c r="V9" s="12">
        <f>Main_!W23</f>
        <v>3000</v>
      </c>
      <c r="W9" s="12">
        <f>Main_!X23</f>
        <v>3000</v>
      </c>
      <c r="X9" s="12">
        <f>Main_!Y23</f>
        <v>3000</v>
      </c>
      <c r="Y9" s="12">
        <f>Main_!Z23</f>
        <v>3000</v>
      </c>
      <c r="Z9" s="12">
        <f>Main_!AA23</f>
        <v>3000</v>
      </c>
      <c r="AA9" s="12">
        <f>Main_!AB23</f>
        <v>3000</v>
      </c>
      <c r="AB9" s="12">
        <f>Main_!AC23</f>
        <v>3000</v>
      </c>
      <c r="AC9" s="12">
        <f>Main_!AD23</f>
        <v>3000</v>
      </c>
    </row>
    <row r="10" spans="1:29" x14ac:dyDescent="0.35">
      <c r="A10" t="s">
        <v>132</v>
      </c>
      <c r="B10" s="12">
        <f>Main_!C24</f>
        <v>314357.40000000002</v>
      </c>
      <c r="C10" s="12">
        <f>Main_!D24</f>
        <v>319388.7</v>
      </c>
      <c r="D10" s="12">
        <f>Main_!E24</f>
        <v>385146.2</v>
      </c>
      <c r="E10" s="12">
        <f>Main_!F24</f>
        <v>583710</v>
      </c>
      <c r="F10" s="12">
        <f>Main_!G24</f>
        <v>583710</v>
      </c>
      <c r="G10" s="12">
        <f>Main_!H24</f>
        <v>583710</v>
      </c>
      <c r="H10" s="12">
        <f>Main_!I24</f>
        <v>595596</v>
      </c>
      <c r="I10" s="12">
        <f>Main_!J24</f>
        <v>603639.1</v>
      </c>
      <c r="J10" s="12">
        <f>Main_!K24</f>
        <v>619314.4</v>
      </c>
      <c r="K10" s="12">
        <f>Main_!L24</f>
        <v>697875.5</v>
      </c>
      <c r="L10" s="12">
        <f>Main_!M24</f>
        <v>703010.4</v>
      </c>
      <c r="M10" s="12">
        <f>Main_!N24</f>
        <v>862315.2</v>
      </c>
      <c r="N10" s="12">
        <f>Main_!O24</f>
        <v>918404.2</v>
      </c>
      <c r="O10" s="12">
        <f>Main_!P24</f>
        <v>940395.4</v>
      </c>
      <c r="P10" s="12">
        <f>Main_!Q24</f>
        <v>973116.7</v>
      </c>
      <c r="Q10" s="12">
        <f>Main_!R24</f>
        <v>1157407</v>
      </c>
      <c r="R10" s="12">
        <f>Main_!S24</f>
        <v>1157407</v>
      </c>
      <c r="S10" s="12">
        <f>Main_!T24</f>
        <v>1163373</v>
      </c>
      <c r="T10" s="12">
        <f>Main_!U24</f>
        <v>1179302</v>
      </c>
      <c r="U10" s="12">
        <f>Main_!V24</f>
        <v>1182890</v>
      </c>
      <c r="V10" s="12">
        <f>Main_!W24</f>
        <v>1213962.3</v>
      </c>
      <c r="W10" s="12">
        <f>Main_!X24</f>
        <v>1231367.6000000001</v>
      </c>
      <c r="X10" s="12">
        <f>Main_!Y24</f>
        <v>1236574.6000000001</v>
      </c>
      <c r="Y10" s="12">
        <f>Main_!Z24</f>
        <v>1262976</v>
      </c>
      <c r="Z10" s="12">
        <f>Main_!AA24</f>
        <v>1270394.2</v>
      </c>
      <c r="AA10" s="12">
        <f>Main_!AB24</f>
        <v>1283924.3999999999</v>
      </c>
      <c r="AB10" s="12">
        <f>Main_!AC24</f>
        <v>1296899.4000000001</v>
      </c>
      <c r="AC10" s="12">
        <f>Main_!AD24</f>
        <v>1339327.2</v>
      </c>
    </row>
    <row r="11" spans="1:29" x14ac:dyDescent="0.35">
      <c r="A11" t="s">
        <v>133</v>
      </c>
      <c r="B11" s="12">
        <f>Main_!C25</f>
        <v>2221.4</v>
      </c>
      <c r="C11" s="12">
        <f>Main_!D25</f>
        <v>2221.4</v>
      </c>
      <c r="D11" s="12">
        <f>Main_!E25</f>
        <v>2221.4</v>
      </c>
      <c r="E11" s="12">
        <f>Main_!F25</f>
        <v>2153.4</v>
      </c>
      <c r="F11" s="12">
        <f>Main_!G25</f>
        <v>2153.4</v>
      </c>
      <c r="G11" s="12">
        <f>Main_!H25</f>
        <v>2082.4</v>
      </c>
      <c r="H11" s="12">
        <f>Main_!I25</f>
        <v>2082.4</v>
      </c>
      <c r="I11" s="12">
        <f>Main_!J25</f>
        <v>2082.4</v>
      </c>
      <c r="J11" s="12">
        <f>Main_!K25</f>
        <v>2082.4</v>
      </c>
      <c r="K11" s="12">
        <f>Main_!L25</f>
        <v>2014.4</v>
      </c>
      <c r="L11" s="12">
        <f>Main_!M25</f>
        <v>2014.4</v>
      </c>
      <c r="M11" s="12">
        <f>Main_!N25</f>
        <v>1943.5</v>
      </c>
      <c r="N11" s="12">
        <f>Main_!O25</f>
        <v>1943.5</v>
      </c>
      <c r="O11" s="12">
        <f>Main_!P25</f>
        <v>1943.5</v>
      </c>
      <c r="P11" s="12">
        <f>Main_!Q25</f>
        <v>1943.5</v>
      </c>
      <c r="Q11" s="12">
        <f>Main_!R25</f>
        <v>1875.5</v>
      </c>
      <c r="R11" s="12">
        <f>Main_!S25</f>
        <v>1875.5</v>
      </c>
      <c r="S11" s="12">
        <f>Main_!T25</f>
        <v>1875.5</v>
      </c>
      <c r="T11" s="12">
        <f>Main_!U25</f>
        <v>1875.5</v>
      </c>
      <c r="U11" s="12">
        <f>Main_!V25</f>
        <v>1875.5</v>
      </c>
      <c r="V11" s="12">
        <f>Main_!W25</f>
        <v>1875.4</v>
      </c>
      <c r="W11" s="12">
        <f>Main_!X25</f>
        <v>1875.4</v>
      </c>
      <c r="X11" s="12">
        <f>Main_!Y25</f>
        <v>1875.4</v>
      </c>
      <c r="Y11" s="12">
        <f>Main_!Z25</f>
        <v>1875.4</v>
      </c>
      <c r="Z11" s="12">
        <f>Main_!AA25</f>
        <v>1875.4</v>
      </c>
      <c r="AA11" s="12">
        <f>Main_!AB25</f>
        <v>1875.4</v>
      </c>
      <c r="AB11" s="12">
        <f>Main_!AC25</f>
        <v>1875.4</v>
      </c>
      <c r="AC11" s="12">
        <f>Main_!AD25</f>
        <v>1875.4</v>
      </c>
    </row>
    <row r="12" spans="1:29" x14ac:dyDescent="0.35">
      <c r="A12" t="s">
        <v>134</v>
      </c>
      <c r="B12" s="12">
        <f>SUM(Main_!C26:C28)</f>
        <v>328991.90000000002</v>
      </c>
      <c r="C12" s="12">
        <f>SUM(Main_!D26:D28)</f>
        <v>328991.90000000002</v>
      </c>
      <c r="D12" s="12">
        <f>SUM(Main_!E26:E28)</f>
        <v>328991.90000000002</v>
      </c>
      <c r="E12" s="12">
        <f>SUM(Main_!F26:F28)</f>
        <v>328991.90000000002</v>
      </c>
      <c r="F12" s="12">
        <f>SUM(Main_!G26:G28)</f>
        <v>328991.90000000002</v>
      </c>
      <c r="G12" s="12">
        <f>SUM(Main_!H26:H28)</f>
        <v>328991.90000000002</v>
      </c>
      <c r="H12" s="12">
        <f>SUM(Main_!I26:I28)</f>
        <v>328991.90000000002</v>
      </c>
      <c r="I12" s="12">
        <f>SUM(Main_!J26:J28)</f>
        <v>328991.90000000002</v>
      </c>
      <c r="J12" s="12">
        <f>SUM(Main_!K26:K28)</f>
        <v>328991.90000000002</v>
      </c>
      <c r="K12" s="12">
        <f>SUM(Main_!L26:L28)</f>
        <v>328991.90000000002</v>
      </c>
      <c r="L12" s="12">
        <f>SUM(Main_!M26:M28)</f>
        <v>328991.90000000002</v>
      </c>
      <c r="M12" s="12">
        <f>SUM(Main_!N26:N28)</f>
        <v>328991.90000000002</v>
      </c>
      <c r="N12" s="12">
        <f>SUM(Main_!O26:O28)</f>
        <v>328991.90000000002</v>
      </c>
      <c r="O12" s="12">
        <f>SUM(Main_!P26:P28)</f>
        <v>328991.90000000002</v>
      </c>
      <c r="P12" s="12">
        <f>SUM(Main_!Q26:Q28)</f>
        <v>328991.90000000002</v>
      </c>
      <c r="Q12" s="12">
        <f>SUM(Main_!R26:R28)</f>
        <v>328991.90000000002</v>
      </c>
      <c r="R12" s="12">
        <f>SUM(Main_!S26:S28)</f>
        <v>328991.90000000002</v>
      </c>
      <c r="S12" s="12">
        <f>SUM(Main_!T26:T28)</f>
        <v>328991.90000000002</v>
      </c>
      <c r="T12" s="12">
        <f>SUM(Main_!U26:U28)</f>
        <v>328991.90000000002</v>
      </c>
      <c r="U12" s="12">
        <f>SUM(Main_!V26:V28)</f>
        <v>328991.90000000002</v>
      </c>
      <c r="V12" s="12">
        <f>SUM(Main_!W26:W28)</f>
        <v>328991.90000000002</v>
      </c>
      <c r="W12" s="12">
        <f>SUM(Main_!X26:X28)</f>
        <v>403991.9</v>
      </c>
      <c r="X12" s="12">
        <f>SUM(Main_!Y26:Y28)</f>
        <v>403991.9</v>
      </c>
      <c r="Y12" s="12">
        <f>SUM(Main_!Z26:Z28)</f>
        <v>403991.9</v>
      </c>
      <c r="Z12" s="12">
        <f>SUM(Main_!AA26:AA28)</f>
        <v>403991.9</v>
      </c>
      <c r="AA12" s="12">
        <f>SUM(Main_!AB26:AB28)</f>
        <v>403991.9</v>
      </c>
      <c r="AB12" s="12">
        <f>SUM(Main_!AC26:AC28)</f>
        <v>403991.9</v>
      </c>
      <c r="AC12" s="12">
        <f>SUM(Main_!AD26:AD28)</f>
        <v>403991.9</v>
      </c>
    </row>
    <row r="13" spans="1:29" x14ac:dyDescent="0.35">
      <c r="A13" t="s">
        <v>135</v>
      </c>
      <c r="B13" s="12">
        <f>Main_!C30</f>
        <v>0</v>
      </c>
      <c r="C13" s="12">
        <f>Main_!D30</f>
        <v>0</v>
      </c>
      <c r="D13" s="12">
        <f>Main_!E30</f>
        <v>0</v>
      </c>
      <c r="E13" s="12">
        <f>Main_!F30</f>
        <v>0</v>
      </c>
      <c r="F13" s="12">
        <f>Main_!G30</f>
        <v>0</v>
      </c>
      <c r="G13" s="12">
        <f>Main_!H30</f>
        <v>0</v>
      </c>
      <c r="H13" s="12">
        <f>Main_!I30</f>
        <v>38433.9</v>
      </c>
      <c r="I13" s="12">
        <f>Main_!J30</f>
        <v>38433.9</v>
      </c>
      <c r="J13" s="12">
        <f>Main_!K30</f>
        <v>38433.9</v>
      </c>
      <c r="K13" s="12">
        <f>Main_!L30</f>
        <v>38433.9</v>
      </c>
      <c r="L13" s="12">
        <f>Main_!M30</f>
        <v>38433.9</v>
      </c>
      <c r="M13" s="12">
        <f>Main_!N30</f>
        <v>38433.9</v>
      </c>
      <c r="N13" s="12">
        <f>Main_!O30</f>
        <v>38433.9</v>
      </c>
      <c r="O13" s="12">
        <f>Main_!P30</f>
        <v>38433.9</v>
      </c>
      <c r="P13" s="12">
        <f>Main_!Q30</f>
        <v>38433.9</v>
      </c>
      <c r="Q13" s="12">
        <f>Main_!R30</f>
        <v>38433.9</v>
      </c>
      <c r="R13" s="12">
        <f>Main_!S30</f>
        <v>38433.9</v>
      </c>
      <c r="S13" s="12">
        <f>Main_!T30</f>
        <v>38433.9</v>
      </c>
      <c r="T13" s="12">
        <f>Main_!U30</f>
        <v>38433.9</v>
      </c>
      <c r="U13" s="12">
        <f>Main_!V30</f>
        <v>38433.9</v>
      </c>
      <c r="V13" s="12">
        <f>Main_!W30</f>
        <v>38433.9</v>
      </c>
      <c r="W13" s="12">
        <f>Main_!X30</f>
        <v>38433.9</v>
      </c>
      <c r="X13" s="12">
        <f>Main_!Y30</f>
        <v>38433.9</v>
      </c>
      <c r="Y13" s="12">
        <f>Main_!Z30</f>
        <v>38433.9</v>
      </c>
      <c r="Z13" s="12">
        <f>Main_!AA30</f>
        <v>38433.9</v>
      </c>
      <c r="AA13" s="12">
        <f>Main_!AB30</f>
        <v>38433.9</v>
      </c>
      <c r="AB13" s="12">
        <f>Main_!AC30</f>
        <v>38433.9</v>
      </c>
      <c r="AC13" s="12">
        <f>Main_!AD30</f>
        <v>38433.9</v>
      </c>
    </row>
    <row r="14" spans="1:29" x14ac:dyDescent="0.35">
      <c r="A14" t="s">
        <v>136</v>
      </c>
      <c r="B14" s="12">
        <f>SUM(Main_!C31:C35)</f>
        <v>1393665.3</v>
      </c>
      <c r="C14" s="12">
        <f>SUM(Main_!D31:D35)</f>
        <v>1601086.9</v>
      </c>
      <c r="D14" s="12">
        <f>SUM(Main_!E31:E35)</f>
        <v>1702023.3</v>
      </c>
      <c r="E14" s="12">
        <f>SUM(Main_!F31:F35)</f>
        <v>1757319.5</v>
      </c>
      <c r="F14" s="12">
        <f>SUM(Main_!G31:G35)</f>
        <v>1932491.9</v>
      </c>
      <c r="G14" s="12">
        <f>SUM(Main_!H31:H35)</f>
        <v>2095160.2</v>
      </c>
      <c r="H14" s="12">
        <f>SUM(Main_!I31:I35)</f>
        <v>2709111.9</v>
      </c>
      <c r="I14" s="12">
        <f>SUM(Main_!J31:J35)</f>
        <v>3041875.2</v>
      </c>
      <c r="J14" s="12">
        <f>SUM(Main_!K31:K35)</f>
        <v>3088748.3</v>
      </c>
      <c r="K14" s="12">
        <f>SUM(Main_!L31:L35)</f>
        <v>3128294.4</v>
      </c>
      <c r="L14" s="12">
        <f>SUM(Main_!M31:M35)</f>
        <v>3384520.6999999997</v>
      </c>
      <c r="M14" s="12">
        <f>SUM(Main_!N31:N35)</f>
        <v>3465106.2</v>
      </c>
      <c r="N14" s="12">
        <f>SUM(Main_!O31:O35)</f>
        <v>3389191.3</v>
      </c>
      <c r="O14" s="12">
        <f>SUM(Main_!P31:P35)</f>
        <v>3463670.0000000005</v>
      </c>
      <c r="P14" s="12">
        <f>SUM(Main_!Q31:Q35)</f>
        <v>3530974</v>
      </c>
      <c r="Q14" s="12">
        <f>SUM(Main_!R31:R35)</f>
        <v>3479595.8999999994</v>
      </c>
      <c r="R14" s="12">
        <f>SUM(Main_!S31:S35)</f>
        <v>3544601.3999999994</v>
      </c>
      <c r="S14" s="12">
        <f>SUM(Main_!T31:T35)</f>
        <v>3726117.6</v>
      </c>
      <c r="T14" s="12">
        <f>SUM(Main_!U31:U35)</f>
        <v>3807455.2</v>
      </c>
      <c r="U14" s="12">
        <f>SUM(Main_!V31:V35)</f>
        <v>3937682.4</v>
      </c>
      <c r="V14" s="12">
        <f>SUM(Main_!W31:W35)</f>
        <v>3995946.6</v>
      </c>
      <c r="W14" s="12">
        <f>SUM(Main_!X31:X35)</f>
        <v>4167665.7</v>
      </c>
      <c r="X14" s="12">
        <f>SUM(Main_!Y31:Y35)</f>
        <v>3710250.0999999996</v>
      </c>
      <c r="Y14" s="12">
        <f>SUM(Main_!Z31:Z35)</f>
        <v>3313410.9</v>
      </c>
      <c r="Z14" s="12">
        <f>SUM(Main_!AA31:AA35)</f>
        <v>3488466.3</v>
      </c>
      <c r="AA14" s="12">
        <f>SUM(Main_!AB31:AB35)</f>
        <v>3120030.0000000005</v>
      </c>
      <c r="AB14" s="12">
        <f>SUM(Main_!AC31:AC35)</f>
        <v>3035844.9</v>
      </c>
      <c r="AC14" s="12">
        <f>SUM(Main_!AD31:AD35)</f>
        <v>3551920.4</v>
      </c>
    </row>
    <row r="15" spans="1:29" x14ac:dyDescent="0.35">
      <c r="A15" t="s">
        <v>137</v>
      </c>
      <c r="B15" s="12">
        <f>Main_!C36</f>
        <v>250000</v>
      </c>
      <c r="C15" s="12">
        <f>Main_!D36</f>
        <v>250000</v>
      </c>
      <c r="D15" s="12">
        <f>Main_!E36</f>
        <v>250000</v>
      </c>
      <c r="E15" s="12">
        <f>Main_!F36</f>
        <v>467000</v>
      </c>
      <c r="F15" s="12">
        <f>Main_!G36</f>
        <v>467000</v>
      </c>
      <c r="G15" s="12">
        <f>Main_!H36</f>
        <v>467000</v>
      </c>
      <c r="H15" s="12">
        <f>Main_!I36</f>
        <v>467000</v>
      </c>
      <c r="I15" s="12">
        <f>Main_!J36</f>
        <v>467000</v>
      </c>
      <c r="J15" s="12">
        <f>Main_!K36</f>
        <v>467000</v>
      </c>
      <c r="K15" s="12">
        <f>Main_!L36</f>
        <v>467000</v>
      </c>
      <c r="L15" s="12">
        <f>Main_!M36</f>
        <v>467000</v>
      </c>
      <c r="M15" s="12">
        <f>Main_!N36</f>
        <v>467000</v>
      </c>
      <c r="N15" s="12">
        <f>Main_!O36</f>
        <v>467000</v>
      </c>
      <c r="O15" s="12">
        <f>Main_!P36</f>
        <v>467000</v>
      </c>
      <c r="P15" s="12">
        <f>Main_!Q36</f>
        <v>467000</v>
      </c>
      <c r="Q15" s="12">
        <f>Main_!R36</f>
        <v>467000</v>
      </c>
      <c r="R15" s="12">
        <f>Main_!S36</f>
        <v>467000</v>
      </c>
      <c r="S15" s="12">
        <f>Main_!T36</f>
        <v>467000</v>
      </c>
      <c r="T15" s="12">
        <f>Main_!U36</f>
        <v>467000</v>
      </c>
      <c r="U15" s="12">
        <f>Main_!V36</f>
        <v>467000</v>
      </c>
      <c r="V15" s="12">
        <f>Main_!W36</f>
        <v>467000</v>
      </c>
      <c r="W15" s="12">
        <f>Main_!X36</f>
        <v>467000</v>
      </c>
      <c r="X15" s="12">
        <f>Main_!Y36</f>
        <v>467000</v>
      </c>
      <c r="Y15" s="12">
        <f>Main_!Z36</f>
        <v>467000</v>
      </c>
      <c r="Z15" s="12">
        <f>Main_!AA36</f>
        <v>467000</v>
      </c>
      <c r="AA15" s="12">
        <f>Main_!AB36</f>
        <v>467000</v>
      </c>
      <c r="AB15" s="12">
        <f>Main_!AC36</f>
        <v>467000</v>
      </c>
      <c r="AC15" s="12">
        <f>Main_!AD36</f>
        <v>467000</v>
      </c>
    </row>
    <row r="16" spans="1:29" x14ac:dyDescent="0.35">
      <c r="A16" t="s">
        <v>138</v>
      </c>
      <c r="B16" s="12">
        <f>SUM(Main_!C37:C40)</f>
        <v>14150.8</v>
      </c>
      <c r="C16" s="12">
        <f>SUM(Main_!D37:D40)</f>
        <v>14150.8</v>
      </c>
      <c r="D16" s="12">
        <f>SUM(Main_!E37:E40)</f>
        <v>14150.8</v>
      </c>
      <c r="E16" s="12">
        <f>SUM(Main_!F37:F40)</f>
        <v>14150.8</v>
      </c>
      <c r="F16" s="12">
        <f>SUM(Main_!G37:G40)</f>
        <v>14150.8</v>
      </c>
      <c r="G16" s="12">
        <f>SUM(Main_!H37:H40)</f>
        <v>14150.8</v>
      </c>
      <c r="H16" s="12">
        <f>SUM(Main_!I37:I40)</f>
        <v>14150.8</v>
      </c>
      <c r="I16" s="12">
        <f>SUM(Main_!J37:J40)</f>
        <v>109098.9</v>
      </c>
      <c r="J16" s="12">
        <f>SUM(Main_!K37:K40)</f>
        <v>109098.9</v>
      </c>
      <c r="K16" s="12">
        <f>SUM(Main_!L37:L40)</f>
        <v>109098.9</v>
      </c>
      <c r="L16" s="12">
        <f>SUM(Main_!M37:M40)</f>
        <v>96722.8</v>
      </c>
      <c r="M16" s="12">
        <f>SUM(Main_!N37:N40)</f>
        <v>159313.4</v>
      </c>
      <c r="N16" s="12">
        <f>SUM(Main_!O37:O40)</f>
        <v>227543.5</v>
      </c>
      <c r="O16" s="12">
        <f>SUM(Main_!P37:P40)</f>
        <v>245719.7</v>
      </c>
      <c r="P16" s="12">
        <f>SUM(Main_!Q37:Q40)</f>
        <v>250195.1</v>
      </c>
      <c r="Q16" s="12">
        <f>SUM(Main_!R37:R43)</f>
        <v>385771.2</v>
      </c>
      <c r="R16" s="12">
        <f>SUM(Main_!S37:S43)</f>
        <v>384966.40000000002</v>
      </c>
      <c r="S16" s="12">
        <f>SUM(Main_!T37:T43)</f>
        <v>383946.4</v>
      </c>
      <c r="T16" s="12">
        <f>SUM(Main_!U37:U43)</f>
        <v>517310.5</v>
      </c>
      <c r="U16" s="12">
        <f>SUM(Main_!V37:V43)</f>
        <v>516505.8</v>
      </c>
      <c r="V16" s="12">
        <f>SUM(Main_!W37:W43)</f>
        <v>515485.7</v>
      </c>
      <c r="W16" s="12">
        <f>SUM(Main_!X37:X43)</f>
        <v>611147.5</v>
      </c>
      <c r="X16" s="12">
        <f>SUM(Main_!Y37:Y41)+Main_!Y43</f>
        <v>610342.80000000005</v>
      </c>
      <c r="Y16" s="12">
        <f>SUM(Main_!Z37:Z41)+Main_!Z43</f>
        <v>621822.69999999995</v>
      </c>
      <c r="Z16" s="12">
        <f>SUM(Main_!AA37:AA41)+Main_!AA43</f>
        <v>618736.5</v>
      </c>
      <c r="AA16" s="12">
        <f>SUM(Main_!AB37:AB41)+Main_!AB43</f>
        <v>617931.80000000005</v>
      </c>
      <c r="AB16" s="12">
        <f>SUM(Main_!AC37:AC41)+Main_!AC43</f>
        <v>638111.69999999995</v>
      </c>
      <c r="AC16" s="12">
        <f>SUM(Main_!AD37:AD41)+Main_!AD43</f>
        <v>746538.5</v>
      </c>
    </row>
    <row r="17" spans="1:29" x14ac:dyDescent="0.35">
      <c r="A17" t="s">
        <v>213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f>Main_!Y42</f>
        <v>3000</v>
      </c>
      <c r="Y17" s="12">
        <f>Main_!Z42</f>
        <v>5750</v>
      </c>
      <c r="Z17" s="12">
        <f>Main_!AA42</f>
        <v>7750</v>
      </c>
      <c r="AA17" s="12">
        <f>Main_!AB42</f>
        <v>9000</v>
      </c>
      <c r="AB17" s="12">
        <f>Main_!AC42</f>
        <v>10000</v>
      </c>
      <c r="AC17" s="12">
        <f>Main_!AD42</f>
        <v>10000</v>
      </c>
    </row>
    <row r="18" spans="1:29" x14ac:dyDescent="0.35">
      <c r="A18" t="s">
        <v>144</v>
      </c>
      <c r="B18" s="12">
        <f>Main_!C49</f>
        <v>7524361.2999999998</v>
      </c>
      <c r="C18" s="12">
        <f>Main_!D49</f>
        <v>7872548.2999999998</v>
      </c>
      <c r="D18" s="12">
        <f>Main_!E49</f>
        <v>7601763</v>
      </c>
      <c r="E18" s="12">
        <f>Main_!F49</f>
        <v>6132655.2000000002</v>
      </c>
      <c r="F18" s="12">
        <f>Main_!G49</f>
        <v>6334590.5999999996</v>
      </c>
      <c r="G18" s="12">
        <f>Main_!H49</f>
        <v>6446231</v>
      </c>
      <c r="H18" s="12">
        <f>Main_!I49</f>
        <v>6712063.4000000004</v>
      </c>
      <c r="I18" s="12">
        <f>Main_!J49</f>
        <v>6828671.4000000004</v>
      </c>
      <c r="J18" s="12">
        <f>Main_!K49</f>
        <v>6643004.4000000004</v>
      </c>
      <c r="K18" s="12">
        <f>Main_!L49</f>
        <v>6811125</v>
      </c>
      <c r="L18" s="12">
        <f>Main_!M49</f>
        <v>7183391.5</v>
      </c>
      <c r="M18" s="12">
        <f>Main_!N49</f>
        <v>7251634.9000000004</v>
      </c>
      <c r="N18" s="12">
        <f>Main_!O49</f>
        <v>7140176.0999999996</v>
      </c>
      <c r="O18" s="12">
        <f>Main_!P49</f>
        <v>6938308.7999999998</v>
      </c>
      <c r="P18" s="12">
        <f>Main_!Q49</f>
        <v>6746505.0999999996</v>
      </c>
      <c r="Q18" s="12">
        <f>Main_!R49</f>
        <v>5011778</v>
      </c>
      <c r="R18" s="12">
        <f>Main_!S49</f>
        <v>4907126.4000000004</v>
      </c>
      <c r="S18" s="12">
        <f>Main_!T49</f>
        <v>5044614.2</v>
      </c>
      <c r="T18" s="12">
        <f>Main_!U49</f>
        <v>5087766.7</v>
      </c>
      <c r="U18" s="12">
        <f>Main_!V49</f>
        <v>5172247.3</v>
      </c>
      <c r="V18" s="12">
        <f>Main_!W49</f>
        <v>5046039</v>
      </c>
      <c r="W18" s="12">
        <f>Main_!X49</f>
        <v>4603329.0999999996</v>
      </c>
      <c r="X18" s="12">
        <f>Main_!Y49</f>
        <v>4665093</v>
      </c>
      <c r="Y18" s="12">
        <f>Main_!Z49</f>
        <v>4854458.2</v>
      </c>
      <c r="Z18" s="12">
        <f>Main_!AA49</f>
        <v>5255172.0999999996</v>
      </c>
      <c r="AA18" s="12">
        <f>Main_!AB49</f>
        <v>5447193.4000000004</v>
      </c>
      <c r="AB18" s="12">
        <f>Main_!AC49</f>
        <v>5792014.7999999998</v>
      </c>
      <c r="AC18" s="12">
        <f>Main_!AD49</f>
        <v>3809866.8</v>
      </c>
    </row>
    <row r="19" spans="1:29" x14ac:dyDescent="0.35">
      <c r="A19" t="s">
        <v>145</v>
      </c>
      <c r="B19" s="12">
        <f>Main_!C50</f>
        <v>131056.8</v>
      </c>
      <c r="C19" s="12">
        <f>Main_!D50</f>
        <v>127937.60000000001</v>
      </c>
      <c r="D19" s="12">
        <f>Main_!E50</f>
        <v>124467.7</v>
      </c>
      <c r="E19" s="12">
        <f>Main_!F50</f>
        <v>87189</v>
      </c>
      <c r="F19" s="12">
        <f>Main_!G50</f>
        <v>91023.8</v>
      </c>
      <c r="G19" s="12">
        <f>Main_!H50</f>
        <v>85457.2</v>
      </c>
      <c r="H19" s="12">
        <f>Main_!I50</f>
        <v>87072.1</v>
      </c>
      <c r="I19" s="12">
        <f>Main_!J50</f>
        <v>84818.4</v>
      </c>
      <c r="J19" s="12">
        <f>Main_!K50</f>
        <v>82330.3</v>
      </c>
      <c r="K19" s="12">
        <f>Main_!L50</f>
        <v>78258.100000000006</v>
      </c>
      <c r="L19" s="12">
        <f>Main_!M50</f>
        <v>78957.2</v>
      </c>
      <c r="M19" s="12">
        <f>Main_!N50</f>
        <v>75594.3</v>
      </c>
      <c r="N19" s="12">
        <f>Main_!O50</f>
        <v>73296.7</v>
      </c>
      <c r="O19" s="12">
        <f>Main_!P50</f>
        <v>74410.600000000006</v>
      </c>
      <c r="P19" s="12">
        <f>Main_!Q50</f>
        <v>75905.3</v>
      </c>
      <c r="Q19" s="12">
        <f>Main_!R50</f>
        <v>55880</v>
      </c>
      <c r="R19" s="12">
        <f>Main_!S50</f>
        <v>54958</v>
      </c>
      <c r="S19" s="12">
        <f>Main_!T50</f>
        <v>54910.8</v>
      </c>
      <c r="T19" s="12">
        <f>Main_!U50</f>
        <v>55082.7</v>
      </c>
      <c r="U19" s="12">
        <f>Main_!V50</f>
        <v>56355.4</v>
      </c>
      <c r="V19" s="12">
        <f>Main_!W50</f>
        <v>56200.2</v>
      </c>
      <c r="W19" s="12">
        <f>Main_!X50</f>
        <v>53684.4</v>
      </c>
      <c r="X19" s="12">
        <f>Main_!Y50</f>
        <v>54037.9</v>
      </c>
      <c r="Y19" s="12">
        <f>Main_!Z50</f>
        <v>53236.4</v>
      </c>
      <c r="Z19" s="12">
        <f>Main_!AA50</f>
        <v>56682.400000000001</v>
      </c>
      <c r="AA19" s="12">
        <f>Main_!AB50</f>
        <v>56126</v>
      </c>
      <c r="AB19" s="12">
        <f>Main_!AC50</f>
        <v>53758.7</v>
      </c>
      <c r="AC19" s="12">
        <f>Main_!AD50</f>
        <v>37469.300000000003</v>
      </c>
    </row>
    <row r="20" spans="1:29" x14ac:dyDescent="0.35">
      <c r="A20" t="s">
        <v>146</v>
      </c>
      <c r="B20" s="2">
        <f>Main_!C52</f>
        <v>0.6972048351213409</v>
      </c>
      <c r="C20" s="2">
        <f>Main_!D52</f>
        <v>0.69214834563487715</v>
      </c>
      <c r="D20" s="2">
        <f>Main_!E52</f>
        <v>0.66743580228906774</v>
      </c>
      <c r="E20" s="2">
        <f>Main_!F52</f>
        <v>0.58772418237386936</v>
      </c>
      <c r="F20" s="2">
        <f>Main_!G52</f>
        <v>0.58612420781234509</v>
      </c>
      <c r="G20" s="2">
        <f>Main_!H52</f>
        <v>0.58040692300221342</v>
      </c>
      <c r="H20" s="2">
        <f>Main_!I52</f>
        <v>0.56375189299396378</v>
      </c>
      <c r="I20" s="2">
        <f>Main_!J52</f>
        <v>0.54736274210545677</v>
      </c>
      <c r="J20" s="2">
        <f>Main_!K52</f>
        <v>0.53775787202023262</v>
      </c>
      <c r="K20" s="2">
        <f>Main_!L52</f>
        <v>0.53756743798178575</v>
      </c>
      <c r="L20" s="2">
        <f>Main_!M52</f>
        <v>0.53955916671507109</v>
      </c>
      <c r="M20" s="2">
        <f>Main_!N52</f>
        <v>0.52917729826219351</v>
      </c>
      <c r="N20" s="2">
        <f>Main_!O52</f>
        <v>0.5231536235194193</v>
      </c>
      <c r="O20" s="2">
        <f>Main_!P52</f>
        <v>0.512383593941514</v>
      </c>
      <c r="P20" s="2">
        <f>Main_!Q52</f>
        <v>0.5022546948271378</v>
      </c>
      <c r="Q20" s="2">
        <f>Main_!R52</f>
        <v>0.41886763318049314</v>
      </c>
      <c r="R20" s="2">
        <f>Main_!S52</f>
        <v>0.41158994383869518</v>
      </c>
      <c r="S20" s="2">
        <f>Main_!T52</f>
        <v>0.41151413411673016</v>
      </c>
      <c r="T20" s="2">
        <f>Main_!U52</f>
        <v>0.40590418684236312</v>
      </c>
      <c r="U20" s="2">
        <f>Main_!V52</f>
        <v>0.40563968683442053</v>
      </c>
      <c r="V20" s="2">
        <f>Main_!W52</f>
        <v>0.39720684013188351</v>
      </c>
      <c r="W20" s="2">
        <f>Main_!X52</f>
        <v>0.36529517554573743</v>
      </c>
      <c r="X20" s="2">
        <f>Main_!Y52</f>
        <v>0.37997060808910393</v>
      </c>
      <c r="Y20" s="2">
        <f>Main_!Z52</f>
        <v>0.39902590320943759</v>
      </c>
      <c r="Z20" s="2">
        <f>Main_!AA52</f>
        <v>0.41097342489213134</v>
      </c>
      <c r="AA20" s="2">
        <f>Main_!AB52</f>
        <v>0.42803007482099326</v>
      </c>
      <c r="AB20" s="2">
        <f>Main_!AC52</f>
        <v>0.4422491413528577</v>
      </c>
      <c r="AC20" s="2">
        <f>Main_!AD52</f>
        <v>0.32069666167967054</v>
      </c>
    </row>
  </sheetData>
  <pageMargins left="0.7" right="0.7" top="0.75" bottom="0.75" header="0.3" footer="0.3"/>
  <pageSetup paperSize="9" orientation="portrait" r:id="rId1"/>
  <ignoredErrors>
    <ignoredError sqref="B14:O14 B12:O12 B16:O16 K8 M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AC13" sqref="AC13"/>
    </sheetView>
  </sheetViews>
  <sheetFormatPr defaultRowHeight="14.5" x14ac:dyDescent="0.35"/>
  <cols>
    <col min="1" max="1" width="41" customWidth="1"/>
    <col min="2" max="2" width="12.453125" customWidth="1"/>
    <col min="3" max="4" width="11.1796875" customWidth="1"/>
    <col min="5" max="5" width="10.81640625" customWidth="1"/>
    <col min="6" max="6" width="11.08984375" customWidth="1"/>
    <col min="7" max="7" width="10.7265625" customWidth="1"/>
    <col min="8" max="8" width="10.90625" customWidth="1"/>
    <col min="9" max="9" width="10.1796875" customWidth="1"/>
    <col min="10" max="10" width="10.36328125" customWidth="1"/>
    <col min="11" max="11" width="10.54296875" customWidth="1"/>
    <col min="12" max="12" width="10.6328125" customWidth="1"/>
    <col min="13" max="13" width="9.90625" customWidth="1"/>
    <col min="14" max="14" width="10.6328125" customWidth="1"/>
    <col min="15" max="15" width="10.1796875" customWidth="1"/>
    <col min="16" max="17" width="10" customWidth="1"/>
    <col min="18" max="18" width="10.08984375" customWidth="1"/>
    <col min="19" max="20" width="9.90625" bestFit="1" customWidth="1"/>
    <col min="21" max="21" width="10.453125" customWidth="1"/>
    <col min="22" max="29" width="9.90625" bestFit="1" customWidth="1"/>
  </cols>
  <sheetData>
    <row r="1" spans="1:29" x14ac:dyDescent="0.35">
      <c r="A1" t="str">
        <f>rnwf_structure!A1</f>
        <v>Data</v>
      </c>
      <c r="B1" t="s">
        <v>61</v>
      </c>
      <c r="C1" t="s">
        <v>62</v>
      </c>
      <c r="D1" t="s">
        <v>63</v>
      </c>
      <c r="E1" t="s">
        <v>52</v>
      </c>
      <c r="F1" t="s">
        <v>0</v>
      </c>
      <c r="G1" t="s">
        <v>28</v>
      </c>
      <c r="H1" t="s">
        <v>51</v>
      </c>
      <c r="I1" t="s">
        <v>50</v>
      </c>
      <c r="J1" t="s">
        <v>49</v>
      </c>
      <c r="K1" t="s">
        <v>29</v>
      </c>
      <c r="L1" t="s">
        <v>48</v>
      </c>
      <c r="M1" t="s">
        <v>47</v>
      </c>
      <c r="N1" t="s">
        <v>46</v>
      </c>
      <c r="O1" t="s">
        <v>127</v>
      </c>
      <c r="P1" t="s">
        <v>147</v>
      </c>
      <c r="Q1" t="s">
        <v>184</v>
      </c>
      <c r="R1" t="s">
        <v>186</v>
      </c>
      <c r="S1" t="s">
        <v>187</v>
      </c>
      <c r="T1" t="s">
        <v>188</v>
      </c>
      <c r="U1" t="s">
        <v>189</v>
      </c>
      <c r="V1" t="s">
        <v>206</v>
      </c>
      <c r="W1" t="s">
        <v>207</v>
      </c>
      <c r="X1" t="s">
        <v>210</v>
      </c>
      <c r="Y1" t="s">
        <v>217</v>
      </c>
      <c r="Z1" t="s">
        <v>218</v>
      </c>
      <c r="AA1" t="s">
        <v>219</v>
      </c>
      <c r="AB1" t="s">
        <v>220</v>
      </c>
      <c r="AC1" t="s">
        <v>222</v>
      </c>
    </row>
    <row r="2" spans="1:29" x14ac:dyDescent="0.35">
      <c r="A2" t="s">
        <v>149</v>
      </c>
      <c r="B2" s="12">
        <v>57</v>
      </c>
      <c r="C2" s="12">
        <v>61</v>
      </c>
      <c r="D2" s="12">
        <v>61</v>
      </c>
      <c r="E2" s="12">
        <v>70</v>
      </c>
      <c r="F2" s="12">
        <v>69</v>
      </c>
      <c r="G2" s="12">
        <v>75</v>
      </c>
      <c r="H2" s="12">
        <v>77</v>
      </c>
      <c r="I2" s="12">
        <v>80</v>
      </c>
      <c r="J2" s="12">
        <v>81</v>
      </c>
      <c r="K2" s="12">
        <v>87</v>
      </c>
      <c r="L2" s="12">
        <v>91</v>
      </c>
      <c r="M2" s="12">
        <v>96</v>
      </c>
      <c r="N2" s="12">
        <v>97</v>
      </c>
      <c r="O2" s="12">
        <v>93</v>
      </c>
      <c r="P2" s="12">
        <v>89</v>
      </c>
      <c r="Q2" s="12">
        <v>90</v>
      </c>
      <c r="R2" s="12">
        <v>89</v>
      </c>
      <c r="S2" s="12">
        <v>92</v>
      </c>
      <c r="T2" s="12">
        <v>92</v>
      </c>
      <c r="U2" s="12">
        <v>92</v>
      </c>
      <c r="V2" s="12">
        <v>90</v>
      </c>
      <c r="W2" s="12">
        <v>86</v>
      </c>
      <c r="X2" s="12">
        <v>86</v>
      </c>
      <c r="Y2" s="12">
        <v>91</v>
      </c>
      <c r="Z2" s="12">
        <v>93</v>
      </c>
      <c r="AA2" s="12">
        <v>97</v>
      </c>
      <c r="AB2" s="12">
        <v>108</v>
      </c>
      <c r="AC2" s="12">
        <v>102</v>
      </c>
    </row>
    <row r="3" spans="1:29" x14ac:dyDescent="0.35">
      <c r="A3" t="s">
        <v>216</v>
      </c>
      <c r="B3" s="12">
        <v>8</v>
      </c>
      <c r="C3" s="12">
        <v>8</v>
      </c>
      <c r="D3" s="12">
        <v>9</v>
      </c>
      <c r="E3" s="12">
        <v>10</v>
      </c>
      <c r="F3" s="12">
        <v>10</v>
      </c>
      <c r="G3" s="12">
        <v>11</v>
      </c>
      <c r="H3" s="12">
        <v>11</v>
      </c>
      <c r="I3" s="12">
        <v>12</v>
      </c>
      <c r="J3" s="12">
        <v>11</v>
      </c>
      <c r="K3" s="12">
        <v>12</v>
      </c>
      <c r="L3" s="12">
        <v>13</v>
      </c>
      <c r="M3" s="12">
        <v>13</v>
      </c>
      <c r="N3" s="12">
        <v>13</v>
      </c>
      <c r="O3" s="12">
        <v>13</v>
      </c>
      <c r="P3" s="12">
        <v>12</v>
      </c>
      <c r="Q3" s="12">
        <v>13</v>
      </c>
      <c r="R3" s="12">
        <v>12</v>
      </c>
      <c r="S3" s="12">
        <v>13</v>
      </c>
      <c r="T3" s="12">
        <v>13</v>
      </c>
      <c r="U3" s="12">
        <v>12</v>
      </c>
      <c r="V3" s="12">
        <v>12</v>
      </c>
      <c r="W3" s="12">
        <v>12</v>
      </c>
      <c r="X3">
        <v>12</v>
      </c>
      <c r="Y3" s="12">
        <v>12</v>
      </c>
      <c r="Z3" s="12">
        <v>13</v>
      </c>
      <c r="AA3" s="12">
        <v>13</v>
      </c>
      <c r="AB3" s="12">
        <v>15</v>
      </c>
      <c r="AC3" s="12">
        <v>13</v>
      </c>
    </row>
    <row r="4" spans="1:29" x14ac:dyDescent="0.35">
      <c r="A4" t="s">
        <v>129</v>
      </c>
      <c r="B4" s="12">
        <f>rnwf_structure!B2</f>
        <v>10792185.6</v>
      </c>
      <c r="C4" s="12">
        <f>rnwf_structure!C2</f>
        <v>11374082</v>
      </c>
      <c r="D4" s="12">
        <f>rnwf_structure!D2</f>
        <v>11389507.9</v>
      </c>
      <c r="E4" s="12">
        <f>rnwf_structure!E2</f>
        <v>10434580.800000001</v>
      </c>
      <c r="F4" s="12">
        <f>rnwf_structure!F2</f>
        <v>10807595</v>
      </c>
      <c r="G4" s="12">
        <f>rnwf_structure!G2</f>
        <v>11106403.6</v>
      </c>
      <c r="H4" s="12">
        <f>rnwf_structure!H2</f>
        <v>11906061.4</v>
      </c>
      <c r="I4" s="12">
        <f>rnwf_structure!I2</f>
        <v>12475588.300000001</v>
      </c>
      <c r="J4" s="12">
        <f>rnwf_structure!J2</f>
        <v>12353145.800000001</v>
      </c>
      <c r="K4" s="12">
        <f>rnwf_structure!K2</f>
        <v>12670270.1</v>
      </c>
      <c r="L4" s="12">
        <f>rnwf_structure!L2</f>
        <v>13313450.5</v>
      </c>
      <c r="M4" s="12">
        <f>rnwf_structure!M2</f>
        <v>13703597.699999999</v>
      </c>
      <c r="N4" s="12">
        <f>rnwf_structure!N2</f>
        <v>13648337.699999999</v>
      </c>
      <c r="O4" s="12">
        <f>rnwf_structure!O2</f>
        <v>13541231.5</v>
      </c>
      <c r="P4" s="12">
        <f>rnwf_structure!P2</f>
        <v>13432971.800000001</v>
      </c>
      <c r="Q4" s="12">
        <f>rnwf_structure!Q2</f>
        <v>11965074.699999999</v>
      </c>
      <c r="R4" s="12">
        <f>rnwf_structure!R2</f>
        <v>11922371.199999999</v>
      </c>
      <c r="S4" s="12">
        <f>rnwf_structure!S2</f>
        <v>12258661.199999999</v>
      </c>
      <c r="T4" s="12">
        <f>rnwf_structure!T2</f>
        <v>12534406.300000001</v>
      </c>
      <c r="U4" s="12">
        <f>rnwf_structure!U2</f>
        <v>12750839.4</v>
      </c>
      <c r="V4" s="12">
        <f>rnwf_structure!V2</f>
        <v>12703814.5</v>
      </c>
      <c r="W4" s="12">
        <f>rnwf_structure!W2</f>
        <v>12601672.4</v>
      </c>
      <c r="X4" s="12">
        <f>rnwf_structure!X2</f>
        <v>12277510.9</v>
      </c>
      <c r="Y4" s="12">
        <f>rnwf_structure!Y2</f>
        <v>12165767</v>
      </c>
      <c r="Z4" s="12">
        <f>rnwf_structure!Z2</f>
        <v>12787132.6</v>
      </c>
      <c r="AA4" s="12">
        <f>rnwf_structure!AA2</f>
        <v>12726198.800000001</v>
      </c>
      <c r="AB4" s="12">
        <f>rnwf_structure!AB2</f>
        <v>13096719.1</v>
      </c>
      <c r="AC4" s="12">
        <f>rnwf_structure!AC2</f>
        <v>11879972.699999999</v>
      </c>
    </row>
    <row r="5" spans="1:29" x14ac:dyDescent="0.35">
      <c r="A5" t="s">
        <v>157</v>
      </c>
      <c r="B5" s="12">
        <f>rnwf_structure!B8</f>
        <v>528449</v>
      </c>
      <c r="C5" s="12">
        <f>rnwf_structure!C8</f>
        <v>528186</v>
      </c>
      <c r="D5" s="12">
        <f>rnwf_structure!D8</f>
        <v>650116</v>
      </c>
      <c r="E5" s="12">
        <f>rnwf_structure!E8</f>
        <v>649841</v>
      </c>
      <c r="F5" s="12">
        <f>rnwf_structure!F8</f>
        <v>649586</v>
      </c>
      <c r="G5" s="12">
        <f>rnwf_structure!G8</f>
        <v>649346</v>
      </c>
      <c r="H5" s="12">
        <f>rnwf_structure!H8</f>
        <v>648927</v>
      </c>
      <c r="I5" s="12">
        <f>rnwf_structure!I8</f>
        <v>648694</v>
      </c>
      <c r="J5" s="12">
        <f>rnwf_structure!J8</f>
        <v>648466</v>
      </c>
      <c r="K5" s="12">
        <f>rnwf_structure!K8</f>
        <v>653020</v>
      </c>
      <c r="L5" s="12">
        <f>rnwf_structure!L8</f>
        <v>655170.80000000005</v>
      </c>
      <c r="M5" s="12">
        <f>rnwf_structure!M8</f>
        <v>656580</v>
      </c>
      <c r="N5" s="12">
        <f>rnwf_structure!N8</f>
        <v>657029.30000000005</v>
      </c>
      <c r="O5" s="12">
        <f>rnwf_structure!O8</f>
        <v>657764.80000000005</v>
      </c>
      <c r="P5" s="12">
        <f>rnwf_structure!P8</f>
        <v>658364.9</v>
      </c>
      <c r="Q5" s="12">
        <f>rnwf_structure!Q8</f>
        <v>658828.30000000005</v>
      </c>
      <c r="R5" s="12">
        <f>rnwf_structure!R8</f>
        <v>658595.69999999995</v>
      </c>
      <c r="S5" s="12">
        <f>rnwf_structure!S8</f>
        <v>658293.5</v>
      </c>
      <c r="T5" s="12">
        <f>rnwf_structure!T8</f>
        <v>657832.89999999991</v>
      </c>
      <c r="U5" s="12">
        <f>rnwf_structure!U8</f>
        <v>659635.9</v>
      </c>
      <c r="V5" s="12">
        <f>rnwf_structure!V8</f>
        <v>660216.1</v>
      </c>
      <c r="W5" s="12">
        <f>rnwf_structure!W8</f>
        <v>660688.69999999995</v>
      </c>
      <c r="X5" s="12">
        <f>rnwf_structure!X8</f>
        <v>689427.9</v>
      </c>
      <c r="Y5" s="12">
        <f>rnwf_structure!Y8</f>
        <v>690022.5</v>
      </c>
      <c r="Z5" s="12">
        <f>rnwf_structure!Z8</f>
        <v>690508.4</v>
      </c>
      <c r="AA5" s="12">
        <f>rnwf_structure!AA8</f>
        <v>752240.9</v>
      </c>
      <c r="AB5" s="12">
        <f>rnwf_structure!AB8</f>
        <v>751917.8</v>
      </c>
      <c r="AC5" s="12">
        <f>rnwf_structure!AC8</f>
        <v>891319.7</v>
      </c>
    </row>
    <row r="6" spans="1:29" x14ac:dyDescent="0.35">
      <c r="A6" t="s">
        <v>156</v>
      </c>
      <c r="B6" s="12">
        <f>rnwf_structure!B9*B2</f>
        <v>171000</v>
      </c>
      <c r="C6" s="12">
        <f>rnwf_structure!C9*C2</f>
        <v>183000</v>
      </c>
      <c r="D6" s="12">
        <f>rnwf_structure!D9*D2</f>
        <v>183000</v>
      </c>
      <c r="E6" s="12">
        <f>rnwf_structure!E9*E2</f>
        <v>210000</v>
      </c>
      <c r="F6" s="12">
        <f>rnwf_structure!F9*F2</f>
        <v>207000</v>
      </c>
      <c r="G6" s="12">
        <f>rnwf_structure!G9*G2</f>
        <v>225000</v>
      </c>
      <c r="H6" s="12">
        <f>rnwf_structure!H9*H2</f>
        <v>231000</v>
      </c>
      <c r="I6" s="12">
        <f>rnwf_structure!I9*I2</f>
        <v>240000</v>
      </c>
      <c r="J6" s="12">
        <f>rnwf_structure!J9*J2</f>
        <v>243000</v>
      </c>
      <c r="K6" s="12">
        <f>rnwf_structure!K9*K2</f>
        <v>261000</v>
      </c>
      <c r="L6" s="12">
        <f>rnwf_structure!L9*L2</f>
        <v>273000</v>
      </c>
      <c r="M6" s="12">
        <f>rnwf_structure!M9*M2</f>
        <v>288000</v>
      </c>
      <c r="N6" s="12">
        <f>rnwf_structure!N9*N2</f>
        <v>291000</v>
      </c>
      <c r="O6" s="12">
        <f>rnwf_structure!O9*O2</f>
        <v>279000</v>
      </c>
      <c r="P6" s="12">
        <f>rnwf_structure!P9*P2</f>
        <v>267000</v>
      </c>
      <c r="Q6" s="12">
        <f>rnwf_structure!Q9*Q2</f>
        <v>270000</v>
      </c>
      <c r="R6" s="12">
        <f>rnwf_structure!R9*R2</f>
        <v>267000</v>
      </c>
      <c r="S6" s="12">
        <f>rnwf_structure!S9*S2</f>
        <v>276000</v>
      </c>
      <c r="T6" s="12">
        <f>rnwf_structure!T9*T2</f>
        <v>276000</v>
      </c>
      <c r="U6" s="12">
        <f>rnwf_structure!U9*U2</f>
        <v>276000</v>
      </c>
      <c r="V6" s="12">
        <f>rnwf_structure!V9*V2</f>
        <v>270000</v>
      </c>
      <c r="W6" s="12">
        <f>rnwf_structure!W9*W2</f>
        <v>258000</v>
      </c>
      <c r="X6" s="12">
        <f>rnwf_structure!X9*X2</f>
        <v>258000</v>
      </c>
      <c r="Y6" s="12">
        <f>rnwf_structure!Y9*Y2</f>
        <v>273000</v>
      </c>
      <c r="Z6" s="12">
        <f>rnwf_structure!Z9*Z2</f>
        <v>279000</v>
      </c>
      <c r="AA6" s="12">
        <f>rnwf_structure!AA9*AA2</f>
        <v>291000</v>
      </c>
      <c r="AB6" s="12">
        <f>rnwf_structure!AB9*AB2</f>
        <v>324000</v>
      </c>
      <c r="AC6" s="12">
        <f>rnwf_structure!AC9*AC2</f>
        <v>306000</v>
      </c>
    </row>
    <row r="7" spans="1:29" x14ac:dyDescent="0.35">
      <c r="A7" t="s">
        <v>155</v>
      </c>
      <c r="B7" s="13">
        <f>(rnwf_structure!B10+(rnwf_structure!B11*B2))</f>
        <v>440977.2</v>
      </c>
      <c r="C7" s="13">
        <f>(rnwf_structure!C10+(rnwf_structure!C11*C2))</f>
        <v>454894.1</v>
      </c>
      <c r="D7" s="13">
        <f>(rnwf_structure!D10+(rnwf_structure!D11*D2))</f>
        <v>520651.6</v>
      </c>
      <c r="E7" s="13">
        <f>(rnwf_structure!E10+(rnwf_structure!E11*E2))</f>
        <v>734448</v>
      </c>
      <c r="F7" s="13">
        <f>(rnwf_structure!F10+(rnwf_structure!F11*F2))</f>
        <v>732294.6</v>
      </c>
      <c r="G7" s="13">
        <f>(rnwf_structure!G10+(rnwf_structure!G11*G2))</f>
        <v>739890</v>
      </c>
      <c r="H7" s="13">
        <f>(rnwf_structure!H10+(rnwf_structure!H11*H2))</f>
        <v>755940.8</v>
      </c>
      <c r="I7" s="13">
        <f>(rnwf_structure!I10+(rnwf_structure!I11*I2))</f>
        <v>770231.1</v>
      </c>
      <c r="J7" s="13">
        <f>(rnwf_structure!J10+(rnwf_structure!J11*J2))</f>
        <v>787988.8</v>
      </c>
      <c r="K7" s="13">
        <f>(rnwf_structure!K10+(rnwf_structure!K11*K2))</f>
        <v>873128.3</v>
      </c>
      <c r="L7" s="13">
        <f>(rnwf_structure!L10+(rnwf_structure!L11*L2))</f>
        <v>886320.8</v>
      </c>
      <c r="M7" s="13">
        <f>(rnwf_structure!M10+(rnwf_structure!M11*M2))</f>
        <v>1048891.2</v>
      </c>
      <c r="N7" s="13">
        <f>(rnwf_structure!N10+(rnwf_structure!N11*N2))</f>
        <v>1106923.7</v>
      </c>
      <c r="O7" s="13">
        <f>(rnwf_structure!O10+(rnwf_structure!O11*O2))</f>
        <v>1121140.8999999999</v>
      </c>
      <c r="P7" s="13">
        <f>(rnwf_structure!P10+(rnwf_structure!P11*P2))</f>
        <v>1146088.2</v>
      </c>
      <c r="Q7" s="13">
        <f>(rnwf_structure!Q10+(rnwf_structure!Q11*Q2))</f>
        <v>1326202</v>
      </c>
      <c r="R7" s="13">
        <f>(rnwf_structure!R10+(rnwf_structure!R11*R2))</f>
        <v>1324326.5</v>
      </c>
      <c r="S7" s="13">
        <f>(rnwf_structure!S10+(rnwf_structure!S11*S2))</f>
        <v>1335919</v>
      </c>
      <c r="T7" s="13">
        <f>(rnwf_structure!T10+(rnwf_structure!T11*T2))</f>
        <v>1351848</v>
      </c>
      <c r="U7" s="13">
        <f>(rnwf_structure!U10+(rnwf_structure!U11*U2))</f>
        <v>1355436</v>
      </c>
      <c r="V7" s="13">
        <f>(rnwf_structure!V10+(rnwf_structure!V11*V2))</f>
        <v>1382748.3</v>
      </c>
      <c r="W7" s="13">
        <f>(rnwf_structure!W10+(rnwf_structure!W11*W2))</f>
        <v>1392652</v>
      </c>
      <c r="X7" s="13">
        <f>(rnwf_structure!X10+(rnwf_structure!X11*X2))</f>
        <v>1397859</v>
      </c>
      <c r="Y7" s="13">
        <f>(rnwf_structure!Y10+(rnwf_structure!Y11*Y2))</f>
        <v>1433637.4</v>
      </c>
      <c r="Z7" s="13">
        <f>(rnwf_structure!Z10+(rnwf_structure!Z11*Z2))</f>
        <v>1444806.4</v>
      </c>
      <c r="AA7" s="13">
        <f>(rnwf_structure!AA10+(rnwf_structure!AA11*AA2))</f>
        <v>1465838.2</v>
      </c>
      <c r="AB7" s="13">
        <f>(rnwf_structure!AB10+(rnwf_structure!AB11*AB2))</f>
        <v>1499442.6</v>
      </c>
      <c r="AC7" s="13">
        <f>(rnwf_structure!AC10+(rnwf_structure!AC11*AC2))</f>
        <v>1530618</v>
      </c>
    </row>
    <row r="8" spans="1:29" s="6" customFormat="1" x14ac:dyDescent="0.35">
      <c r="A8" s="6" t="s">
        <v>150</v>
      </c>
      <c r="B8" s="13">
        <f>(rnwf_structure!B12+rnwf_structure!B13)</f>
        <v>328991.90000000002</v>
      </c>
      <c r="C8" s="13">
        <f>(rnwf_structure!C12+rnwf_structure!C13)</f>
        <v>328991.90000000002</v>
      </c>
      <c r="D8" s="13">
        <f>(rnwf_structure!D12+rnwf_structure!D13)</f>
        <v>328991.90000000002</v>
      </c>
      <c r="E8" s="13">
        <f>(rnwf_structure!E12+rnwf_structure!E13)</f>
        <v>328991.90000000002</v>
      </c>
      <c r="F8" s="13">
        <f>(rnwf_structure!F12+rnwf_structure!F13)</f>
        <v>328991.90000000002</v>
      </c>
      <c r="G8" s="13">
        <f>(rnwf_structure!G12+rnwf_structure!G13)</f>
        <v>328991.90000000002</v>
      </c>
      <c r="H8" s="13">
        <f>(rnwf_structure!H12+rnwf_structure!H13)</f>
        <v>367425.80000000005</v>
      </c>
      <c r="I8" s="13">
        <f>(rnwf_structure!I12+rnwf_structure!I13)</f>
        <v>367425.80000000005</v>
      </c>
      <c r="J8" s="13">
        <f>(rnwf_structure!J12+rnwf_structure!J13)</f>
        <v>367425.80000000005</v>
      </c>
      <c r="K8" s="13">
        <f>(rnwf_structure!K12+rnwf_structure!K13)</f>
        <v>367425.80000000005</v>
      </c>
      <c r="L8" s="13">
        <f>(rnwf_structure!L12+rnwf_structure!L13)</f>
        <v>367425.80000000005</v>
      </c>
      <c r="M8" s="13">
        <f>(rnwf_structure!M12+rnwf_structure!M13)</f>
        <v>367425.80000000005</v>
      </c>
      <c r="N8" s="13">
        <f>(rnwf_structure!N12+rnwf_structure!N13)</f>
        <v>367425.80000000005</v>
      </c>
      <c r="O8" s="13">
        <f>(rnwf_structure!O12+rnwf_structure!O13)</f>
        <v>367425.80000000005</v>
      </c>
      <c r="P8" s="13">
        <f>(rnwf_structure!P12+rnwf_structure!P13)</f>
        <v>367425.80000000005</v>
      </c>
      <c r="Q8" s="13">
        <f>(rnwf_structure!Q12+rnwf_structure!Q13)</f>
        <v>367425.80000000005</v>
      </c>
      <c r="R8" s="13">
        <f>(rnwf_structure!R12+rnwf_structure!R13)</f>
        <v>367425.80000000005</v>
      </c>
      <c r="S8" s="13">
        <f>(rnwf_structure!S12+rnwf_structure!S13)</f>
        <v>367425.80000000005</v>
      </c>
      <c r="T8" s="13">
        <f>(rnwf_structure!T12+rnwf_structure!T13)</f>
        <v>367425.80000000005</v>
      </c>
      <c r="U8" s="13">
        <f>(rnwf_structure!U12+rnwf_structure!U13)</f>
        <v>367425.80000000005</v>
      </c>
      <c r="V8" s="13">
        <f>(rnwf_structure!V12+rnwf_structure!V13)</f>
        <v>367425.80000000005</v>
      </c>
      <c r="W8" s="13">
        <f>(rnwf_structure!W12+rnwf_structure!W13)</f>
        <v>442425.80000000005</v>
      </c>
      <c r="X8" s="13">
        <f>(rnwf_structure!X12+rnwf_structure!X13)</f>
        <v>442425.80000000005</v>
      </c>
      <c r="Y8" s="13">
        <f>(rnwf_structure!Y12+rnwf_structure!Y13)</f>
        <v>442425.80000000005</v>
      </c>
      <c r="Z8" s="13">
        <f>(rnwf_structure!Z12+rnwf_structure!Z13)</f>
        <v>442425.80000000005</v>
      </c>
      <c r="AA8" s="13">
        <f>(rnwf_structure!AA12+rnwf_structure!AA13)</f>
        <v>442425.80000000005</v>
      </c>
      <c r="AB8" s="13">
        <f>(rnwf_structure!AB12+rnwf_structure!AB13)</f>
        <v>442425.80000000005</v>
      </c>
      <c r="AC8" s="13">
        <f>(rnwf_structure!AC12+rnwf_structure!AC13)</f>
        <v>442425.80000000005</v>
      </c>
    </row>
    <row r="9" spans="1:29" x14ac:dyDescent="0.35">
      <c r="A9" t="s">
        <v>154</v>
      </c>
      <c r="B9" s="12">
        <f>rnwf_structure!B14</f>
        <v>1393665.3</v>
      </c>
      <c r="C9" s="12">
        <f>rnwf_structure!C14</f>
        <v>1601086.9</v>
      </c>
      <c r="D9" s="12">
        <f>rnwf_structure!D14</f>
        <v>1702023.3</v>
      </c>
      <c r="E9" s="12">
        <f>rnwf_structure!E14</f>
        <v>1757319.5</v>
      </c>
      <c r="F9" s="12">
        <f>rnwf_structure!F14</f>
        <v>1932491.9</v>
      </c>
      <c r="G9" s="12">
        <f>rnwf_structure!G14</f>
        <v>2095160.2</v>
      </c>
      <c r="H9" s="12">
        <f>rnwf_structure!H14</f>
        <v>2709111.9</v>
      </c>
      <c r="I9" s="12">
        <f>rnwf_structure!I14</f>
        <v>3041875.2</v>
      </c>
      <c r="J9" s="12">
        <f>rnwf_structure!J14</f>
        <v>3088748.3</v>
      </c>
      <c r="K9" s="12">
        <f>rnwf_structure!K14</f>
        <v>3128294.4</v>
      </c>
      <c r="L9" s="12">
        <f>rnwf_structure!L14</f>
        <v>3384520.6999999997</v>
      </c>
      <c r="M9" s="12">
        <f>rnwf_structure!M14</f>
        <v>3465106.2</v>
      </c>
      <c r="N9" s="12">
        <f>rnwf_structure!N14</f>
        <v>3389191.3</v>
      </c>
      <c r="O9" s="12">
        <f>rnwf_structure!O14</f>
        <v>3463670.0000000005</v>
      </c>
      <c r="P9" s="12">
        <f>rnwf_structure!P14</f>
        <v>3530974</v>
      </c>
      <c r="Q9" s="12">
        <f>rnwf_structure!Q14</f>
        <v>3479595.8999999994</v>
      </c>
      <c r="R9" s="12">
        <f>rnwf_structure!R14</f>
        <v>3544601.3999999994</v>
      </c>
      <c r="S9" s="12">
        <f>rnwf_structure!S14</f>
        <v>3726117.6</v>
      </c>
      <c r="T9" s="12">
        <f>rnwf_structure!T14</f>
        <v>3807455.2</v>
      </c>
      <c r="U9" s="12">
        <f>rnwf_structure!U14</f>
        <v>3937682.4</v>
      </c>
      <c r="V9" s="12">
        <f>rnwf_structure!V14</f>
        <v>3995946.6</v>
      </c>
      <c r="W9" s="12">
        <f>rnwf_structure!W14</f>
        <v>4167665.7</v>
      </c>
      <c r="X9" s="12">
        <f>rnwf_structure!X14</f>
        <v>3710250.0999999996</v>
      </c>
      <c r="Y9" s="12">
        <f>rnwf_structure!Y14</f>
        <v>3313410.9</v>
      </c>
      <c r="Z9" s="12">
        <f>rnwf_structure!Z14</f>
        <v>3488466.3</v>
      </c>
      <c r="AA9" s="12">
        <f>rnwf_structure!AA14</f>
        <v>3120030.0000000005</v>
      </c>
      <c r="AB9" s="12">
        <f>rnwf_structure!AB14</f>
        <v>3035844.9</v>
      </c>
      <c r="AC9" s="12">
        <f>rnwf_structure!AC14</f>
        <v>3551920.4</v>
      </c>
    </row>
    <row r="10" spans="1:29" x14ac:dyDescent="0.35">
      <c r="A10" t="s">
        <v>153</v>
      </c>
      <c r="B10" s="12">
        <f>rnwf_structure!B15</f>
        <v>250000</v>
      </c>
      <c r="C10" s="12">
        <f>rnwf_structure!C15</f>
        <v>250000</v>
      </c>
      <c r="D10" s="12">
        <f>rnwf_structure!D15</f>
        <v>250000</v>
      </c>
      <c r="E10" s="12">
        <f>rnwf_structure!E15</f>
        <v>467000</v>
      </c>
      <c r="F10" s="12">
        <f>rnwf_structure!F15</f>
        <v>467000</v>
      </c>
      <c r="G10" s="12">
        <f>rnwf_structure!G15</f>
        <v>467000</v>
      </c>
      <c r="H10" s="12">
        <f>rnwf_structure!H15</f>
        <v>467000</v>
      </c>
      <c r="I10" s="12">
        <f>rnwf_structure!I15</f>
        <v>467000</v>
      </c>
      <c r="J10" s="12">
        <f>rnwf_structure!J15</f>
        <v>467000</v>
      </c>
      <c r="K10" s="12">
        <f>rnwf_structure!K15</f>
        <v>467000</v>
      </c>
      <c r="L10" s="12">
        <f>rnwf_structure!L15</f>
        <v>467000</v>
      </c>
      <c r="M10" s="12">
        <f>rnwf_structure!M15</f>
        <v>467000</v>
      </c>
      <c r="N10" s="12">
        <f>rnwf_structure!N15</f>
        <v>467000</v>
      </c>
      <c r="O10" s="12">
        <f>rnwf_structure!O15</f>
        <v>467000</v>
      </c>
      <c r="P10" s="12">
        <f>rnwf_structure!P15</f>
        <v>467000</v>
      </c>
      <c r="Q10" s="12">
        <f>rnwf_structure!Q15</f>
        <v>467000</v>
      </c>
      <c r="R10" s="12">
        <f>rnwf_structure!R15</f>
        <v>467000</v>
      </c>
      <c r="S10" s="12">
        <f>rnwf_structure!S15</f>
        <v>467000</v>
      </c>
      <c r="T10" s="12">
        <f>rnwf_structure!T15</f>
        <v>467000</v>
      </c>
      <c r="U10" s="12">
        <f>rnwf_structure!U15</f>
        <v>467000</v>
      </c>
      <c r="V10" s="12">
        <f>rnwf_structure!V15</f>
        <v>467000</v>
      </c>
      <c r="W10" s="12">
        <f>rnwf_structure!W15</f>
        <v>467000</v>
      </c>
      <c r="X10" s="12">
        <f>rnwf_structure!X15</f>
        <v>467000</v>
      </c>
      <c r="Y10" s="12">
        <f>rnwf_structure!Y15</f>
        <v>467000</v>
      </c>
      <c r="Z10" s="12">
        <f>rnwf_structure!Z15</f>
        <v>467000</v>
      </c>
      <c r="AA10" s="12">
        <f>rnwf_structure!AA15</f>
        <v>467000</v>
      </c>
      <c r="AB10" s="12">
        <f>rnwf_structure!AB15</f>
        <v>467000</v>
      </c>
      <c r="AC10" s="12">
        <f>rnwf_structure!AC15</f>
        <v>467000</v>
      </c>
    </row>
    <row r="11" spans="1:29" x14ac:dyDescent="0.35">
      <c r="A11" t="s">
        <v>152</v>
      </c>
      <c r="B11" s="12">
        <f>rnwf_structure!B16</f>
        <v>14150.8</v>
      </c>
      <c r="C11" s="12">
        <f>rnwf_structure!C16</f>
        <v>14150.8</v>
      </c>
      <c r="D11" s="12">
        <f>rnwf_structure!D16</f>
        <v>14150.8</v>
      </c>
      <c r="E11" s="12">
        <f>rnwf_structure!E16</f>
        <v>14150.8</v>
      </c>
      <c r="F11" s="12">
        <f>rnwf_structure!F16</f>
        <v>14150.8</v>
      </c>
      <c r="G11" s="12">
        <f>rnwf_structure!G16</f>
        <v>14150.8</v>
      </c>
      <c r="H11" s="12">
        <f>rnwf_structure!H16</f>
        <v>14150.8</v>
      </c>
      <c r="I11" s="12">
        <f>rnwf_structure!I16</f>
        <v>109098.9</v>
      </c>
      <c r="J11" s="12">
        <f>rnwf_structure!J16</f>
        <v>109098.9</v>
      </c>
      <c r="K11" s="12">
        <f>rnwf_structure!K16</f>
        <v>109098.9</v>
      </c>
      <c r="L11" s="12">
        <f>rnwf_structure!L16</f>
        <v>96722.8</v>
      </c>
      <c r="M11" s="12">
        <f>rnwf_structure!M16</f>
        <v>159313.4</v>
      </c>
      <c r="N11" s="12">
        <f>rnwf_structure!N16</f>
        <v>227543.5</v>
      </c>
      <c r="O11" s="12">
        <f>rnwf_structure!O16</f>
        <v>245719.7</v>
      </c>
      <c r="P11" s="12">
        <f>rnwf_structure!P16</f>
        <v>250195.1</v>
      </c>
      <c r="Q11" s="12">
        <f>rnwf_structure!Q16</f>
        <v>385771.2</v>
      </c>
      <c r="R11" s="12">
        <f>rnwf_structure!R16</f>
        <v>384966.40000000002</v>
      </c>
      <c r="S11" s="12">
        <f>rnwf_structure!S16</f>
        <v>383946.4</v>
      </c>
      <c r="T11" s="12">
        <f>rnwf_structure!T16</f>
        <v>517310.5</v>
      </c>
      <c r="U11" s="12">
        <f>rnwf_structure!U16</f>
        <v>516505.8</v>
      </c>
      <c r="V11" s="12">
        <f>rnwf_structure!V16</f>
        <v>515485.7</v>
      </c>
      <c r="W11" s="12">
        <f>rnwf_structure!W16</f>
        <v>611147.5</v>
      </c>
      <c r="X11" s="12">
        <f>rnwf_structure!X16+rnwf_structure!X17*X3</f>
        <v>646342.80000000005</v>
      </c>
      <c r="Y11" s="12">
        <f>rnwf_structure!Y16+rnwf_structure!Y17*Y3</f>
        <v>690822.7</v>
      </c>
      <c r="Z11" s="12">
        <f>rnwf_structure!Z16+rnwf_structure!Z17*Z3</f>
        <v>719486.5</v>
      </c>
      <c r="AA11" s="12">
        <f>rnwf_structure!AA16+rnwf_structure!AA17*AA3</f>
        <v>734931.8</v>
      </c>
      <c r="AB11" s="12">
        <f>rnwf_structure!AB16+rnwf_structure!AB17*AB3</f>
        <v>788111.7</v>
      </c>
      <c r="AC11" s="12">
        <f>rnwf_structure!AC16+rnwf_structure!AC17*AC3</f>
        <v>876538.5</v>
      </c>
    </row>
    <row r="12" spans="1:29" x14ac:dyDescent="0.35">
      <c r="A12" t="s">
        <v>151</v>
      </c>
      <c r="B12" s="12">
        <f>rnwf_structure!B18</f>
        <v>7524361.2999999998</v>
      </c>
      <c r="C12" s="12">
        <f>rnwf_structure!C18</f>
        <v>7872548.2999999998</v>
      </c>
      <c r="D12" s="12">
        <f>rnwf_structure!D18</f>
        <v>7601763</v>
      </c>
      <c r="E12" s="12">
        <f>rnwf_structure!E18</f>
        <v>6132655.2000000002</v>
      </c>
      <c r="F12" s="12">
        <f>rnwf_structure!F18</f>
        <v>6334590.5999999996</v>
      </c>
      <c r="G12" s="12">
        <f>rnwf_structure!G18</f>
        <v>6446231</v>
      </c>
      <c r="H12" s="12">
        <f>rnwf_structure!H18</f>
        <v>6712063.4000000004</v>
      </c>
      <c r="I12" s="12">
        <f>rnwf_structure!I18</f>
        <v>6828671.4000000004</v>
      </c>
      <c r="J12" s="12">
        <f>rnwf_structure!J18</f>
        <v>6643004.4000000004</v>
      </c>
      <c r="K12" s="12">
        <f>rnwf_structure!K18</f>
        <v>6811125</v>
      </c>
      <c r="L12" s="12">
        <f>rnwf_structure!L18</f>
        <v>7183391.5</v>
      </c>
      <c r="M12" s="12">
        <f>rnwf_structure!M18</f>
        <v>7251634.9000000004</v>
      </c>
      <c r="N12" s="12">
        <f>rnwf_structure!N18</f>
        <v>7140176.0999999996</v>
      </c>
      <c r="O12" s="12">
        <f>rnwf_structure!O18</f>
        <v>6938308.7999999998</v>
      </c>
      <c r="P12" s="12">
        <f>rnwf_structure!P18</f>
        <v>6746505.0999999996</v>
      </c>
      <c r="Q12" s="12">
        <f>rnwf_structure!Q18</f>
        <v>5011778</v>
      </c>
      <c r="R12" s="12">
        <f>rnwf_structure!R18</f>
        <v>4907126.4000000004</v>
      </c>
      <c r="S12" s="12">
        <f>rnwf_structure!S18</f>
        <v>5044614.2</v>
      </c>
      <c r="T12" s="12">
        <f>rnwf_structure!T18</f>
        <v>5087766.7</v>
      </c>
      <c r="U12" s="12">
        <f>rnwf_structure!U18</f>
        <v>5172247.3</v>
      </c>
      <c r="V12" s="12">
        <f>rnwf_structure!V18</f>
        <v>5046039</v>
      </c>
      <c r="W12" s="12">
        <f>rnwf_structure!W18</f>
        <v>4603329.0999999996</v>
      </c>
      <c r="X12" s="12">
        <f>rnwf_structure!X18</f>
        <v>4665093</v>
      </c>
      <c r="Y12" s="12">
        <f>rnwf_structure!Y18</f>
        <v>4854458.2</v>
      </c>
      <c r="Z12" s="12">
        <f>rnwf_structure!Z18</f>
        <v>5255172.0999999996</v>
      </c>
      <c r="AA12" s="12">
        <f>rnwf_structure!AA18</f>
        <v>5447193.4000000004</v>
      </c>
      <c r="AB12" s="12">
        <f>rnwf_structure!AB18</f>
        <v>5792014.7999999998</v>
      </c>
      <c r="AC12" s="12">
        <f>rnwf_structure!AC18</f>
        <v>3809866.8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12" sqref="C12"/>
    </sheetView>
  </sheetViews>
  <sheetFormatPr defaultRowHeight="14.5" x14ac:dyDescent="0.35"/>
  <cols>
    <col min="1" max="1" width="21.54296875" customWidth="1"/>
    <col min="2" max="2" width="10.7265625" customWidth="1"/>
  </cols>
  <sheetData>
    <row r="1" spans="1:2" x14ac:dyDescent="0.35">
      <c r="A1" t="s">
        <v>158</v>
      </c>
      <c r="B1" t="s">
        <v>159</v>
      </c>
    </row>
    <row r="2" spans="1:2" x14ac:dyDescent="0.35">
      <c r="A2" t="s">
        <v>160</v>
      </c>
      <c r="B2" s="13">
        <f>Main_!AD31</f>
        <v>3124000.8</v>
      </c>
    </row>
    <row r="3" spans="1:2" x14ac:dyDescent="0.35">
      <c r="A3" t="s">
        <v>162</v>
      </c>
      <c r="B3" s="13">
        <f>SUM(Main_!AD8:AD22)</f>
        <v>891319.7</v>
      </c>
    </row>
    <row r="4" spans="1:2" x14ac:dyDescent="0.35">
      <c r="A4" t="s">
        <v>161</v>
      </c>
      <c r="B4" s="13">
        <f>Main_!AD36+GETPIVOTDATA("Сумма, млн. руб",infra_invest!$N$2,"Получатель","ОАО «РЖД»")</f>
        <v>722141.3</v>
      </c>
    </row>
    <row r="5" spans="1:2" x14ac:dyDescent="0.35">
      <c r="A5" t="s">
        <v>168</v>
      </c>
      <c r="B5" s="13">
        <f>GETPIVOTDATA("Сумма, млн. руб",infra_invest!$N$2,"Получатель","ГК «Российские автомобильные дороги»")</f>
        <v>527168.09999999986</v>
      </c>
    </row>
    <row r="6" spans="1:2" x14ac:dyDescent="0.35">
      <c r="A6" t="s">
        <v>185</v>
      </c>
      <c r="B6" s="13">
        <f>Main_!AD43</f>
        <v>358418.2</v>
      </c>
    </row>
    <row r="7" spans="1:2" x14ac:dyDescent="0.35">
      <c r="A7" t="s">
        <v>169</v>
      </c>
      <c r="B7" s="13">
        <f>Main_!AD26+Main_!AD35</f>
        <v>307090.3</v>
      </c>
    </row>
    <row r="8" spans="1:2" x14ac:dyDescent="0.35">
      <c r="A8" t="s">
        <v>170</v>
      </c>
      <c r="B8" s="13">
        <f>structure!AC6</f>
        <v>306000</v>
      </c>
    </row>
    <row r="9" spans="1:2" x14ac:dyDescent="0.35">
      <c r="A9" t="s">
        <v>171</v>
      </c>
      <c r="B9" s="13">
        <f>Main_!AD39</f>
        <v>278420.3</v>
      </c>
    </row>
    <row r="10" spans="1:2" x14ac:dyDescent="0.35">
      <c r="A10" t="s">
        <v>174</v>
      </c>
      <c r="B10" s="13">
        <f>GETPIVOTDATA("Сумма, млн. руб",infra_invest!$N$2,"Получатель","АО «ГТЛК»")+Main_!AD34</f>
        <v>234412.40000000002</v>
      </c>
    </row>
    <row r="11" spans="1:2" x14ac:dyDescent="0.35">
      <c r="A11" t="s">
        <v>183</v>
      </c>
      <c r="B11" s="13">
        <f>Main_!AD30+Main_!AD28</f>
        <v>203387.9</v>
      </c>
    </row>
    <row r="12" spans="1:2" x14ac:dyDescent="0.35">
      <c r="A12" t="s">
        <v>173</v>
      </c>
      <c r="B12" s="13">
        <f>Main_!AD25*structure!AC2</f>
        <v>191290.80000000002</v>
      </c>
    </row>
    <row r="13" spans="1:2" x14ac:dyDescent="0.35">
      <c r="A13" t="s">
        <v>175</v>
      </c>
      <c r="B13" s="13">
        <f>GETPIVOTDATA("Сумма, млн. руб",infra_invest!$N$2,"Получатель","ООО «Авиакапитал-Сервис»")</f>
        <v>175389.3</v>
      </c>
    </row>
    <row r="14" spans="1:2" x14ac:dyDescent="0.35">
      <c r="A14" t="s">
        <v>177</v>
      </c>
      <c r="B14" s="13">
        <f>GETPIVOTDATA("Сумма, млн. руб",infra_invest!$N$2,"Получатель","ППК «Фонд развития территорий»")+GETPIVOTDATA("Сумма, млн. руб",infra_invest!$N$2,"Получатель","ГК Фонд содействия реформированию жилищно-коммунального хозяйства")</f>
        <v>144000.1</v>
      </c>
    </row>
    <row r="15" spans="1:2" x14ac:dyDescent="0.35">
      <c r="A15" t="s">
        <v>178</v>
      </c>
      <c r="B15" s="13">
        <f>Main_!AD32</f>
        <v>139533.20000000001</v>
      </c>
    </row>
    <row r="16" spans="1:2" x14ac:dyDescent="0.35">
      <c r="A16" t="s">
        <v>176</v>
      </c>
      <c r="B16" s="13">
        <f>Main_!AD33</f>
        <v>137000</v>
      </c>
    </row>
    <row r="17" spans="1:2" x14ac:dyDescent="0.35">
      <c r="A17" t="s">
        <v>191</v>
      </c>
      <c r="B17" s="13">
        <f>rnwf_structure!AC17*structure!AC3</f>
        <v>130000</v>
      </c>
    </row>
    <row r="18" spans="1:2" x14ac:dyDescent="0.35">
      <c r="A18" t="s">
        <v>179</v>
      </c>
      <c r="B18" s="13">
        <f>Main_!AD40</f>
        <v>60000</v>
      </c>
    </row>
    <row r="19" spans="1:2" x14ac:dyDescent="0.35">
      <c r="A19" t="s">
        <v>180</v>
      </c>
      <c r="B19" s="13">
        <f>GETPIVOTDATA("Сумма, млн. руб",infra_invest!$N$2,"Получатель","АО «Атомэнергопром»")</f>
        <v>57500</v>
      </c>
    </row>
    <row r="20" spans="1:2" x14ac:dyDescent="0.35">
      <c r="A20" t="s">
        <v>226</v>
      </c>
      <c r="B20" s="12">
        <f>Main_!AD41</f>
        <v>49700</v>
      </c>
    </row>
    <row r="21" spans="1:2" x14ac:dyDescent="0.35">
      <c r="A21" t="s">
        <v>181</v>
      </c>
      <c r="B21" s="13">
        <f>Main_!AD27</f>
        <v>25000</v>
      </c>
    </row>
    <row r="22" spans="1:2" x14ac:dyDescent="0.35">
      <c r="A22" t="s">
        <v>182</v>
      </c>
      <c r="B22" s="13">
        <f>GETPIVOTDATA("Сумма, млн. руб",infra_invest!$N$2,"Получатель","ООО «Инфраструктурные инвестиции - 4»")</f>
        <v>4050</v>
      </c>
    </row>
    <row r="23" spans="1:2" x14ac:dyDescent="0.35">
      <c r="B23" s="12"/>
    </row>
  </sheetData>
  <autoFilter ref="A1:B1">
    <sortState ref="A2:B22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9"/>
  <sheetViews>
    <sheetView topLeftCell="G1" workbookViewId="0">
      <selection activeCell="J4" sqref="J4"/>
    </sheetView>
  </sheetViews>
  <sheetFormatPr defaultRowHeight="13" x14ac:dyDescent="0.3"/>
  <cols>
    <col min="1" max="1" width="8.7265625" style="9"/>
    <col min="2" max="2" width="10.1796875" style="9" customWidth="1"/>
    <col min="3" max="3" width="13.54296875" style="9" bestFit="1" customWidth="1"/>
    <col min="4" max="4" width="10.08984375" style="9" bestFit="1" customWidth="1"/>
    <col min="5" max="5" width="9.6328125" style="9" bestFit="1" customWidth="1"/>
    <col min="6" max="6" width="20.6328125" style="9" customWidth="1"/>
    <col min="7" max="9" width="8.7265625" style="9"/>
    <col min="10" max="10" width="67.36328125" style="9" customWidth="1"/>
    <col min="11" max="11" width="20.08984375" style="9" customWidth="1"/>
    <col min="12" max="12" width="24.90625" style="9" bestFit="1" customWidth="1"/>
    <col min="13" max="13" width="6.81640625" style="9" customWidth="1"/>
    <col min="14" max="14" width="11.1796875" style="9" customWidth="1"/>
    <col min="15" max="16384" width="8.7265625" style="9"/>
  </cols>
  <sheetData>
    <row r="1" spans="1:14" ht="14.5" x14ac:dyDescent="0.35">
      <c r="A1" s="9" t="s">
        <v>71</v>
      </c>
      <c r="B1" s="9" t="s">
        <v>72</v>
      </c>
      <c r="C1" s="9" t="s">
        <v>79</v>
      </c>
      <c r="D1" s="9" t="s">
        <v>73</v>
      </c>
      <c r="E1" s="9" t="s">
        <v>74</v>
      </c>
      <c r="F1" s="9" t="s">
        <v>75</v>
      </c>
      <c r="G1" s="9" t="s">
        <v>76</v>
      </c>
      <c r="J1"/>
      <c r="K1"/>
    </row>
    <row r="2" spans="1:14" ht="14.5" x14ac:dyDescent="0.35">
      <c r="A2" s="9">
        <v>2024</v>
      </c>
      <c r="B2" s="9" t="s">
        <v>104</v>
      </c>
      <c r="C2" s="9">
        <v>-5.4</v>
      </c>
      <c r="D2" s="9" t="s">
        <v>65</v>
      </c>
      <c r="F2" s="9" t="s">
        <v>69</v>
      </c>
      <c r="G2" s="9" t="s">
        <v>78</v>
      </c>
      <c r="H2" s="9" t="s">
        <v>167</v>
      </c>
      <c r="J2" s="6" t="s">
        <v>163</v>
      </c>
      <c r="K2" s="14" t="s">
        <v>172</v>
      </c>
      <c r="L2"/>
      <c r="M2"/>
      <c r="N2"/>
    </row>
    <row r="3" spans="1:14" ht="14.5" x14ac:dyDescent="0.35">
      <c r="A3" s="9">
        <v>2024</v>
      </c>
      <c r="B3" s="9" t="s">
        <v>104</v>
      </c>
      <c r="C3" s="9">
        <v>-126.8</v>
      </c>
      <c r="D3" s="9" t="s">
        <v>65</v>
      </c>
      <c r="F3" s="9" t="s">
        <v>69</v>
      </c>
      <c r="G3" s="9" t="s">
        <v>91</v>
      </c>
      <c r="H3" s="9" t="s">
        <v>167</v>
      </c>
      <c r="J3" s="6" t="s">
        <v>164</v>
      </c>
      <c r="K3" t="s">
        <v>65</v>
      </c>
      <c r="L3" t="s">
        <v>98</v>
      </c>
      <c r="M3" t="s">
        <v>166</v>
      </c>
      <c r="N3" t="s">
        <v>165</v>
      </c>
    </row>
    <row r="4" spans="1:14" ht="14.5" x14ac:dyDescent="0.35">
      <c r="A4" s="9">
        <v>2024</v>
      </c>
      <c r="B4" s="9" t="s">
        <v>104</v>
      </c>
      <c r="C4" s="9">
        <v>-2666.7</v>
      </c>
      <c r="D4" s="9" t="s">
        <v>65</v>
      </c>
      <c r="F4" s="10" t="s">
        <v>92</v>
      </c>
      <c r="H4" s="9" t="s">
        <v>167</v>
      </c>
      <c r="J4" s="21" t="s">
        <v>123</v>
      </c>
      <c r="K4" s="15"/>
      <c r="L4" s="15">
        <v>57500</v>
      </c>
      <c r="M4" s="15"/>
      <c r="N4" s="15">
        <v>57500</v>
      </c>
    </row>
    <row r="5" spans="1:14" ht="14.5" x14ac:dyDescent="0.35">
      <c r="A5" s="9">
        <v>2024</v>
      </c>
      <c r="B5" s="9" t="s">
        <v>104</v>
      </c>
      <c r="C5" s="9">
        <v>347.4</v>
      </c>
      <c r="D5" s="9" t="s">
        <v>65</v>
      </c>
      <c r="E5" s="9">
        <v>347398</v>
      </c>
      <c r="F5" s="9" t="s">
        <v>69</v>
      </c>
      <c r="G5" s="9" t="s">
        <v>78</v>
      </c>
      <c r="H5" s="9" t="s">
        <v>167</v>
      </c>
      <c r="J5" s="21" t="s">
        <v>69</v>
      </c>
      <c r="K5" s="15">
        <v>176078.40000000002</v>
      </c>
      <c r="L5" s="15"/>
      <c r="M5" s="15"/>
      <c r="N5" s="15">
        <v>176078.40000000002</v>
      </c>
    </row>
    <row r="6" spans="1:14" ht="14.5" x14ac:dyDescent="0.35">
      <c r="A6" s="9">
        <v>2024</v>
      </c>
      <c r="B6" s="9" t="s">
        <v>104</v>
      </c>
      <c r="C6" s="9">
        <v>564.4</v>
      </c>
      <c r="D6" s="9" t="s">
        <v>65</v>
      </c>
      <c r="E6" s="9">
        <v>564369</v>
      </c>
      <c r="F6" s="9" t="s">
        <v>66</v>
      </c>
      <c r="G6" s="9" t="s">
        <v>225</v>
      </c>
      <c r="H6" s="9" t="s">
        <v>167</v>
      </c>
      <c r="J6" s="21" t="s">
        <v>81</v>
      </c>
      <c r="K6" s="15">
        <v>527168.09999999986</v>
      </c>
      <c r="L6" s="15"/>
      <c r="M6" s="15"/>
      <c r="N6" s="15">
        <v>527168.09999999986</v>
      </c>
    </row>
    <row r="7" spans="1:14" ht="14.5" x14ac:dyDescent="0.35">
      <c r="A7" s="9">
        <v>2024</v>
      </c>
      <c r="B7" s="9" t="s">
        <v>104</v>
      </c>
      <c r="C7" s="9">
        <v>2519.9</v>
      </c>
      <c r="D7" s="9" t="s">
        <v>65</v>
      </c>
      <c r="E7" s="9">
        <v>2519900</v>
      </c>
      <c r="F7" s="9" t="s">
        <v>81</v>
      </c>
      <c r="G7" s="9" t="s">
        <v>64</v>
      </c>
      <c r="H7" s="9" t="s">
        <v>167</v>
      </c>
      <c r="J7" s="21" t="s">
        <v>110</v>
      </c>
      <c r="K7" s="15">
        <v>36999.899999999994</v>
      </c>
      <c r="L7" s="15"/>
      <c r="M7" s="15"/>
      <c r="N7" s="15">
        <v>36999.899999999994</v>
      </c>
    </row>
    <row r="8" spans="1:14" ht="14.5" x14ac:dyDescent="0.35">
      <c r="A8" s="9">
        <v>2024</v>
      </c>
      <c r="B8" s="9" t="s">
        <v>104</v>
      </c>
      <c r="C8" s="9">
        <v>6286.5</v>
      </c>
      <c r="D8" s="9" t="s">
        <v>65</v>
      </c>
      <c r="E8" s="9">
        <v>6286533</v>
      </c>
      <c r="F8" s="9" t="s">
        <v>69</v>
      </c>
      <c r="G8" s="9" t="s">
        <v>91</v>
      </c>
      <c r="H8" s="9" t="s">
        <v>167</v>
      </c>
      <c r="J8" s="21" t="s">
        <v>99</v>
      </c>
      <c r="K8" s="15"/>
      <c r="L8" s="15">
        <v>255141.3</v>
      </c>
      <c r="M8" s="15"/>
      <c r="N8" s="15">
        <v>255141.3</v>
      </c>
    </row>
    <row r="9" spans="1:14" ht="14.5" x14ac:dyDescent="0.35">
      <c r="A9" s="9">
        <v>2024</v>
      </c>
      <c r="B9" s="9" t="s">
        <v>104</v>
      </c>
      <c r="C9" s="9">
        <v>32841.800000000003</v>
      </c>
      <c r="D9" s="9" t="s">
        <v>65</v>
      </c>
      <c r="E9" s="9">
        <v>32841792</v>
      </c>
      <c r="F9" s="9" t="s">
        <v>81</v>
      </c>
      <c r="G9" s="9" t="s">
        <v>68</v>
      </c>
      <c r="H9" s="9" t="s">
        <v>167</v>
      </c>
      <c r="J9" s="18" t="s">
        <v>85</v>
      </c>
      <c r="K9" s="15">
        <v>117247.90000000001</v>
      </c>
      <c r="L9" s="15"/>
      <c r="M9" s="15"/>
      <c r="N9" s="15">
        <v>117247.90000000001</v>
      </c>
    </row>
    <row r="10" spans="1:14" ht="14.5" x14ac:dyDescent="0.35">
      <c r="A10" s="9">
        <v>2024</v>
      </c>
      <c r="B10" s="9" t="s">
        <v>104</v>
      </c>
      <c r="C10" s="9">
        <v>111093.5</v>
      </c>
      <c r="D10" s="9" t="s">
        <v>65</v>
      </c>
      <c r="E10" s="9">
        <v>111093512</v>
      </c>
      <c r="F10" s="9" t="s">
        <v>223</v>
      </c>
      <c r="G10" s="9" t="s">
        <v>224</v>
      </c>
      <c r="H10" s="9" t="s">
        <v>167</v>
      </c>
      <c r="J10" s="21" t="s">
        <v>82</v>
      </c>
      <c r="K10" s="15">
        <v>175389.3</v>
      </c>
      <c r="L10" s="15"/>
      <c r="M10" s="15"/>
      <c r="N10" s="15">
        <v>175389.3</v>
      </c>
    </row>
    <row r="11" spans="1:14" ht="14.5" x14ac:dyDescent="0.35">
      <c r="A11" s="9">
        <v>2024</v>
      </c>
      <c r="B11" s="9" t="s">
        <v>109</v>
      </c>
      <c r="C11" s="9">
        <v>-78.900000000000006</v>
      </c>
      <c r="D11" s="9" t="s">
        <v>65</v>
      </c>
      <c r="F11" s="9" t="s">
        <v>69</v>
      </c>
      <c r="G11" s="9" t="s">
        <v>84</v>
      </c>
      <c r="H11" s="9" t="s">
        <v>167</v>
      </c>
      <c r="J11" s="18" t="s">
        <v>113</v>
      </c>
      <c r="K11" s="15">
        <v>-23202</v>
      </c>
      <c r="L11" s="15"/>
      <c r="M11" s="15"/>
      <c r="N11" s="15">
        <v>-23202</v>
      </c>
    </row>
    <row r="12" spans="1:14" ht="14.5" x14ac:dyDescent="0.35">
      <c r="A12" s="9">
        <v>2024</v>
      </c>
      <c r="B12" s="9" t="s">
        <v>109</v>
      </c>
      <c r="C12" s="9">
        <v>-218.5</v>
      </c>
      <c r="D12" s="9" t="s">
        <v>65</v>
      </c>
      <c r="F12" s="9" t="s">
        <v>69</v>
      </c>
      <c r="G12" s="9" t="s">
        <v>91</v>
      </c>
      <c r="H12" s="9" t="s">
        <v>167</v>
      </c>
      <c r="J12" s="18" t="s">
        <v>107</v>
      </c>
      <c r="K12" s="15">
        <v>0</v>
      </c>
      <c r="L12" s="15"/>
      <c r="M12" s="15"/>
      <c r="N12" s="15">
        <v>0</v>
      </c>
    </row>
    <row r="13" spans="1:14" ht="14.5" x14ac:dyDescent="0.35">
      <c r="A13" s="9">
        <v>2024</v>
      </c>
      <c r="B13" s="9" t="s">
        <v>109</v>
      </c>
      <c r="C13" s="9">
        <v>-1020.1</v>
      </c>
      <c r="D13" s="9" t="s">
        <v>65</v>
      </c>
      <c r="F13" s="10" t="s">
        <v>92</v>
      </c>
      <c r="H13" s="9" t="s">
        <v>167</v>
      </c>
      <c r="J13" s="21" t="s">
        <v>125</v>
      </c>
      <c r="K13" s="15">
        <v>4050</v>
      </c>
      <c r="L13" s="15"/>
      <c r="M13" s="15"/>
      <c r="N13" s="15">
        <v>4050</v>
      </c>
    </row>
    <row r="14" spans="1:14" ht="14.5" x14ac:dyDescent="0.35">
      <c r="A14" s="9">
        <v>2024</v>
      </c>
      <c r="B14" s="9" t="s">
        <v>109</v>
      </c>
      <c r="C14" s="9">
        <v>2093.4</v>
      </c>
      <c r="D14" s="9" t="s">
        <v>65</v>
      </c>
      <c r="E14" s="9">
        <v>2093362</v>
      </c>
      <c r="F14" s="9" t="s">
        <v>66</v>
      </c>
      <c r="G14" s="9" t="s">
        <v>208</v>
      </c>
      <c r="H14" s="9" t="s">
        <v>167</v>
      </c>
      <c r="J14" s="21" t="s">
        <v>66</v>
      </c>
      <c r="K14" s="15">
        <v>107000.20000000001</v>
      </c>
      <c r="L14" s="15"/>
      <c r="M14" s="15"/>
      <c r="N14" s="15">
        <v>107000.20000000001</v>
      </c>
    </row>
    <row r="15" spans="1:14" ht="14.5" x14ac:dyDescent="0.35">
      <c r="A15" s="9">
        <v>2024</v>
      </c>
      <c r="B15" s="9" t="s">
        <v>109</v>
      </c>
      <c r="C15" s="9">
        <v>4779</v>
      </c>
      <c r="D15" s="9" t="s">
        <v>65</v>
      </c>
      <c r="E15" s="9">
        <v>4778963</v>
      </c>
      <c r="F15" s="9" t="s">
        <v>69</v>
      </c>
      <c r="G15" s="9" t="s">
        <v>78</v>
      </c>
      <c r="H15" s="9" t="s">
        <v>167</v>
      </c>
      <c r="J15" s="18" t="s">
        <v>166</v>
      </c>
      <c r="K15" s="15"/>
      <c r="L15" s="15"/>
      <c r="M15" s="15"/>
      <c r="N15" s="15"/>
    </row>
    <row r="16" spans="1:14" ht="14.5" x14ac:dyDescent="0.35">
      <c r="A16" s="9">
        <v>2024</v>
      </c>
      <c r="B16" s="9" t="s">
        <v>109</v>
      </c>
      <c r="C16" s="9">
        <v>6400</v>
      </c>
      <c r="D16" s="9" t="s">
        <v>65</v>
      </c>
      <c r="E16" s="9">
        <v>6400000</v>
      </c>
      <c r="F16" s="9" t="s">
        <v>69</v>
      </c>
      <c r="G16" s="9" t="s">
        <v>91</v>
      </c>
      <c r="H16" s="9" t="s">
        <v>167</v>
      </c>
      <c r="J16" s="18" t="s">
        <v>92</v>
      </c>
      <c r="K16" s="15">
        <v>-14144.300000000001</v>
      </c>
      <c r="L16" s="15"/>
      <c r="M16" s="15"/>
      <c r="N16" s="15">
        <v>-14144.300000000001</v>
      </c>
    </row>
    <row r="17" spans="1:14" ht="14.5" x14ac:dyDescent="0.35">
      <c r="A17" s="9">
        <v>2024</v>
      </c>
      <c r="B17" s="9" t="s">
        <v>111</v>
      </c>
      <c r="C17" s="9">
        <v>-131.69999999999999</v>
      </c>
      <c r="D17" s="9" t="s">
        <v>65</v>
      </c>
      <c r="F17" s="9" t="s">
        <v>69</v>
      </c>
      <c r="H17" s="9" t="s">
        <v>167</v>
      </c>
      <c r="J17" s="18" t="s">
        <v>86</v>
      </c>
      <c r="K17" s="15">
        <v>-2298.9</v>
      </c>
      <c r="L17" s="15"/>
      <c r="M17" s="15"/>
      <c r="N17" s="15">
        <v>-2298.9</v>
      </c>
    </row>
    <row r="18" spans="1:14" ht="14.5" x14ac:dyDescent="0.35">
      <c r="A18" s="9">
        <v>2024</v>
      </c>
      <c r="B18" s="9" t="s">
        <v>111</v>
      </c>
      <c r="C18" s="9">
        <v>-804.7</v>
      </c>
      <c r="D18" s="9" t="s">
        <v>65</v>
      </c>
      <c r="F18" s="10" t="s">
        <v>92</v>
      </c>
      <c r="H18" s="9" t="s">
        <v>167</v>
      </c>
      <c r="J18" s="18" t="s">
        <v>94</v>
      </c>
      <c r="K18" s="15">
        <v>-11851.9</v>
      </c>
      <c r="L18" s="15"/>
      <c r="M18" s="15"/>
      <c r="N18" s="15">
        <v>-11851.9</v>
      </c>
    </row>
    <row r="19" spans="1:14" ht="14.5" x14ac:dyDescent="0.35">
      <c r="A19" s="9">
        <v>2024</v>
      </c>
      <c r="B19" s="9" t="s">
        <v>111</v>
      </c>
      <c r="C19" s="9">
        <v>6613</v>
      </c>
      <c r="D19" s="9" t="s">
        <v>65</v>
      </c>
      <c r="E19" s="9">
        <v>6613007</v>
      </c>
      <c r="F19" s="9" t="s">
        <v>69</v>
      </c>
      <c r="G19" s="9" t="s">
        <v>91</v>
      </c>
      <c r="H19" s="9" t="s">
        <v>167</v>
      </c>
      <c r="J19" s="18" t="s">
        <v>223</v>
      </c>
      <c r="K19" s="15">
        <v>111093.5</v>
      </c>
      <c r="L19" s="15"/>
      <c r="M19" s="15"/>
      <c r="N19" s="15">
        <v>111093.5</v>
      </c>
    </row>
    <row r="20" spans="1:14" ht="14.5" x14ac:dyDescent="0.35">
      <c r="A20" s="9">
        <v>2024</v>
      </c>
      <c r="B20" s="9" t="s">
        <v>111</v>
      </c>
      <c r="C20" s="9">
        <v>7048.9</v>
      </c>
      <c r="D20" s="9" t="s">
        <v>65</v>
      </c>
      <c r="E20" s="9">
        <v>7048930</v>
      </c>
      <c r="F20" s="9" t="s">
        <v>66</v>
      </c>
      <c r="G20" s="9" t="s">
        <v>208</v>
      </c>
      <c r="H20" s="9" t="s">
        <v>167</v>
      </c>
      <c r="J20" s="16" t="s">
        <v>165</v>
      </c>
      <c r="K20" s="15">
        <v>1203530.2</v>
      </c>
      <c r="L20" s="15">
        <v>312641.3</v>
      </c>
      <c r="M20" s="15"/>
      <c r="N20" s="15">
        <v>1516171.5</v>
      </c>
    </row>
    <row r="21" spans="1:14" x14ac:dyDescent="0.3">
      <c r="A21" s="9">
        <v>2024</v>
      </c>
      <c r="B21" s="9" t="s">
        <v>77</v>
      </c>
      <c r="C21" s="9">
        <v>-123.9</v>
      </c>
      <c r="D21" s="9" t="s">
        <v>65</v>
      </c>
      <c r="F21" s="9" t="s">
        <v>69</v>
      </c>
      <c r="H21" s="9" t="s">
        <v>167</v>
      </c>
    </row>
    <row r="22" spans="1:14" x14ac:dyDescent="0.3">
      <c r="A22" s="9">
        <v>2024</v>
      </c>
      <c r="B22" s="9" t="s">
        <v>77</v>
      </c>
      <c r="C22" s="9">
        <v>-3086.3</v>
      </c>
      <c r="D22" s="9" t="s">
        <v>65</v>
      </c>
      <c r="F22" s="10" t="s">
        <v>92</v>
      </c>
    </row>
    <row r="23" spans="1:14" x14ac:dyDescent="0.3">
      <c r="A23" s="9">
        <v>2024</v>
      </c>
      <c r="B23" s="9" t="s">
        <v>77</v>
      </c>
      <c r="C23" s="9">
        <v>400</v>
      </c>
      <c r="D23" s="9" t="s">
        <v>65</v>
      </c>
      <c r="E23" s="9">
        <v>400000</v>
      </c>
      <c r="F23" s="9" t="s">
        <v>81</v>
      </c>
      <c r="G23" s="9" t="s">
        <v>64</v>
      </c>
      <c r="H23" s="9" t="s">
        <v>167</v>
      </c>
    </row>
    <row r="24" spans="1:14" x14ac:dyDescent="0.3">
      <c r="A24" s="9">
        <v>2024</v>
      </c>
      <c r="B24" s="9" t="s">
        <v>77</v>
      </c>
      <c r="C24" s="9">
        <v>810.7</v>
      </c>
      <c r="D24" s="9" t="s">
        <v>65</v>
      </c>
      <c r="E24" s="9">
        <v>810724</v>
      </c>
      <c r="F24" s="9" t="s">
        <v>66</v>
      </c>
      <c r="G24" s="9" t="s">
        <v>208</v>
      </c>
      <c r="H24" s="9" t="s">
        <v>167</v>
      </c>
    </row>
    <row r="25" spans="1:14" x14ac:dyDescent="0.3">
      <c r="A25" s="9">
        <v>2024</v>
      </c>
      <c r="B25" s="9" t="s">
        <v>77</v>
      </c>
      <c r="C25" s="9">
        <v>2651</v>
      </c>
      <c r="D25" s="9" t="s">
        <v>65</v>
      </c>
      <c r="E25" s="9">
        <v>2650967</v>
      </c>
      <c r="F25" s="9" t="s">
        <v>81</v>
      </c>
      <c r="G25" s="9" t="s">
        <v>68</v>
      </c>
      <c r="H25" s="9" t="s">
        <v>167</v>
      </c>
    </row>
    <row r="26" spans="1:14" x14ac:dyDescent="0.3">
      <c r="A26" s="9">
        <v>2024</v>
      </c>
      <c r="B26" s="9" t="s">
        <v>77</v>
      </c>
      <c r="C26" s="9">
        <v>3680.4</v>
      </c>
      <c r="D26" s="9" t="s">
        <v>65</v>
      </c>
      <c r="E26" s="9">
        <v>3680356</v>
      </c>
      <c r="F26" s="9" t="s">
        <v>69</v>
      </c>
      <c r="G26" s="9" t="s">
        <v>78</v>
      </c>
      <c r="H26" s="9" t="s">
        <v>167</v>
      </c>
    </row>
    <row r="27" spans="1:14" x14ac:dyDescent="0.3">
      <c r="A27" s="9">
        <v>2024</v>
      </c>
      <c r="B27" s="9" t="s">
        <v>80</v>
      </c>
      <c r="C27" s="9">
        <v>-49.1</v>
      </c>
      <c r="D27" s="9" t="s">
        <v>65</v>
      </c>
      <c r="F27" s="9" t="s">
        <v>69</v>
      </c>
      <c r="G27" s="9" t="s">
        <v>91</v>
      </c>
      <c r="H27" s="9" t="s">
        <v>167</v>
      </c>
    </row>
    <row r="28" spans="1:14" x14ac:dyDescent="0.3">
      <c r="A28" s="9">
        <v>2024</v>
      </c>
      <c r="B28" s="9" t="s">
        <v>80</v>
      </c>
      <c r="C28" s="9">
        <v>-1020.1</v>
      </c>
      <c r="D28" s="9" t="s">
        <v>65</v>
      </c>
      <c r="F28" s="10" t="s">
        <v>92</v>
      </c>
    </row>
    <row r="29" spans="1:14" x14ac:dyDescent="0.3">
      <c r="A29" s="9">
        <v>2024</v>
      </c>
      <c r="B29" s="9" t="s">
        <v>80</v>
      </c>
      <c r="C29" s="9">
        <v>1066.8</v>
      </c>
      <c r="D29" s="9" t="s">
        <v>65</v>
      </c>
      <c r="E29" s="9">
        <v>1066780</v>
      </c>
      <c r="F29" s="9" t="s">
        <v>66</v>
      </c>
      <c r="G29" s="9" t="s">
        <v>208</v>
      </c>
      <c r="H29" s="9" t="s">
        <v>167</v>
      </c>
    </row>
    <row r="30" spans="1:14" x14ac:dyDescent="0.3">
      <c r="A30" s="9">
        <v>2024</v>
      </c>
      <c r="B30" s="9" t="s">
        <v>80</v>
      </c>
      <c r="C30" s="9">
        <v>5883.7</v>
      </c>
      <c r="D30" s="9" t="s">
        <v>65</v>
      </c>
      <c r="E30" s="9">
        <v>5883653</v>
      </c>
      <c r="F30" s="9" t="s">
        <v>69</v>
      </c>
      <c r="G30" s="9" t="s">
        <v>91</v>
      </c>
      <c r="H30" s="9" t="s">
        <v>167</v>
      </c>
    </row>
    <row r="31" spans="1:14" x14ac:dyDescent="0.3">
      <c r="A31" s="9">
        <v>2024</v>
      </c>
      <c r="B31" s="9" t="s">
        <v>80</v>
      </c>
      <c r="C31" s="9">
        <v>19500</v>
      </c>
      <c r="D31" s="9" t="s">
        <v>65</v>
      </c>
      <c r="E31" s="9">
        <v>19500000</v>
      </c>
      <c r="F31" s="9" t="s">
        <v>81</v>
      </c>
      <c r="G31" s="9" t="s">
        <v>68</v>
      </c>
      <c r="H31" s="9" t="s">
        <v>167</v>
      </c>
    </row>
    <row r="32" spans="1:14" x14ac:dyDescent="0.3">
      <c r="A32" s="9">
        <v>2024</v>
      </c>
      <c r="B32" s="9" t="s">
        <v>90</v>
      </c>
      <c r="C32" s="9">
        <v>-80.8</v>
      </c>
      <c r="D32" s="9" t="s">
        <v>65</v>
      </c>
      <c r="F32" s="9" t="s">
        <v>69</v>
      </c>
      <c r="G32" s="9" t="s">
        <v>91</v>
      </c>
      <c r="H32" s="9" t="s">
        <v>167</v>
      </c>
    </row>
    <row r="33" spans="1:11" x14ac:dyDescent="0.3">
      <c r="A33" s="9">
        <v>2024</v>
      </c>
      <c r="B33" s="9" t="s">
        <v>90</v>
      </c>
      <c r="C33" s="9">
        <v>-804.7</v>
      </c>
      <c r="D33" s="9" t="s">
        <v>65</v>
      </c>
      <c r="F33" s="10" t="s">
        <v>92</v>
      </c>
      <c r="H33" s="9" t="s">
        <v>167</v>
      </c>
    </row>
    <row r="34" spans="1:11" x14ac:dyDescent="0.3">
      <c r="A34" s="9">
        <v>2024</v>
      </c>
      <c r="B34" s="9" t="s">
        <v>90</v>
      </c>
      <c r="C34" s="9">
        <v>500</v>
      </c>
      <c r="D34" s="9" t="s">
        <v>65</v>
      </c>
      <c r="E34" s="9">
        <v>500000</v>
      </c>
      <c r="F34" s="9" t="s">
        <v>81</v>
      </c>
      <c r="G34" s="9" t="s">
        <v>64</v>
      </c>
      <c r="H34" s="9" t="s">
        <v>167</v>
      </c>
    </row>
    <row r="35" spans="1:11" x14ac:dyDescent="0.3">
      <c r="A35" s="9">
        <v>2024</v>
      </c>
      <c r="B35" s="9" t="s">
        <v>90</v>
      </c>
      <c r="C35" s="9">
        <v>914.2</v>
      </c>
      <c r="D35" s="9" t="s">
        <v>65</v>
      </c>
      <c r="E35" s="9">
        <v>914206</v>
      </c>
      <c r="F35" s="9" t="s">
        <v>69</v>
      </c>
      <c r="G35" s="9" t="s">
        <v>78</v>
      </c>
      <c r="H35" s="9" t="s">
        <v>167</v>
      </c>
    </row>
    <row r="36" spans="1:11" ht="14.5" x14ac:dyDescent="0.35">
      <c r="A36" s="9">
        <v>2024</v>
      </c>
      <c r="B36" s="9" t="s">
        <v>90</v>
      </c>
      <c r="C36" s="9">
        <v>3873.6</v>
      </c>
      <c r="D36" s="9" t="s">
        <v>65</v>
      </c>
      <c r="E36" s="9">
        <v>3873626</v>
      </c>
      <c r="F36" s="9" t="s">
        <v>69</v>
      </c>
      <c r="G36" s="9" t="s">
        <v>91</v>
      </c>
      <c r="H36" s="9" t="s">
        <v>167</v>
      </c>
      <c r="J36"/>
      <c r="K36"/>
    </row>
    <row r="37" spans="1:11" ht="14.5" x14ac:dyDescent="0.35">
      <c r="A37" s="9">
        <v>2024</v>
      </c>
      <c r="B37" s="9" t="s">
        <v>96</v>
      </c>
      <c r="C37" s="9">
        <v>-122.3</v>
      </c>
      <c r="D37" s="9" t="s">
        <v>65</v>
      </c>
      <c r="F37" s="9" t="s">
        <v>69</v>
      </c>
      <c r="G37" s="9" t="s">
        <v>91</v>
      </c>
      <c r="H37" s="9" t="s">
        <v>167</v>
      </c>
      <c r="J37"/>
      <c r="K37"/>
    </row>
    <row r="38" spans="1:11" ht="14.5" x14ac:dyDescent="0.35">
      <c r="A38" s="9">
        <v>2024</v>
      </c>
      <c r="B38" s="9" t="s">
        <v>96</v>
      </c>
      <c r="C38" s="9">
        <v>-2673.2</v>
      </c>
      <c r="D38" s="9" t="s">
        <v>65</v>
      </c>
      <c r="F38" s="10" t="s">
        <v>92</v>
      </c>
      <c r="G38" s="9" t="s">
        <v>93</v>
      </c>
      <c r="H38" s="9" t="s">
        <v>167</v>
      </c>
      <c r="J38"/>
      <c r="K38"/>
    </row>
    <row r="39" spans="1:11" ht="14.5" x14ac:dyDescent="0.35">
      <c r="A39" s="9">
        <v>2024</v>
      </c>
      <c r="B39" s="9" t="s">
        <v>96</v>
      </c>
      <c r="C39" s="9">
        <v>494.7</v>
      </c>
      <c r="D39" s="9" t="s">
        <v>65</v>
      </c>
      <c r="E39" s="9">
        <v>494731</v>
      </c>
      <c r="F39" s="9" t="s">
        <v>69</v>
      </c>
      <c r="G39" s="9" t="s">
        <v>78</v>
      </c>
      <c r="H39" s="9" t="s">
        <v>167</v>
      </c>
      <c r="J39"/>
      <c r="K39"/>
    </row>
    <row r="40" spans="1:11" ht="14.5" x14ac:dyDescent="0.35">
      <c r="A40" s="9">
        <v>2024</v>
      </c>
      <c r="B40" s="9" t="s">
        <v>96</v>
      </c>
      <c r="C40" s="9">
        <v>500</v>
      </c>
      <c r="D40" s="9" t="s">
        <v>65</v>
      </c>
      <c r="E40" s="9">
        <v>500000</v>
      </c>
      <c r="F40" s="10" t="s">
        <v>81</v>
      </c>
      <c r="G40" s="9" t="s">
        <v>64</v>
      </c>
      <c r="H40" s="9" t="s">
        <v>167</v>
      </c>
      <c r="J40"/>
      <c r="K40"/>
    </row>
    <row r="41" spans="1:11" ht="14.5" x14ac:dyDescent="0.35">
      <c r="A41" s="9">
        <v>2024</v>
      </c>
      <c r="B41" s="9" t="s">
        <v>96</v>
      </c>
      <c r="C41" s="9">
        <v>6948.3</v>
      </c>
      <c r="D41" s="9" t="s">
        <v>65</v>
      </c>
      <c r="E41" s="9">
        <v>6948286</v>
      </c>
      <c r="F41" s="9" t="s">
        <v>66</v>
      </c>
      <c r="G41" s="9" t="s">
        <v>208</v>
      </c>
      <c r="H41" s="9" t="s">
        <v>167</v>
      </c>
      <c r="J41"/>
      <c r="K41"/>
    </row>
    <row r="42" spans="1:11" ht="14.5" x14ac:dyDescent="0.35">
      <c r="A42" s="9">
        <v>2024</v>
      </c>
      <c r="B42" s="9" t="s">
        <v>96</v>
      </c>
      <c r="C42" s="9">
        <v>9584.6</v>
      </c>
      <c r="D42" s="9" t="s">
        <v>65</v>
      </c>
      <c r="E42" s="9">
        <v>9584568</v>
      </c>
      <c r="F42" s="10" t="s">
        <v>81</v>
      </c>
      <c r="G42" s="9" t="s">
        <v>68</v>
      </c>
      <c r="H42" s="9" t="s">
        <v>167</v>
      </c>
      <c r="J42"/>
      <c r="K42"/>
    </row>
    <row r="43" spans="1:11" ht="14.5" x14ac:dyDescent="0.35">
      <c r="A43" s="9">
        <v>2024</v>
      </c>
      <c r="B43" s="9" t="s">
        <v>97</v>
      </c>
      <c r="C43" s="9">
        <v>-111.4</v>
      </c>
      <c r="D43" s="9" t="s">
        <v>65</v>
      </c>
      <c r="F43" s="9" t="s">
        <v>69</v>
      </c>
      <c r="G43" s="9" t="s">
        <v>91</v>
      </c>
      <c r="H43" s="9" t="s">
        <v>167</v>
      </c>
      <c r="J43"/>
      <c r="K43"/>
    </row>
    <row r="44" spans="1:11" ht="14.5" x14ac:dyDescent="0.35">
      <c r="A44" s="9">
        <v>2024</v>
      </c>
      <c r="B44" s="9" t="s">
        <v>97</v>
      </c>
      <c r="C44" s="9">
        <v>-1020.1</v>
      </c>
      <c r="D44" s="9" t="s">
        <v>65</v>
      </c>
      <c r="E44" s="11">
        <f>34948091*0.015</f>
        <v>524221.36499999999</v>
      </c>
      <c r="F44" s="10" t="s">
        <v>92</v>
      </c>
      <c r="G44" s="9" t="s">
        <v>93</v>
      </c>
      <c r="H44" s="9" t="s">
        <v>167</v>
      </c>
      <c r="J44"/>
      <c r="K44"/>
    </row>
    <row r="45" spans="1:11" ht="14.5" x14ac:dyDescent="0.35">
      <c r="A45" s="9">
        <v>2024</v>
      </c>
      <c r="B45" s="9" t="s">
        <v>97</v>
      </c>
      <c r="C45" s="9">
        <v>798.8</v>
      </c>
      <c r="D45" s="9" t="s">
        <v>65</v>
      </c>
      <c r="E45" s="9">
        <v>798819</v>
      </c>
      <c r="F45" s="9" t="s">
        <v>69</v>
      </c>
      <c r="G45" s="9" t="s">
        <v>78</v>
      </c>
      <c r="H45" s="9" t="s">
        <v>167</v>
      </c>
      <c r="J45"/>
      <c r="K45"/>
    </row>
    <row r="46" spans="1:11" ht="14.5" x14ac:dyDescent="0.35">
      <c r="A46" s="9">
        <v>2024</v>
      </c>
      <c r="B46" s="9" t="s">
        <v>97</v>
      </c>
      <c r="C46" s="9">
        <v>5408.4</v>
      </c>
      <c r="D46" s="9" t="s">
        <v>65</v>
      </c>
      <c r="E46" s="9">
        <v>5408378</v>
      </c>
      <c r="F46" s="9" t="s">
        <v>69</v>
      </c>
      <c r="G46" s="9" t="s">
        <v>91</v>
      </c>
      <c r="H46" s="9" t="s">
        <v>167</v>
      </c>
      <c r="J46"/>
      <c r="K46"/>
    </row>
    <row r="47" spans="1:11" ht="14.5" x14ac:dyDescent="0.35">
      <c r="A47" s="9">
        <v>2024</v>
      </c>
      <c r="B47" s="9" t="s">
        <v>97</v>
      </c>
      <c r="C47" s="9">
        <v>8686.1</v>
      </c>
      <c r="D47" s="9" t="s">
        <v>65</v>
      </c>
      <c r="E47" s="9">
        <v>8686092</v>
      </c>
      <c r="F47" s="9" t="s">
        <v>69</v>
      </c>
      <c r="G47" s="9" t="s">
        <v>70</v>
      </c>
      <c r="H47" s="9" t="s">
        <v>167</v>
      </c>
      <c r="J47"/>
      <c r="K47"/>
    </row>
    <row r="48" spans="1:11" ht="14.5" x14ac:dyDescent="0.35">
      <c r="A48" s="9">
        <v>2024</v>
      </c>
      <c r="B48" s="9" t="s">
        <v>97</v>
      </c>
      <c r="C48" s="9">
        <v>16290</v>
      </c>
      <c r="D48" s="9" t="s">
        <v>65</v>
      </c>
      <c r="E48" s="9">
        <v>16290000</v>
      </c>
      <c r="F48" s="9" t="s">
        <v>69</v>
      </c>
      <c r="G48" s="9" t="s">
        <v>84</v>
      </c>
      <c r="H48" s="9" t="s">
        <v>167</v>
      </c>
      <c r="J48"/>
      <c r="K48"/>
    </row>
    <row r="49" spans="1:11" ht="14.5" x14ac:dyDescent="0.35">
      <c r="A49" s="9">
        <v>2024</v>
      </c>
      <c r="B49" s="9" t="s">
        <v>101</v>
      </c>
      <c r="C49" s="9">
        <v>-15.5</v>
      </c>
      <c r="D49" s="9" t="s">
        <v>65</v>
      </c>
      <c r="F49" s="9" t="s">
        <v>69</v>
      </c>
      <c r="G49" s="9" t="s">
        <v>91</v>
      </c>
      <c r="H49" s="9" t="s">
        <v>167</v>
      </c>
      <c r="J49"/>
      <c r="K49"/>
    </row>
    <row r="50" spans="1:11" ht="14.5" x14ac:dyDescent="0.35">
      <c r="A50" s="9">
        <v>2024</v>
      </c>
      <c r="B50" s="9" t="s">
        <v>101</v>
      </c>
      <c r="C50" s="9">
        <v>1609.9</v>
      </c>
      <c r="D50" s="9" t="s">
        <v>65</v>
      </c>
      <c r="E50" s="9">
        <v>1609865</v>
      </c>
      <c r="F50" s="9" t="s">
        <v>69</v>
      </c>
      <c r="G50" s="9" t="s">
        <v>91</v>
      </c>
      <c r="H50" s="9" t="s">
        <v>167</v>
      </c>
      <c r="J50"/>
      <c r="K50"/>
    </row>
    <row r="51" spans="1:11" x14ac:dyDescent="0.3">
      <c r="A51" s="9">
        <v>2024</v>
      </c>
      <c r="B51" s="9" t="s">
        <v>101</v>
      </c>
      <c r="C51" s="9">
        <v>1994.2</v>
      </c>
      <c r="D51" s="9" t="s">
        <v>65</v>
      </c>
      <c r="E51" s="9">
        <v>1994162</v>
      </c>
      <c r="F51" s="9" t="s">
        <v>66</v>
      </c>
      <c r="G51" s="9" t="s">
        <v>67</v>
      </c>
      <c r="H51" s="9" t="s">
        <v>167</v>
      </c>
    </row>
    <row r="52" spans="1:11" x14ac:dyDescent="0.3">
      <c r="A52" s="9">
        <v>2024</v>
      </c>
      <c r="B52" s="9" t="s">
        <v>102</v>
      </c>
      <c r="C52" s="9">
        <v>-49.9</v>
      </c>
      <c r="D52" s="9" t="s">
        <v>65</v>
      </c>
      <c r="F52" s="9" t="s">
        <v>69</v>
      </c>
      <c r="G52" s="9" t="s">
        <v>91</v>
      </c>
      <c r="H52" s="9" t="s">
        <v>167</v>
      </c>
    </row>
    <row r="53" spans="1:11" x14ac:dyDescent="0.3">
      <c r="A53" s="9">
        <v>2024</v>
      </c>
      <c r="B53" s="9" t="s">
        <v>102</v>
      </c>
      <c r="C53" s="9">
        <v>1226.9000000000001</v>
      </c>
      <c r="D53" s="9" t="s">
        <v>65</v>
      </c>
      <c r="E53" s="9">
        <v>1226864</v>
      </c>
      <c r="F53" s="9" t="s">
        <v>69</v>
      </c>
      <c r="G53" s="9" t="s">
        <v>78</v>
      </c>
      <c r="H53" s="9" t="s">
        <v>167</v>
      </c>
    </row>
    <row r="54" spans="1:11" x14ac:dyDescent="0.3">
      <c r="A54" s="9">
        <v>2024</v>
      </c>
      <c r="B54" s="9" t="s">
        <v>102</v>
      </c>
      <c r="C54" s="9">
        <v>1893</v>
      </c>
      <c r="D54" s="9" t="s">
        <v>65</v>
      </c>
      <c r="E54" s="9">
        <v>1893011</v>
      </c>
      <c r="F54" s="9" t="s">
        <v>66</v>
      </c>
      <c r="G54" s="9" t="s">
        <v>67</v>
      </c>
      <c r="H54" s="9" t="s">
        <v>167</v>
      </c>
    </row>
    <row r="55" spans="1:11" x14ac:dyDescent="0.3">
      <c r="A55" s="9">
        <v>2024</v>
      </c>
      <c r="B55" s="9" t="s">
        <v>102</v>
      </c>
      <c r="C55" s="9">
        <v>12859.2</v>
      </c>
      <c r="D55" s="9" t="s">
        <v>65</v>
      </c>
      <c r="E55" s="9">
        <v>12859247</v>
      </c>
      <c r="F55" s="10" t="s">
        <v>81</v>
      </c>
      <c r="G55" s="9" t="s">
        <v>68</v>
      </c>
      <c r="H55" s="9" t="s">
        <v>167</v>
      </c>
    </row>
    <row r="56" spans="1:11" x14ac:dyDescent="0.3">
      <c r="A56" s="9">
        <v>2024</v>
      </c>
      <c r="B56" s="9" t="s">
        <v>103</v>
      </c>
      <c r="C56" s="9">
        <v>1580.4</v>
      </c>
      <c r="D56" s="9" t="s">
        <v>65</v>
      </c>
      <c r="E56" s="9">
        <v>1580376</v>
      </c>
      <c r="F56" s="9" t="s">
        <v>66</v>
      </c>
      <c r="G56" s="9" t="s">
        <v>67</v>
      </c>
      <c r="H56" s="9" t="s">
        <v>167</v>
      </c>
    </row>
    <row r="57" spans="1:11" x14ac:dyDescent="0.3">
      <c r="A57" s="9">
        <v>2024</v>
      </c>
      <c r="B57" s="9" t="s">
        <v>103</v>
      </c>
      <c r="C57" s="9">
        <v>4447.1000000000004</v>
      </c>
      <c r="D57" s="9" t="s">
        <v>65</v>
      </c>
      <c r="E57" s="9">
        <v>4447120</v>
      </c>
      <c r="F57" s="9" t="s">
        <v>69</v>
      </c>
      <c r="G57" s="9" t="s">
        <v>78</v>
      </c>
      <c r="H57" s="9" t="s">
        <v>167</v>
      </c>
    </row>
    <row r="58" spans="1:11" x14ac:dyDescent="0.3">
      <c r="A58" s="9">
        <v>2023</v>
      </c>
      <c r="B58" s="9" t="s">
        <v>104</v>
      </c>
      <c r="C58" s="9">
        <v>76841.3</v>
      </c>
      <c r="D58" s="9" t="s">
        <v>98</v>
      </c>
      <c r="E58" s="9">
        <v>76841289</v>
      </c>
      <c r="F58" s="9" t="s">
        <v>99</v>
      </c>
      <c r="G58" s="9" t="s">
        <v>100</v>
      </c>
      <c r="H58" s="9" t="s">
        <v>167</v>
      </c>
    </row>
    <row r="59" spans="1:11" x14ac:dyDescent="0.3">
      <c r="A59" s="9">
        <v>2023</v>
      </c>
      <c r="B59" s="9" t="s">
        <v>104</v>
      </c>
      <c r="C59" s="9">
        <v>7896.7</v>
      </c>
      <c r="D59" s="9" t="s">
        <v>65</v>
      </c>
      <c r="E59" s="9">
        <v>7896728</v>
      </c>
      <c r="F59" s="10" t="s">
        <v>81</v>
      </c>
      <c r="G59" s="9" t="s">
        <v>106</v>
      </c>
      <c r="H59" s="9" t="s">
        <v>167</v>
      </c>
    </row>
    <row r="60" spans="1:11" x14ac:dyDescent="0.3">
      <c r="A60" s="9">
        <v>2023</v>
      </c>
      <c r="B60" s="9" t="s">
        <v>104</v>
      </c>
      <c r="C60" s="9">
        <v>34497.5</v>
      </c>
      <c r="D60" s="9" t="s">
        <v>65</v>
      </c>
      <c r="E60" s="9">
        <v>34497540</v>
      </c>
      <c r="F60" s="9" t="s">
        <v>82</v>
      </c>
      <c r="G60" s="9" t="s">
        <v>83</v>
      </c>
      <c r="H60" s="9" t="s">
        <v>167</v>
      </c>
    </row>
    <row r="61" spans="1:11" x14ac:dyDescent="0.3">
      <c r="A61" s="9">
        <v>2023</v>
      </c>
      <c r="B61" s="9" t="s">
        <v>104</v>
      </c>
      <c r="C61" s="9">
        <v>2286.6999999999998</v>
      </c>
      <c r="D61" s="9" t="s">
        <v>65</v>
      </c>
      <c r="E61" s="9">
        <v>2286725</v>
      </c>
      <c r="F61" s="9" t="s">
        <v>69</v>
      </c>
      <c r="G61" s="9" t="s">
        <v>91</v>
      </c>
      <c r="H61" s="9" t="s">
        <v>167</v>
      </c>
    </row>
    <row r="62" spans="1:11" x14ac:dyDescent="0.3">
      <c r="A62" s="9">
        <v>2023</v>
      </c>
      <c r="B62" s="9" t="s">
        <v>104</v>
      </c>
      <c r="C62" s="9">
        <v>2926.5</v>
      </c>
      <c r="D62" s="9" t="s">
        <v>65</v>
      </c>
      <c r="E62" s="9">
        <v>2926533</v>
      </c>
      <c r="F62" s="9" t="s">
        <v>66</v>
      </c>
      <c r="G62" s="9" t="s">
        <v>67</v>
      </c>
      <c r="H62" s="9" t="s">
        <v>167</v>
      </c>
    </row>
    <row r="63" spans="1:11" x14ac:dyDescent="0.3">
      <c r="A63" s="9">
        <v>2023</v>
      </c>
      <c r="B63" s="9" t="s">
        <v>104</v>
      </c>
      <c r="C63" s="9">
        <v>49570</v>
      </c>
      <c r="D63" s="9" t="s">
        <v>65</v>
      </c>
      <c r="E63" s="9">
        <v>49569991</v>
      </c>
      <c r="F63" s="10" t="s">
        <v>81</v>
      </c>
      <c r="G63" s="9" t="s">
        <v>68</v>
      </c>
      <c r="H63" s="9" t="s">
        <v>167</v>
      </c>
    </row>
    <row r="64" spans="1:11" x14ac:dyDescent="0.3">
      <c r="A64" s="9">
        <v>2023</v>
      </c>
      <c r="B64" s="9" t="s">
        <v>104</v>
      </c>
      <c r="C64" s="9">
        <v>1600</v>
      </c>
      <c r="D64" s="9" t="s">
        <v>65</v>
      </c>
      <c r="E64" s="9">
        <v>1600000</v>
      </c>
      <c r="F64" s="10" t="s">
        <v>81</v>
      </c>
      <c r="G64" s="9" t="s">
        <v>64</v>
      </c>
      <c r="H64" s="9" t="s">
        <v>167</v>
      </c>
    </row>
    <row r="65" spans="1:8" x14ac:dyDescent="0.3">
      <c r="A65" s="9">
        <v>2023</v>
      </c>
      <c r="B65" s="9" t="s">
        <v>104</v>
      </c>
      <c r="C65" s="9">
        <v>8720.7000000000007</v>
      </c>
      <c r="D65" s="9" t="s">
        <v>65</v>
      </c>
      <c r="E65" s="9">
        <v>8720735</v>
      </c>
      <c r="F65" s="9" t="s">
        <v>69</v>
      </c>
      <c r="G65" s="9" t="s">
        <v>78</v>
      </c>
      <c r="H65" s="9" t="s">
        <v>167</v>
      </c>
    </row>
    <row r="66" spans="1:8" x14ac:dyDescent="0.3">
      <c r="A66" s="9">
        <v>2024</v>
      </c>
      <c r="B66" s="9" t="s">
        <v>121</v>
      </c>
      <c r="C66" s="9">
        <v>-62.1</v>
      </c>
      <c r="D66" s="9" t="s">
        <v>65</v>
      </c>
      <c r="F66" s="9" t="s">
        <v>69</v>
      </c>
      <c r="G66" s="9" t="s">
        <v>91</v>
      </c>
    </row>
    <row r="67" spans="1:8" x14ac:dyDescent="0.3">
      <c r="A67" s="9">
        <v>2023</v>
      </c>
      <c r="B67" s="9" t="s">
        <v>104</v>
      </c>
      <c r="C67" s="9">
        <f>445811.6-453055.5</f>
        <v>-7243.9000000000233</v>
      </c>
      <c r="D67" s="9" t="s">
        <v>65</v>
      </c>
      <c r="F67" s="10" t="s">
        <v>81</v>
      </c>
      <c r="H67" s="9" t="s">
        <v>167</v>
      </c>
    </row>
    <row r="68" spans="1:8" x14ac:dyDescent="0.3">
      <c r="A68" s="9">
        <v>2023</v>
      </c>
      <c r="B68" s="9" t="s">
        <v>104</v>
      </c>
      <c r="C68" s="9">
        <f>99515-99563.6652</f>
        <v>-48.665200000003097</v>
      </c>
      <c r="D68" s="9" t="s">
        <v>65</v>
      </c>
      <c r="F68" s="9" t="s">
        <v>69</v>
      </c>
      <c r="H68" s="9" t="s">
        <v>167</v>
      </c>
    </row>
    <row r="69" spans="1:8" x14ac:dyDescent="0.3">
      <c r="A69" s="9">
        <v>2023</v>
      </c>
      <c r="B69" s="9" t="s">
        <v>109</v>
      </c>
      <c r="C69" s="9">
        <v>10797.1</v>
      </c>
      <c r="D69" s="10" t="s">
        <v>65</v>
      </c>
      <c r="E69" s="9">
        <v>10797144</v>
      </c>
      <c r="F69" s="9" t="s">
        <v>69</v>
      </c>
      <c r="G69" s="10" t="s">
        <v>70</v>
      </c>
      <c r="H69" s="9" t="s">
        <v>167</v>
      </c>
    </row>
    <row r="70" spans="1:8" x14ac:dyDescent="0.3">
      <c r="A70" s="9">
        <v>2023</v>
      </c>
      <c r="B70" s="9" t="s">
        <v>109</v>
      </c>
      <c r="C70" s="9">
        <v>1551.5</v>
      </c>
      <c r="D70" s="10" t="s">
        <v>65</v>
      </c>
      <c r="E70" s="9">
        <v>1551604</v>
      </c>
      <c r="F70" s="9" t="s">
        <v>69</v>
      </c>
      <c r="G70" s="9" t="s">
        <v>91</v>
      </c>
      <c r="H70" s="9" t="s">
        <v>167</v>
      </c>
    </row>
    <row r="71" spans="1:8" x14ac:dyDescent="0.3">
      <c r="A71" s="9">
        <v>2023</v>
      </c>
      <c r="B71" s="9" t="s">
        <v>109</v>
      </c>
      <c r="C71" s="9">
        <v>12000</v>
      </c>
      <c r="D71" s="10" t="s">
        <v>65</v>
      </c>
      <c r="E71" s="9">
        <v>12000000</v>
      </c>
      <c r="F71" s="10" t="s">
        <v>81</v>
      </c>
      <c r="G71" s="9" t="s">
        <v>68</v>
      </c>
      <c r="H71" s="9" t="s">
        <v>167</v>
      </c>
    </row>
    <row r="72" spans="1:8" x14ac:dyDescent="0.3">
      <c r="A72" s="9">
        <v>2023</v>
      </c>
      <c r="B72" s="9" t="s">
        <v>109</v>
      </c>
      <c r="C72" s="9">
        <v>6572.5</v>
      </c>
      <c r="D72" s="10" t="s">
        <v>65</v>
      </c>
      <c r="E72" s="9">
        <v>6572481</v>
      </c>
      <c r="F72" s="9" t="s">
        <v>66</v>
      </c>
      <c r="G72" s="9" t="s">
        <v>67</v>
      </c>
      <c r="H72" s="9" t="s">
        <v>167</v>
      </c>
    </row>
    <row r="73" spans="1:8" x14ac:dyDescent="0.3">
      <c r="A73" s="9">
        <v>2023</v>
      </c>
      <c r="B73" s="9" t="s">
        <v>109</v>
      </c>
      <c r="C73" s="9">
        <v>1800</v>
      </c>
      <c r="D73" s="10" t="s">
        <v>65</v>
      </c>
      <c r="E73" s="9">
        <v>1800000</v>
      </c>
      <c r="F73" s="10" t="s">
        <v>81</v>
      </c>
      <c r="G73" s="10" t="s">
        <v>64</v>
      </c>
      <c r="H73" s="9" t="s">
        <v>167</v>
      </c>
    </row>
    <row r="74" spans="1:8" x14ac:dyDescent="0.3">
      <c r="A74" s="9">
        <v>2023</v>
      </c>
      <c r="B74" s="9" t="s">
        <v>111</v>
      </c>
      <c r="C74" s="9">
        <v>500</v>
      </c>
      <c r="D74" s="10" t="s">
        <v>65</v>
      </c>
      <c r="E74" s="9">
        <v>500000</v>
      </c>
      <c r="F74" s="9" t="s">
        <v>69</v>
      </c>
      <c r="G74" s="9" t="s">
        <v>91</v>
      </c>
      <c r="H74" s="9" t="s">
        <v>167</v>
      </c>
    </row>
    <row r="75" spans="1:8" x14ac:dyDescent="0.3">
      <c r="A75" s="9">
        <v>2023</v>
      </c>
      <c r="B75" s="9" t="s">
        <v>111</v>
      </c>
      <c r="C75" s="9">
        <v>21091.3</v>
      </c>
      <c r="D75" s="10" t="s">
        <v>65</v>
      </c>
      <c r="E75" s="9">
        <v>21091262</v>
      </c>
      <c r="F75" s="9" t="s">
        <v>66</v>
      </c>
      <c r="G75" s="9" t="s">
        <v>67</v>
      </c>
      <c r="H75" s="9" t="s">
        <v>167</v>
      </c>
    </row>
    <row r="76" spans="1:8" x14ac:dyDescent="0.3">
      <c r="A76" s="9">
        <v>2023</v>
      </c>
      <c r="B76" s="9" t="s">
        <v>111</v>
      </c>
      <c r="C76" s="9">
        <v>400</v>
      </c>
      <c r="D76" s="10" t="s">
        <v>65</v>
      </c>
      <c r="E76" s="9">
        <v>400000</v>
      </c>
      <c r="F76" s="10" t="s">
        <v>81</v>
      </c>
      <c r="G76" s="9" t="s">
        <v>64</v>
      </c>
      <c r="H76" s="9" t="s">
        <v>167</v>
      </c>
    </row>
    <row r="77" spans="1:8" x14ac:dyDescent="0.3">
      <c r="A77" s="9">
        <v>2023</v>
      </c>
      <c r="B77" s="9" t="s">
        <v>77</v>
      </c>
      <c r="C77" s="9">
        <v>1100</v>
      </c>
      <c r="D77" s="10" t="s">
        <v>65</v>
      </c>
      <c r="E77" s="10">
        <v>1100000</v>
      </c>
      <c r="F77" s="10" t="s">
        <v>81</v>
      </c>
      <c r="G77" s="10" t="s">
        <v>64</v>
      </c>
      <c r="H77" s="9" t="s">
        <v>167</v>
      </c>
    </row>
    <row r="78" spans="1:8" x14ac:dyDescent="0.3">
      <c r="A78" s="9">
        <v>2023</v>
      </c>
      <c r="B78" s="9" t="s">
        <v>77</v>
      </c>
      <c r="C78" s="9">
        <v>13767</v>
      </c>
      <c r="D78" s="10" t="s">
        <v>65</v>
      </c>
      <c r="E78" s="10">
        <v>13766983</v>
      </c>
      <c r="F78" s="9" t="s">
        <v>66</v>
      </c>
      <c r="G78" s="10" t="s">
        <v>67</v>
      </c>
      <c r="H78" s="9" t="s">
        <v>167</v>
      </c>
    </row>
    <row r="79" spans="1:8" x14ac:dyDescent="0.3">
      <c r="A79" s="9">
        <v>2023</v>
      </c>
      <c r="B79" s="9" t="s">
        <v>77</v>
      </c>
      <c r="C79" s="9">
        <v>19984.900000000001</v>
      </c>
      <c r="D79" s="10" t="s">
        <v>65</v>
      </c>
      <c r="E79" s="10">
        <v>19984872</v>
      </c>
      <c r="F79" s="10" t="s">
        <v>81</v>
      </c>
      <c r="G79" s="10" t="s">
        <v>68</v>
      </c>
      <c r="H79" s="9" t="s">
        <v>167</v>
      </c>
    </row>
    <row r="80" spans="1:8" x14ac:dyDescent="0.3">
      <c r="A80" s="9">
        <v>2023</v>
      </c>
      <c r="B80" s="9" t="s">
        <v>77</v>
      </c>
      <c r="C80" s="9">
        <v>1E-3</v>
      </c>
      <c r="D80" s="10" t="s">
        <v>65</v>
      </c>
      <c r="E80" s="10">
        <v>1</v>
      </c>
      <c r="F80" s="9" t="s">
        <v>69</v>
      </c>
      <c r="G80" s="10" t="s">
        <v>70</v>
      </c>
      <c r="H80" s="9" t="s">
        <v>167</v>
      </c>
    </row>
    <row r="81" spans="1:8" x14ac:dyDescent="0.3">
      <c r="A81" s="9">
        <v>2023</v>
      </c>
      <c r="B81" s="9" t="s">
        <v>77</v>
      </c>
      <c r="C81" s="9">
        <v>21237.1</v>
      </c>
      <c r="D81" s="10" t="s">
        <v>65</v>
      </c>
      <c r="E81" s="9">
        <v>21237134</v>
      </c>
      <c r="F81" s="9" t="s">
        <v>69</v>
      </c>
      <c r="G81" s="9" t="s">
        <v>78</v>
      </c>
      <c r="H81" s="9" t="s">
        <v>167</v>
      </c>
    </row>
    <row r="82" spans="1:8" x14ac:dyDescent="0.3">
      <c r="A82" s="9">
        <v>2023</v>
      </c>
      <c r="B82" s="9" t="s">
        <v>80</v>
      </c>
      <c r="C82" s="9">
        <v>2241.6</v>
      </c>
      <c r="D82" s="10" t="s">
        <v>65</v>
      </c>
      <c r="E82" s="9">
        <v>2241607</v>
      </c>
      <c r="F82" s="9" t="s">
        <v>66</v>
      </c>
      <c r="G82" s="9" t="s">
        <v>67</v>
      </c>
      <c r="H82" s="9" t="s">
        <v>167</v>
      </c>
    </row>
    <row r="83" spans="1:8" x14ac:dyDescent="0.3">
      <c r="A83" s="9">
        <v>2023</v>
      </c>
      <c r="B83" s="9" t="s">
        <v>80</v>
      </c>
      <c r="C83" s="9">
        <v>4600</v>
      </c>
      <c r="D83" s="10" t="s">
        <v>65</v>
      </c>
      <c r="E83" s="9">
        <v>4600000</v>
      </c>
      <c r="F83" s="10" t="s">
        <v>81</v>
      </c>
      <c r="G83" s="9" t="s">
        <v>68</v>
      </c>
      <c r="H83" s="9" t="s">
        <v>167</v>
      </c>
    </row>
    <row r="84" spans="1:8" x14ac:dyDescent="0.3">
      <c r="A84" s="9">
        <v>2023</v>
      </c>
      <c r="B84" s="9" t="s">
        <v>80</v>
      </c>
      <c r="C84" s="9">
        <v>123643</v>
      </c>
      <c r="D84" s="10" t="s">
        <v>65</v>
      </c>
      <c r="E84" s="9">
        <v>123643009</v>
      </c>
      <c r="F84" s="9" t="s">
        <v>82</v>
      </c>
      <c r="G84" s="9" t="s">
        <v>83</v>
      </c>
      <c r="H84" s="9" t="s">
        <v>167</v>
      </c>
    </row>
    <row r="85" spans="1:8" x14ac:dyDescent="0.3">
      <c r="A85" s="9">
        <v>2023</v>
      </c>
      <c r="B85" s="9" t="s">
        <v>80</v>
      </c>
      <c r="C85" s="9">
        <v>12766</v>
      </c>
      <c r="D85" s="10" t="s">
        <v>65</v>
      </c>
      <c r="E85" s="9">
        <v>12766000</v>
      </c>
      <c r="F85" s="9" t="s">
        <v>69</v>
      </c>
      <c r="G85" s="9" t="s">
        <v>84</v>
      </c>
      <c r="H85" s="9" t="s">
        <v>167</v>
      </c>
    </row>
    <row r="86" spans="1:8" x14ac:dyDescent="0.3">
      <c r="A86" s="9">
        <v>2023</v>
      </c>
      <c r="B86" s="9" t="s">
        <v>80</v>
      </c>
      <c r="C86" s="9">
        <v>16054.2</v>
      </c>
      <c r="D86" s="10" t="s">
        <v>65</v>
      </c>
      <c r="E86" s="9">
        <v>16054214</v>
      </c>
      <c r="F86" s="9" t="s">
        <v>69</v>
      </c>
      <c r="G86" s="9" t="s">
        <v>70</v>
      </c>
      <c r="H86" s="9" t="s">
        <v>167</v>
      </c>
    </row>
    <row r="87" spans="1:8" x14ac:dyDescent="0.3">
      <c r="A87" s="9">
        <v>2023</v>
      </c>
      <c r="B87" s="9" t="s">
        <v>90</v>
      </c>
      <c r="C87" s="9">
        <v>3134.9</v>
      </c>
      <c r="D87" s="10" t="s">
        <v>65</v>
      </c>
      <c r="E87" s="9">
        <v>3134869</v>
      </c>
      <c r="F87" s="9" t="s">
        <v>66</v>
      </c>
      <c r="G87" s="9" t="s">
        <v>67</v>
      </c>
      <c r="H87" s="9" t="s">
        <v>167</v>
      </c>
    </row>
    <row r="88" spans="1:8" x14ac:dyDescent="0.3">
      <c r="A88" s="9">
        <v>2023</v>
      </c>
      <c r="B88" s="9" t="s">
        <v>90</v>
      </c>
      <c r="C88" s="9">
        <v>2000</v>
      </c>
      <c r="D88" s="10" t="s">
        <v>65</v>
      </c>
      <c r="E88" s="9">
        <v>2000000</v>
      </c>
      <c r="F88" s="9" t="s">
        <v>69</v>
      </c>
      <c r="G88" s="9" t="s">
        <v>91</v>
      </c>
      <c r="H88" s="9" t="s">
        <v>167</v>
      </c>
    </row>
    <row r="89" spans="1:8" x14ac:dyDescent="0.3">
      <c r="A89" s="9">
        <v>2023</v>
      </c>
      <c r="B89" s="9" t="s">
        <v>96</v>
      </c>
      <c r="C89" s="9">
        <v>9361.9</v>
      </c>
      <c r="D89" s="10" t="s">
        <v>65</v>
      </c>
      <c r="E89" s="11">
        <v>9361922</v>
      </c>
      <c r="F89" s="9" t="s">
        <v>66</v>
      </c>
      <c r="G89" s="9" t="s">
        <v>67</v>
      </c>
      <c r="H89" s="9" t="s">
        <v>167</v>
      </c>
    </row>
    <row r="90" spans="1:8" x14ac:dyDescent="0.3">
      <c r="A90" s="9">
        <v>2023</v>
      </c>
      <c r="B90" s="9" t="s">
        <v>96</v>
      </c>
      <c r="C90" s="9">
        <v>28300</v>
      </c>
      <c r="D90" s="10" t="s">
        <v>65</v>
      </c>
      <c r="E90" s="9">
        <v>28300000</v>
      </c>
      <c r="F90" s="10" t="s">
        <v>81</v>
      </c>
      <c r="G90" s="9" t="s">
        <v>68</v>
      </c>
      <c r="H90" s="9" t="s">
        <v>167</v>
      </c>
    </row>
    <row r="91" spans="1:8" x14ac:dyDescent="0.3">
      <c r="A91" s="9">
        <v>2023</v>
      </c>
      <c r="B91" s="9" t="s">
        <v>96</v>
      </c>
      <c r="C91" s="9">
        <v>17248.8</v>
      </c>
      <c r="D91" s="10" t="s">
        <v>65</v>
      </c>
      <c r="E91" s="9">
        <v>17248770</v>
      </c>
      <c r="F91" s="9" t="s">
        <v>82</v>
      </c>
      <c r="G91" s="9" t="s">
        <v>83</v>
      </c>
      <c r="H91" s="9" t="s">
        <v>167</v>
      </c>
    </row>
    <row r="92" spans="1:8" x14ac:dyDescent="0.3">
      <c r="A92" s="9">
        <v>2023</v>
      </c>
      <c r="B92" s="9" t="s">
        <v>96</v>
      </c>
      <c r="C92" s="9">
        <v>1578.2</v>
      </c>
      <c r="D92" s="10" t="s">
        <v>65</v>
      </c>
      <c r="E92" s="9">
        <v>1578243</v>
      </c>
      <c r="F92" s="9" t="s">
        <v>69</v>
      </c>
      <c r="G92" s="9" t="s">
        <v>91</v>
      </c>
      <c r="H92" s="9" t="s">
        <v>167</v>
      </c>
    </row>
    <row r="93" spans="1:8" x14ac:dyDescent="0.3">
      <c r="A93" s="9">
        <v>2023</v>
      </c>
      <c r="B93" s="9" t="s">
        <v>96</v>
      </c>
      <c r="C93" s="9">
        <v>15450</v>
      </c>
      <c r="D93" s="10" t="s">
        <v>65</v>
      </c>
      <c r="E93" s="9">
        <v>15450000</v>
      </c>
      <c r="F93" s="9" t="s">
        <v>69</v>
      </c>
      <c r="G93" s="9" t="s">
        <v>84</v>
      </c>
      <c r="H93" s="9" t="s">
        <v>167</v>
      </c>
    </row>
    <row r="94" spans="1:8" x14ac:dyDescent="0.3">
      <c r="A94" s="9">
        <v>2023</v>
      </c>
      <c r="B94" s="9" t="s">
        <v>96</v>
      </c>
      <c r="C94" s="9">
        <v>6622.2</v>
      </c>
      <c r="D94" s="10" t="s">
        <v>65</v>
      </c>
      <c r="E94" s="9">
        <v>6622214</v>
      </c>
      <c r="F94" s="9" t="s">
        <v>69</v>
      </c>
      <c r="G94" s="9" t="s">
        <v>70</v>
      </c>
      <c r="H94" s="9" t="s">
        <v>167</v>
      </c>
    </row>
    <row r="95" spans="1:8" x14ac:dyDescent="0.3">
      <c r="A95" s="9">
        <v>2023</v>
      </c>
      <c r="B95" s="9" t="s">
        <v>97</v>
      </c>
      <c r="C95" s="9">
        <v>5675.3</v>
      </c>
      <c r="D95" s="10" t="s">
        <v>65</v>
      </c>
      <c r="E95" s="9">
        <v>5675261</v>
      </c>
      <c r="F95" s="9" t="s">
        <v>66</v>
      </c>
      <c r="G95" s="9" t="s">
        <v>67</v>
      </c>
      <c r="H95" s="9" t="s">
        <v>167</v>
      </c>
    </row>
    <row r="96" spans="1:8" x14ac:dyDescent="0.3">
      <c r="A96" s="9">
        <v>2023</v>
      </c>
      <c r="B96" s="9" t="s">
        <v>97</v>
      </c>
      <c r="C96" s="9">
        <v>10000</v>
      </c>
      <c r="D96" s="9" t="s">
        <v>98</v>
      </c>
      <c r="E96" s="9">
        <v>10000000</v>
      </c>
      <c r="F96" s="9" t="s">
        <v>99</v>
      </c>
      <c r="G96" s="9" t="s">
        <v>100</v>
      </c>
      <c r="H96" s="9" t="s">
        <v>167</v>
      </c>
    </row>
    <row r="97" spans="1:8" x14ac:dyDescent="0.3">
      <c r="A97" s="9">
        <v>2023</v>
      </c>
      <c r="B97" s="9" t="s">
        <v>101</v>
      </c>
      <c r="C97" s="9">
        <v>6343.1</v>
      </c>
      <c r="D97" s="10" t="s">
        <v>65</v>
      </c>
      <c r="E97" s="9">
        <v>6343082</v>
      </c>
      <c r="F97" s="9" t="s">
        <v>66</v>
      </c>
      <c r="G97" s="9" t="s">
        <v>67</v>
      </c>
      <c r="H97" s="9" t="s">
        <v>167</v>
      </c>
    </row>
    <row r="98" spans="1:8" x14ac:dyDescent="0.3">
      <c r="A98" s="9">
        <v>2023</v>
      </c>
      <c r="B98" s="9" t="s">
        <v>101</v>
      </c>
      <c r="C98" s="9">
        <v>1700</v>
      </c>
      <c r="D98" s="10" t="s">
        <v>65</v>
      </c>
      <c r="E98" s="9">
        <v>1700000</v>
      </c>
      <c r="F98" s="9" t="s">
        <v>81</v>
      </c>
      <c r="G98" s="9" t="s">
        <v>68</v>
      </c>
      <c r="H98" s="9" t="s">
        <v>167</v>
      </c>
    </row>
    <row r="99" spans="1:8" x14ac:dyDescent="0.3">
      <c r="A99" s="9">
        <v>2023</v>
      </c>
      <c r="B99" s="9" t="s">
        <v>102</v>
      </c>
      <c r="C99" s="9">
        <v>11886</v>
      </c>
      <c r="D99" s="10" t="s">
        <v>65</v>
      </c>
      <c r="E99" s="9">
        <v>11886000</v>
      </c>
      <c r="F99" s="9" t="s">
        <v>66</v>
      </c>
      <c r="G99" s="9" t="s">
        <v>67</v>
      </c>
      <c r="H99" s="9" t="s">
        <v>167</v>
      </c>
    </row>
    <row r="100" spans="1:8" x14ac:dyDescent="0.3">
      <c r="A100" s="9">
        <v>2022</v>
      </c>
      <c r="B100" s="9" t="s">
        <v>104</v>
      </c>
      <c r="C100" s="9">
        <v>115000</v>
      </c>
      <c r="D100" s="10" t="s">
        <v>65</v>
      </c>
      <c r="E100" s="9">
        <v>115000000</v>
      </c>
      <c r="F100" s="9" t="s">
        <v>81</v>
      </c>
      <c r="G100" s="9" t="s">
        <v>105</v>
      </c>
      <c r="H100" s="9" t="s">
        <v>167</v>
      </c>
    </row>
    <row r="101" spans="1:8" x14ac:dyDescent="0.3">
      <c r="A101" s="9">
        <v>2022</v>
      </c>
      <c r="B101" s="9" t="s">
        <v>104</v>
      </c>
      <c r="C101" s="9">
        <v>66940.600000000006</v>
      </c>
      <c r="D101" s="10" t="s">
        <v>65</v>
      </c>
      <c r="E101" s="9">
        <v>66940563</v>
      </c>
      <c r="F101" s="9" t="s">
        <v>81</v>
      </c>
      <c r="G101" s="9" t="s">
        <v>68</v>
      </c>
      <c r="H101" s="9" t="s">
        <v>167</v>
      </c>
    </row>
    <row r="102" spans="1:8" x14ac:dyDescent="0.3">
      <c r="A102" s="9">
        <v>2022</v>
      </c>
      <c r="B102" s="9" t="s">
        <v>104</v>
      </c>
      <c r="C102" s="9">
        <v>17703.3</v>
      </c>
      <c r="D102" s="10" t="s">
        <v>65</v>
      </c>
      <c r="E102" s="9">
        <v>17703272</v>
      </c>
      <c r="F102" s="9" t="s">
        <v>81</v>
      </c>
      <c r="G102" s="9" t="s">
        <v>106</v>
      </c>
      <c r="H102" s="9" t="s">
        <v>167</v>
      </c>
    </row>
    <row r="103" spans="1:8" x14ac:dyDescent="0.3">
      <c r="A103" s="9">
        <v>2022</v>
      </c>
      <c r="B103" s="9" t="s">
        <v>109</v>
      </c>
      <c r="C103" s="9">
        <v>35000</v>
      </c>
      <c r="D103" s="10" t="s">
        <v>65</v>
      </c>
      <c r="E103" s="9">
        <v>35000000</v>
      </c>
      <c r="F103" s="9" t="s">
        <v>81</v>
      </c>
      <c r="G103" s="9" t="s">
        <v>105</v>
      </c>
      <c r="H103" s="9" t="s">
        <v>167</v>
      </c>
    </row>
    <row r="104" spans="1:8" x14ac:dyDescent="0.3">
      <c r="A104" s="9">
        <v>2022</v>
      </c>
      <c r="B104" s="9" t="s">
        <v>109</v>
      </c>
      <c r="C104" s="9">
        <v>18300</v>
      </c>
      <c r="D104" s="9" t="s">
        <v>98</v>
      </c>
      <c r="E104" s="9">
        <v>18300000</v>
      </c>
      <c r="F104" s="9" t="s">
        <v>99</v>
      </c>
      <c r="G104" s="9" t="s">
        <v>100</v>
      </c>
      <c r="H104" s="9" t="s">
        <v>167</v>
      </c>
    </row>
    <row r="105" spans="1:8" x14ac:dyDescent="0.3">
      <c r="A105" s="9">
        <v>2022</v>
      </c>
      <c r="B105" s="9" t="s">
        <v>109</v>
      </c>
      <c r="C105" s="9">
        <v>12457.5</v>
      </c>
      <c r="D105" s="10" t="s">
        <v>65</v>
      </c>
      <c r="E105" s="9">
        <v>12457517</v>
      </c>
      <c r="F105" s="9" t="s">
        <v>110</v>
      </c>
      <c r="G105" s="9" t="s">
        <v>67</v>
      </c>
      <c r="H105" s="9" t="s">
        <v>167</v>
      </c>
    </row>
    <row r="106" spans="1:8" x14ac:dyDescent="0.3">
      <c r="A106" s="9">
        <v>2022</v>
      </c>
      <c r="B106" s="9" t="s">
        <v>111</v>
      </c>
      <c r="C106" s="9">
        <v>5031.2</v>
      </c>
      <c r="D106" s="10" t="s">
        <v>65</v>
      </c>
      <c r="E106" s="9">
        <v>5031235</v>
      </c>
      <c r="F106" s="9" t="s">
        <v>110</v>
      </c>
      <c r="G106" s="9" t="s">
        <v>67</v>
      </c>
      <c r="H106" s="9" t="s">
        <v>167</v>
      </c>
    </row>
    <row r="107" spans="1:8" x14ac:dyDescent="0.3">
      <c r="A107" s="9">
        <v>2022</v>
      </c>
      <c r="B107" s="9" t="s">
        <v>77</v>
      </c>
      <c r="C107" s="9">
        <v>4607.3</v>
      </c>
      <c r="D107" s="10" t="s">
        <v>65</v>
      </c>
      <c r="E107" s="9">
        <v>4607263</v>
      </c>
      <c r="F107" s="9" t="s">
        <v>110</v>
      </c>
      <c r="G107" s="9" t="s">
        <v>67</v>
      </c>
      <c r="H107" s="9" t="s">
        <v>167</v>
      </c>
    </row>
    <row r="108" spans="1:8" x14ac:dyDescent="0.3">
      <c r="A108" s="9">
        <v>2022</v>
      </c>
      <c r="B108" s="9" t="s">
        <v>80</v>
      </c>
      <c r="C108" s="9">
        <v>2078.6</v>
      </c>
      <c r="D108" s="10" t="s">
        <v>65</v>
      </c>
      <c r="E108" s="9">
        <v>2078621</v>
      </c>
      <c r="F108" s="9" t="s">
        <v>110</v>
      </c>
      <c r="G108" s="9" t="s">
        <v>67</v>
      </c>
      <c r="H108" s="9" t="s">
        <v>167</v>
      </c>
    </row>
    <row r="109" spans="1:8" x14ac:dyDescent="0.3">
      <c r="A109" s="9">
        <v>2022</v>
      </c>
      <c r="B109" s="9" t="s">
        <v>90</v>
      </c>
      <c r="C109" s="9">
        <v>1569.6</v>
      </c>
      <c r="D109" s="10" t="s">
        <v>65</v>
      </c>
      <c r="E109" s="9">
        <v>1569640</v>
      </c>
      <c r="F109" s="9" t="s">
        <v>110</v>
      </c>
      <c r="G109" s="9" t="s">
        <v>67</v>
      </c>
      <c r="H109" s="9" t="s">
        <v>167</v>
      </c>
    </row>
    <row r="110" spans="1:8" x14ac:dyDescent="0.3">
      <c r="A110" s="9">
        <v>2022</v>
      </c>
      <c r="B110" s="9" t="s">
        <v>96</v>
      </c>
      <c r="C110" s="9">
        <v>4203.7</v>
      </c>
      <c r="D110" s="10" t="s">
        <v>65</v>
      </c>
      <c r="E110" s="9">
        <v>4203745</v>
      </c>
      <c r="F110" s="9" t="s">
        <v>110</v>
      </c>
      <c r="G110" s="9" t="s">
        <v>67</v>
      </c>
      <c r="H110" s="9" t="s">
        <v>167</v>
      </c>
    </row>
    <row r="111" spans="1:8" x14ac:dyDescent="0.3">
      <c r="A111" s="9">
        <v>2022</v>
      </c>
      <c r="B111" s="9" t="s">
        <v>97</v>
      </c>
      <c r="C111" s="9">
        <v>3038</v>
      </c>
      <c r="D111" s="10" t="s">
        <v>65</v>
      </c>
      <c r="E111" s="9">
        <v>3037979</v>
      </c>
      <c r="F111" s="9" t="s">
        <v>110</v>
      </c>
      <c r="G111" s="9" t="s">
        <v>67</v>
      </c>
      <c r="H111" s="9" t="s">
        <v>167</v>
      </c>
    </row>
    <row r="112" spans="1:8" x14ac:dyDescent="0.3">
      <c r="A112" s="9">
        <v>2022</v>
      </c>
      <c r="B112" s="9" t="s">
        <v>101</v>
      </c>
      <c r="C112" s="9">
        <v>4014</v>
      </c>
      <c r="D112" s="10" t="s">
        <v>65</v>
      </c>
      <c r="E112" s="9">
        <v>4014000</v>
      </c>
      <c r="F112" s="9" t="s">
        <v>110</v>
      </c>
      <c r="G112" s="9" t="s">
        <v>67</v>
      </c>
      <c r="H112" s="9" t="s">
        <v>167</v>
      </c>
    </row>
    <row r="113" spans="1:8" x14ac:dyDescent="0.3">
      <c r="A113" s="9">
        <v>2021</v>
      </c>
      <c r="B113" s="9" t="s">
        <v>96</v>
      </c>
      <c r="C113" s="9">
        <v>13830</v>
      </c>
      <c r="D113" s="9" t="s">
        <v>98</v>
      </c>
      <c r="E113" s="9">
        <v>13830000</v>
      </c>
      <c r="F113" s="9" t="s">
        <v>99</v>
      </c>
      <c r="G113" s="9" t="s">
        <v>115</v>
      </c>
      <c r="H113" s="9" t="s">
        <v>167</v>
      </c>
    </row>
    <row r="114" spans="1:8" x14ac:dyDescent="0.3">
      <c r="A114" s="9">
        <v>2021</v>
      </c>
      <c r="B114" s="9" t="s">
        <v>97</v>
      </c>
      <c r="C114" s="9">
        <v>1670</v>
      </c>
      <c r="D114" s="9" t="s">
        <v>98</v>
      </c>
      <c r="E114" s="9">
        <v>1670000</v>
      </c>
      <c r="F114" s="9" t="s">
        <v>99</v>
      </c>
      <c r="G114" s="9" t="s">
        <v>115</v>
      </c>
      <c r="H114" s="9" t="s">
        <v>167</v>
      </c>
    </row>
    <row r="115" spans="1:8" x14ac:dyDescent="0.3">
      <c r="A115" s="9">
        <v>2020</v>
      </c>
      <c r="B115" s="9" t="s">
        <v>104</v>
      </c>
      <c r="C115" s="9">
        <v>24500</v>
      </c>
      <c r="D115" s="9" t="s">
        <v>98</v>
      </c>
      <c r="E115" s="9">
        <v>24500000</v>
      </c>
      <c r="F115" s="9" t="s">
        <v>99</v>
      </c>
      <c r="G115" s="9" t="s">
        <v>115</v>
      </c>
      <c r="H115" s="9" t="s">
        <v>167</v>
      </c>
    </row>
    <row r="116" spans="1:8" x14ac:dyDescent="0.3">
      <c r="A116" s="9">
        <v>2020</v>
      </c>
      <c r="B116" s="9" t="s">
        <v>80</v>
      </c>
      <c r="C116" s="9">
        <v>2150</v>
      </c>
      <c r="D116" s="9" t="s">
        <v>65</v>
      </c>
      <c r="E116" s="9">
        <v>2150000</v>
      </c>
      <c r="F116" s="9" t="s">
        <v>81</v>
      </c>
      <c r="G116" s="9" t="s">
        <v>64</v>
      </c>
      <c r="H116" s="9" t="s">
        <v>167</v>
      </c>
    </row>
    <row r="117" spans="1:8" x14ac:dyDescent="0.3">
      <c r="A117" s="9">
        <v>2020</v>
      </c>
      <c r="B117" s="9" t="s">
        <v>80</v>
      </c>
      <c r="C117" s="9">
        <v>7359.9</v>
      </c>
      <c r="D117" s="9" t="s">
        <v>98</v>
      </c>
      <c r="E117" s="9">
        <v>7359900</v>
      </c>
      <c r="F117" s="9" t="s">
        <v>99</v>
      </c>
      <c r="G117" s="9" t="s">
        <v>115</v>
      </c>
      <c r="H117" s="9" t="s">
        <v>167</v>
      </c>
    </row>
    <row r="118" spans="1:8" x14ac:dyDescent="0.3">
      <c r="A118" s="9">
        <v>2020</v>
      </c>
      <c r="B118" s="9" t="s">
        <v>90</v>
      </c>
      <c r="C118" s="9">
        <v>13600</v>
      </c>
      <c r="D118" s="9" t="s">
        <v>65</v>
      </c>
      <c r="E118" s="9">
        <v>13600000</v>
      </c>
      <c r="F118" s="9" t="s">
        <v>81</v>
      </c>
      <c r="G118" s="9" t="s">
        <v>64</v>
      </c>
      <c r="H118" s="9" t="s">
        <v>167</v>
      </c>
    </row>
    <row r="119" spans="1:8" x14ac:dyDescent="0.3">
      <c r="A119" s="9">
        <v>2020</v>
      </c>
      <c r="B119" s="9" t="s">
        <v>90</v>
      </c>
      <c r="C119" s="9">
        <v>6500</v>
      </c>
      <c r="D119" s="9" t="s">
        <v>98</v>
      </c>
      <c r="E119" s="9">
        <v>6500000</v>
      </c>
      <c r="F119" s="9" t="s">
        <v>99</v>
      </c>
      <c r="G119" s="9" t="s">
        <v>115</v>
      </c>
      <c r="H119" s="9" t="s">
        <v>167</v>
      </c>
    </row>
    <row r="120" spans="1:8" x14ac:dyDescent="0.3">
      <c r="A120" s="9">
        <v>2020</v>
      </c>
      <c r="B120" s="9" t="s">
        <v>96</v>
      </c>
      <c r="C120" s="9">
        <v>3000</v>
      </c>
      <c r="D120" s="9" t="s">
        <v>65</v>
      </c>
      <c r="E120" s="9">
        <v>3000000</v>
      </c>
      <c r="F120" s="9" t="s">
        <v>81</v>
      </c>
      <c r="G120" s="9" t="s">
        <v>64</v>
      </c>
      <c r="H120" s="9" t="s">
        <v>167</v>
      </c>
    </row>
    <row r="121" spans="1:8" x14ac:dyDescent="0.3">
      <c r="A121" s="9">
        <v>2020</v>
      </c>
      <c r="B121" s="9" t="s">
        <v>97</v>
      </c>
      <c r="C121" s="9">
        <v>6640.1</v>
      </c>
      <c r="D121" s="9" t="s">
        <v>98</v>
      </c>
      <c r="E121" s="9">
        <v>6640100</v>
      </c>
      <c r="F121" s="9" t="s">
        <v>99</v>
      </c>
      <c r="G121" s="9" t="s">
        <v>115</v>
      </c>
      <c r="H121" s="9" t="s">
        <v>167</v>
      </c>
    </row>
    <row r="122" spans="1:8" x14ac:dyDescent="0.3">
      <c r="A122" s="9">
        <v>2020</v>
      </c>
      <c r="B122" s="9" t="s">
        <v>101</v>
      </c>
      <c r="C122" s="9">
        <v>3000</v>
      </c>
      <c r="D122" s="9" t="s">
        <v>65</v>
      </c>
      <c r="E122" s="9">
        <v>3000000</v>
      </c>
      <c r="F122" s="9" t="s">
        <v>81</v>
      </c>
      <c r="G122" s="9" t="s">
        <v>64</v>
      </c>
      <c r="H122" s="9" t="s">
        <v>167</v>
      </c>
    </row>
    <row r="123" spans="1:8" x14ac:dyDescent="0.3">
      <c r="A123" s="9">
        <v>2020</v>
      </c>
      <c r="B123" s="9" t="s">
        <v>103</v>
      </c>
      <c r="C123" s="9">
        <v>6000</v>
      </c>
      <c r="D123" s="9" t="s">
        <v>65</v>
      </c>
      <c r="E123" s="9">
        <v>6000000</v>
      </c>
      <c r="F123" s="9" t="s">
        <v>81</v>
      </c>
      <c r="G123" s="9" t="s">
        <v>64</v>
      </c>
      <c r="H123" s="9" t="s">
        <v>167</v>
      </c>
    </row>
    <row r="124" spans="1:8" x14ac:dyDescent="0.3">
      <c r="A124" s="9">
        <v>2019</v>
      </c>
      <c r="B124" s="9" t="s">
        <v>109</v>
      </c>
      <c r="C124" s="9">
        <v>4000</v>
      </c>
      <c r="D124" s="9" t="s">
        <v>65</v>
      </c>
      <c r="E124" s="9">
        <v>4000000</v>
      </c>
      <c r="F124" s="9" t="s">
        <v>81</v>
      </c>
      <c r="G124" s="9" t="s">
        <v>64</v>
      </c>
      <c r="H124" s="9" t="s">
        <v>167</v>
      </c>
    </row>
    <row r="125" spans="1:8" x14ac:dyDescent="0.3">
      <c r="A125" s="9">
        <v>2019</v>
      </c>
      <c r="B125" s="9" t="s">
        <v>109</v>
      </c>
      <c r="C125" s="9">
        <v>4055.2</v>
      </c>
      <c r="D125" s="9" t="s">
        <v>98</v>
      </c>
      <c r="E125" s="9">
        <v>4055202</v>
      </c>
      <c r="F125" s="9" t="s">
        <v>99</v>
      </c>
      <c r="G125" s="9" t="s">
        <v>115</v>
      </c>
      <c r="H125" s="9" t="s">
        <v>167</v>
      </c>
    </row>
    <row r="126" spans="1:8" x14ac:dyDescent="0.3">
      <c r="A126" s="9">
        <v>2019</v>
      </c>
      <c r="B126" s="9" t="s">
        <v>111</v>
      </c>
      <c r="C126" s="9">
        <v>2500</v>
      </c>
      <c r="D126" s="9" t="s">
        <v>65</v>
      </c>
      <c r="E126" s="9">
        <v>2500000</v>
      </c>
      <c r="F126" s="9" t="s">
        <v>81</v>
      </c>
      <c r="G126" s="9" t="s">
        <v>64</v>
      </c>
      <c r="H126" s="9" t="s">
        <v>167</v>
      </c>
    </row>
    <row r="127" spans="1:8" x14ac:dyDescent="0.3">
      <c r="A127" s="9">
        <v>2019</v>
      </c>
      <c r="B127" s="9" t="s">
        <v>111</v>
      </c>
      <c r="C127" s="9">
        <v>15444.8</v>
      </c>
      <c r="D127" s="9" t="s">
        <v>98</v>
      </c>
      <c r="E127" s="9">
        <v>15444798</v>
      </c>
      <c r="F127" s="9" t="s">
        <v>99</v>
      </c>
      <c r="G127" s="9" t="s">
        <v>115</v>
      </c>
      <c r="H127" s="9" t="s">
        <v>167</v>
      </c>
    </row>
    <row r="128" spans="1:8" x14ac:dyDescent="0.3">
      <c r="A128" s="9">
        <v>2019</v>
      </c>
      <c r="B128" s="9" t="s">
        <v>77</v>
      </c>
      <c r="C128" s="9">
        <v>2000</v>
      </c>
      <c r="D128" s="9" t="s">
        <v>65</v>
      </c>
      <c r="E128" s="9">
        <v>2000000</v>
      </c>
      <c r="F128" s="9" t="s">
        <v>81</v>
      </c>
      <c r="G128" s="9" t="s">
        <v>64</v>
      </c>
      <c r="H128" s="9" t="s">
        <v>167</v>
      </c>
    </row>
    <row r="129" spans="1:8" x14ac:dyDescent="0.3">
      <c r="A129" s="9">
        <v>2019</v>
      </c>
      <c r="B129" s="9" t="s">
        <v>90</v>
      </c>
      <c r="C129" s="9">
        <v>500</v>
      </c>
      <c r="D129" s="9" t="s">
        <v>65</v>
      </c>
      <c r="E129" s="9">
        <v>500000</v>
      </c>
      <c r="F129" s="9" t="s">
        <v>81</v>
      </c>
      <c r="G129" s="9" t="s">
        <v>64</v>
      </c>
      <c r="H129" s="9" t="s">
        <v>167</v>
      </c>
    </row>
    <row r="130" spans="1:8" x14ac:dyDescent="0.3">
      <c r="A130" s="9">
        <v>2019</v>
      </c>
      <c r="B130" s="9" t="s">
        <v>96</v>
      </c>
      <c r="C130" s="9">
        <v>2000</v>
      </c>
      <c r="D130" s="9" t="s">
        <v>65</v>
      </c>
      <c r="E130" s="9">
        <v>2000000</v>
      </c>
      <c r="F130" s="9" t="s">
        <v>81</v>
      </c>
      <c r="G130" s="9" t="s">
        <v>64</v>
      </c>
      <c r="H130" s="9" t="s">
        <v>167</v>
      </c>
    </row>
    <row r="131" spans="1:8" x14ac:dyDescent="0.3">
      <c r="A131" s="9">
        <v>2019</v>
      </c>
      <c r="B131" s="9" t="s">
        <v>97</v>
      </c>
      <c r="C131" s="9">
        <v>3000</v>
      </c>
      <c r="D131" s="9" t="s">
        <v>65</v>
      </c>
      <c r="E131" s="9">
        <v>3000000</v>
      </c>
      <c r="F131" s="9" t="s">
        <v>81</v>
      </c>
      <c r="G131" s="9" t="s">
        <v>64</v>
      </c>
      <c r="H131" s="9" t="s">
        <v>167</v>
      </c>
    </row>
    <row r="132" spans="1:8" x14ac:dyDescent="0.3">
      <c r="A132" s="9">
        <v>2019</v>
      </c>
      <c r="B132" s="9" t="s">
        <v>121</v>
      </c>
      <c r="C132" s="9">
        <v>2000</v>
      </c>
      <c r="D132" s="9" t="s">
        <v>65</v>
      </c>
      <c r="E132" s="9">
        <v>2000000</v>
      </c>
      <c r="F132" s="9" t="s">
        <v>81</v>
      </c>
      <c r="G132" s="9" t="s">
        <v>64</v>
      </c>
      <c r="H132" s="9" t="s">
        <v>167</v>
      </c>
    </row>
    <row r="133" spans="1:8" x14ac:dyDescent="0.3">
      <c r="A133" s="9">
        <v>2018</v>
      </c>
      <c r="B133" s="9" t="s">
        <v>104</v>
      </c>
      <c r="C133" s="9">
        <v>12240.8</v>
      </c>
      <c r="D133" s="9" t="s">
        <v>65</v>
      </c>
      <c r="E133" s="9">
        <v>12240800</v>
      </c>
      <c r="F133" s="9" t="s">
        <v>81</v>
      </c>
      <c r="G133" s="9" t="s">
        <v>64</v>
      </c>
      <c r="H133" s="9" t="s">
        <v>167</v>
      </c>
    </row>
    <row r="134" spans="1:8" x14ac:dyDescent="0.3">
      <c r="A134" s="9">
        <v>2018</v>
      </c>
      <c r="B134" s="9" t="s">
        <v>104</v>
      </c>
      <c r="C134" s="9">
        <v>20000</v>
      </c>
      <c r="D134" s="9" t="s">
        <v>98</v>
      </c>
      <c r="E134" s="9">
        <v>20000000</v>
      </c>
      <c r="F134" s="9" t="s">
        <v>99</v>
      </c>
      <c r="G134" s="9" t="s">
        <v>115</v>
      </c>
      <c r="H134" s="9" t="s">
        <v>167</v>
      </c>
    </row>
    <row r="135" spans="1:8" x14ac:dyDescent="0.3">
      <c r="A135" s="9">
        <v>2018</v>
      </c>
      <c r="B135" s="9" t="s">
        <v>109</v>
      </c>
      <c r="C135" s="9">
        <v>12759.2</v>
      </c>
      <c r="D135" s="9" t="s">
        <v>65</v>
      </c>
      <c r="E135" s="9">
        <v>12759200</v>
      </c>
      <c r="F135" s="9" t="s">
        <v>81</v>
      </c>
      <c r="G135" s="9" t="s">
        <v>64</v>
      </c>
      <c r="H135" s="9" t="s">
        <v>167</v>
      </c>
    </row>
    <row r="136" spans="1:8" x14ac:dyDescent="0.3">
      <c r="A136" s="9">
        <v>2018</v>
      </c>
      <c r="B136" s="9" t="s">
        <v>111</v>
      </c>
      <c r="C136" s="9">
        <v>2000</v>
      </c>
      <c r="D136" s="9" t="s">
        <v>65</v>
      </c>
      <c r="E136" s="9">
        <v>2000000</v>
      </c>
      <c r="F136" s="9" t="s">
        <v>81</v>
      </c>
      <c r="G136" s="9" t="s">
        <v>64</v>
      </c>
      <c r="H136" s="9" t="s">
        <v>167</v>
      </c>
    </row>
    <row r="137" spans="1:8" x14ac:dyDescent="0.3">
      <c r="A137" s="9">
        <v>2018</v>
      </c>
      <c r="B137" s="9" t="s">
        <v>77</v>
      </c>
      <c r="C137" s="9">
        <v>2000</v>
      </c>
      <c r="D137" s="9" t="s">
        <v>65</v>
      </c>
      <c r="E137" s="9">
        <v>2000000</v>
      </c>
      <c r="F137" s="9" t="s">
        <v>81</v>
      </c>
      <c r="G137" s="9" t="s">
        <v>64</v>
      </c>
      <c r="H137" s="9" t="s">
        <v>167</v>
      </c>
    </row>
    <row r="138" spans="1:8" x14ac:dyDescent="0.3">
      <c r="A138" s="9">
        <v>2017</v>
      </c>
      <c r="B138" s="9" t="s">
        <v>80</v>
      </c>
      <c r="C138" s="9">
        <v>16710</v>
      </c>
      <c r="D138" s="9" t="s">
        <v>65</v>
      </c>
      <c r="E138" s="9">
        <v>16710000</v>
      </c>
      <c r="F138" s="9" t="s">
        <v>81</v>
      </c>
      <c r="G138" s="9" t="s">
        <v>64</v>
      </c>
      <c r="H138" s="9" t="s">
        <v>167</v>
      </c>
    </row>
    <row r="139" spans="1:8" x14ac:dyDescent="0.3">
      <c r="A139" s="9">
        <v>2015</v>
      </c>
      <c r="B139" s="9" t="s">
        <v>104</v>
      </c>
      <c r="C139" s="9">
        <v>118600</v>
      </c>
      <c r="D139" s="9" t="s">
        <v>65</v>
      </c>
      <c r="E139" s="9">
        <v>1750000</v>
      </c>
      <c r="F139" s="9" t="s">
        <v>113</v>
      </c>
      <c r="G139" s="9" t="s">
        <v>114</v>
      </c>
      <c r="H139" s="9" t="s">
        <v>167</v>
      </c>
    </row>
    <row r="140" spans="1:8" x14ac:dyDescent="0.3">
      <c r="A140" s="9">
        <v>2015</v>
      </c>
      <c r="B140" s="9" t="s">
        <v>109</v>
      </c>
      <c r="C140" s="9">
        <v>75000</v>
      </c>
      <c r="D140" s="9" t="s">
        <v>65</v>
      </c>
      <c r="E140" s="9">
        <v>1156206</v>
      </c>
      <c r="F140" s="9" t="s">
        <v>85</v>
      </c>
      <c r="G140" s="10" t="s">
        <v>87</v>
      </c>
      <c r="H140" s="9" t="s">
        <v>167</v>
      </c>
    </row>
    <row r="141" spans="1:8" x14ac:dyDescent="0.3">
      <c r="A141" s="9">
        <v>2015</v>
      </c>
      <c r="B141" s="9" t="s">
        <v>102</v>
      </c>
      <c r="C141" s="9">
        <v>50000</v>
      </c>
      <c r="D141" s="9" t="s">
        <v>98</v>
      </c>
      <c r="E141" s="9">
        <v>50000000</v>
      </c>
      <c r="F141" s="9" t="s">
        <v>99</v>
      </c>
      <c r="G141" s="9" t="s">
        <v>115</v>
      </c>
      <c r="H141" s="9" t="s">
        <v>167</v>
      </c>
    </row>
    <row r="142" spans="1:8" x14ac:dyDescent="0.3">
      <c r="A142" s="9">
        <v>2015</v>
      </c>
      <c r="B142" s="9" t="s">
        <v>102</v>
      </c>
      <c r="C142" s="9">
        <v>57500</v>
      </c>
      <c r="D142" s="9" t="s">
        <v>98</v>
      </c>
      <c r="E142" s="9">
        <v>57500000</v>
      </c>
      <c r="F142" s="9" t="s">
        <v>123</v>
      </c>
      <c r="G142" s="9" t="s">
        <v>124</v>
      </c>
      <c r="H142" s="9" t="s">
        <v>167</v>
      </c>
    </row>
    <row r="143" spans="1:8" x14ac:dyDescent="0.3">
      <c r="A143" s="9">
        <v>2015</v>
      </c>
      <c r="B143" s="9" t="s">
        <v>103</v>
      </c>
      <c r="C143" s="9">
        <v>75000</v>
      </c>
      <c r="D143" s="9" t="s">
        <v>65</v>
      </c>
      <c r="E143" s="9">
        <v>1207024</v>
      </c>
      <c r="F143" s="9" t="s">
        <v>85</v>
      </c>
      <c r="G143" s="10" t="s">
        <v>87</v>
      </c>
      <c r="H143" s="9" t="s">
        <v>167</v>
      </c>
    </row>
    <row r="144" spans="1:8" x14ac:dyDescent="0.3">
      <c r="A144" s="9">
        <v>2014</v>
      </c>
      <c r="B144" s="9" t="s">
        <v>104</v>
      </c>
      <c r="C144" s="9">
        <v>1080</v>
      </c>
      <c r="D144" s="9" t="s">
        <v>65</v>
      </c>
      <c r="E144" s="9">
        <v>1080000</v>
      </c>
      <c r="F144" s="9" t="s">
        <v>107</v>
      </c>
      <c r="G144" s="9" t="s">
        <v>108</v>
      </c>
      <c r="H144" s="9" t="s">
        <v>167</v>
      </c>
    </row>
    <row r="145" spans="1:8" x14ac:dyDescent="0.3">
      <c r="A145" s="9">
        <v>2014</v>
      </c>
      <c r="B145" s="9" t="s">
        <v>104</v>
      </c>
      <c r="C145" s="9">
        <v>4050</v>
      </c>
      <c r="D145" s="9" t="s">
        <v>65</v>
      </c>
      <c r="E145" s="9">
        <v>4050000</v>
      </c>
      <c r="F145" s="9" t="s">
        <v>125</v>
      </c>
      <c r="G145" s="9" t="s">
        <v>126</v>
      </c>
      <c r="H145" s="9" t="s">
        <v>167</v>
      </c>
    </row>
    <row r="146" spans="1:8" x14ac:dyDescent="0.3">
      <c r="A146" s="9">
        <v>2023</v>
      </c>
      <c r="B146" s="9" t="s">
        <v>111</v>
      </c>
      <c r="C146" s="9">
        <v>-0.02</v>
      </c>
      <c r="D146" s="9" t="s">
        <v>65</v>
      </c>
      <c r="E146" s="9">
        <f>20000/(2000000/2000000)</f>
        <v>20000</v>
      </c>
      <c r="F146" s="10" t="s">
        <v>69</v>
      </c>
      <c r="G146" s="9" t="s">
        <v>91</v>
      </c>
      <c r="H146" s="9" t="s">
        <v>167</v>
      </c>
    </row>
    <row r="147" spans="1:8" x14ac:dyDescent="0.3">
      <c r="A147" s="9">
        <v>2023</v>
      </c>
      <c r="B147" s="9" t="s">
        <v>111</v>
      </c>
      <c r="C147" s="9">
        <v>-524.20000000000005</v>
      </c>
      <c r="D147" s="9" t="s">
        <v>65</v>
      </c>
      <c r="E147" s="11">
        <f>34948091*0.015</f>
        <v>524221.36499999999</v>
      </c>
      <c r="F147" s="9" t="s">
        <v>92</v>
      </c>
      <c r="G147" s="9" t="s">
        <v>93</v>
      </c>
      <c r="H147" s="9" t="s">
        <v>167</v>
      </c>
    </row>
    <row r="148" spans="1:8" x14ac:dyDescent="0.3">
      <c r="A148" s="9">
        <v>2023</v>
      </c>
      <c r="B148" s="9" t="s">
        <v>77</v>
      </c>
      <c r="C148" s="9">
        <v>-2298.9</v>
      </c>
      <c r="D148" s="9" t="s">
        <v>65</v>
      </c>
      <c r="E148" s="11">
        <f>2298929*1</f>
        <v>2298929</v>
      </c>
      <c r="F148" s="10" t="s">
        <v>86</v>
      </c>
      <c r="G148" s="9" t="s">
        <v>88</v>
      </c>
      <c r="H148" s="9" t="s">
        <v>167</v>
      </c>
    </row>
    <row r="149" spans="1:8" x14ac:dyDescent="0.3">
      <c r="A149" s="9">
        <v>2023</v>
      </c>
      <c r="B149" s="9" t="s">
        <v>77</v>
      </c>
      <c r="C149" s="9">
        <v>-1.5800000000000002E-2</v>
      </c>
      <c r="D149" s="9" t="s">
        <v>65</v>
      </c>
      <c r="E149" s="11">
        <f>15800/(1578243000/1578243)</f>
        <v>15.8</v>
      </c>
      <c r="F149" s="10" t="s">
        <v>69</v>
      </c>
      <c r="G149" s="9" t="s">
        <v>89</v>
      </c>
      <c r="H149" s="9" t="s">
        <v>167</v>
      </c>
    </row>
    <row r="150" spans="1:8" x14ac:dyDescent="0.3">
      <c r="A150" s="9">
        <v>2023</v>
      </c>
      <c r="B150" s="9" t="s">
        <v>80</v>
      </c>
      <c r="C150" s="10">
        <v>-6775.9</v>
      </c>
      <c r="D150" s="9" t="s">
        <v>65</v>
      </c>
      <c r="E150" s="11">
        <f>1207024*0.0588</f>
        <v>70973.011199999994</v>
      </c>
      <c r="F150" s="9" t="s">
        <v>85</v>
      </c>
      <c r="G150" s="10" t="s">
        <v>87</v>
      </c>
      <c r="H150" s="9" t="s">
        <v>167</v>
      </c>
    </row>
    <row r="151" spans="1:8" x14ac:dyDescent="0.3">
      <c r="A151" s="9">
        <v>2023</v>
      </c>
      <c r="B151" s="9" t="s">
        <v>90</v>
      </c>
      <c r="C151" s="9">
        <v>-524.20000000000005</v>
      </c>
      <c r="D151" s="10" t="s">
        <v>65</v>
      </c>
      <c r="E151" s="11">
        <f>34948091*0.015</f>
        <v>524221.36499999999</v>
      </c>
      <c r="F151" s="10" t="s">
        <v>92</v>
      </c>
      <c r="G151" s="9" t="s">
        <v>93</v>
      </c>
      <c r="H151" s="9" t="s">
        <v>167</v>
      </c>
    </row>
    <row r="152" spans="1:8" x14ac:dyDescent="0.3">
      <c r="A152" s="9">
        <v>2023</v>
      </c>
      <c r="B152" s="9" t="s">
        <v>90</v>
      </c>
      <c r="C152" s="9">
        <v>-11851.9</v>
      </c>
      <c r="D152" s="10" t="s">
        <v>65</v>
      </c>
      <c r="E152" s="11">
        <v>11851945</v>
      </c>
      <c r="F152" s="9" t="s">
        <v>94</v>
      </c>
      <c r="G152" s="9" t="s">
        <v>95</v>
      </c>
      <c r="H152" s="9" t="s">
        <v>167</v>
      </c>
    </row>
    <row r="153" spans="1:8" x14ac:dyDescent="0.3">
      <c r="A153" s="9">
        <v>2023</v>
      </c>
      <c r="B153" s="9" t="s">
        <v>96</v>
      </c>
      <c r="C153" s="10">
        <v>-5498.3</v>
      </c>
      <c r="D153" s="9" t="s">
        <v>65</v>
      </c>
      <c r="E153" s="11">
        <f>1156206*0.0588</f>
        <v>67984.912799999991</v>
      </c>
      <c r="F153" s="9" t="s">
        <v>85</v>
      </c>
      <c r="G153" s="10" t="s">
        <v>87</v>
      </c>
      <c r="H153" s="9" t="s">
        <v>167</v>
      </c>
    </row>
    <row r="154" spans="1:8" x14ac:dyDescent="0.3">
      <c r="A154" s="9">
        <v>2023</v>
      </c>
      <c r="B154" s="9" t="s">
        <v>103</v>
      </c>
      <c r="C154" s="9">
        <v>-5353.7</v>
      </c>
      <c r="D154" s="9" t="s">
        <v>65</v>
      </c>
      <c r="E154" s="11">
        <f>1207024*0.0588</f>
        <v>70973.011199999994</v>
      </c>
      <c r="F154" s="9" t="s">
        <v>85</v>
      </c>
      <c r="G154" s="10" t="s">
        <v>87</v>
      </c>
      <c r="H154" s="9" t="s">
        <v>167</v>
      </c>
    </row>
    <row r="155" spans="1:8" x14ac:dyDescent="0.3">
      <c r="A155" s="9">
        <v>2022</v>
      </c>
      <c r="B155" s="9" t="s">
        <v>104</v>
      </c>
      <c r="C155" s="9">
        <v>-4199.8</v>
      </c>
      <c r="D155" s="9" t="s">
        <v>65</v>
      </c>
      <c r="E155" s="11">
        <f>1156206*0.0588</f>
        <v>67984.912799999991</v>
      </c>
      <c r="F155" s="9" t="s">
        <v>85</v>
      </c>
      <c r="G155" s="10" t="s">
        <v>87</v>
      </c>
      <c r="H155" s="9" t="s">
        <v>167</v>
      </c>
    </row>
    <row r="156" spans="1:8" x14ac:dyDescent="0.3">
      <c r="A156" s="9">
        <v>2022</v>
      </c>
      <c r="B156" s="9" t="s">
        <v>104</v>
      </c>
      <c r="C156" s="9">
        <v>-1080</v>
      </c>
      <c r="D156" s="9" t="s">
        <v>65</v>
      </c>
      <c r="E156" s="11">
        <f>1080000*1</f>
        <v>1080000</v>
      </c>
      <c r="F156" s="9" t="s">
        <v>107</v>
      </c>
      <c r="G156" s="9" t="s">
        <v>108</v>
      </c>
      <c r="H156" s="9" t="s">
        <v>167</v>
      </c>
    </row>
    <row r="157" spans="1:8" x14ac:dyDescent="0.3">
      <c r="A157" s="9">
        <v>2022</v>
      </c>
      <c r="B157" s="9" t="s">
        <v>80</v>
      </c>
      <c r="C157" s="9">
        <v>-4284.2</v>
      </c>
      <c r="D157" s="9" t="s">
        <v>65</v>
      </c>
      <c r="E157" s="11">
        <f>1207024*0.0588</f>
        <v>70973.011199999994</v>
      </c>
      <c r="F157" s="9" t="s">
        <v>85</v>
      </c>
      <c r="G157" s="10" t="s">
        <v>87</v>
      </c>
      <c r="H157" s="9" t="s">
        <v>167</v>
      </c>
    </row>
    <row r="158" spans="1:8" x14ac:dyDescent="0.3">
      <c r="A158" s="9">
        <v>2022</v>
      </c>
      <c r="B158" s="9" t="s">
        <v>102</v>
      </c>
      <c r="C158" s="9">
        <v>-6640.2</v>
      </c>
      <c r="D158" s="9" t="s">
        <v>65</v>
      </c>
      <c r="E158" s="11">
        <f>1207024*0.0588</f>
        <v>70973.011199999994</v>
      </c>
      <c r="F158" s="9" t="s">
        <v>85</v>
      </c>
      <c r="G158" s="10" t="s">
        <v>87</v>
      </c>
      <c r="H158" s="9" t="s">
        <v>167</v>
      </c>
    </row>
    <row r="159" spans="1:8" x14ac:dyDescent="0.3">
      <c r="A159" s="9">
        <v>2022</v>
      </c>
      <c r="B159" s="9" t="s">
        <v>103</v>
      </c>
      <c r="C159" s="9">
        <f>-(49898.6+91903.4)</f>
        <v>-141802</v>
      </c>
      <c r="D159" s="9" t="s">
        <v>65</v>
      </c>
      <c r="E159" s="11">
        <v>1750000</v>
      </c>
      <c r="F159" s="9" t="s">
        <v>113</v>
      </c>
      <c r="G159" s="9" t="s">
        <v>114</v>
      </c>
      <c r="H159" s="9" t="s">
        <v>167</v>
      </c>
    </row>
  </sheetData>
  <autoFilter ref="A1:G159"/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I7" sqref="I7"/>
    </sheetView>
  </sheetViews>
  <sheetFormatPr defaultRowHeight="14.5" x14ac:dyDescent="0.35"/>
  <cols>
    <col min="1" max="1" width="30.26953125" customWidth="1"/>
    <col min="8" max="8" width="12.6328125" customWidth="1"/>
    <col min="9" max="9" width="45.36328125" customWidth="1"/>
    <col min="10" max="10" width="12.26953125" customWidth="1"/>
  </cols>
  <sheetData>
    <row r="1" spans="1:10" x14ac:dyDescent="0.35">
      <c r="A1" s="7" t="s">
        <v>192</v>
      </c>
      <c r="B1" s="7" t="s">
        <v>194</v>
      </c>
      <c r="C1" s="7" t="s">
        <v>197</v>
      </c>
      <c r="D1" s="7" t="s">
        <v>198</v>
      </c>
      <c r="E1" s="7" t="s">
        <v>199</v>
      </c>
      <c r="F1" s="7" t="s">
        <v>200</v>
      </c>
      <c r="G1" s="7" t="s">
        <v>201</v>
      </c>
      <c r="H1" s="7" t="s">
        <v>202</v>
      </c>
      <c r="I1" s="7" t="s">
        <v>204</v>
      </c>
      <c r="J1" s="7" t="s">
        <v>195</v>
      </c>
    </row>
    <row r="2" spans="1:10" ht="43.5" x14ac:dyDescent="0.35">
      <c r="A2" s="19" t="s">
        <v>193</v>
      </c>
      <c r="B2" s="19"/>
      <c r="C2" s="19">
        <v>4915000</v>
      </c>
      <c r="D2" s="19">
        <v>900000</v>
      </c>
      <c r="E2" s="19">
        <f>Main_!V21</f>
        <v>316</v>
      </c>
      <c r="F2" s="19">
        <f>E2/D2</f>
        <v>3.5111111111111112E-4</v>
      </c>
      <c r="G2" s="19">
        <f>D2-E2</f>
        <v>899684</v>
      </c>
      <c r="H2" s="19" t="s">
        <v>203</v>
      </c>
      <c r="I2" s="19" t="s">
        <v>205</v>
      </c>
      <c r="J2" s="20" t="s">
        <v>196</v>
      </c>
    </row>
    <row r="3" spans="1:10" x14ac:dyDescent="0.35">
      <c r="A3" t="s">
        <v>227</v>
      </c>
      <c r="J3" s="22" t="s">
        <v>76</v>
      </c>
    </row>
  </sheetData>
  <hyperlinks>
    <hyperlink ref="J2" r:id="rId1"/>
    <hyperlink ref="J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Main_</vt:lpstr>
      <vt:lpstr>rnwf_structure</vt:lpstr>
      <vt:lpstr>structure</vt:lpstr>
      <vt:lpstr>recepients</vt:lpstr>
      <vt:lpstr>infra_invest</vt:lpstr>
      <vt:lpstr>recepients_dynamics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2025-01-17T03:27:59Z</dcterms:modified>
</cp:coreProperties>
</file>