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 activeTab="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infra_invest!$A$1:$G$179</definedName>
    <definedName name="_xlnm._FilterDatabase" localSheetId="3" hidden="1">recepients!$A$1:$B$1</definedName>
  </definedNames>
  <calcPr calcId="162913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4" l="1"/>
  <c r="B18" i="14"/>
  <c r="B17" i="14"/>
  <c r="B16" i="14"/>
  <c r="B14" i="14"/>
  <c r="B13" i="14"/>
  <c r="B11" i="14"/>
  <c r="B9" i="14"/>
  <c r="B7" i="14"/>
  <c r="B3" i="14"/>
  <c r="B19" i="14"/>
  <c r="H4" i="15"/>
  <c r="D4" i="15"/>
  <c r="H2" i="15"/>
  <c r="D2" i="15"/>
  <c r="AH12" i="13"/>
  <c r="AH11" i="13"/>
  <c r="AH10" i="13"/>
  <c r="AH9" i="13"/>
  <c r="AH8" i="13"/>
  <c r="AH7" i="13"/>
  <c r="AH6" i="13"/>
  <c r="AH5" i="13"/>
  <c r="AH4" i="13"/>
  <c r="AH20" i="10"/>
  <c r="AH19" i="10"/>
  <c r="AH18" i="10"/>
  <c r="AH17" i="10"/>
  <c r="AH16" i="10"/>
  <c r="AH15" i="10"/>
  <c r="AH14" i="10"/>
  <c r="AH12" i="10"/>
  <c r="AH11" i="10"/>
  <c r="AH10" i="10"/>
  <c r="AH9" i="10"/>
  <c r="AH8" i="10"/>
  <c r="AH7" i="10"/>
  <c r="AH6" i="10"/>
  <c r="AH5" i="10"/>
  <c r="AH4" i="10"/>
  <c r="AH3" i="10"/>
  <c r="AH2" i="10"/>
  <c r="AI57" i="1"/>
  <c r="AI31" i="1"/>
  <c r="AK31" i="1" s="1"/>
  <c r="AI28" i="1"/>
  <c r="AJ28" i="1" s="1"/>
  <c r="AI29" i="1"/>
  <c r="AI27" i="1"/>
  <c r="B6" i="14" s="1"/>
  <c r="AI39" i="1"/>
  <c r="AJ39" i="1" s="1"/>
  <c r="AI38" i="1"/>
  <c r="AJ38" i="1" s="1"/>
  <c r="AI41" i="1"/>
  <c r="AJ41" i="1" s="1"/>
  <c r="AI47" i="1"/>
  <c r="AJ47" i="1" s="1"/>
  <c r="AI26" i="1"/>
  <c r="AI48" i="1"/>
  <c r="AJ48" i="1" s="1"/>
  <c r="AI45" i="1"/>
  <c r="AI23" i="1"/>
  <c r="AI19" i="1"/>
  <c r="AK19" i="1" s="1"/>
  <c r="AI18" i="1"/>
  <c r="AK18" i="1" s="1"/>
  <c r="AI17" i="1"/>
  <c r="AI15" i="1"/>
  <c r="AI13" i="1"/>
  <c r="AI12" i="1"/>
  <c r="AJ12" i="1" s="1"/>
  <c r="AI11" i="1"/>
  <c r="AJ11" i="1" s="1"/>
  <c r="AI10" i="1"/>
  <c r="AI9" i="1"/>
  <c r="AJ9" i="1" s="1"/>
  <c r="AI8" i="1"/>
  <c r="AJ8" i="1" s="1"/>
  <c r="AI16" i="1"/>
  <c r="AK16" i="1"/>
  <c r="AI14" i="1"/>
  <c r="AJ14" i="1" s="1"/>
  <c r="AI46" i="1"/>
  <c r="AJ46" i="1" s="1"/>
  <c r="AI21" i="1"/>
  <c r="AK21" i="1" s="1"/>
  <c r="AI20" i="1"/>
  <c r="B21" i="14"/>
  <c r="B2" i="14"/>
  <c r="AJ35" i="1"/>
  <c r="AK35" i="1"/>
  <c r="AK3" i="1"/>
  <c r="AK4" i="1"/>
  <c r="AK5" i="1"/>
  <c r="AK6" i="1"/>
  <c r="AK7" i="1"/>
  <c r="AK15" i="1"/>
  <c r="AK17" i="1"/>
  <c r="AK22" i="1"/>
  <c r="AK24" i="1"/>
  <c r="AK26" i="1"/>
  <c r="AK30" i="1"/>
  <c r="AK32" i="1"/>
  <c r="AK33" i="1"/>
  <c r="AK34" i="1"/>
  <c r="AK36" i="1"/>
  <c r="AK37" i="1"/>
  <c r="AK39" i="1"/>
  <c r="AK40" i="1"/>
  <c r="AK42" i="1"/>
  <c r="AK43" i="1"/>
  <c r="AK44" i="1"/>
  <c r="AK45" i="1"/>
  <c r="AK47" i="1"/>
  <c r="AK49" i="1"/>
  <c r="AK50" i="1"/>
  <c r="AK51" i="1"/>
  <c r="AK52" i="1"/>
  <c r="AK53" i="1"/>
  <c r="AK54" i="1"/>
  <c r="AK55" i="1"/>
  <c r="AK56" i="1"/>
  <c r="AK57" i="1"/>
  <c r="AK2" i="1"/>
  <c r="AJ3" i="1"/>
  <c r="AJ4" i="1"/>
  <c r="AJ5" i="1"/>
  <c r="AJ6" i="1"/>
  <c r="AJ7" i="1"/>
  <c r="AJ10" i="1"/>
  <c r="AJ15" i="1"/>
  <c r="AJ22" i="1"/>
  <c r="AJ24" i="1"/>
  <c r="AJ27" i="1"/>
  <c r="AJ29" i="1"/>
  <c r="AJ30" i="1"/>
  <c r="AJ32" i="1"/>
  <c r="AJ33" i="1"/>
  <c r="AJ34" i="1"/>
  <c r="AJ36" i="1"/>
  <c r="AJ37" i="1"/>
  <c r="AJ40" i="1"/>
  <c r="AJ42" i="1"/>
  <c r="AJ43" i="1"/>
  <c r="AJ44" i="1"/>
  <c r="AJ45" i="1"/>
  <c r="AJ49" i="1"/>
  <c r="AJ50" i="1"/>
  <c r="AJ51" i="1"/>
  <c r="AJ52" i="1"/>
  <c r="AJ53" i="1"/>
  <c r="AJ54" i="1"/>
  <c r="AJ55" i="1"/>
  <c r="AJ56" i="1"/>
  <c r="AJ57" i="1"/>
  <c r="AJ2" i="1"/>
  <c r="B10" i="14"/>
  <c r="B4" i="14"/>
  <c r="AI25" i="1"/>
  <c r="AH13" i="10" l="1"/>
  <c r="AJ31" i="1"/>
  <c r="B8" i="14"/>
  <c r="AK38" i="1"/>
  <c r="AK41" i="1"/>
  <c r="AK48" i="1"/>
  <c r="AJ16" i="1"/>
  <c r="AK14" i="1"/>
  <c r="AK46" i="1"/>
  <c r="AJ21" i="1"/>
  <c r="AK25" i="1"/>
  <c r="AG20" i="10"/>
  <c r="AG19" i="10"/>
  <c r="AG18" i="10"/>
  <c r="AG12" i="13" s="1"/>
  <c r="AG17" i="10"/>
  <c r="AG16" i="10"/>
  <c r="AG11" i="13" s="1"/>
  <c r="AG15" i="10"/>
  <c r="AG10" i="13" s="1"/>
  <c r="AG14" i="10"/>
  <c r="AG9" i="13" s="1"/>
  <c r="AG13" i="10"/>
  <c r="AG12" i="10"/>
  <c r="AG8" i="13" s="1"/>
  <c r="AG9" i="10"/>
  <c r="AG6" i="13" s="1"/>
  <c r="AG7" i="10"/>
  <c r="AG6" i="10"/>
  <c r="AG5" i="10"/>
  <c r="AG4" i="10"/>
  <c r="AG3" i="10"/>
  <c r="AG2" i="10"/>
  <c r="AG4" i="13" s="1"/>
  <c r="AH57" i="1"/>
  <c r="AH31" i="1"/>
  <c r="AH28" i="1"/>
  <c r="AH29" i="1"/>
  <c r="AH39" i="1"/>
  <c r="AH41" i="1"/>
  <c r="AH38" i="1"/>
  <c r="AH47" i="1"/>
  <c r="AH46" i="1"/>
  <c r="AH48" i="1"/>
  <c r="AH45" i="1"/>
  <c r="AH21" i="1"/>
  <c r="AH15" i="1"/>
  <c r="AH24" i="1"/>
  <c r="AH16" i="1"/>
  <c r="AH14" i="1"/>
  <c r="AJ25" i="1" l="1"/>
  <c r="AG10" i="10"/>
  <c r="AF20" i="10"/>
  <c r="AF19" i="10"/>
  <c r="AF18" i="10"/>
  <c r="AF12" i="13" s="1"/>
  <c r="AF17" i="10"/>
  <c r="AF16" i="10"/>
  <c r="AF11" i="13" s="1"/>
  <c r="AF15" i="10"/>
  <c r="AF10" i="13" s="1"/>
  <c r="AF14" i="10"/>
  <c r="AF9" i="13" s="1"/>
  <c r="AF13" i="10"/>
  <c r="AF12" i="10"/>
  <c r="AF9" i="10"/>
  <c r="AF6" i="13" s="1"/>
  <c r="AF7" i="10"/>
  <c r="AF6" i="10"/>
  <c r="AF5" i="10"/>
  <c r="AF4" i="10"/>
  <c r="AF3" i="10"/>
  <c r="AF2" i="10"/>
  <c r="AF4" i="13" s="1"/>
  <c r="AG57" i="1"/>
  <c r="AG31" i="1"/>
  <c r="AG30" i="1"/>
  <c r="AG28" i="1"/>
  <c r="AG29" i="1"/>
  <c r="AG38" i="1"/>
  <c r="AG41" i="1"/>
  <c r="AG47" i="1"/>
  <c r="AG46" i="1"/>
  <c r="AG48" i="1"/>
  <c r="AG45" i="1"/>
  <c r="AG24" i="1"/>
  <c r="AG15" i="1"/>
  <c r="AG16" i="1"/>
  <c r="AG14" i="1"/>
  <c r="AG21" i="1"/>
  <c r="AF8" i="13" l="1"/>
  <c r="AF10" i="10"/>
  <c r="F4" i="15"/>
  <c r="E4" i="15"/>
  <c r="AE20" i="10" l="1"/>
  <c r="AE19" i="10"/>
  <c r="AE18" i="10"/>
  <c r="AE12" i="13" s="1"/>
  <c r="AE17" i="10"/>
  <c r="AE16" i="10"/>
  <c r="AE11" i="13" s="1"/>
  <c r="AE15" i="10"/>
  <c r="AE10" i="13" s="1"/>
  <c r="AE14" i="10"/>
  <c r="AE9" i="13" s="1"/>
  <c r="AE13" i="10"/>
  <c r="AE12" i="10"/>
  <c r="AE9" i="10"/>
  <c r="AE6" i="13" s="1"/>
  <c r="AE7" i="10"/>
  <c r="AE6" i="10"/>
  <c r="AE5" i="10"/>
  <c r="AE4" i="10"/>
  <c r="AE3" i="10"/>
  <c r="AE2" i="10"/>
  <c r="AE4" i="13" s="1"/>
  <c r="AF57" i="1"/>
  <c r="AF31" i="1"/>
  <c r="AF28" i="1"/>
  <c r="AF29" i="1"/>
  <c r="AF27" i="1"/>
  <c r="AF39" i="1"/>
  <c r="AF38" i="1"/>
  <c r="AF41" i="1"/>
  <c r="AF47" i="1"/>
  <c r="AF46" i="1"/>
  <c r="AF48" i="1"/>
  <c r="AF45" i="1"/>
  <c r="AF24" i="1"/>
  <c r="AF15" i="1"/>
  <c r="AF21" i="1"/>
  <c r="AF16" i="1"/>
  <c r="AF14" i="1"/>
  <c r="AE8" i="13" l="1"/>
  <c r="AE10" i="10"/>
  <c r="AD20" i="10"/>
  <c r="AD19" i="10"/>
  <c r="AD18" i="10"/>
  <c r="AD12" i="13" s="1"/>
  <c r="AD17" i="10"/>
  <c r="AD16" i="10"/>
  <c r="AD11" i="13" s="1"/>
  <c r="AD15" i="10"/>
  <c r="AD10" i="13" s="1"/>
  <c r="AD14" i="10"/>
  <c r="AD9" i="13" s="1"/>
  <c r="AD13" i="10"/>
  <c r="AD12" i="10"/>
  <c r="AD9" i="10"/>
  <c r="AD6" i="13" s="1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7" i="1"/>
  <c r="AE31" i="1"/>
  <c r="AE39" i="1"/>
  <c r="AE38" i="1"/>
  <c r="AE41" i="1"/>
  <c r="AE47" i="1"/>
  <c r="AE46" i="1"/>
  <c r="AE48" i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4" i="1"/>
  <c r="AE15" i="1"/>
  <c r="AE21" i="1"/>
  <c r="AE16" i="1"/>
  <c r="AE14" i="1"/>
  <c r="AD8" i="13" l="1"/>
  <c r="AD10" i="10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9" i="10"/>
  <c r="AC6" i="13" s="1"/>
  <c r="AC7" i="10"/>
  <c r="AC6" i="10"/>
  <c r="AC5" i="10"/>
  <c r="AC4" i="10"/>
  <c r="AC3" i="10"/>
  <c r="AC2" i="10"/>
  <c r="AC4" i="13" s="1"/>
  <c r="AD57" i="1"/>
  <c r="AD31" i="1"/>
  <c r="AD39" i="1"/>
  <c r="AD38" i="1"/>
  <c r="AD41" i="1"/>
  <c r="AD45" i="1"/>
  <c r="AD44" i="1"/>
  <c r="AD46" i="1"/>
  <c r="AD47" i="1"/>
  <c r="AD24" i="1"/>
  <c r="AD17" i="1"/>
  <c r="AE17" i="1" s="1"/>
  <c r="AF17" i="1" s="1"/>
  <c r="AG17" i="1" s="1"/>
  <c r="AH17" i="1" s="1"/>
  <c r="AJ17" i="1" s="1"/>
  <c r="AD15" i="1"/>
  <c r="AD16" i="1"/>
  <c r="AD14" i="1"/>
  <c r="AD21" i="1"/>
  <c r="AD48" i="1"/>
  <c r="N7" i="17" l="1"/>
  <c r="O9" i="17" s="1"/>
  <c r="AC10" i="10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9" i="10"/>
  <c r="AB6" i="13" s="1"/>
  <c r="AB7" i="10"/>
  <c r="AB6" i="10"/>
  <c r="AB5" i="10"/>
  <c r="AB4" i="10"/>
  <c r="AB3" i="10"/>
  <c r="AB2" i="10"/>
  <c r="AB4" i="13" s="1"/>
  <c r="AC57" i="1"/>
  <c r="AC31" i="1"/>
  <c r="AC39" i="1"/>
  <c r="AC38" i="1"/>
  <c r="AC41" i="1"/>
  <c r="AC48" i="1"/>
  <c r="AC45" i="1"/>
  <c r="AC21" i="1"/>
  <c r="AC17" i="1"/>
  <c r="AC15" i="1"/>
  <c r="AC16" i="1"/>
  <c r="AC14" i="1"/>
  <c r="AC47" i="1"/>
  <c r="AC46" i="1"/>
  <c r="O7" i="17" l="1"/>
  <c r="AB11" i="13"/>
  <c r="AB10" i="10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9" i="10"/>
  <c r="AA6" i="13" s="1"/>
  <c r="AA7" i="10"/>
  <c r="AA6" i="10"/>
  <c r="AA5" i="10"/>
  <c r="AA4" i="10"/>
  <c r="AA3" i="10"/>
  <c r="AA2" i="10"/>
  <c r="AA4" i="13" s="1"/>
  <c r="AB57" i="1"/>
  <c r="AB31" i="1"/>
  <c r="AB39" i="1"/>
  <c r="AB38" i="1"/>
  <c r="AB41" i="1"/>
  <c r="AB48" i="1"/>
  <c r="AB45" i="1"/>
  <c r="AB46" i="1"/>
  <c r="AB17" i="1"/>
  <c r="AB15" i="1"/>
  <c r="AB16" i="1"/>
  <c r="AB14" i="1"/>
  <c r="AB21" i="1"/>
  <c r="AB47" i="1"/>
  <c r="P9" i="17" l="1"/>
  <c r="P5" i="17"/>
  <c r="AA11" i="13"/>
  <c r="AA10" i="10"/>
  <c r="Z20" i="10"/>
  <c r="Z19" i="10"/>
  <c r="Z18" i="10"/>
  <c r="Z12" i="13" s="1"/>
  <c r="Z17" i="10"/>
  <c r="Z16" i="10"/>
  <c r="Z15" i="10"/>
  <c r="Z10" i="13" s="1"/>
  <c r="Z14" i="10"/>
  <c r="Z9" i="13" s="1"/>
  <c r="Z13" i="10"/>
  <c r="Z9" i="10"/>
  <c r="Z6" i="13" s="1"/>
  <c r="Z7" i="10"/>
  <c r="Z6" i="10"/>
  <c r="Z5" i="10"/>
  <c r="Z4" i="10"/>
  <c r="Z3" i="10"/>
  <c r="Z2" i="10"/>
  <c r="Z4" i="13" s="1"/>
  <c r="AA57" i="1"/>
  <c r="AA31" i="1"/>
  <c r="AA39" i="1"/>
  <c r="AA38" i="1"/>
  <c r="AA41" i="1"/>
  <c r="AA46" i="1"/>
  <c r="AA48" i="1"/>
  <c r="AA21" i="1"/>
  <c r="AA17" i="1"/>
  <c r="AA15" i="1"/>
  <c r="AA16" i="1"/>
  <c r="AA14" i="1"/>
  <c r="AA47" i="1"/>
  <c r="Z11" i="13" l="1"/>
  <c r="P7" i="17"/>
  <c r="Q9" i="17" s="1"/>
  <c r="Z10" i="10"/>
  <c r="Y20" i="10"/>
  <c r="Y19" i="10"/>
  <c r="Y18" i="10"/>
  <c r="Y12" i="13" s="1"/>
  <c r="Y17" i="10"/>
  <c r="Y16" i="10"/>
  <c r="Y15" i="10"/>
  <c r="Y10" i="13" s="1"/>
  <c r="Y14" i="10"/>
  <c r="Y9" i="13" s="1"/>
  <c r="Y13" i="10"/>
  <c r="Y9" i="10"/>
  <c r="Y6" i="13" s="1"/>
  <c r="Y7" i="10"/>
  <c r="Y6" i="10"/>
  <c r="Y5" i="10"/>
  <c r="Y4" i="10"/>
  <c r="Y3" i="10"/>
  <c r="Y2" i="10"/>
  <c r="Y4" i="13" s="1"/>
  <c r="Z57" i="1"/>
  <c r="Z31" i="1"/>
  <c r="Z29" i="1"/>
  <c r="AA29" i="1" s="1"/>
  <c r="AB29" i="1" s="1"/>
  <c r="AC29" i="1" s="1"/>
  <c r="AD29" i="1" s="1"/>
  <c r="Z39" i="1"/>
  <c r="Z38" i="1"/>
  <c r="Z41" i="1"/>
  <c r="Z48" i="1"/>
  <c r="Z45" i="1"/>
  <c r="Z21" i="1"/>
  <c r="Z19" i="1"/>
  <c r="AA19" i="1" s="1"/>
  <c r="AB19" i="1" s="1"/>
  <c r="AC19" i="1" s="1"/>
  <c r="AD19" i="1" s="1"/>
  <c r="AE19" i="1" s="1"/>
  <c r="AF19" i="1" s="1"/>
  <c r="AG19" i="1" s="1"/>
  <c r="AH19" i="1" s="1"/>
  <c r="AJ19" i="1" s="1"/>
  <c r="Z18" i="1"/>
  <c r="AA18" i="1" s="1"/>
  <c r="AB18" i="1" s="1"/>
  <c r="AC18" i="1" s="1"/>
  <c r="AD18" i="1" s="1"/>
  <c r="AE18" i="1" s="1"/>
  <c r="AF18" i="1" s="1"/>
  <c r="AG18" i="1" s="1"/>
  <c r="AH18" i="1" s="1"/>
  <c r="AJ18" i="1" s="1"/>
  <c r="Z47" i="1"/>
  <c r="Q5" i="17" l="1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6" i="1"/>
  <c r="Z46" i="1" s="1"/>
  <c r="Y57" i="1"/>
  <c r="R5" i="17" l="1"/>
  <c r="Q7" i="17"/>
  <c r="R9" i="17" s="1"/>
  <c r="Y10" i="10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7" i="1"/>
  <c r="X48" i="1"/>
  <c r="Y48" i="1" s="1"/>
  <c r="X39" i="1"/>
  <c r="Y39" i="1" s="1"/>
  <c r="X38" i="1"/>
  <c r="Y38" i="1" s="1"/>
  <c r="X26" i="1"/>
  <c r="Y26" i="1" s="1"/>
  <c r="Z26" i="1" s="1"/>
  <c r="X24" i="1"/>
  <c r="Y24" i="1" s="1"/>
  <c r="AA26" i="1" l="1"/>
  <c r="Y11" i="10"/>
  <c r="Y7" i="13"/>
  <c r="R7" i="17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7" i="1"/>
  <c r="E64" i="8"/>
  <c r="AB26" i="1" l="1"/>
  <c r="Z11" i="10"/>
  <c r="Z7" i="13" s="1"/>
  <c r="S5" i="17"/>
  <c r="W7" i="13"/>
  <c r="X7" i="13"/>
  <c r="V10" i="10"/>
  <c r="V7" i="13" s="1"/>
  <c r="F2" i="15"/>
  <c r="AC26" i="1" l="1"/>
  <c r="AA11" i="10"/>
  <c r="AA7" i="13" s="1"/>
  <c r="S7" i="17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AD26" i="1" l="1"/>
  <c r="AB11" i="10"/>
  <c r="AB7" i="13" s="1"/>
  <c r="T5" i="17"/>
  <c r="U10" i="10"/>
  <c r="V57" i="1"/>
  <c r="U20" i="10" s="1"/>
  <c r="V48" i="1"/>
  <c r="W48" i="1" s="1"/>
  <c r="AE26" i="1" l="1"/>
  <c r="AC11" i="10"/>
  <c r="AC7" i="13" s="1"/>
  <c r="T7" i="17"/>
  <c r="U9" i="17" s="1"/>
  <c r="T19" i="10"/>
  <c r="T18" i="10"/>
  <c r="T12" i="13" s="1"/>
  <c r="T7" i="10"/>
  <c r="T6" i="10"/>
  <c r="T5" i="10"/>
  <c r="T4" i="10"/>
  <c r="T3" i="10"/>
  <c r="T2" i="10"/>
  <c r="T4" i="13" s="1"/>
  <c r="U57" i="1"/>
  <c r="T20" i="10" s="1"/>
  <c r="S25" i="1"/>
  <c r="U8" i="1"/>
  <c r="V8" i="1" s="1"/>
  <c r="AF26" i="1" l="1"/>
  <c r="AD11" i="10"/>
  <c r="AD7" i="13" s="1"/>
  <c r="U5" i="17"/>
  <c r="W8" i="1"/>
  <c r="AK8" i="1" s="1"/>
  <c r="S19" i="10"/>
  <c r="S18" i="10"/>
  <c r="S12" i="13" s="1"/>
  <c r="S7" i="10"/>
  <c r="S6" i="10"/>
  <c r="S5" i="10"/>
  <c r="S4" i="10"/>
  <c r="S3" i="10"/>
  <c r="S2" i="10"/>
  <c r="S4" i="13" s="1"/>
  <c r="T57" i="1"/>
  <c r="S20" i="10" s="1"/>
  <c r="T39" i="1"/>
  <c r="U39" i="1" s="1"/>
  <c r="V39" i="1" s="1"/>
  <c r="T38" i="1"/>
  <c r="U38" i="1" s="1"/>
  <c r="AG26" i="1" l="1"/>
  <c r="AE11" i="10"/>
  <c r="AE7" i="13" s="1"/>
  <c r="V5" i="17"/>
  <c r="U7" i="17"/>
  <c r="V9" i="17" s="1"/>
  <c r="V38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40" i="1"/>
  <c r="R14" i="10" s="1"/>
  <c r="R9" i="13" s="1"/>
  <c r="S45" i="1"/>
  <c r="T45" i="1" s="1"/>
  <c r="S48" i="1"/>
  <c r="T48" i="1" s="1"/>
  <c r="S46" i="1"/>
  <c r="T46" i="1" s="1"/>
  <c r="U46" i="1" s="1"/>
  <c r="V46" i="1" s="1"/>
  <c r="W46" i="1" s="1"/>
  <c r="S26" i="1"/>
  <c r="T26" i="1" s="1"/>
  <c r="S57" i="1"/>
  <c r="R20" i="10" s="1"/>
  <c r="AH26" i="1" l="1"/>
  <c r="AJ26" i="1" s="1"/>
  <c r="AF11" i="10"/>
  <c r="AF7" i="13" s="1"/>
  <c r="V7" i="17"/>
  <c r="W9" i="17" s="1"/>
  <c r="Z8" i="1"/>
  <c r="U45" i="1"/>
  <c r="S16" i="10"/>
  <c r="S11" i="13" s="1"/>
  <c r="U26" i="1"/>
  <c r="S11" i="10"/>
  <c r="S7" i="13" s="1"/>
  <c r="R16" i="10"/>
  <c r="R11" i="13" s="1"/>
  <c r="R11" i="10"/>
  <c r="R10" i="10"/>
  <c r="AG11" i="10" l="1"/>
  <c r="AG7" i="13" s="1"/>
  <c r="W5" i="17"/>
  <c r="AA8" i="1"/>
  <c r="R7" i="13"/>
  <c r="V26" i="1"/>
  <c r="U11" i="10" s="1"/>
  <c r="U7" i="13" s="1"/>
  <c r="T11" i="10"/>
  <c r="T7" i="13" s="1"/>
  <c r="V45" i="1"/>
  <c r="T16" i="10"/>
  <c r="T11" i="13" s="1"/>
  <c r="W7" i="17" l="1"/>
  <c r="X9" i="17" s="1"/>
  <c r="AB8" i="1"/>
  <c r="W45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3" i="14"/>
  <c r="B12" i="14"/>
  <c r="B5" i="14"/>
  <c r="B20" i="14"/>
  <c r="B15" i="14"/>
  <c r="X5" i="17" l="1"/>
  <c r="AC8" i="1"/>
  <c r="X45" i="1"/>
  <c r="Y45" i="1" s="1"/>
  <c r="V16" i="10"/>
  <c r="V11" i="13" s="1"/>
  <c r="R57" i="1"/>
  <c r="Q20" i="10" s="1"/>
  <c r="Q57" i="1"/>
  <c r="R31" i="1"/>
  <c r="R28" i="1"/>
  <c r="S28" i="1" s="1"/>
  <c r="T28" i="1" s="1"/>
  <c r="U28" i="1" s="1"/>
  <c r="V28" i="1" s="1"/>
  <c r="R29" i="1"/>
  <c r="S29" i="1" s="1"/>
  <c r="T29" i="1" s="1"/>
  <c r="U29" i="1" s="1"/>
  <c r="V29" i="1" s="1"/>
  <c r="R27" i="1"/>
  <c r="R38" i="1"/>
  <c r="Q14" i="10" s="1"/>
  <c r="Q9" i="13" s="1"/>
  <c r="R41" i="1"/>
  <c r="C88" i="8"/>
  <c r="C87" i="8"/>
  <c r="R24" i="1"/>
  <c r="R23" i="1"/>
  <c r="S23" i="1" s="1"/>
  <c r="T23" i="1" s="1"/>
  <c r="U23" i="1" s="1"/>
  <c r="V23" i="1" s="1"/>
  <c r="W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R11" i="1"/>
  <c r="S11" i="1" s="1"/>
  <c r="T11" i="1" s="1"/>
  <c r="U11" i="1" s="1"/>
  <c r="V11" i="1" s="1"/>
  <c r="R12" i="1"/>
  <c r="S12" i="1" s="1"/>
  <c r="T12" i="1" s="1"/>
  <c r="U12" i="1" s="1"/>
  <c r="V12" i="1" s="1"/>
  <c r="R13" i="1"/>
  <c r="S13" i="1" s="1"/>
  <c r="T13" i="1" s="1"/>
  <c r="U13" i="1" s="1"/>
  <c r="V13" i="1" s="1"/>
  <c r="W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3" i="1" l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J23" i="1" s="1"/>
  <c r="AK23" i="1"/>
  <c r="X13" i="1"/>
  <c r="Y13" i="1" s="1"/>
  <c r="AK13" i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J20" i="1" s="1"/>
  <c r="AK20" i="1"/>
  <c r="W28" i="1"/>
  <c r="W12" i="1"/>
  <c r="W11" i="1"/>
  <c r="W10" i="1"/>
  <c r="W29" i="1"/>
  <c r="AK29" i="1" s="1"/>
  <c r="X7" i="17"/>
  <c r="Y9" i="17" s="1"/>
  <c r="AD8" i="1"/>
  <c r="S24" i="1"/>
  <c r="Q9" i="10"/>
  <c r="Q6" i="13" s="1"/>
  <c r="S31" i="1"/>
  <c r="Q13" i="10"/>
  <c r="S41" i="1"/>
  <c r="Q15" i="10"/>
  <c r="Q10" i="13" s="1"/>
  <c r="S27" i="1"/>
  <c r="Q12" i="10"/>
  <c r="X16" i="10"/>
  <c r="X11" i="13" s="1"/>
  <c r="Z13" i="1"/>
  <c r="AA13" i="1" s="1"/>
  <c r="AB13" i="1" s="1"/>
  <c r="AC13" i="1" s="1"/>
  <c r="AD13" i="1" s="1"/>
  <c r="AE13" i="1" s="1"/>
  <c r="AF13" i="1" s="1"/>
  <c r="AG13" i="1" s="1"/>
  <c r="AH13" i="1" s="1"/>
  <c r="AJ13" i="1" s="1"/>
  <c r="W16" i="10"/>
  <c r="W11" i="13" s="1"/>
  <c r="S9" i="1"/>
  <c r="Q8" i="10"/>
  <c r="Q5" i="13" s="1"/>
  <c r="Q10" i="10"/>
  <c r="Q7" i="13" s="1"/>
  <c r="C179" i="8"/>
  <c r="E178" i="8"/>
  <c r="E177" i="8"/>
  <c r="E176" i="8"/>
  <c r="E175" i="8"/>
  <c r="E174" i="8"/>
  <c r="E173" i="8"/>
  <c r="E171" i="8"/>
  <c r="E170" i="8"/>
  <c r="E169" i="8"/>
  <c r="E168" i="8"/>
  <c r="E167" i="8"/>
  <c r="E166" i="8"/>
  <c r="X28" i="1" l="1"/>
  <c r="Y28" i="1" s="1"/>
  <c r="Z28" i="1" s="1"/>
  <c r="AA28" i="1" s="1"/>
  <c r="AB28" i="1" s="1"/>
  <c r="AC28" i="1" s="1"/>
  <c r="AD28" i="1" s="1"/>
  <c r="AK28" i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K10" i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K12" i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K11" i="1"/>
  <c r="AG8" i="10"/>
  <c r="AG5" i="13" s="1"/>
  <c r="Y5" i="17"/>
  <c r="AE8" i="1"/>
  <c r="Q8" i="13"/>
  <c r="T41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AF8" i="1" l="1"/>
  <c r="Y7" i="17"/>
  <c r="Z9" i="17" s="1"/>
  <c r="U24" i="1"/>
  <c r="T9" i="10" s="1"/>
  <c r="T6" i="13" s="1"/>
  <c r="S9" i="10"/>
  <c r="S6" i="13" s="1"/>
  <c r="U31" i="1"/>
  <c r="S13" i="10"/>
  <c r="R8" i="13"/>
  <c r="U27" i="1"/>
  <c r="S12" i="10"/>
  <c r="U41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AG8" i="1" l="1"/>
  <c r="S8" i="13"/>
  <c r="Z5" i="17"/>
  <c r="V31" i="1"/>
  <c r="T13" i="10"/>
  <c r="V41" i="1"/>
  <c r="T15" i="10"/>
  <c r="T10" i="13" s="1"/>
  <c r="V27" i="1"/>
  <c r="T12" i="10"/>
  <c r="W9" i="1"/>
  <c r="AK9" i="1" s="1"/>
  <c r="U8" i="10"/>
  <c r="U5" i="13" s="1"/>
  <c r="T8" i="10"/>
  <c r="T5" i="13" s="1"/>
  <c r="A1" i="13"/>
  <c r="Z7" i="17" l="1"/>
  <c r="AA9" i="17" s="1"/>
  <c r="T8" i="13"/>
  <c r="W27" i="1"/>
  <c r="AK27" i="1" s="1"/>
  <c r="U12" i="10"/>
  <c r="W41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X41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V8" i="13" l="1"/>
  <c r="AA7" i="17"/>
  <c r="AB9" i="17" s="1"/>
  <c r="AA9" i="1"/>
  <c r="Y8" i="10"/>
  <c r="Y5" i="13" s="1"/>
  <c r="Y41" i="1"/>
  <c r="W15" i="10"/>
  <c r="W10" i="13" s="1"/>
  <c r="Y27" i="1"/>
  <c r="Z27" i="1" s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A27" i="1" l="1"/>
  <c r="Y12" i="10"/>
  <c r="Y8" i="13" s="1"/>
  <c r="AB5" i="17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7" i="1"/>
  <c r="N20" i="10" s="1"/>
  <c r="P57" i="1"/>
  <c r="O20" i="10" s="1"/>
  <c r="AB27" i="1" l="1"/>
  <c r="Z12" i="10"/>
  <c r="Z8" i="13" s="1"/>
  <c r="AB7" i="17"/>
  <c r="AC9" i="17" s="1"/>
  <c r="AC9" i="1"/>
  <c r="AA8" i="10"/>
  <c r="AA5" i="13" s="1"/>
  <c r="X8" i="13"/>
  <c r="C57" i="1"/>
  <c r="B20" i="10" s="1"/>
  <c r="M16" i="1"/>
  <c r="M20" i="1"/>
  <c r="M14" i="1"/>
  <c r="L8" i="10" s="1"/>
  <c r="L5" i="13" s="1"/>
  <c r="D57" i="1"/>
  <c r="C20" i="10" s="1"/>
  <c r="E57" i="1"/>
  <c r="D20" i="10" s="1"/>
  <c r="F57" i="1"/>
  <c r="E20" i="10" s="1"/>
  <c r="I57" i="1"/>
  <c r="H20" i="10" s="1"/>
  <c r="J57" i="1"/>
  <c r="I20" i="10" s="1"/>
  <c r="K57" i="1"/>
  <c r="J20" i="10" s="1"/>
  <c r="M57" i="1"/>
  <c r="L20" i="10" s="1"/>
  <c r="N57" i="1"/>
  <c r="M20" i="10" s="1"/>
  <c r="AC27" i="1" l="1"/>
  <c r="AA12" i="10"/>
  <c r="AA8" i="13" s="1"/>
  <c r="AC5" i="17"/>
  <c r="AD9" i="1"/>
  <c r="AB8" i="10"/>
  <c r="AB5" i="13" s="1"/>
  <c r="G57" i="1"/>
  <c r="F20" i="10" s="1"/>
  <c r="H57" i="1"/>
  <c r="G20" i="10" s="1"/>
  <c r="L57" i="1"/>
  <c r="K20" i="10" s="1"/>
  <c r="AD27" i="1" l="1"/>
  <c r="AC12" i="10" s="1"/>
  <c r="AC8" i="13" s="1"/>
  <c r="AB12" i="10"/>
  <c r="AB8" i="13" s="1"/>
  <c r="AC7" i="17"/>
  <c r="AD9" i="17" s="1"/>
  <c r="AE9" i="1"/>
  <c r="AC8" i="10"/>
  <c r="AC5" i="13" s="1"/>
  <c r="AF9" i="1" l="1"/>
  <c r="AD8" i="10"/>
  <c r="AD5" i="13" s="1"/>
  <c r="AD5" i="17"/>
  <c r="AG9" i="1" l="1"/>
  <c r="AE8" i="10"/>
  <c r="AE5" i="13" s="1"/>
  <c r="AD7" i="17"/>
  <c r="AE9" i="17" s="1"/>
  <c r="AF8" i="10" l="1"/>
  <c r="AF5" i="13" s="1"/>
  <c r="AE5" i="17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<sst xmlns="http://schemas.openxmlformats.org/spreadsheetml/2006/main" count="1194" uniqueCount="248">
  <si>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</si>
  <si>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</si>
  <si>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</si>
  <si>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</si>
  <si>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</si>
  <si>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</si>
  <si>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</si>
  <si>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</si>
  <si>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</si>
  <si>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</si>
  <si>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</si>
  <si>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</si>
  <si>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</si>
  <si>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</si>
  <si>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</si>
  <si>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</si>
  <si>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</si>
  <si>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</si>
  <si>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</si>
  <si>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</si>
  <si>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</si>
  <si>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</si>
  <si>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</si>
  <si>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</si>
  <si>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</si>
  <si>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</si>
  <si>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</si>
  <si>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</si>
  <si>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</si>
  <si>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</si>
  <si>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</si>
  <si>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</si>
  <si>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</si>
  <si>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</si>
  <si>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</si>
  <si>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</si>
  <si>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</si>
  <si>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</si>
  <si>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</si>
  <si>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</si>
  <si>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</si>
  <si>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</si>
  <si>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</si>
  <si>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</si>
  <si>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</si>
  <si>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</si>
  <si>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</si>
  <si>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</si>
  <si>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</si>
  <si>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</si>
  <si>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</si>
  <si>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</si>
  <si>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</si>
  <si>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</si>
  <si>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</si>
  <si>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</si>
  <si>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</si>
  <si>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</si>
  <si>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</si>
  <si>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</si>
  <si>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</si>
  <si>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</si>
  <si>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</si>
  <si>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</si>
  <si>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</si>
  <si>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</si>
  <si>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</si>
  <si>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</si>
  <si>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</si>
  <si>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</si>
  <si>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</si>
  <si>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</si>
  <si>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</si>
  <si>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</si>
  <si>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</si>
  <si>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</si>
  <si>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</si>
  <si>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</si>
  <si>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</si>
  <si>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</si>
  <si>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</si>
  <si>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</si>
  <si>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</si>
  <si>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</si>
  <si>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</si>
  <si>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</si>
  <si>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</si>
  <si>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</si>
  <si>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</si>
  <si>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</si>
  <si>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</si>
  <si>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</si>
  <si>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</si>
  <si>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</si>
  <si>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</si>
  <si>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</si>
  <si>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</si>
  <si>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</si>
  <si>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</si>
  <si>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</si>
  <si>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</si>
  <si>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</si>
  <si>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</si>
  <si>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</si>
  <si>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</si>
  <si>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</si>
  <si>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</si>
  <si>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</si>
  <si>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</si>
  <si>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</si>
  <si>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</si>
  <si>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</si>
  <si>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</si>
  <si>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</si>
  <si>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</si>
  <si>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</si>
  <si>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</si>
  <si>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</si>
  <si>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</si>
  <si>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</si>
  <si>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</si>
  <si>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</si>
  <si>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</si>
  <si>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</si>
  <si>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</si>
  <si>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</si>
  <si>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</si>
  <si>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</si>
  <si>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</si>
  <si>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</si>
  <si>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</si>
  <si>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</si>
  <si>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</si>
  <si>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</si>
  <si>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</si>
  <si>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</si>
  <si>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</si>
  <si>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</si>
  <si>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</si>
  <si>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</si>
  <si>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</si>
  <si>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</si>
  <si>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</si>
  <si>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</si>
  <si>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</si>
  <si>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</si>
  <si>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</si>
  <si>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</si>
  <si>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</si>
  <si>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</si>
  <si>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</si>
  <si>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</si>
  <si>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</si>
  <si>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</si>
  <si>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</si>
  <si>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</si>
  <si>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</si>
  <si>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</si>
  <si>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</si>
  <si>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</si>
  <si>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</si>
  <si>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</si>
  <si>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</si>
  <si>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</si>
  <si>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</si>
  <si>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</si>
  <si>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</si>
  <si>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</si>
  <si>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</si>
  <si>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</si>
  <si>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</si>
  <si>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</si>
  <si>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</si>
  <si>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</si>
  <si>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</si>
  <si>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</si>
  <si>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</si>
  <si>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</si>
  <si>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</si>
  <si>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</si>
  <si>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</si>
  <si>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</si>
  <si>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</si>
  <si>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</si>
  <si>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</si>
  <si>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</si>
  <si>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</si>
  <si>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</si>
  <si>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</si>
  <si>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</si>
  <si>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</si>
  <si>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</si>
  <si>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</si>
  <si>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</si>
  <si>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</si>
  <si>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</si>
  <si>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</si>
  <si>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</si>
  <si>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</si>
  <si>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</si>
  <si>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</si>
  <si>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</si>
  <si>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</si>
  <si>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</si>
  <si>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</si>
  <si>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</si>
  <si>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</si>
  <si>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</si>
  <si>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</si>
  <si>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</si>
  <si>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</si>
  <si>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</si>
  <si>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</si>
  <si>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</si>
  <si>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</si>
  <si>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</si>
  <si>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</si>
  <si>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</si>
  <si>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</si>
  <si>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</si>
  <si>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</si>
  <si>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</si>
  <si>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</si>
  <si>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</si>
  <si>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</si>
  <si>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</si>
  <si>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</si>
  <si>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</si>
  <si>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</si>
  <si>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</si>
  <si>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</si>
  <si>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</si>
  <si>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</si>
  <si>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</si>
  <si>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</si>
  <si>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</si>
  <si>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</si>
  <si>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</si>
  <si>
    <t>01.04.2025</t>
  </si>
  <si>
    <t>01.05.2025</t>
  </si>
  <si>
    <t>Subordinated debt of the banks, RUB mln</t>
  </si>
  <si>
    <t>Субординированный депозит в ПАО Сбербанк в целях финансирования «Москва - Санкт-Петербург» проекта, млн. руб.****</t>
  </si>
  <si>
    <t>**** инфраструктурного проекта «Финансирование, создание и эксплуатация инфраструктуры высокоскоростного железнодорожного транспорта общего пользования от станции Крюково (Алабушево) до станции Санкт-Петербург-Главный, приобретение и эксплуатация высокоскоростного железнодорожного подвижного состава, предназначенного для перевозки пассажиров и (или) багажа на созданной инфраструктуре по маршруту «Москва - Санкт-Петербург» на срок до декабря 2049 г. с ежеквартальной уплатой процентов по ставке 1 % годовых (в течение 10 лет с даты выдачи первого транша проценты капитализируются) – в части средств, фактически направленных на финансирование указанного инфраструктурного проекта, и по ставке, равной процентной ставке, установленной Банком России при проведении депозитных операций по фиксированным процентным ставкам, – в части средств, временно не направленных на финансирование указанного инфраструктурного проекта и размещаемых в Банке России и (или) системно значимых кредитных организациях в рамках операций по управлению ликвидностью</t>
  </si>
  <si>
    <t>01.06.2025</t>
  </si>
  <si>
    <t>Субординированный депозит в Банке ВТБ (ПАО) в целях финансирования «Москва - Санкт-Петербург» проекта, млн. руб.****</t>
  </si>
  <si>
    <t>Субординированный депозит в Банке ГПБ (АО) в целях финансирования «Москва - Санкт-Петербург» проекта, млн. руб.****</t>
  </si>
  <si>
    <t>Субординированный депозит в ПАО «Совкомбанк» в целях финансирования «Москва - Санкт-Петербург» проекта, млн. руб.****</t>
  </si>
  <si>
    <t>Sovkombank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</si>
</sst>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  <xf numFmtId="0" fontId="0" fillId="2" borderId="0" xfId="0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10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827.165127546294" createdVersion="6" refreshedVersion="6" minRefreshableVersion="3" recordCount="179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ГК «Российские автомобильные дороги»"/>
        <s v="АО «ГТЛК»"/>
        <s v="ООО «НЛК-Финанс»"/>
        <s v="ППК «Фонд развития территорий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n v="2025"/>
    <s v="Май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й"/>
    <n v="-180.1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Май"/>
    <n v="-61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й"/>
    <n v="-1020.1"/>
    <x v="0"/>
    <m/>
    <x v="2"/>
    <m/>
  </r>
  <r>
    <n v="2025"/>
    <s v="Май"/>
    <n v="660.2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й"/>
    <n v="6579.2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Апрель"/>
    <n v="-464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прель"/>
    <n v="-804.7"/>
    <x v="0"/>
    <m/>
    <x v="2"/>
    <m/>
  </r>
  <r>
    <n v="2025"/>
    <s v="Апрель"/>
    <n v="374"/>
    <x v="0"/>
    <m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рт"/>
    <n v="-1.2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рт"/>
    <n v="-5.9"/>
    <x v="0"/>
    <m/>
    <x v="1"/>
    <s v="«Программа льготного лизинга гражданских судов водного транспорта»"/>
  </r>
  <r>
    <n v="2025"/>
    <s v="Март"/>
    <n v="-128.1999999999999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рт"/>
    <n v="-2666.7"/>
    <x v="0"/>
    <m/>
    <x v="2"/>
    <m/>
  </r>
  <r>
    <n v="2025"/>
    <s v="Март"/>
    <n v="2563"/>
    <x v="0"/>
    <m/>
    <x v="1"/>
    <s v="«Программа льготного лизинга гражданских судов водного транспорта»"/>
  </r>
  <r>
    <n v="2025"/>
    <s v="Февраль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2"/>
    <m/>
  </r>
  <r>
    <n v="2025"/>
    <s v="Январь"/>
    <n v="-25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2"/>
    <m/>
  </r>
  <r>
    <n v="2024"/>
    <s v="Декабрь"/>
    <n v="-5.4"/>
    <x v="0"/>
    <m/>
    <x v="1"/>
    <s v="«Программа льготного лизинга гражданских судов водного транспорта»"/>
  </r>
  <r>
    <n v="2024"/>
    <s v="Декабрь"/>
    <n v="-126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2"/>
    <m/>
  </r>
  <r>
    <n v="2024"/>
    <s v="Декабрь"/>
    <n v="347.4"/>
    <x v="0"/>
    <n v="347398"/>
    <x v="1"/>
    <s v="«Программа льготного лизинга гражданских судов водного транспорта»"/>
  </r>
  <r>
    <n v="2024"/>
    <s v="Декабрь"/>
    <n v="564.4"/>
    <x v="0"/>
    <n v="564369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0"/>
    <s v="«Центральная кольцевая автомобильная дорога (Московская область)»"/>
  </r>
  <r>
    <n v="2024"/>
    <s v="Декабрь"/>
    <n v="6286.5"/>
    <x v="0"/>
    <n v="628653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0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2"/>
    <m/>
  </r>
  <r>
    <n v="2024"/>
    <s v="Ноябрь"/>
    <n v="2093.4"/>
    <x v="0"/>
    <n v="2093362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1"/>
    <s v="«Программа льготного лизинга гражданских судов водного транспорта»"/>
  </r>
  <r>
    <n v="2024"/>
    <s v="Ноябрь"/>
    <n v="6400"/>
    <x v="0"/>
    <n v="64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1"/>
    <m/>
  </r>
  <r>
    <n v="2024"/>
    <s v="Октябрь"/>
    <n v="-804.7"/>
    <x v="0"/>
    <m/>
    <x v="2"/>
    <m/>
  </r>
  <r>
    <n v="2024"/>
    <s v="Октябрь"/>
    <n v="6613"/>
    <x v="0"/>
    <n v="6613007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1"/>
    <m/>
  </r>
  <r>
    <n v="2024"/>
    <s v="Сентябрь"/>
    <n v="-3086.3"/>
    <x v="0"/>
    <m/>
    <x v="2"/>
    <m/>
  </r>
  <r>
    <n v="2024"/>
    <s v="Сентябрь"/>
    <n v="400"/>
    <x v="0"/>
    <n v="400000"/>
    <x v="0"/>
    <s v="«Центральная кольцевая автомобильная дорога (Московская область)»"/>
  </r>
  <r>
    <n v="2024"/>
    <s v="Сентябрь"/>
    <n v="810.7"/>
    <x v="0"/>
    <n v="810724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0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1"/>
    <s v="«Программа льготного лизинга гражданских судов водного транспорта»"/>
  </r>
  <r>
    <n v="2024"/>
    <s v="Август"/>
    <n v="-49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2"/>
    <m/>
  </r>
  <r>
    <n v="2024"/>
    <s v="Август"/>
    <n v="1066.8"/>
    <x v="0"/>
    <n v="106678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0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2"/>
    <m/>
  </r>
  <r>
    <n v="2024"/>
    <s v="Июль"/>
    <n v="500"/>
    <x v="0"/>
    <n v="500000"/>
    <x v="0"/>
    <s v="«Центральная кольцевая автомобильная дорога (Московская область)»"/>
  </r>
  <r>
    <n v="2024"/>
    <s v="Июль"/>
    <n v="914.2"/>
    <x v="0"/>
    <n v="914206"/>
    <x v="1"/>
    <s v="«Программа льготного лизинга гражданских судов водного транспорта»"/>
  </r>
  <r>
    <n v="2024"/>
    <s v="Июль"/>
    <n v="3873.6"/>
    <x v="0"/>
    <n v="3873626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2"/>
    <s v="Приобретение облигаций, апрель 2023 года"/>
  </r>
  <r>
    <n v="2024"/>
    <s v="Июнь"/>
    <n v="494.7"/>
    <x v="0"/>
    <n v="494731"/>
    <x v="1"/>
    <s v="«Программа льготного лизинга гражданских судов водного транспорта»"/>
  </r>
  <r>
    <n v="2024"/>
    <s v="Июнь"/>
    <n v="500"/>
    <x v="0"/>
    <n v="500000"/>
    <x v="0"/>
    <s v="«Центральная кольцевая автомобильная дорога (Московская область)»"/>
  </r>
  <r>
    <n v="2024"/>
    <s v="Июнь"/>
    <n v="6948.3"/>
    <x v="0"/>
    <n v="6948286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0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2"/>
    <s v="Приобретение облигаций, апрель 2023 года"/>
  </r>
  <r>
    <n v="2024"/>
    <s v="Май"/>
    <n v="798.8"/>
    <x v="0"/>
    <n v="798819"/>
    <x v="1"/>
    <s v="«Программа льготного лизинга гражданских судов водного транспорта»"/>
  </r>
  <r>
    <n v="2024"/>
    <s v="Май"/>
    <n v="5408.4"/>
    <x v="0"/>
    <n v="5408378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1"/>
    <s v="«Программа льготного лизинга гражданских судов водного транспорта»"/>
  </r>
  <r>
    <n v="2024"/>
    <s v="Март"/>
    <n v="1893"/>
    <x v="0"/>
    <n v="189301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0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1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0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0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0"/>
    <s v="«Центральная кольцевая автомобильная дорога (Московская область)»"/>
  </r>
  <r>
    <n v="2023"/>
    <s v="Декабрь"/>
    <n v="8720.7000000000007"/>
    <x v="0"/>
    <n v="8720735"/>
    <x v="1"/>
    <s v="«Программа льготного лизинга гражданских судов водного транспорта»"/>
  </r>
  <r>
    <n v="2024"/>
    <s v="Январь"/>
    <n v="-6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0"/>
    <m/>
  </r>
  <r>
    <n v="2023"/>
    <s v="Декабрь"/>
    <n v="-48.665200000003097"/>
    <x v="0"/>
    <m/>
    <x v="1"/>
    <m/>
  </r>
  <r>
    <n v="2023"/>
    <s v="Ноябрь"/>
    <n v="10797.1"/>
    <x v="0"/>
    <n v="1079714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0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0"/>
    <s v="«Центральная кольцевая автомобильная дорога (Московская область)»"/>
  </r>
  <r>
    <n v="2023"/>
    <s v="Октябрь"/>
    <n v="500"/>
    <x v="0"/>
    <n v="5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0"/>
    <s v="«Центральная кольцевая автомобильная дорога (Московская область)»"/>
  </r>
  <r>
    <n v="2023"/>
    <s v="Сентябрь"/>
    <n v="1100"/>
    <x v="0"/>
    <n v="1100000"/>
    <x v="0"/>
    <s v="«Центральная кольцевая автомобильная дорога (Московская область)»"/>
  </r>
  <r>
    <n v="2023"/>
    <s v="Сентябрь"/>
    <n v="13767"/>
    <x v="0"/>
    <n v="1376698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0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1"/>
    <s v="«Программа льготного лизинга гражданских судов водного транспорта»"/>
  </r>
  <r>
    <n v="2023"/>
    <s v="Август"/>
    <n v="2241.6"/>
    <x v="0"/>
    <n v="2241607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0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0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0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0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0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0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0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0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0"/>
    <s v="«Центральная кольцевая автомобильная дорога (Московская область)»"/>
  </r>
  <r>
    <n v="2020"/>
    <s v="Февраль"/>
    <n v="6000"/>
    <x v="0"/>
    <n v="6000000"/>
    <x v="0"/>
    <s v="«Центральная кольцевая автомобильная дорога (Московская область)»"/>
  </r>
  <r>
    <n v="2019"/>
    <s v="Ноябрь"/>
    <n v="4000"/>
    <x v="0"/>
    <n v="4000000"/>
    <x v="0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0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0"/>
    <s v="«Центральная кольцевая автомобильная дорога (Московская область)»"/>
  </r>
  <r>
    <n v="2019"/>
    <s v="Июль"/>
    <n v="500"/>
    <x v="0"/>
    <n v="500000"/>
    <x v="0"/>
    <s v="«Центральная кольцевая автомобильная дорога (Московская область)»"/>
  </r>
  <r>
    <n v="2019"/>
    <s v="Июнь"/>
    <n v="2000"/>
    <x v="0"/>
    <n v="2000000"/>
    <x v="0"/>
    <s v="«Центральная кольцевая автомобильная дорога (Московская область)»"/>
  </r>
  <r>
    <n v="2019"/>
    <s v="Май"/>
    <n v="3000"/>
    <x v="0"/>
    <n v="3000000"/>
    <x v="0"/>
    <s v="«Центральная кольцевая автомобильная дорога (Московская область)»"/>
  </r>
  <r>
    <n v="2019"/>
    <s v="Январь"/>
    <n v="2000"/>
    <x v="0"/>
    <n v="2000000"/>
    <x v="0"/>
    <s v="«Центральная кольцевая автомобильная дорога (Московская область)»"/>
  </r>
  <r>
    <n v="2018"/>
    <s v="Декабрь"/>
    <n v="12240.8"/>
    <x v="0"/>
    <n v="12240800"/>
    <x v="0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0"/>
    <s v="«Центральная кольцевая автомобильная дорога (Московская область)»"/>
  </r>
  <r>
    <n v="2018"/>
    <s v="Октябрь"/>
    <n v="2000"/>
    <x v="0"/>
    <n v="2000000"/>
    <x v="0"/>
    <s v="«Центральная кольцевая автомобильная дорога (Московская область)»"/>
  </r>
  <r>
    <n v="2018"/>
    <s v="Сентябрь"/>
    <n v="2000"/>
    <x v="0"/>
    <n v="2000000"/>
    <x v="0"/>
    <s v="«Центральная кольцевая автомобильная дорога (Московская область)»"/>
  </r>
  <r>
    <n v="2017"/>
    <s v="Август"/>
    <n v="16710"/>
    <x v="0"/>
    <n v="16710000"/>
    <x v="0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2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1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2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3:N31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1"/>
        <item x="0"/>
        <item x="7"/>
        <item x="5"/>
        <item x="9"/>
        <item x="6"/>
        <item x="8"/>
        <item x="11"/>
        <item x="12"/>
        <item x="3"/>
        <item x="15"/>
        <item m="1" x="16"/>
        <item x="2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109">
    <format dxfId="108">
      <pivotArea dataOnly="0" labelOnly="1" fieldPosition="0">
        <references count="1">
          <reference field="5" count="1">
            <x v="2"/>
          </reference>
        </references>
      </pivotArea>
    </format>
    <format dxfId="107">
      <pivotArea dataOnly="0" labelOnly="1" fieldPosition="0">
        <references count="1">
          <reference field="5" count="1">
            <x v="6"/>
          </reference>
        </references>
      </pivotArea>
    </format>
    <format dxfId="106">
      <pivotArea dataOnly="0" labelOnly="1" fieldPosition="0">
        <references count="1">
          <reference field="5" count="1">
            <x v="1"/>
          </reference>
        </references>
      </pivotArea>
    </format>
    <format dxfId="105">
      <pivotArea dataOnly="0" labelOnly="1" fieldPosition="0">
        <references count="1">
          <reference field="5" count="1">
            <x v="9"/>
          </reference>
        </references>
      </pivotArea>
    </format>
    <format dxfId="104">
      <pivotArea dataOnly="0" labelOnly="1" fieldPosition="0">
        <references count="1">
          <reference field="5" count="1">
            <x v="10"/>
          </reference>
        </references>
      </pivotArea>
    </format>
    <format dxfId="103">
      <pivotArea dataOnly="0" labelOnly="1" fieldPosition="0">
        <references count="1">
          <reference field="5" count="1">
            <x v="3"/>
          </reference>
        </references>
      </pivotArea>
    </format>
    <format dxfId="102">
      <pivotArea dataOnly="0" labelOnly="1" fieldPosition="0">
        <references count="1">
          <reference field="5" count="1">
            <x v="4"/>
          </reference>
        </references>
      </pivotArea>
    </format>
    <format dxfId="101">
      <pivotArea dataOnly="0" labelOnly="1" fieldPosition="0">
        <references count="1">
          <reference field="5" count="1">
            <x v="0"/>
          </reference>
        </references>
      </pivotArea>
    </format>
    <format dxfId="100">
      <pivotArea dataOnly="0" labelOnly="1" fieldPosition="0">
        <references count="1">
          <reference field="5" count="0"/>
        </references>
      </pivotArea>
    </format>
    <format dxfId="99">
      <pivotArea dataOnly="0" labelOnly="1" fieldPosition="0">
        <references count="1">
          <reference field="5" count="1">
            <x v="1"/>
          </reference>
        </references>
      </pivotArea>
    </format>
    <format dxfId="98">
      <pivotArea dataOnly="0" labelOnly="1" fieldPosition="0">
        <references count="1">
          <reference field="5" count="1">
            <x v="2"/>
          </reference>
        </references>
      </pivotArea>
    </format>
    <format dxfId="97">
      <pivotArea dataOnly="0" labelOnly="1" fieldPosition="0">
        <references count="1">
          <reference field="5" count="1">
            <x v="3"/>
          </reference>
        </references>
      </pivotArea>
    </format>
    <format dxfId="96">
      <pivotArea dataOnly="0" labelOnly="1" fieldPosition="0">
        <references count="1">
          <reference field="5" count="1">
            <x v="10"/>
          </reference>
        </references>
      </pivotArea>
    </format>
    <format dxfId="95">
      <pivotArea dataOnly="0" labelOnly="1" fieldPosition="0">
        <references count="1">
          <reference field="5" count="1">
            <x v="6"/>
          </reference>
        </references>
      </pivotArea>
    </format>
    <format dxfId="94">
      <pivotArea dataOnly="0" labelOnly="1" fieldPosition="0">
        <references count="1">
          <reference field="5" count="1">
            <x v="9"/>
          </reference>
        </references>
      </pivotArea>
    </format>
    <format dxfId="93">
      <pivotArea dataOnly="0" labelOnly="1" fieldPosition="0">
        <references count="1">
          <reference field="5" count="1">
            <x v="4"/>
          </reference>
        </references>
      </pivotArea>
    </format>
    <format dxfId="92">
      <pivotArea dataOnly="0" labelOnly="1" fieldPosition="0">
        <references count="1">
          <reference field="5" count="1">
            <x v="0"/>
          </reference>
        </references>
      </pivotArea>
    </format>
    <format dxfId="9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9">
      <pivotArea dataOnly="0" labelOnly="1" fieldPosition="0">
        <references count="1">
          <reference field="5" count="1">
            <x v="2"/>
          </reference>
        </references>
      </pivotArea>
    </format>
    <format dxfId="88">
      <pivotArea dataOnly="0" labelOnly="1" fieldPosition="0">
        <references count="1">
          <reference field="5" count="1">
            <x v="2"/>
          </reference>
        </references>
      </pivotArea>
    </format>
    <format dxfId="87">
      <pivotArea dataOnly="0" labelOnly="1" fieldPosition="0">
        <references count="1">
          <reference field="5" count="1">
            <x v="6"/>
          </reference>
        </references>
      </pivotArea>
    </format>
    <format dxfId="86">
      <pivotArea dataOnly="0" labelOnly="1" fieldPosition="0">
        <references count="1">
          <reference field="5" count="1">
            <x v="3"/>
          </reference>
        </references>
      </pivotArea>
    </format>
    <format dxfId="85">
      <pivotArea dataOnly="0" labelOnly="1" fieldPosition="0">
        <references count="1">
          <reference field="5" count="1">
            <x v="10"/>
          </reference>
        </references>
      </pivotArea>
    </format>
    <format dxfId="84">
      <pivotArea dataOnly="0" labelOnly="1" fieldPosition="0">
        <references count="1">
          <reference field="5" count="1">
            <x v="1"/>
          </reference>
        </references>
      </pivotArea>
    </format>
    <format dxfId="83">
      <pivotArea dataOnly="0" labelOnly="1" fieldPosition="0">
        <references count="1">
          <reference field="5" count="1">
            <x v="9"/>
          </reference>
        </references>
      </pivotArea>
    </format>
    <format dxfId="82">
      <pivotArea dataOnly="0" labelOnly="1" fieldPosition="0">
        <references count="1">
          <reference field="5" count="1">
            <x v="4"/>
          </reference>
        </references>
      </pivotArea>
    </format>
    <format dxfId="81">
      <pivotArea dataOnly="0" labelOnly="1" fieldPosition="0">
        <references count="1">
          <reference field="5" count="1">
            <x v="0"/>
          </reference>
        </references>
      </pivotArea>
    </format>
    <format dxfId="8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9">
      <pivotArea dataOnly="0" labelOnly="1" fieldPosition="0">
        <references count="1">
          <reference field="5" count="1">
            <x v="2"/>
          </reference>
        </references>
      </pivotArea>
    </format>
    <format dxfId="78">
      <pivotArea dataOnly="0" labelOnly="1" fieldPosition="0">
        <references count="1">
          <reference field="5" count="1">
            <x v="6"/>
          </reference>
        </references>
      </pivotArea>
    </format>
    <format dxfId="77">
      <pivotArea dataOnly="0" labelOnly="1" fieldPosition="0">
        <references count="1">
          <reference field="5" count="1">
            <x v="10"/>
          </reference>
        </references>
      </pivotArea>
    </format>
    <format dxfId="76">
      <pivotArea dataOnly="0" labelOnly="1" fieldPosition="0">
        <references count="1">
          <reference field="5" count="1">
            <x v="3"/>
          </reference>
        </references>
      </pivotArea>
    </format>
    <format dxfId="75">
      <pivotArea dataOnly="0" labelOnly="1" fieldPosition="0">
        <references count="1">
          <reference field="5" count="1">
            <x v="1"/>
          </reference>
        </references>
      </pivotArea>
    </format>
    <format dxfId="74">
      <pivotArea dataOnly="0" labelOnly="1" fieldPosition="0">
        <references count="1">
          <reference field="5" count="1">
            <x v="9"/>
          </reference>
        </references>
      </pivotArea>
    </format>
    <format dxfId="73">
      <pivotArea dataOnly="0" labelOnly="1" fieldPosition="0">
        <references count="1">
          <reference field="5" count="1">
            <x v="4"/>
          </reference>
        </references>
      </pivotArea>
    </format>
    <format dxfId="72">
      <pivotArea dataOnly="0" labelOnly="1" fieldPosition="0">
        <references count="1">
          <reference field="5" count="1">
            <x v="0"/>
          </reference>
        </references>
      </pivotArea>
    </format>
    <format dxfId="7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0">
      <pivotArea dataOnly="0" labelOnly="1" fieldPosition="0">
        <references count="1">
          <reference field="5" count="1">
            <x v="4"/>
          </reference>
        </references>
      </pivotArea>
    </format>
    <format dxfId="69">
      <pivotArea dataOnly="0" labelOnly="1" fieldPosition="0">
        <references count="1">
          <reference field="5" count="1">
            <x v="6"/>
          </reference>
        </references>
      </pivotArea>
    </format>
    <format dxfId="68">
      <pivotArea dataOnly="0" labelOnly="1" fieldPosition="0">
        <references count="1">
          <reference field="5" count="1">
            <x v="3"/>
          </reference>
        </references>
      </pivotArea>
    </format>
    <format dxfId="67">
      <pivotArea dataOnly="0" labelOnly="1" fieldPosition="0">
        <references count="1">
          <reference field="5" count="1">
            <x v="10"/>
          </reference>
        </references>
      </pivotArea>
    </format>
    <format dxfId="66">
      <pivotArea dataOnly="0" labelOnly="1" fieldPosition="0">
        <references count="1">
          <reference field="5" count="1">
            <x v="1"/>
          </reference>
        </references>
      </pivotArea>
    </format>
    <format dxfId="65">
      <pivotArea dataOnly="0" labelOnly="1" fieldPosition="0">
        <references count="1">
          <reference field="5" count="1">
            <x v="9"/>
          </reference>
        </references>
      </pivotArea>
    </format>
    <format dxfId="64">
      <pivotArea dataOnly="0" labelOnly="1" fieldPosition="0">
        <references count="1">
          <reference field="5" count="1">
            <x v="0"/>
          </reference>
        </references>
      </pivotArea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fieldPosition="0">
        <references count="1">
          <reference field="5" count="1">
            <x v="2"/>
          </reference>
        </references>
      </pivotArea>
    </format>
    <format dxfId="61">
      <pivotArea dataOnly="0" labelOnly="1" fieldPosition="0">
        <references count="1">
          <reference field="5" count="1">
            <x v="6"/>
          </reference>
        </references>
      </pivotArea>
    </format>
    <format dxfId="60">
      <pivotArea dataOnly="0" labelOnly="1" fieldPosition="0">
        <references count="1">
          <reference field="5" count="1">
            <x v="10"/>
          </reference>
        </references>
      </pivotArea>
    </format>
    <format dxfId="59">
      <pivotArea dataOnly="0" labelOnly="1" fieldPosition="0">
        <references count="1">
          <reference field="5" count="1">
            <x v="3"/>
          </reference>
        </references>
      </pivotArea>
    </format>
    <format dxfId="58">
      <pivotArea dataOnly="0" labelOnly="1" fieldPosition="0">
        <references count="1">
          <reference field="5" count="1">
            <x v="1"/>
          </reference>
        </references>
      </pivotArea>
    </format>
    <format dxfId="57">
      <pivotArea dataOnly="0" labelOnly="1" fieldPosition="0">
        <references count="1">
          <reference field="5" count="1">
            <x v="9"/>
          </reference>
        </references>
      </pivotArea>
    </format>
    <format dxfId="56">
      <pivotArea dataOnly="0" labelOnly="1" fieldPosition="0">
        <references count="1">
          <reference field="5" count="1">
            <x v="4"/>
          </reference>
        </references>
      </pivotArea>
    </format>
    <format dxfId="55">
      <pivotArea dataOnly="0" labelOnly="1" fieldPosition="0">
        <references count="1">
          <reference field="5" count="1">
            <x v="0"/>
          </reference>
        </references>
      </pivotArea>
    </format>
    <format dxfId="5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labelOnly="1" fieldPosition="0">
        <references count="1">
          <reference field="5" count="1">
            <x v="2"/>
          </reference>
        </references>
      </pivotArea>
    </format>
    <format dxfId="52">
      <pivotArea dataOnly="0" labelOnly="1" fieldPosition="0">
        <references count="1">
          <reference field="5" count="1">
            <x v="6"/>
          </reference>
        </references>
      </pivotArea>
    </format>
    <format dxfId="51">
      <pivotArea dataOnly="0" labelOnly="1" fieldPosition="0">
        <references count="1">
          <reference field="5" count="1">
            <x v="10"/>
          </reference>
        </references>
      </pivotArea>
    </format>
    <format dxfId="50">
      <pivotArea dataOnly="0" labelOnly="1" fieldPosition="0">
        <references count="1">
          <reference field="5" count="1">
            <x v="3"/>
          </reference>
        </references>
      </pivotArea>
    </format>
    <format dxfId="49">
      <pivotArea dataOnly="0" labelOnly="1" fieldPosition="0">
        <references count="1">
          <reference field="5" count="1">
            <x v="1"/>
          </reference>
        </references>
      </pivotArea>
    </format>
    <format dxfId="48">
      <pivotArea dataOnly="0" labelOnly="1" fieldPosition="0">
        <references count="1">
          <reference field="5" count="1">
            <x v="9"/>
          </reference>
        </references>
      </pivotArea>
    </format>
    <format dxfId="47">
      <pivotArea dataOnly="0" labelOnly="1" fieldPosition="0">
        <references count="1">
          <reference field="5" count="1">
            <x v="4"/>
          </reference>
        </references>
      </pivotArea>
    </format>
    <format dxfId="46">
      <pivotArea dataOnly="0" labelOnly="1" fieldPosition="0">
        <references count="1">
          <reference field="5" count="1">
            <x v="0"/>
          </reference>
        </references>
      </pivotArea>
    </format>
    <format dxfId="45">
      <pivotArea type="origin" dataOnly="0" labelOnly="1" outline="0" fieldPosition="0"/>
    </format>
    <format dxfId="44">
      <pivotArea field="5" type="button" dataOnly="0" labelOnly="1" outline="0" axis="axisRow" fieldPosition="0"/>
    </format>
    <format dxfId="4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2">
      <pivotArea dataOnly="0" labelOnly="1" fieldPosition="0">
        <references count="1">
          <reference field="5" count="1">
            <x v="2"/>
          </reference>
        </references>
      </pivotArea>
    </format>
    <format dxfId="41">
      <pivotArea dataOnly="0" labelOnly="1" fieldPosition="0">
        <references count="1">
          <reference field="5" count="1">
            <x v="2"/>
          </reference>
        </references>
      </pivotArea>
    </format>
    <format dxfId="40">
      <pivotArea dataOnly="0" labelOnly="1" fieldPosition="0">
        <references count="1">
          <reference field="5" count="1">
            <x v="6"/>
          </reference>
        </references>
      </pivotArea>
    </format>
    <format dxfId="39">
      <pivotArea dataOnly="0" labelOnly="1" fieldPosition="0">
        <references count="1">
          <reference field="5" count="1">
            <x v="10"/>
          </reference>
        </references>
      </pivotArea>
    </format>
    <format dxfId="38">
      <pivotArea dataOnly="0" labelOnly="1" fieldPosition="0">
        <references count="1">
          <reference field="5" count="1">
            <x v="3"/>
          </reference>
        </references>
      </pivotArea>
    </format>
    <format dxfId="37">
      <pivotArea dataOnly="0" labelOnly="1" fieldPosition="0">
        <references count="1">
          <reference field="5" count="1">
            <x v="1"/>
          </reference>
        </references>
      </pivotArea>
    </format>
    <format dxfId="36">
      <pivotArea dataOnly="0" labelOnly="1" fieldPosition="0">
        <references count="1">
          <reference field="5" count="1">
            <x v="9"/>
          </reference>
        </references>
      </pivotArea>
    </format>
    <format dxfId="35">
      <pivotArea dataOnly="0" labelOnly="1" fieldPosition="0">
        <references count="1">
          <reference field="5" count="1">
            <x v="4"/>
          </reference>
        </references>
      </pivotArea>
    </format>
    <format dxfId="34">
      <pivotArea dataOnly="0" labelOnly="1" fieldPosition="0">
        <references count="1">
          <reference field="5" count="1">
            <x v="0"/>
          </reference>
        </references>
      </pivotArea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fieldPosition="0">
        <references count="1">
          <reference field="5" count="1">
            <x v="2"/>
          </reference>
        </references>
      </pivotArea>
    </format>
    <format dxfId="31">
      <pivotArea dataOnly="0" labelOnly="1" fieldPosition="0">
        <references count="1">
          <reference field="5" count="1">
            <x v="6"/>
          </reference>
        </references>
      </pivotArea>
    </format>
    <format dxfId="30">
      <pivotArea dataOnly="0" labelOnly="1" fieldPosition="0">
        <references count="1">
          <reference field="5" count="1">
            <x v="3"/>
          </reference>
        </references>
      </pivotArea>
    </format>
    <format dxfId="29">
      <pivotArea dataOnly="0" labelOnly="1" fieldPosition="0">
        <references count="1">
          <reference field="5" count="1">
            <x v="10"/>
          </reference>
        </references>
      </pivotArea>
    </format>
    <format dxfId="28">
      <pivotArea dataOnly="0" labelOnly="1" fieldPosition="0">
        <references count="1">
          <reference field="5" count="1">
            <x v="1"/>
          </reference>
        </references>
      </pivotArea>
    </format>
    <format dxfId="27">
      <pivotArea dataOnly="0" labelOnly="1" fieldPosition="0">
        <references count="1">
          <reference field="5" count="1">
            <x v="9"/>
          </reference>
        </references>
      </pivotArea>
    </format>
    <format dxfId="26">
      <pivotArea dataOnly="0" labelOnly="1" fieldPosition="0">
        <references count="1">
          <reference field="5" count="1">
            <x v="4"/>
          </reference>
        </references>
      </pivotArea>
    </format>
    <format dxfId="25">
      <pivotArea dataOnly="0" labelOnly="1" fieldPosition="0">
        <references count="1">
          <reference field="5" count="1">
            <x v="0"/>
          </reference>
        </references>
      </pivotArea>
    </format>
    <format dxfId="2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3">
      <pivotArea dataOnly="0" labelOnly="1" fieldPosition="0">
        <references count="1">
          <reference field="5" count="1">
            <x v="2"/>
          </reference>
        </references>
      </pivotArea>
    </format>
    <format dxfId="22">
      <pivotArea dataOnly="0" labelOnly="1" fieldPosition="0">
        <references count="1">
          <reference field="5" count="1">
            <x v="6"/>
          </reference>
        </references>
      </pivotArea>
    </format>
    <format dxfId="21">
      <pivotArea dataOnly="0" labelOnly="1" fieldPosition="0">
        <references count="1">
          <reference field="5" count="1">
            <x v="9"/>
          </reference>
        </references>
      </pivotArea>
    </format>
    <format dxfId="20">
      <pivotArea dataOnly="0" labelOnly="1" fieldPosition="0">
        <references count="1">
          <reference field="5" count="1">
            <x v="4"/>
          </reference>
        </references>
      </pivotArea>
    </format>
    <format dxfId="19">
      <pivotArea dataOnly="0" labelOnly="1" fieldPosition="0">
        <references count="1">
          <reference field="5" count="1">
            <x v="0"/>
          </reference>
        </references>
      </pivotArea>
    </format>
    <format dxfId="18">
      <pivotArea dataOnly="0" labelOnly="1" fieldPosition="0">
        <references count="1">
          <reference field="5" count="1">
            <x v="10"/>
          </reference>
        </references>
      </pivotArea>
    </format>
    <format dxfId="17">
      <pivotArea dataOnly="0" labelOnly="1" fieldPosition="0">
        <references count="1">
          <reference field="5" count="1">
            <x v="3"/>
          </reference>
        </references>
      </pivotArea>
    </format>
    <format dxfId="16">
      <pivotArea dataOnly="0" labelOnly="1" fieldPosition="0">
        <references count="1">
          <reference field="5" count="1">
            <x v="1"/>
          </reference>
        </references>
      </pivotArea>
    </format>
    <format dxfId="1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5" count="1">
            <x v="2"/>
          </reference>
        </references>
      </pivotArea>
    </format>
    <format dxfId="13">
      <pivotArea dataOnly="0" labelOnly="1" fieldPosition="0">
        <references count="1">
          <reference field="5" count="1">
            <x v="6"/>
          </reference>
        </references>
      </pivotArea>
    </format>
    <format dxfId="12">
      <pivotArea dataOnly="0" labelOnly="1" fieldPosition="0">
        <references count="1">
          <reference field="5" count="1">
            <x v="3"/>
          </reference>
        </references>
      </pivotArea>
    </format>
    <format dxfId="11">
      <pivotArea dataOnly="0" labelOnly="1" fieldPosition="0">
        <references count="1">
          <reference field="5" count="1">
            <x v="10"/>
          </reference>
        </references>
      </pivotArea>
    </format>
    <format dxfId="10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dataOnly="0" labelOnly="1" fieldPosition="0">
        <references count="1">
          <reference field="5" count="1">
            <x v="9"/>
          </reference>
        </references>
      </pivotArea>
    </format>
    <format dxfId="8">
      <pivotArea dataOnly="0" labelOnly="1" fieldPosition="0">
        <references count="1">
          <reference field="5" count="1">
            <x v="4"/>
          </reference>
        </references>
      </pivotArea>
    </format>
    <format dxfId="7">
      <pivotArea dataOnly="0" labelOnly="1" fieldPosition="0">
        <references count="1">
          <reference field="5" count="1">
            <x v="0"/>
          </reference>
        </references>
      </pivotArea>
    </format>
    <format dxfId="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">
      <pivotArea dataOnly="0" labelOnly="1" fieldPosition="0">
        <references count="1">
          <reference field="5" count="1">
            <x v="2"/>
          </reference>
        </references>
      </pivotArea>
    </format>
    <format dxfId="4">
      <pivotArea dataOnly="0" labelOnly="1" fieldPosition="0">
        <references count="1">
          <reference field="5" count="1">
            <x v="6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84"/>
  <sheetViews>
    <sheetView zoomScale="55" zoomScaleNormal="55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G21" sqref="AG21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5" width="11.453125" customWidth="1"/>
    <col min="36" max="36" width="12.1796875" bestFit="1" customWidth="1"/>
    <col min="37" max="37" width="16.81640625" bestFit="1" customWidth="1"/>
    <col min="38" max="38" width="15.81640625" bestFit="1" customWidth="1"/>
  </cols>
  <sheetData>
    <row r="1" spans="1:68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146</v>
      </c>
      <c r="R1" s="7" t="s">
        <v>183</v>
      </c>
      <c r="S1" s="7" t="s">
        <v>185</v>
      </c>
      <c r="T1" s="7" t="s">
        <v>186</v>
      </c>
      <c r="U1" s="7" t="s">
        <v>187</v>
      </c>
      <c r="V1" s="7" t="s">
        <v>188</v>
      </c>
      <c r="W1" s="7" t="s">
        <v>204</v>
      </c>
      <c r="X1" s="7" t="s">
        <v>205</v>
      </c>
      <c r="Y1" s="7" t="s">
        <v>208</v>
      </c>
      <c r="Z1" s="7" t="s">
        <v>215</v>
      </c>
      <c r="AA1" s="7" t="s">
        <v>216</v>
      </c>
      <c r="AB1" s="7" t="s">
        <v>217</v>
      </c>
      <c r="AC1" s="7" t="s">
        <v>218</v>
      </c>
      <c r="AD1" s="7" t="s">
        <v>220</v>
      </c>
      <c r="AE1" s="7" t="s">
        <v>228</v>
      </c>
      <c r="AF1" s="7" t="s">
        <v>233</v>
      </c>
      <c r="AG1" s="7" t="s">
        <v>238</v>
      </c>
      <c r="AH1" s="7" t="s">
        <v>239</v>
      </c>
      <c r="AI1" s="7" t="s">
        <v>243</v>
      </c>
      <c r="AJ1" s="7" t="s">
        <v>227</v>
      </c>
      <c r="AK1" s="7" t="s">
        <v>226</v>
      </c>
    </row>
    <row r="2" spans="1:68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7">
        <f>AI2-AH2</f>
        <v>0</v>
      </c>
      <c r="AK2" s="17">
        <f>AI2-W2</f>
        <v>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7">
        <f t="shared" ref="AJ3:AJ57" si="0">AI3-AH3</f>
        <v>0</v>
      </c>
      <c r="AK3" s="17">
        <f t="shared" ref="AK3:AK57" si="1">AI3-W3</f>
        <v>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7">
        <f t="shared" si="0"/>
        <v>0</v>
      </c>
      <c r="AK4" s="17">
        <f t="shared" si="1"/>
        <v>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">
        <v>164387.6</v>
      </c>
      <c r="AH5" s="1">
        <v>164597.20000000001</v>
      </c>
      <c r="AI5" s="1">
        <v>153698.1</v>
      </c>
      <c r="AJ5" s="17">
        <f t="shared" si="0"/>
        <v>-10899.100000000006</v>
      </c>
      <c r="AK5" s="17">
        <f t="shared" si="1"/>
        <v>-73917.699999999983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">
        <v>168271.4</v>
      </c>
      <c r="AH6" s="1">
        <v>168061.1</v>
      </c>
      <c r="AI6" s="1">
        <v>139509.1</v>
      </c>
      <c r="AJ6" s="17">
        <f t="shared" si="0"/>
        <v>-28552</v>
      </c>
      <c r="AK6" s="17">
        <f t="shared" si="1"/>
        <v>-190196.19999999998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">
        <v>1671.6</v>
      </c>
      <c r="AH7" s="1">
        <v>397.6</v>
      </c>
      <c r="AI7" s="1">
        <v>1271.3</v>
      </c>
      <c r="AJ7" s="17">
        <f t="shared" si="0"/>
        <v>873.69999999999993</v>
      </c>
      <c r="AK7" s="17">
        <f t="shared" si="1"/>
        <v>19.299999999999955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 t="shared" ref="AB8:AG8" si="8">AA8</f>
        <v>50000</v>
      </c>
      <c r="AC8" s="1">
        <f t="shared" si="8"/>
        <v>50000</v>
      </c>
      <c r="AD8" s="1">
        <f t="shared" si="8"/>
        <v>50000</v>
      </c>
      <c r="AE8" s="1">
        <f t="shared" si="8"/>
        <v>50000</v>
      </c>
      <c r="AF8" s="1">
        <f t="shared" si="8"/>
        <v>50000</v>
      </c>
      <c r="AG8" s="1">
        <f t="shared" si="8"/>
        <v>50000</v>
      </c>
      <c r="AH8" s="1">
        <v>50000</v>
      </c>
      <c r="AI8" s="1">
        <f t="shared" ref="AI8:AI13" si="9">AH8</f>
        <v>50000</v>
      </c>
      <c r="AJ8" s="17">
        <f t="shared" si="0"/>
        <v>0</v>
      </c>
      <c r="AK8" s="17">
        <f t="shared" si="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10">O9</f>
        <v>30000</v>
      </c>
      <c r="Q9" s="1">
        <v>30000</v>
      </c>
      <c r="R9" s="1">
        <f t="shared" ref="R9:R13" si="11">Q9</f>
        <v>30000</v>
      </c>
      <c r="S9" s="1">
        <f t="shared" ref="S9:T13" si="12">R9</f>
        <v>30000</v>
      </c>
      <c r="T9" s="1">
        <f t="shared" si="12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3">AC9</f>
        <v>30000</v>
      </c>
      <c r="AE9" s="1">
        <f t="shared" ref="AE9:AF13" si="14">AD9</f>
        <v>30000</v>
      </c>
      <c r="AF9" s="1">
        <f t="shared" si="14"/>
        <v>30000</v>
      </c>
      <c r="AG9" s="1">
        <f t="shared" ref="AG9:AH13" si="15">AF9</f>
        <v>30000</v>
      </c>
      <c r="AH9" s="1">
        <v>30000</v>
      </c>
      <c r="AI9" s="1">
        <f t="shared" si="9"/>
        <v>30000</v>
      </c>
      <c r="AJ9" s="17">
        <f t="shared" si="0"/>
        <v>0</v>
      </c>
      <c r="AK9" s="17">
        <f t="shared" si="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10"/>
        <v>40000</v>
      </c>
      <c r="Q10" s="1">
        <v>40000</v>
      </c>
      <c r="R10" s="1">
        <f t="shared" si="11"/>
        <v>40000</v>
      </c>
      <c r="S10" s="1">
        <f t="shared" si="12"/>
        <v>40000</v>
      </c>
      <c r="T10" s="1">
        <f t="shared" si="12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3"/>
        <v>40000</v>
      </c>
      <c r="AE10" s="1">
        <f t="shared" si="14"/>
        <v>40000</v>
      </c>
      <c r="AF10" s="1">
        <f t="shared" si="14"/>
        <v>40000</v>
      </c>
      <c r="AG10" s="1">
        <f t="shared" si="15"/>
        <v>40000</v>
      </c>
      <c r="AH10" s="1">
        <v>40000</v>
      </c>
      <c r="AI10" s="1">
        <f t="shared" si="9"/>
        <v>40000</v>
      </c>
      <c r="AJ10" s="17">
        <f t="shared" si="0"/>
        <v>0</v>
      </c>
      <c r="AK10" s="17">
        <f t="shared" si="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10"/>
        <v>138830</v>
      </c>
      <c r="Q11" s="1">
        <v>138830</v>
      </c>
      <c r="R11" s="1">
        <f t="shared" si="11"/>
        <v>138830</v>
      </c>
      <c r="S11" s="1">
        <f t="shared" si="12"/>
        <v>138830</v>
      </c>
      <c r="T11" s="1">
        <f t="shared" si="12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3"/>
        <v>138830</v>
      </c>
      <c r="AE11" s="1">
        <f t="shared" si="14"/>
        <v>138830</v>
      </c>
      <c r="AF11" s="1">
        <f t="shared" si="14"/>
        <v>138830</v>
      </c>
      <c r="AG11" s="1">
        <f t="shared" si="15"/>
        <v>138830</v>
      </c>
      <c r="AH11" s="1">
        <v>138830</v>
      </c>
      <c r="AI11" s="1">
        <f t="shared" si="9"/>
        <v>138830</v>
      </c>
      <c r="AJ11" s="17">
        <f t="shared" si="0"/>
        <v>0</v>
      </c>
      <c r="AK11" s="17">
        <f t="shared" si="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10"/>
        <v>197580</v>
      </c>
      <c r="Q12" s="1">
        <v>197580</v>
      </c>
      <c r="R12" s="1">
        <f t="shared" si="11"/>
        <v>197580</v>
      </c>
      <c r="S12" s="1">
        <f t="shared" si="12"/>
        <v>197580</v>
      </c>
      <c r="T12" s="1">
        <f t="shared" si="12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3"/>
        <v>197580</v>
      </c>
      <c r="AE12" s="1">
        <f t="shared" si="14"/>
        <v>197580</v>
      </c>
      <c r="AF12" s="1">
        <f t="shared" si="14"/>
        <v>197580</v>
      </c>
      <c r="AG12" s="1">
        <f t="shared" si="15"/>
        <v>197580</v>
      </c>
      <c r="AH12" s="1">
        <v>197580</v>
      </c>
      <c r="AI12" s="1">
        <f t="shared" si="9"/>
        <v>197580</v>
      </c>
      <c r="AJ12" s="17">
        <f t="shared" si="0"/>
        <v>0</v>
      </c>
      <c r="AK12" s="17">
        <f t="shared" si="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10"/>
        <v>16240</v>
      </c>
      <c r="Q13" s="1">
        <v>16240</v>
      </c>
      <c r="R13" s="1">
        <f t="shared" si="11"/>
        <v>16240</v>
      </c>
      <c r="S13" s="1">
        <f t="shared" si="12"/>
        <v>16240</v>
      </c>
      <c r="T13" s="1">
        <f t="shared" si="12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3"/>
        <v>16240</v>
      </c>
      <c r="AE13" s="1">
        <f t="shared" si="14"/>
        <v>16240</v>
      </c>
      <c r="AF13" s="1">
        <f t="shared" si="14"/>
        <v>16240</v>
      </c>
      <c r="AG13" s="1">
        <f t="shared" si="15"/>
        <v>16240</v>
      </c>
      <c r="AH13" s="1">
        <f t="shared" si="15"/>
        <v>16240</v>
      </c>
      <c r="AI13" s="1">
        <f t="shared" si="9"/>
        <v>16240</v>
      </c>
      <c r="AJ13" s="17">
        <f t="shared" si="0"/>
        <v>0</v>
      </c>
      <c r="AK13" s="17">
        <f t="shared" si="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">
        <f>AF14-169</f>
        <v>14547.9</v>
      </c>
      <c r="AH14" s="1">
        <f>AG14-159.4</f>
        <v>14388.5</v>
      </c>
      <c r="AI14" s="1">
        <f>AH14-164.2</f>
        <v>14224.3</v>
      </c>
      <c r="AJ14" s="17">
        <f t="shared" si="0"/>
        <v>-164.20000000000073</v>
      </c>
      <c r="AK14" s="17">
        <f t="shared" si="1"/>
        <v>-1876.1999999999989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">
        <f>AF15-166.7</f>
        <v>3539.8000000000011</v>
      </c>
      <c r="AH15" s="1">
        <f>AG15</f>
        <v>3539.8000000000011</v>
      </c>
      <c r="AI15" s="1">
        <f>AH15</f>
        <v>3539.8000000000011</v>
      </c>
      <c r="AJ15" s="17">
        <f t="shared" si="0"/>
        <v>0</v>
      </c>
      <c r="AK15" s="17">
        <f t="shared" si="1"/>
        <v>-588.79999999999927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">
        <f>AF16-173.9</f>
        <v>27982.1</v>
      </c>
      <c r="AH16" s="1">
        <f>AG16-142</f>
        <v>27840.1</v>
      </c>
      <c r="AI16" s="1">
        <f>AH16-168.2</f>
        <v>27671.899999999998</v>
      </c>
      <c r="AJ16" s="17">
        <f t="shared" si="0"/>
        <v>-168.20000000000073</v>
      </c>
      <c r="AK16" s="17">
        <f t="shared" si="1"/>
        <v>-1943.7000000000007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6">Q17</f>
        <v>154.9</v>
      </c>
      <c r="S17" s="1">
        <f t="shared" si="16"/>
        <v>154.9</v>
      </c>
      <c r="T17" s="1">
        <f t="shared" si="16"/>
        <v>154.9</v>
      </c>
      <c r="U17" s="1">
        <f t="shared" si="16"/>
        <v>154.9</v>
      </c>
      <c r="V17" s="1">
        <f t="shared" si="16"/>
        <v>154.9</v>
      </c>
      <c r="W17" s="1">
        <f t="shared" si="16"/>
        <v>154.9</v>
      </c>
      <c r="X17" s="1">
        <f t="shared" ref="X17:AC17" si="17">W17</f>
        <v>154.9</v>
      </c>
      <c r="Y17" s="1">
        <f t="shared" si="17"/>
        <v>154.9</v>
      </c>
      <c r="Z17" s="1">
        <f t="shared" si="17"/>
        <v>154.9</v>
      </c>
      <c r="AA17" s="1">
        <f t="shared" si="17"/>
        <v>154.9</v>
      </c>
      <c r="AB17" s="1">
        <f t="shared" si="17"/>
        <v>154.9</v>
      </c>
      <c r="AC17" s="1">
        <f t="shared" si="17"/>
        <v>154.9</v>
      </c>
      <c r="AD17" s="1">
        <f t="shared" ref="AD17:AE19" si="18">AC17</f>
        <v>154.9</v>
      </c>
      <c r="AE17" s="1">
        <f t="shared" si="18"/>
        <v>154.9</v>
      </c>
      <c r="AF17" s="1">
        <f>AE17</f>
        <v>154.9</v>
      </c>
      <c r="AG17" s="1">
        <f>AF17</f>
        <v>154.9</v>
      </c>
      <c r="AH17" s="1">
        <f>AG17</f>
        <v>154.9</v>
      </c>
      <c r="AI17" s="1">
        <f>AH17</f>
        <v>154.9</v>
      </c>
      <c r="AJ17" s="17">
        <f t="shared" si="0"/>
        <v>0</v>
      </c>
      <c r="AK17" s="17">
        <f t="shared" si="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35">
      <c r="A18" t="s">
        <v>24</v>
      </c>
      <c r="B18" t="s">
        <v>213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9">Y18</f>
        <v>300.5</v>
      </c>
      <c r="AA18" s="1">
        <f t="shared" si="19"/>
        <v>300.5</v>
      </c>
      <c r="AB18" s="1">
        <f t="shared" si="19"/>
        <v>300.5</v>
      </c>
      <c r="AC18" s="1">
        <f>AB18</f>
        <v>300.5</v>
      </c>
      <c r="AD18" s="1">
        <f t="shared" si="18"/>
        <v>300.5</v>
      </c>
      <c r="AE18" s="1">
        <f t="shared" si="18"/>
        <v>300.5</v>
      </c>
      <c r="AF18" s="1">
        <f>AE18</f>
        <v>300.5</v>
      </c>
      <c r="AG18" s="1">
        <f t="shared" ref="AG18:AH20" si="20">AF18</f>
        <v>300.5</v>
      </c>
      <c r="AH18" s="1">
        <f t="shared" si="20"/>
        <v>300.5</v>
      </c>
      <c r="AI18" s="1">
        <f>AH18</f>
        <v>300.5</v>
      </c>
      <c r="AJ18" s="17">
        <f t="shared" si="0"/>
        <v>0</v>
      </c>
      <c r="AK18" s="17">
        <f t="shared" si="1"/>
        <v>300.5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35">
      <c r="A19" t="s">
        <v>24</v>
      </c>
      <c r="B19" t="s">
        <v>212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9"/>
        <v>939.5</v>
      </c>
      <c r="AA19" s="1">
        <f t="shared" si="19"/>
        <v>939.5</v>
      </c>
      <c r="AB19" s="1">
        <f t="shared" si="19"/>
        <v>939.5</v>
      </c>
      <c r="AC19" s="1">
        <f>AB19</f>
        <v>939.5</v>
      </c>
      <c r="AD19" s="1">
        <f t="shared" si="18"/>
        <v>939.5</v>
      </c>
      <c r="AE19" s="1">
        <f t="shared" si="18"/>
        <v>939.5</v>
      </c>
      <c r="AF19" s="1">
        <f>AE19</f>
        <v>939.5</v>
      </c>
      <c r="AG19" s="1">
        <f t="shared" si="20"/>
        <v>939.5</v>
      </c>
      <c r="AH19" s="1">
        <f t="shared" si="20"/>
        <v>939.5</v>
      </c>
      <c r="AI19" s="1">
        <f>AH19</f>
        <v>939.5</v>
      </c>
      <c r="AJ19" s="17">
        <f t="shared" si="0"/>
        <v>0</v>
      </c>
      <c r="AK19" s="17">
        <f t="shared" si="1"/>
        <v>939.5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21">R20</f>
        <v>14570.5</v>
      </c>
      <c r="T20" s="1">
        <f t="shared" si="21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">
        <f t="shared" si="20"/>
        <v>23774.400000000001</v>
      </c>
      <c r="AH20" s="1">
        <f>AG20+1950.2</f>
        <v>25724.600000000002</v>
      </c>
      <c r="AI20" s="1">
        <f>AH20+975.1</f>
        <v>26699.7</v>
      </c>
      <c r="AJ20" s="17">
        <f t="shared" si="0"/>
        <v>975.09999999999854</v>
      </c>
      <c r="AK20" s="17">
        <f t="shared" si="1"/>
        <v>9449.2000000000007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5">
      <c r="A21" t="s">
        <v>24</v>
      </c>
      <c r="B21" t="s">
        <v>189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">
        <f>AF21+49015</f>
        <v>390450</v>
      </c>
      <c r="AH21" s="1">
        <f>AG21</f>
        <v>390450</v>
      </c>
      <c r="AI21" s="1">
        <f>AH21+47473</f>
        <v>437923</v>
      </c>
      <c r="AJ21" s="17">
        <f t="shared" si="0"/>
        <v>47473</v>
      </c>
      <c r="AK21" s="17">
        <f t="shared" si="1"/>
        <v>437607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35">
      <c r="A22" t="s">
        <v>24</v>
      </c>
      <c r="B22" t="s">
        <v>231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17">
        <f t="shared" si="0"/>
        <v>0</v>
      </c>
      <c r="AK22" s="17">
        <f t="shared" si="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21"/>
        <v>120000</v>
      </c>
      <c r="T23" s="1">
        <f t="shared" si="21"/>
        <v>120000</v>
      </c>
      <c r="U23" s="1">
        <f t="shared" ref="U23:AE23" si="22">T23</f>
        <v>120000</v>
      </c>
      <c r="V23" s="1">
        <f t="shared" si="22"/>
        <v>120000</v>
      </c>
      <c r="W23" s="1">
        <f t="shared" si="22"/>
        <v>120000</v>
      </c>
      <c r="X23" s="1">
        <f t="shared" si="22"/>
        <v>120000</v>
      </c>
      <c r="Y23" s="1">
        <f t="shared" si="22"/>
        <v>120000</v>
      </c>
      <c r="Z23" s="1">
        <f t="shared" si="22"/>
        <v>120000</v>
      </c>
      <c r="AA23" s="1">
        <f t="shared" si="22"/>
        <v>120000</v>
      </c>
      <c r="AB23" s="1">
        <f t="shared" si="22"/>
        <v>120000</v>
      </c>
      <c r="AC23" s="1">
        <f t="shared" si="22"/>
        <v>120000</v>
      </c>
      <c r="AD23" s="1">
        <f t="shared" si="22"/>
        <v>120000</v>
      </c>
      <c r="AE23" s="1">
        <f t="shared" si="22"/>
        <v>120000</v>
      </c>
      <c r="AF23" s="1">
        <f t="shared" ref="AF23:AH24" si="23">AE23</f>
        <v>120000</v>
      </c>
      <c r="AG23" s="1">
        <f t="shared" si="23"/>
        <v>120000</v>
      </c>
      <c r="AH23" s="1">
        <f t="shared" si="23"/>
        <v>120000</v>
      </c>
      <c r="AI23" s="1">
        <f>AH23</f>
        <v>120000</v>
      </c>
      <c r="AJ23" s="17">
        <f t="shared" si="0"/>
        <v>0</v>
      </c>
      <c r="AK23" s="17">
        <f t="shared" si="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21"/>
        <v>3000</v>
      </c>
      <c r="T24" s="1">
        <f t="shared" si="21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 t="shared" si="23"/>
        <v>3000</v>
      </c>
      <c r="AG24" s="1">
        <f t="shared" si="23"/>
        <v>3000</v>
      </c>
      <c r="AH24" s="1">
        <f t="shared" si="23"/>
        <v>3000</v>
      </c>
      <c r="AI24" s="1">
        <v>3000</v>
      </c>
      <c r="AJ24" s="17">
        <f t="shared" si="0"/>
        <v>0</v>
      </c>
      <c r="AK24" s="17">
        <f t="shared" si="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v>1338488.3</v>
      </c>
      <c r="AG25" s="1">
        <v>1340916</v>
      </c>
      <c r="AH25" s="1">
        <v>1340825.6000000001</v>
      </c>
      <c r="AI25" s="1">
        <f>GETPIVOTDATA("Сумма, млн. руб",infra_invest!$J$13,"Получатель","АО «Атомэнергопром»")+GETPIVOTDATA("Сумма, млн. руб",infra_invest!$J$13,"Получатель","АО «ГТЛК»")+GETPIVOTDATA("Сумма, млн. руб",infra_invest!$J$13,"Получатель","ГК «Российские автомобильные дороги»")+GETPIVOTDATA("Сумма, млн. руб",infra_invest!$J$13,"Получатель","ГК Фонд содействия реформированию жилищно-коммунального хозяйства")+GETPIVOTDATA("Сумма, млн. руб",infra_invest!$J$13,"Получатель","ООО «Авиакапитал-Сервис»")+GETPIVOTDATA("Сумма, млн. руб",infra_invest!$J$13,"Получатель","ООО «Инфраструктурные инвестиции - 4»")+GETPIVOTDATA("Сумма, млн. руб",infra_invest!$J$13,"Получатель","ППК «Фонд развития территорий»")+GETPIVOTDATA("Сумма, млн. руб",infra_invest!$J$13,"Получатель","ОАО «РЖД»")</f>
        <v>1347272.4</v>
      </c>
      <c r="AJ25" s="17">
        <f t="shared" si="0"/>
        <v>6446.7999999998137</v>
      </c>
      <c r="AK25" s="17">
        <f t="shared" si="1"/>
        <v>133310.09999999986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24">R26</f>
        <v>1875.5</v>
      </c>
      <c r="T26" s="1">
        <f t="shared" si="24"/>
        <v>1875.5</v>
      </c>
      <c r="U26" s="1">
        <f t="shared" ref="U26:V29" si="25">T26</f>
        <v>1875.5</v>
      </c>
      <c r="V26" s="1">
        <f t="shared" si="25"/>
        <v>1875.5</v>
      </c>
      <c r="W26" s="1">
        <v>1875.4</v>
      </c>
      <c r="X26" s="1">
        <f t="shared" ref="X26:Y28" si="26">W26</f>
        <v>1875.4</v>
      </c>
      <c r="Y26" s="1">
        <f t="shared" si="26"/>
        <v>1875.4</v>
      </c>
      <c r="Z26" s="1">
        <f t="shared" ref="Z26:AA29" si="27">Y26</f>
        <v>1875.4</v>
      </c>
      <c r="AA26" s="1">
        <f t="shared" ref="AA26:AF26" si="28">Z26</f>
        <v>1875.4</v>
      </c>
      <c r="AB26" s="1">
        <f t="shared" si="28"/>
        <v>1875.4</v>
      </c>
      <c r="AC26" s="1">
        <f t="shared" si="28"/>
        <v>1875.4</v>
      </c>
      <c r="AD26" s="1">
        <f t="shared" si="28"/>
        <v>1875.4</v>
      </c>
      <c r="AE26" s="1">
        <f t="shared" si="28"/>
        <v>1875.4</v>
      </c>
      <c r="AF26" s="1">
        <f t="shared" si="28"/>
        <v>1875.4</v>
      </c>
      <c r="AG26" s="1">
        <f>AF26</f>
        <v>1875.4</v>
      </c>
      <c r="AH26" s="1">
        <f>AG26</f>
        <v>1875.4</v>
      </c>
      <c r="AI26" s="1">
        <f>AH26</f>
        <v>1875.4</v>
      </c>
      <c r="AJ26" s="17">
        <f t="shared" si="0"/>
        <v>0</v>
      </c>
      <c r="AK26" s="17">
        <f t="shared" si="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24"/>
        <v>214037.9</v>
      </c>
      <c r="T27" s="1">
        <f t="shared" si="24"/>
        <v>214037.9</v>
      </c>
      <c r="U27" s="1">
        <f t="shared" si="25"/>
        <v>214037.9</v>
      </c>
      <c r="V27" s="1">
        <f t="shared" si="25"/>
        <v>214037.9</v>
      </c>
      <c r="W27" s="1">
        <f>V27</f>
        <v>214037.9</v>
      </c>
      <c r="X27" s="1">
        <f t="shared" si="26"/>
        <v>214037.9</v>
      </c>
      <c r="Y27" s="1">
        <f t="shared" si="26"/>
        <v>214037.9</v>
      </c>
      <c r="Z27" s="1">
        <f t="shared" si="27"/>
        <v>214037.9</v>
      </c>
      <c r="AA27" s="1">
        <f t="shared" si="27"/>
        <v>214037.9</v>
      </c>
      <c r="AB27" s="1">
        <f t="shared" ref="AB27:AC29" si="29">AA27</f>
        <v>214037.9</v>
      </c>
      <c r="AC27" s="1">
        <f t="shared" si="29"/>
        <v>214037.9</v>
      </c>
      <c r="AD27" s="1">
        <f>AC27</f>
        <v>214037.9</v>
      </c>
      <c r="AE27" s="1">
        <v>214038</v>
      </c>
      <c r="AF27" s="1">
        <f>AE27</f>
        <v>214038</v>
      </c>
      <c r="AG27" s="1">
        <v>214038</v>
      </c>
      <c r="AH27" s="1">
        <v>214038</v>
      </c>
      <c r="AI27" s="1">
        <f>AH27</f>
        <v>214038</v>
      </c>
      <c r="AJ27" s="17">
        <f t="shared" si="0"/>
        <v>0</v>
      </c>
      <c r="AK27" s="17">
        <f t="shared" si="1"/>
        <v>0.10000000000582077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24"/>
        <v>25000</v>
      </c>
      <c r="T28" s="1">
        <f t="shared" si="24"/>
        <v>25000</v>
      </c>
      <c r="U28" s="1">
        <f t="shared" si="25"/>
        <v>25000</v>
      </c>
      <c r="V28" s="1">
        <f t="shared" si="25"/>
        <v>25000</v>
      </c>
      <c r="W28" s="1">
        <f>V28</f>
        <v>25000</v>
      </c>
      <c r="X28" s="1">
        <f t="shared" si="26"/>
        <v>25000</v>
      </c>
      <c r="Y28" s="1">
        <f t="shared" si="26"/>
        <v>25000</v>
      </c>
      <c r="Z28" s="1">
        <f t="shared" si="27"/>
        <v>25000</v>
      </c>
      <c r="AA28" s="1">
        <f t="shared" si="27"/>
        <v>25000</v>
      </c>
      <c r="AB28" s="1">
        <f t="shared" si="29"/>
        <v>25000</v>
      </c>
      <c r="AC28" s="1">
        <f t="shared" si="29"/>
        <v>25000</v>
      </c>
      <c r="AD28" s="1">
        <f>AC28</f>
        <v>25000</v>
      </c>
      <c r="AE28" s="1">
        <v>25000</v>
      </c>
      <c r="AF28" s="1">
        <f>AE28</f>
        <v>25000</v>
      </c>
      <c r="AG28" s="1">
        <f>AF28</f>
        <v>25000</v>
      </c>
      <c r="AH28" s="1">
        <f>AG28</f>
        <v>25000</v>
      </c>
      <c r="AI28" s="1">
        <f>AH28</f>
        <v>25000</v>
      </c>
      <c r="AJ28" s="17">
        <f t="shared" si="0"/>
        <v>0</v>
      </c>
      <c r="AK28" s="17">
        <f t="shared" si="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24"/>
        <v>89954</v>
      </c>
      <c r="T29" s="1">
        <f t="shared" si="24"/>
        <v>89954</v>
      </c>
      <c r="U29" s="1">
        <f t="shared" si="25"/>
        <v>89954</v>
      </c>
      <c r="V29" s="1">
        <f t="shared" si="25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7"/>
        <v>164954</v>
      </c>
      <c r="AA29" s="1">
        <f t="shared" si="27"/>
        <v>164954</v>
      </c>
      <c r="AB29" s="1">
        <f t="shared" si="29"/>
        <v>164954</v>
      </c>
      <c r="AC29" s="1">
        <f t="shared" si="29"/>
        <v>164954</v>
      </c>
      <c r="AD29" s="1">
        <f>AC29</f>
        <v>164954</v>
      </c>
      <c r="AE29" s="1">
        <v>164954</v>
      </c>
      <c r="AF29" s="1">
        <f>AE29</f>
        <v>164954</v>
      </c>
      <c r="AG29" s="1">
        <f>AF29</f>
        <v>164954</v>
      </c>
      <c r="AH29" s="1">
        <f>AG29</f>
        <v>164954</v>
      </c>
      <c r="AI29" s="1">
        <f>AH29</f>
        <v>164954</v>
      </c>
      <c r="AJ29" s="17">
        <f t="shared" si="0"/>
        <v>0</v>
      </c>
      <c r="AK29" s="17">
        <f t="shared" si="1"/>
        <v>75000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f>AF30</f>
        <v>0</v>
      </c>
      <c r="AH30" s="1">
        <v>0</v>
      </c>
      <c r="AI30" s="1">
        <v>0</v>
      </c>
      <c r="AJ30" s="17">
        <f t="shared" si="0"/>
        <v>0</v>
      </c>
      <c r="AK30" s="17">
        <f t="shared" si="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30">Q31</f>
        <v>38433.9</v>
      </c>
      <c r="S31" s="1">
        <f t="shared" si="30"/>
        <v>38433.9</v>
      </c>
      <c r="T31" s="1">
        <f t="shared" si="30"/>
        <v>38433.9</v>
      </c>
      <c r="U31" s="1">
        <f t="shared" si="30"/>
        <v>38433.9</v>
      </c>
      <c r="V31" s="1">
        <f t="shared" si="30"/>
        <v>38433.9</v>
      </c>
      <c r="W31" s="1">
        <f t="shared" si="30"/>
        <v>38433.9</v>
      </c>
      <c r="X31" s="1">
        <f t="shared" ref="X31:AC31" si="31">W31</f>
        <v>38433.9</v>
      </c>
      <c r="Y31" s="1">
        <f t="shared" si="31"/>
        <v>38433.9</v>
      </c>
      <c r="Z31" s="1">
        <f t="shared" si="31"/>
        <v>38433.9</v>
      </c>
      <c r="AA31" s="1">
        <f t="shared" si="31"/>
        <v>38433.9</v>
      </c>
      <c r="AB31" s="1">
        <f t="shared" si="31"/>
        <v>38433.9</v>
      </c>
      <c r="AC31" s="1">
        <f t="shared" si="31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">
        <f>AF31</f>
        <v>38433.9</v>
      </c>
      <c r="AH31" s="1">
        <f>AG31</f>
        <v>38433.9</v>
      </c>
      <c r="AI31" s="1">
        <f>AH31</f>
        <v>38433.9</v>
      </c>
      <c r="AJ31" s="17">
        <f t="shared" si="0"/>
        <v>0</v>
      </c>
      <c r="AK31" s="17">
        <f t="shared" si="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5">
      <c r="A32" t="s">
        <v>38</v>
      </c>
      <c r="B32" t="s">
        <v>241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">
        <v>0</v>
      </c>
      <c r="M32" s="5">
        <v>0</v>
      </c>
      <c r="N32" s="5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94200</v>
      </c>
      <c r="AJ32" s="17">
        <f t="shared" si="0"/>
        <v>94200</v>
      </c>
      <c r="AK32" s="17">
        <f t="shared" si="1"/>
        <v>94200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5">
      <c r="A33" t="s">
        <v>38</v>
      </c>
      <c r="B33" t="s">
        <v>244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93180</v>
      </c>
      <c r="AJ33" s="17">
        <f t="shared" si="0"/>
        <v>93180</v>
      </c>
      <c r="AK33" s="17">
        <f t="shared" si="1"/>
        <v>93180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5">
      <c r="A34" t="s">
        <v>38</v>
      </c>
      <c r="B34" t="s">
        <v>245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83055</v>
      </c>
      <c r="AJ34" s="17">
        <f t="shared" si="0"/>
        <v>83055</v>
      </c>
      <c r="AK34" s="17">
        <f t="shared" si="1"/>
        <v>83055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35">
      <c r="A35" t="s">
        <v>38</v>
      </c>
      <c r="B35" t="s">
        <v>246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29565</v>
      </c>
      <c r="AJ35" s="17">
        <f t="shared" si="0"/>
        <v>29565</v>
      </c>
      <c r="AK35" s="17">
        <f t="shared" si="1"/>
        <v>29565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35">
      <c r="A36" t="s">
        <v>37</v>
      </c>
      <c r="B36" t="s">
        <v>120</v>
      </c>
      <c r="C36" s="1">
        <v>1231892.1000000001</v>
      </c>
      <c r="D36" s="1">
        <v>1432125.4</v>
      </c>
      <c r="E36" s="1">
        <v>1534896.1</v>
      </c>
      <c r="F36" s="1">
        <v>1590911.7</v>
      </c>
      <c r="G36" s="1">
        <v>1758281</v>
      </c>
      <c r="H36" s="1">
        <v>1920003.5</v>
      </c>
      <c r="I36" s="1">
        <v>2420417.2999999998</v>
      </c>
      <c r="J36" s="1">
        <v>2708739.7</v>
      </c>
      <c r="K36" s="1">
        <v>2756172.3</v>
      </c>
      <c r="L36" s="5">
        <v>2705012.9</v>
      </c>
      <c r="M36" s="5">
        <v>2931447</v>
      </c>
      <c r="N36" s="5">
        <v>2997062.1</v>
      </c>
      <c r="O36" s="1">
        <v>2944773.3</v>
      </c>
      <c r="P36" s="1">
        <v>3028345.1</v>
      </c>
      <c r="Q36" s="1">
        <v>3110787.4</v>
      </c>
      <c r="R36" s="1">
        <v>3067646.3</v>
      </c>
      <c r="S36" s="1">
        <v>3113497.8</v>
      </c>
      <c r="T36" s="1">
        <v>3303115.3</v>
      </c>
      <c r="U36" s="1">
        <v>3373360.7</v>
      </c>
      <c r="V36" s="1">
        <v>3483246.2</v>
      </c>
      <c r="W36" s="1">
        <v>3553491.6</v>
      </c>
      <c r="X36" s="1">
        <v>3698838.6</v>
      </c>
      <c r="Y36" s="1">
        <v>3271719.4</v>
      </c>
      <c r="Z36" s="1">
        <v>2895985.5</v>
      </c>
      <c r="AA36" s="1">
        <v>3057256.3</v>
      </c>
      <c r="AB36" s="1">
        <v>2708852.7</v>
      </c>
      <c r="AC36" s="1">
        <v>2632508.7999999998</v>
      </c>
      <c r="AD36" s="1">
        <v>3124000.8</v>
      </c>
      <c r="AE36" s="1">
        <v>3190971.1</v>
      </c>
      <c r="AF36" s="1">
        <v>3466757.7</v>
      </c>
      <c r="AG36" s="1">
        <v>3457722.9</v>
      </c>
      <c r="AH36" s="1">
        <v>3461111</v>
      </c>
      <c r="AI36" s="1">
        <v>3483133.3</v>
      </c>
      <c r="AJ36" s="17">
        <f t="shared" si="0"/>
        <v>22022.299999999814</v>
      </c>
      <c r="AK36" s="17">
        <f t="shared" si="1"/>
        <v>-70358.300000000279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35">
      <c r="A37" t="s">
        <v>37</v>
      </c>
      <c r="B37" t="s">
        <v>116</v>
      </c>
      <c r="C37" s="1">
        <v>53439.199999999997</v>
      </c>
      <c r="D37" s="1">
        <v>60627.5</v>
      </c>
      <c r="E37" s="1">
        <v>58793.2</v>
      </c>
      <c r="F37" s="1">
        <v>58073.8</v>
      </c>
      <c r="G37" s="1">
        <v>65876.899999999994</v>
      </c>
      <c r="H37" s="1">
        <v>66822.7</v>
      </c>
      <c r="I37" s="1">
        <v>74507.5</v>
      </c>
      <c r="J37" s="1">
        <v>94511.8</v>
      </c>
      <c r="K37" s="1">
        <v>94157.1</v>
      </c>
      <c r="L37" s="5">
        <v>100730.6</v>
      </c>
      <c r="M37" s="5">
        <v>107256.8</v>
      </c>
      <c r="N37" s="5">
        <v>104111.9</v>
      </c>
      <c r="O37" s="1">
        <v>97869.5</v>
      </c>
      <c r="P37" s="1">
        <v>92785.7</v>
      </c>
      <c r="Q37" s="1">
        <v>86046.6</v>
      </c>
      <c r="R37" s="1">
        <v>82901.8</v>
      </c>
      <c r="S37" s="1">
        <v>92076.3</v>
      </c>
      <c r="T37" s="1">
        <v>90823.1</v>
      </c>
      <c r="U37" s="1">
        <v>105719.8</v>
      </c>
      <c r="V37" s="1">
        <v>121964.4</v>
      </c>
      <c r="W37" s="1">
        <v>130264.1</v>
      </c>
      <c r="X37" s="1">
        <v>148471.20000000001</v>
      </c>
      <c r="Y37" s="1">
        <v>128206.9</v>
      </c>
      <c r="Z37" s="1">
        <v>112884.5</v>
      </c>
      <c r="AA37" s="1">
        <v>130145.8</v>
      </c>
      <c r="AB37" s="1">
        <v>127426.6</v>
      </c>
      <c r="AC37" s="1">
        <v>126433.5</v>
      </c>
      <c r="AD37" s="1">
        <v>139533.20000000001</v>
      </c>
      <c r="AE37" s="1">
        <v>152585.60000000001</v>
      </c>
      <c r="AF37" s="1">
        <v>171738.6</v>
      </c>
      <c r="AG37" s="1">
        <v>162233</v>
      </c>
      <c r="AH37" s="1">
        <v>166442</v>
      </c>
      <c r="AI37" s="1">
        <v>160696.1</v>
      </c>
      <c r="AJ37" s="17">
        <f t="shared" si="0"/>
        <v>-5745.8999999999942</v>
      </c>
      <c r="AK37" s="17">
        <f t="shared" si="1"/>
        <v>30432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35">
      <c r="A38" t="s">
        <v>37</v>
      </c>
      <c r="B38" t="s">
        <v>11</v>
      </c>
      <c r="C38" s="1">
        <v>50000</v>
      </c>
      <c r="D38" s="1">
        <v>50000</v>
      </c>
      <c r="E38" s="1">
        <v>50000</v>
      </c>
      <c r="F38" s="1">
        <v>50000</v>
      </c>
      <c r="G38" s="1">
        <v>50000</v>
      </c>
      <c r="H38" s="1">
        <v>50000</v>
      </c>
      <c r="I38" s="1">
        <v>50000</v>
      </c>
      <c r="J38" s="1">
        <v>50000</v>
      </c>
      <c r="K38" s="1">
        <v>50000</v>
      </c>
      <c r="L38" s="5">
        <v>137000</v>
      </c>
      <c r="M38" s="5">
        <v>137000</v>
      </c>
      <c r="N38" s="5">
        <v>137000</v>
      </c>
      <c r="O38" s="1">
        <v>137000</v>
      </c>
      <c r="P38" s="1">
        <v>137000</v>
      </c>
      <c r="Q38" s="1">
        <v>137000</v>
      </c>
      <c r="R38" s="1">
        <f>Q38</f>
        <v>137000</v>
      </c>
      <c r="S38" s="1">
        <v>137000</v>
      </c>
      <c r="T38" s="1">
        <f t="shared" ref="T38:V39" si="32">S38</f>
        <v>137000</v>
      </c>
      <c r="U38" s="1">
        <f t="shared" si="32"/>
        <v>137000</v>
      </c>
      <c r="V38" s="1">
        <f t="shared" si="32"/>
        <v>137000</v>
      </c>
      <c r="W38" s="1">
        <v>137000</v>
      </c>
      <c r="X38" s="1">
        <f t="shared" ref="X38:Z39" si="33">W38</f>
        <v>137000</v>
      </c>
      <c r="Y38" s="1">
        <f t="shared" si="33"/>
        <v>137000</v>
      </c>
      <c r="Z38" s="1">
        <f t="shared" si="33"/>
        <v>137000</v>
      </c>
      <c r="AA38" s="1">
        <f t="shared" ref="AA38:AC39" si="34">Z38</f>
        <v>137000</v>
      </c>
      <c r="AB38" s="1">
        <f t="shared" si="34"/>
        <v>137000</v>
      </c>
      <c r="AC38" s="1">
        <f t="shared" si="34"/>
        <v>137000</v>
      </c>
      <c r="AD38" s="1">
        <f t="shared" ref="AD38:AF39" si="35">AC38</f>
        <v>137000</v>
      </c>
      <c r="AE38" s="1">
        <f t="shared" si="35"/>
        <v>137000</v>
      </c>
      <c r="AF38" s="1">
        <f t="shared" si="35"/>
        <v>137000</v>
      </c>
      <c r="AG38" s="1">
        <f>AF38</f>
        <v>137000</v>
      </c>
      <c r="AH38" s="1">
        <f>AG38</f>
        <v>137000</v>
      </c>
      <c r="AI38" s="1">
        <f>AH38</f>
        <v>137000</v>
      </c>
      <c r="AJ38" s="17">
        <f t="shared" si="0"/>
        <v>0</v>
      </c>
      <c r="AK38" s="17">
        <f t="shared" si="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35">
      <c r="A39" t="s">
        <v>37</v>
      </c>
      <c r="B39" t="s">
        <v>16</v>
      </c>
      <c r="C39" s="1">
        <v>58334</v>
      </c>
      <c r="D39" s="1">
        <v>58334</v>
      </c>
      <c r="E39" s="1">
        <v>58334</v>
      </c>
      <c r="F39" s="1">
        <v>58334</v>
      </c>
      <c r="G39" s="1">
        <v>58334</v>
      </c>
      <c r="H39" s="1">
        <v>58334</v>
      </c>
      <c r="I39" s="1">
        <v>58334</v>
      </c>
      <c r="J39" s="1">
        <v>58334</v>
      </c>
      <c r="K39" s="1">
        <v>58334</v>
      </c>
      <c r="L39" s="5">
        <v>58334</v>
      </c>
      <c r="M39" s="5">
        <v>58334</v>
      </c>
      <c r="N39" s="5">
        <v>58334</v>
      </c>
      <c r="O39" s="1">
        <v>58334</v>
      </c>
      <c r="P39" s="1">
        <v>58334</v>
      </c>
      <c r="Q39" s="1">
        <v>58334</v>
      </c>
      <c r="R39" s="1">
        <v>58334</v>
      </c>
      <c r="S39" s="1">
        <v>58334</v>
      </c>
      <c r="T39" s="1">
        <f t="shared" si="32"/>
        <v>58334</v>
      </c>
      <c r="U39" s="1">
        <f t="shared" si="32"/>
        <v>58334</v>
      </c>
      <c r="V39" s="1">
        <f t="shared" si="32"/>
        <v>58334</v>
      </c>
      <c r="W39" s="1">
        <v>58334</v>
      </c>
      <c r="X39" s="1">
        <f t="shared" si="33"/>
        <v>58334</v>
      </c>
      <c r="Y39" s="1">
        <f t="shared" si="33"/>
        <v>58334</v>
      </c>
      <c r="Z39" s="1">
        <f t="shared" si="33"/>
        <v>58334</v>
      </c>
      <c r="AA39" s="1">
        <f t="shared" si="34"/>
        <v>58334</v>
      </c>
      <c r="AB39" s="1">
        <f t="shared" si="34"/>
        <v>58334</v>
      </c>
      <c r="AC39" s="1">
        <f t="shared" si="34"/>
        <v>58334</v>
      </c>
      <c r="AD39" s="1">
        <f t="shared" si="35"/>
        <v>58334</v>
      </c>
      <c r="AE39" s="1">
        <f t="shared" si="35"/>
        <v>58334</v>
      </c>
      <c r="AF39" s="1">
        <f t="shared" si="35"/>
        <v>58334</v>
      </c>
      <c r="AG39" s="1">
        <v>58334</v>
      </c>
      <c r="AH39" s="1">
        <f>AG39</f>
        <v>58334</v>
      </c>
      <c r="AI39" s="1">
        <f>AH39</f>
        <v>58334</v>
      </c>
      <c r="AJ39" s="17">
        <f t="shared" si="0"/>
        <v>0</v>
      </c>
      <c r="AK39" s="17">
        <f t="shared" si="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35">
      <c r="A40" t="s">
        <v>37</v>
      </c>
      <c r="B40" t="s">
        <v>112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105853.1</v>
      </c>
      <c r="J40" s="1">
        <v>130289.7</v>
      </c>
      <c r="K40" s="1">
        <v>130084.9</v>
      </c>
      <c r="L40" s="5">
        <v>127216.9</v>
      </c>
      <c r="M40" s="5">
        <v>150482.9</v>
      </c>
      <c r="N40" s="5">
        <v>168598.2</v>
      </c>
      <c r="O40" s="1">
        <v>151214.5</v>
      </c>
      <c r="P40" s="1">
        <v>147205.20000000001</v>
      </c>
      <c r="Q40" s="1">
        <v>138806</v>
      </c>
      <c r="R40" s="1">
        <v>133713.79999999999</v>
      </c>
      <c r="S40" s="1">
        <f>143693.3</f>
        <v>143693.29999999999</v>
      </c>
      <c r="T40" s="1">
        <v>136845.20000000001</v>
      </c>
      <c r="U40" s="1">
        <v>133040.70000000001</v>
      </c>
      <c r="V40" s="1">
        <v>137137.79999999999</v>
      </c>
      <c r="W40" s="1">
        <v>116856.9</v>
      </c>
      <c r="X40" s="1">
        <v>125021.9</v>
      </c>
      <c r="Y40" s="1">
        <v>114989.8</v>
      </c>
      <c r="Z40" s="1">
        <v>109206.9</v>
      </c>
      <c r="AA40" s="1">
        <v>105730.2</v>
      </c>
      <c r="AB40" s="1">
        <v>88416.7</v>
      </c>
      <c r="AC40" s="1">
        <v>81568.600000000006</v>
      </c>
      <c r="AD40" s="1">
        <v>93052.4</v>
      </c>
      <c r="AE40" s="1">
        <v>99549.3</v>
      </c>
      <c r="AF40" s="1">
        <v>105777</v>
      </c>
      <c r="AG40" s="1">
        <v>95674.6</v>
      </c>
      <c r="AH40" s="1">
        <v>113339.2</v>
      </c>
      <c r="AI40" s="1">
        <v>110670.2</v>
      </c>
      <c r="AJ40" s="17">
        <f t="shared" si="0"/>
        <v>-2669</v>
      </c>
      <c r="AK40" s="17">
        <f t="shared" si="1"/>
        <v>-6186.6999999999971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35">
      <c r="A41" t="s">
        <v>13</v>
      </c>
      <c r="B41" t="s">
        <v>12</v>
      </c>
      <c r="C41" s="1">
        <v>250000</v>
      </c>
      <c r="D41" s="1">
        <v>250000</v>
      </c>
      <c r="E41" s="1">
        <v>250000</v>
      </c>
      <c r="F41" s="1">
        <v>467000</v>
      </c>
      <c r="G41" s="1">
        <v>467000</v>
      </c>
      <c r="H41" s="1">
        <v>467000</v>
      </c>
      <c r="I41" s="1">
        <v>467000</v>
      </c>
      <c r="J41" s="1">
        <v>467000</v>
      </c>
      <c r="K41" s="1">
        <v>467000</v>
      </c>
      <c r="L41" s="5">
        <v>467000</v>
      </c>
      <c r="M41" s="5">
        <v>467000</v>
      </c>
      <c r="N41" s="5">
        <v>467000</v>
      </c>
      <c r="O41" s="1">
        <v>467000</v>
      </c>
      <c r="P41" s="1">
        <v>467000</v>
      </c>
      <c r="Q41" s="1">
        <v>467000</v>
      </c>
      <c r="R41" s="1">
        <f t="shared" ref="R41:W41" si="36">Q41</f>
        <v>467000</v>
      </c>
      <c r="S41" s="1">
        <f t="shared" si="36"/>
        <v>467000</v>
      </c>
      <c r="T41" s="1">
        <f t="shared" si="36"/>
        <v>467000</v>
      </c>
      <c r="U41" s="1">
        <f t="shared" si="36"/>
        <v>467000</v>
      </c>
      <c r="V41" s="1">
        <f t="shared" si="36"/>
        <v>467000</v>
      </c>
      <c r="W41" s="1">
        <f t="shared" si="36"/>
        <v>467000</v>
      </c>
      <c r="X41" s="1">
        <f t="shared" ref="X41:AC41" si="37">W41</f>
        <v>467000</v>
      </c>
      <c r="Y41" s="1">
        <f t="shared" si="37"/>
        <v>467000</v>
      </c>
      <c r="Z41" s="1">
        <f t="shared" si="37"/>
        <v>467000</v>
      </c>
      <c r="AA41" s="1">
        <f t="shared" si="37"/>
        <v>467000</v>
      </c>
      <c r="AB41" s="1">
        <f t="shared" si="37"/>
        <v>467000</v>
      </c>
      <c r="AC41" s="1">
        <f t="shared" si="37"/>
        <v>467000</v>
      </c>
      <c r="AD41" s="1">
        <f t="shared" ref="AD41:AI41" si="38">AC41</f>
        <v>467000</v>
      </c>
      <c r="AE41" s="1">
        <f t="shared" si="38"/>
        <v>467000</v>
      </c>
      <c r="AF41" s="1">
        <f t="shared" si="38"/>
        <v>467000</v>
      </c>
      <c r="AG41" s="1">
        <f t="shared" si="38"/>
        <v>467000</v>
      </c>
      <c r="AH41" s="1">
        <f t="shared" si="38"/>
        <v>467000</v>
      </c>
      <c r="AI41" s="1">
        <f t="shared" si="38"/>
        <v>467000</v>
      </c>
      <c r="AJ41" s="17">
        <f t="shared" si="0"/>
        <v>0</v>
      </c>
      <c r="AK41" s="17">
        <f t="shared" si="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35">
      <c r="A42" t="s">
        <v>14</v>
      </c>
      <c r="B42" t="s">
        <v>15</v>
      </c>
      <c r="C42" s="1">
        <v>11851.9</v>
      </c>
      <c r="D42" s="1">
        <v>11851.9</v>
      </c>
      <c r="E42" s="1">
        <v>11851.9</v>
      </c>
      <c r="F42" s="1">
        <v>11851.9</v>
      </c>
      <c r="G42" s="1">
        <v>11851.9</v>
      </c>
      <c r="H42" s="1">
        <v>11851.9</v>
      </c>
      <c r="I42" s="1">
        <v>11851.9</v>
      </c>
      <c r="J42" s="1">
        <v>11851.9</v>
      </c>
      <c r="K42" s="1">
        <v>11851.9</v>
      </c>
      <c r="L42" s="5">
        <v>11851.9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7">
        <f t="shared" si="0"/>
        <v>0</v>
      </c>
      <c r="AK42" s="17">
        <f t="shared" si="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35">
      <c r="A43" t="s">
        <v>14</v>
      </c>
      <c r="B43" t="s">
        <v>17</v>
      </c>
      <c r="C43" s="1">
        <v>2298.9</v>
      </c>
      <c r="D43" s="1">
        <v>2298.9</v>
      </c>
      <c r="E43" s="1">
        <v>2298.9</v>
      </c>
      <c r="F43" s="1">
        <v>2298.9</v>
      </c>
      <c r="G43" s="1">
        <v>2298.9</v>
      </c>
      <c r="H43" s="1">
        <v>2298.9</v>
      </c>
      <c r="I43" s="1">
        <v>2298.9</v>
      </c>
      <c r="J43" s="1">
        <v>2298.9</v>
      </c>
      <c r="K43" s="1">
        <v>2298.9</v>
      </c>
      <c r="L43" s="5">
        <v>2298.9</v>
      </c>
      <c r="M43" s="5">
        <v>2298.9</v>
      </c>
      <c r="N43" s="5">
        <v>2298.9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7">
        <f t="shared" si="0"/>
        <v>0</v>
      </c>
      <c r="AK43" s="17">
        <f t="shared" si="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35">
      <c r="A44" t="s">
        <v>14</v>
      </c>
      <c r="B44" t="s">
        <v>39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34948.1</v>
      </c>
      <c r="K44" s="5">
        <v>34948.1</v>
      </c>
      <c r="L44" s="5">
        <v>34948.1</v>
      </c>
      <c r="M44" s="5">
        <v>34423.9</v>
      </c>
      <c r="N44" s="5">
        <v>97014.5</v>
      </c>
      <c r="O44" s="1">
        <v>167543.5</v>
      </c>
      <c r="P44" s="1">
        <v>185719.7</v>
      </c>
      <c r="Q44" s="1">
        <v>190195.1</v>
      </c>
      <c r="R44" s="1">
        <v>296818.8</v>
      </c>
      <c r="S44" s="1">
        <v>296014</v>
      </c>
      <c r="T44" s="1">
        <v>294994</v>
      </c>
      <c r="U44" s="1">
        <v>292320.8</v>
      </c>
      <c r="V44" s="1">
        <v>291516.09999999998</v>
      </c>
      <c r="W44" s="1">
        <v>290496</v>
      </c>
      <c r="X44" s="1">
        <v>287822.8</v>
      </c>
      <c r="Y44" s="1">
        <v>287018.09999999998</v>
      </c>
      <c r="Z44" s="1">
        <v>285998</v>
      </c>
      <c r="AA44" s="1">
        <v>282911.8</v>
      </c>
      <c r="AB44" s="1">
        <v>282107.09999999998</v>
      </c>
      <c r="AC44" s="1">
        <v>281087</v>
      </c>
      <c r="AD44" s="1">
        <f>278420.3</f>
        <v>278420.3</v>
      </c>
      <c r="AE44" s="1">
        <v>277615.59999999998</v>
      </c>
      <c r="AF44" s="1">
        <v>276595.5</v>
      </c>
      <c r="AG44" s="1">
        <v>273928.8</v>
      </c>
      <c r="AH44" s="1">
        <v>273124.09999999998</v>
      </c>
      <c r="AI44" s="1">
        <v>272104</v>
      </c>
      <c r="AJ44" s="17">
        <f t="shared" si="0"/>
        <v>-1020.0999999999767</v>
      </c>
      <c r="AK44" s="17">
        <f t="shared" si="1"/>
        <v>-18392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35">
      <c r="A45" t="s">
        <v>14</v>
      </c>
      <c r="B45" t="s">
        <v>40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60000</v>
      </c>
      <c r="K45" s="5">
        <v>60000</v>
      </c>
      <c r="L45" s="5">
        <v>60000</v>
      </c>
      <c r="M45" s="5">
        <v>60000</v>
      </c>
      <c r="N45" s="5">
        <v>60000</v>
      </c>
      <c r="O45" s="1">
        <v>60000</v>
      </c>
      <c r="P45" s="1">
        <v>60000</v>
      </c>
      <c r="Q45" s="1">
        <v>60000</v>
      </c>
      <c r="R45" s="1">
        <v>60000</v>
      </c>
      <c r="S45" s="1">
        <f t="shared" ref="S45:T48" si="39">R45</f>
        <v>60000</v>
      </c>
      <c r="T45" s="1">
        <f t="shared" si="39"/>
        <v>60000</v>
      </c>
      <c r="U45" s="1">
        <f t="shared" ref="U45:W46" si="40">T45</f>
        <v>60000</v>
      </c>
      <c r="V45" s="1">
        <f t="shared" si="40"/>
        <v>60000</v>
      </c>
      <c r="W45" s="1">
        <f t="shared" si="40"/>
        <v>60000</v>
      </c>
      <c r="X45" s="1">
        <f>W45</f>
        <v>60000</v>
      </c>
      <c r="Y45" s="1">
        <f>X45</f>
        <v>60000</v>
      </c>
      <c r="Z45" s="1">
        <f>Y45</f>
        <v>60000</v>
      </c>
      <c r="AA45" s="1">
        <v>60000</v>
      </c>
      <c r="AB45" s="1">
        <f>AA45</f>
        <v>60000</v>
      </c>
      <c r="AC45" s="1">
        <f>AB45</f>
        <v>60000</v>
      </c>
      <c r="AD45" s="1">
        <f>AC45</f>
        <v>60000</v>
      </c>
      <c r="AE45" s="1">
        <v>60000</v>
      </c>
      <c r="AF45" s="1">
        <f t="shared" ref="AF45:AG48" si="41">AE45</f>
        <v>60000</v>
      </c>
      <c r="AG45" s="1">
        <f t="shared" si="41"/>
        <v>60000</v>
      </c>
      <c r="AH45" s="1">
        <f>AG45</f>
        <v>60000</v>
      </c>
      <c r="AI45" s="1">
        <f>AH45</f>
        <v>60000</v>
      </c>
      <c r="AJ45" s="17">
        <f t="shared" si="0"/>
        <v>0</v>
      </c>
      <c r="AK45" s="17">
        <f t="shared" si="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35">
      <c r="A46" t="s">
        <v>14</v>
      </c>
      <c r="B46" t="s">
        <v>209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5">
        <v>0</v>
      </c>
      <c r="L46" s="5">
        <v>0</v>
      </c>
      <c r="M46" s="5">
        <v>0</v>
      </c>
      <c r="N46" s="5">
        <v>0</v>
      </c>
      <c r="O46" s="1">
        <v>0</v>
      </c>
      <c r="P46" s="1">
        <v>0</v>
      </c>
      <c r="Q46" s="1">
        <v>0</v>
      </c>
      <c r="R46" s="1">
        <v>11000</v>
      </c>
      <c r="S46" s="1">
        <f t="shared" si="39"/>
        <v>11000</v>
      </c>
      <c r="T46" s="1">
        <f t="shared" si="39"/>
        <v>11000</v>
      </c>
      <c r="U46" s="1">
        <f t="shared" si="40"/>
        <v>11000</v>
      </c>
      <c r="V46" s="1">
        <f t="shared" si="40"/>
        <v>11000</v>
      </c>
      <c r="W46" s="1">
        <f t="shared" si="40"/>
        <v>11000</v>
      </c>
      <c r="X46" s="1">
        <v>16000</v>
      </c>
      <c r="Y46" s="1">
        <f>X46</f>
        <v>16000</v>
      </c>
      <c r="Z46" s="1">
        <f>Y46+12500</f>
        <v>28500</v>
      </c>
      <c r="AA46" s="1">
        <f>Z46</f>
        <v>28500</v>
      </c>
      <c r="AB46" s="1">
        <f>AA46</f>
        <v>28500</v>
      </c>
      <c r="AC46" s="1">
        <f>AB46+21200</f>
        <v>49700</v>
      </c>
      <c r="AD46" s="1">
        <f>AC46</f>
        <v>49700</v>
      </c>
      <c r="AE46" s="1">
        <f>AD46</f>
        <v>49700</v>
      </c>
      <c r="AF46" s="1">
        <f t="shared" si="41"/>
        <v>49700</v>
      </c>
      <c r="AG46" s="1">
        <f t="shared" si="41"/>
        <v>49700</v>
      </c>
      <c r="AH46" s="1">
        <f>AG46</f>
        <v>49700</v>
      </c>
      <c r="AI46" s="1">
        <f>AH46+8700</f>
        <v>58400</v>
      </c>
      <c r="AJ46" s="17">
        <f t="shared" si="0"/>
        <v>8700</v>
      </c>
      <c r="AK46" s="17">
        <f t="shared" si="1"/>
        <v>47400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35">
      <c r="A47" t="s">
        <v>14</v>
      </c>
      <c r="B47" t="s">
        <v>210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3000</v>
      </c>
      <c r="Z47" s="1">
        <f>Y47+2750</f>
        <v>5750</v>
      </c>
      <c r="AA47" s="1">
        <f>Z47+2000</f>
        <v>7750</v>
      </c>
      <c r="AB47" s="1">
        <f>AA47+1250</f>
        <v>9000</v>
      </c>
      <c r="AC47" s="1">
        <f>AB47+1000</f>
        <v>10000</v>
      </c>
      <c r="AD47" s="1">
        <f>AC47</f>
        <v>10000</v>
      </c>
      <c r="AE47" s="1">
        <f>AD47</f>
        <v>10000</v>
      </c>
      <c r="AF47" s="1">
        <f t="shared" si="41"/>
        <v>10000</v>
      </c>
      <c r="AG47" s="1">
        <f t="shared" si="41"/>
        <v>10000</v>
      </c>
      <c r="AH47" s="1">
        <f>AG47</f>
        <v>10000</v>
      </c>
      <c r="AI47" s="1">
        <f>AH47</f>
        <v>10000</v>
      </c>
      <c r="AJ47" s="17">
        <f t="shared" si="0"/>
        <v>0</v>
      </c>
      <c r="AK47" s="17">
        <f t="shared" si="1"/>
        <v>10000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35">
      <c r="A48" t="s">
        <v>14</v>
      </c>
      <c r="B48" t="s">
        <v>207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1">
        <v>0</v>
      </c>
      <c r="P48" s="1">
        <v>0</v>
      </c>
      <c r="Q48" s="1">
        <v>0</v>
      </c>
      <c r="R48" s="1">
        <v>17952.400000000001</v>
      </c>
      <c r="S48" s="1">
        <f t="shared" si="39"/>
        <v>17952.400000000001</v>
      </c>
      <c r="T48" s="1">
        <f t="shared" si="39"/>
        <v>17952.400000000001</v>
      </c>
      <c r="U48" s="1">
        <v>153989.70000000001</v>
      </c>
      <c r="V48" s="1">
        <f>U48</f>
        <v>153989.70000000001</v>
      </c>
      <c r="W48" s="1">
        <f>V48</f>
        <v>153989.70000000001</v>
      </c>
      <c r="X48" s="1">
        <f>247324.7</f>
        <v>247324.7</v>
      </c>
      <c r="Y48" s="1">
        <f>X48</f>
        <v>247324.7</v>
      </c>
      <c r="Z48" s="1">
        <f>Y48</f>
        <v>247324.7</v>
      </c>
      <c r="AA48" s="1">
        <f>Z48</f>
        <v>247324.7</v>
      </c>
      <c r="AB48" s="1">
        <f>AA48</f>
        <v>247324.7</v>
      </c>
      <c r="AC48" s="1">
        <f>AB48</f>
        <v>247324.7</v>
      </c>
      <c r="AD48" s="1">
        <f>AC48+111093.5</f>
        <v>358418.2</v>
      </c>
      <c r="AE48" s="1">
        <f>AD48</f>
        <v>358418.2</v>
      </c>
      <c r="AF48" s="1">
        <f t="shared" si="41"/>
        <v>358418.2</v>
      </c>
      <c r="AG48" s="1">
        <f t="shared" si="41"/>
        <v>358418.2</v>
      </c>
      <c r="AH48" s="1">
        <f>AG48</f>
        <v>358418.2</v>
      </c>
      <c r="AI48" s="1">
        <f>AH48</f>
        <v>358418.2</v>
      </c>
      <c r="AJ48" s="17">
        <f t="shared" si="0"/>
        <v>0</v>
      </c>
      <c r="AK48" s="17">
        <f t="shared" si="1"/>
        <v>204428.5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7">
        <f t="shared" si="0"/>
        <v>0</v>
      </c>
      <c r="AK49" s="17">
        <f t="shared" si="1"/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</row>
    <row r="50" spans="1:68" x14ac:dyDescent="0.35">
      <c r="A50" t="s">
        <v>41</v>
      </c>
      <c r="B50" t="s">
        <v>18</v>
      </c>
      <c r="C50" s="1">
        <v>10792185.6</v>
      </c>
      <c r="D50" s="1">
        <v>11374082</v>
      </c>
      <c r="E50" s="1">
        <v>11389507.9</v>
      </c>
      <c r="F50" s="1">
        <v>10434580.800000001</v>
      </c>
      <c r="G50" s="1">
        <v>10807595</v>
      </c>
      <c r="H50" s="1">
        <v>11106403.6</v>
      </c>
      <c r="I50" s="1">
        <v>11906061.4</v>
      </c>
      <c r="J50" s="1">
        <v>12475588.300000001</v>
      </c>
      <c r="K50" s="1">
        <v>12353145.800000001</v>
      </c>
      <c r="L50" s="5">
        <v>12670270.1</v>
      </c>
      <c r="M50" s="5">
        <v>13313450.5</v>
      </c>
      <c r="N50" s="5">
        <v>13703597.699999999</v>
      </c>
      <c r="O50" s="1">
        <v>13648337.699999999</v>
      </c>
      <c r="P50" s="1">
        <v>13541231.5</v>
      </c>
      <c r="Q50" s="1">
        <v>13432971.800000001</v>
      </c>
      <c r="R50" s="1">
        <v>11965074.699999999</v>
      </c>
      <c r="S50" s="1">
        <v>11922371.199999999</v>
      </c>
      <c r="T50" s="1">
        <v>12258661.199999999</v>
      </c>
      <c r="U50" s="1">
        <v>12534406.300000001</v>
      </c>
      <c r="V50" s="1">
        <v>12750839.4</v>
      </c>
      <c r="W50" s="1">
        <v>12703814.5</v>
      </c>
      <c r="X50" s="1">
        <v>12601672.4</v>
      </c>
      <c r="Y50" s="1">
        <v>12277510.9</v>
      </c>
      <c r="Z50" s="1">
        <v>12165767</v>
      </c>
      <c r="AA50" s="1">
        <v>12787132.6</v>
      </c>
      <c r="AB50" s="1">
        <v>12726198.800000001</v>
      </c>
      <c r="AC50" s="1">
        <v>13096719.1</v>
      </c>
      <c r="AD50" s="1">
        <v>11879972.699999999</v>
      </c>
      <c r="AE50" s="1">
        <v>11965801.9</v>
      </c>
      <c r="AF50" s="1">
        <v>11880606.5</v>
      </c>
      <c r="AG50" s="1">
        <v>11750725.5</v>
      </c>
      <c r="AH50" s="1">
        <v>11791774.4</v>
      </c>
      <c r="AI50" s="1">
        <v>11696343.9</v>
      </c>
      <c r="AJ50" s="17">
        <f t="shared" si="0"/>
        <v>-95430.5</v>
      </c>
      <c r="AK50" s="17">
        <f t="shared" si="1"/>
        <v>-1007470.5999999996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35">
      <c r="A51" t="s">
        <v>41</v>
      </c>
      <c r="B51" t="s">
        <v>20</v>
      </c>
      <c r="C51" s="1">
        <v>187974.6</v>
      </c>
      <c r="D51" s="1">
        <v>184841.3</v>
      </c>
      <c r="E51" s="1">
        <v>186486.39999999999</v>
      </c>
      <c r="F51" s="1">
        <v>148350.20000000001</v>
      </c>
      <c r="G51" s="1">
        <v>155297.79999999999</v>
      </c>
      <c r="H51" s="1">
        <v>147236.70000000001</v>
      </c>
      <c r="I51" s="1">
        <v>154451.1</v>
      </c>
      <c r="J51" s="1">
        <v>154958.29999999999</v>
      </c>
      <c r="K51" s="1">
        <v>153099.20000000001</v>
      </c>
      <c r="L51" s="5">
        <v>145578.20000000001</v>
      </c>
      <c r="M51" s="5">
        <v>146336.5</v>
      </c>
      <c r="N51" s="5">
        <v>142852.5</v>
      </c>
      <c r="O51" s="1">
        <v>140105.5</v>
      </c>
      <c r="P51" s="1">
        <v>145224.4</v>
      </c>
      <c r="Q51" s="1">
        <v>151129.1</v>
      </c>
      <c r="R51" s="1">
        <v>133407.29999999999</v>
      </c>
      <c r="S51" s="1">
        <v>133526.1</v>
      </c>
      <c r="T51" s="1">
        <v>133436</v>
      </c>
      <c r="U51" s="1">
        <v>135703.70000000001</v>
      </c>
      <c r="V51" s="1">
        <v>138929.70000000001</v>
      </c>
      <c r="W51" s="1">
        <v>141488.5</v>
      </c>
      <c r="X51" s="1">
        <v>146961.70000000001</v>
      </c>
      <c r="Y51" s="1">
        <v>142216</v>
      </c>
      <c r="Z51" s="1">
        <v>133415.9</v>
      </c>
      <c r="AA51" s="1">
        <v>137922.29999999999</v>
      </c>
      <c r="AB51" s="1">
        <v>131126.29999999999</v>
      </c>
      <c r="AC51" s="1">
        <v>121557.5</v>
      </c>
      <c r="AD51" s="1">
        <v>116837.2</v>
      </c>
      <c r="AE51" s="1">
        <v>122092.3</v>
      </c>
      <c r="AF51" s="1">
        <v>135473.79999999999</v>
      </c>
      <c r="AG51" s="1">
        <v>140422.39999999999</v>
      </c>
      <c r="AH51" s="1">
        <v>144575.1</v>
      </c>
      <c r="AI51" s="1">
        <v>148776.1</v>
      </c>
      <c r="AJ51" s="17">
        <f t="shared" si="0"/>
        <v>4201</v>
      </c>
      <c r="AK51" s="17">
        <f t="shared" si="1"/>
        <v>7287.6000000000058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35">
      <c r="A52" t="s">
        <v>43</v>
      </c>
      <c r="B52" t="s">
        <v>19</v>
      </c>
      <c r="C52" s="2">
        <v>8.1000000000000003E-2</v>
      </c>
      <c r="D52" s="2">
        <v>8.5000000000000006E-2</v>
      </c>
      <c r="E52" s="2">
        <v>8.5000000000000006E-2</v>
      </c>
      <c r="F52" s="2">
        <v>7.8E-2</v>
      </c>
      <c r="G52" s="2">
        <v>7.1999999999999995E-2</v>
      </c>
      <c r="H52" s="2">
        <v>7.3999999999999996E-2</v>
      </c>
      <c r="I52" s="2">
        <v>7.9000000000000001E-2</v>
      </c>
      <c r="J52" s="2">
        <v>8.3000000000000004E-2</v>
      </c>
      <c r="K52" s="2">
        <v>8.2000000000000003E-2</v>
      </c>
      <c r="L52" s="8">
        <v>8.4000000000000005E-2</v>
      </c>
      <c r="M52" s="8">
        <v>8.8999999999999996E-2</v>
      </c>
      <c r="N52" s="8">
        <v>9.0999999999999998E-2</v>
      </c>
      <c r="O52" s="2">
        <v>9.0999999999999998E-2</v>
      </c>
      <c r="P52" s="2">
        <v>0.09</v>
      </c>
      <c r="Q52" s="2">
        <v>0.09</v>
      </c>
      <c r="R52" s="2">
        <v>0.08</v>
      </c>
      <c r="S52" s="2">
        <v>6.6000000000000003E-2</v>
      </c>
      <c r="T52" s="2">
        <v>6.8000000000000005E-2</v>
      </c>
      <c r="U52" s="2">
        <v>7.0000000000000007E-2</v>
      </c>
      <c r="V52" s="2">
        <v>7.0999999999999994E-2</v>
      </c>
      <c r="W52" s="2">
        <v>7.0999999999999994E-2</v>
      </c>
      <c r="X52" s="2">
        <v>7.0000000000000007E-2</v>
      </c>
      <c r="Y52" s="2">
        <v>6.4000000000000001E-2</v>
      </c>
      <c r="Z52" s="2">
        <v>6.4000000000000001E-2</v>
      </c>
      <c r="AA52" s="2">
        <v>6.7000000000000004E-2</v>
      </c>
      <c r="AB52" s="2">
        <v>6.6000000000000003E-2</v>
      </c>
      <c r="AC52" s="2">
        <v>6.8000000000000005E-2</v>
      </c>
      <c r="AD52" s="2">
        <v>6.2E-2</v>
      </c>
      <c r="AE52" s="2">
        <v>5.6000000000000001E-2</v>
      </c>
      <c r="AF52" s="2">
        <v>5.5E-2</v>
      </c>
      <c r="AG52" s="2">
        <v>5.5E-2</v>
      </c>
      <c r="AH52" s="2">
        <v>5.5E-2</v>
      </c>
      <c r="AI52" s="2">
        <v>5.5E-2</v>
      </c>
      <c r="AJ52" s="17">
        <f t="shared" si="0"/>
        <v>0</v>
      </c>
      <c r="AK52" s="17">
        <f t="shared" si="1"/>
        <v>-1.5999999999999993E-2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s="3" customFormat="1" x14ac:dyDescent="0.3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7">
        <f t="shared" si="0"/>
        <v>0</v>
      </c>
      <c r="AK53" s="17">
        <f t="shared" si="1"/>
        <v>0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x14ac:dyDescent="0.35">
      <c r="A54" t="s">
        <v>21</v>
      </c>
      <c r="B54" t="s">
        <v>22</v>
      </c>
      <c r="C54" s="1">
        <v>7524361.2999999998</v>
      </c>
      <c r="D54" s="1">
        <v>7872548.2999999998</v>
      </c>
      <c r="E54" s="1">
        <v>7601763</v>
      </c>
      <c r="F54" s="1">
        <v>6132655.2000000002</v>
      </c>
      <c r="G54" s="1">
        <v>6334590.5999999996</v>
      </c>
      <c r="H54" s="1">
        <v>6446231</v>
      </c>
      <c r="I54" s="1">
        <v>6712063.4000000004</v>
      </c>
      <c r="J54" s="1">
        <v>6828671.4000000004</v>
      </c>
      <c r="K54" s="1">
        <v>6643004.4000000004</v>
      </c>
      <c r="L54" s="5">
        <v>6811125</v>
      </c>
      <c r="M54" s="5">
        <v>7183391.5</v>
      </c>
      <c r="N54" s="5">
        <v>7251634.9000000004</v>
      </c>
      <c r="O54" s="1">
        <v>7140176.0999999996</v>
      </c>
      <c r="P54" s="1">
        <v>6938308.7999999998</v>
      </c>
      <c r="Q54" s="1">
        <v>6746505.0999999996</v>
      </c>
      <c r="R54" s="1">
        <v>5011778</v>
      </c>
      <c r="S54" s="1">
        <v>4907126.4000000004</v>
      </c>
      <c r="T54" s="1">
        <v>5044614.2</v>
      </c>
      <c r="U54" s="1">
        <v>5087766.7</v>
      </c>
      <c r="V54" s="1">
        <v>5172247.3</v>
      </c>
      <c r="W54" s="1">
        <v>5046039</v>
      </c>
      <c r="X54" s="1">
        <v>4603329.0999999996</v>
      </c>
      <c r="Y54" s="1">
        <v>4665093</v>
      </c>
      <c r="Z54" s="1">
        <v>4854458.2</v>
      </c>
      <c r="AA54" s="1">
        <v>5255172.0999999996</v>
      </c>
      <c r="AB54" s="1">
        <v>5447193.4000000004</v>
      </c>
      <c r="AC54" s="1">
        <v>5792014.7999999998</v>
      </c>
      <c r="AD54" s="1">
        <v>3809866.8</v>
      </c>
      <c r="AE54" s="1">
        <v>3751160.1</v>
      </c>
      <c r="AF54" s="1">
        <v>3393844.7</v>
      </c>
      <c r="AG54" s="1">
        <v>3268903.8</v>
      </c>
      <c r="AH54" s="1">
        <v>3296830.6</v>
      </c>
      <c r="AI54" s="1">
        <v>2843025</v>
      </c>
      <c r="AJ54" s="17">
        <f t="shared" si="0"/>
        <v>-453805.60000000009</v>
      </c>
      <c r="AK54" s="17">
        <f t="shared" si="1"/>
        <v>-2203014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35">
      <c r="A55" t="s">
        <v>21</v>
      </c>
      <c r="B55" t="s">
        <v>23</v>
      </c>
      <c r="C55" s="1">
        <v>131056.8</v>
      </c>
      <c r="D55" s="1">
        <v>127937.60000000001</v>
      </c>
      <c r="E55" s="1">
        <v>124467.7</v>
      </c>
      <c r="F55" s="1">
        <v>87189</v>
      </c>
      <c r="G55" s="1">
        <v>91023.8</v>
      </c>
      <c r="H55" s="1">
        <v>85457.2</v>
      </c>
      <c r="I55" s="1">
        <v>87072.1</v>
      </c>
      <c r="J55" s="1">
        <v>84818.4</v>
      </c>
      <c r="K55" s="1">
        <v>82330.3</v>
      </c>
      <c r="L55" s="5">
        <v>78258.100000000006</v>
      </c>
      <c r="M55" s="5">
        <v>78957.2</v>
      </c>
      <c r="N55" s="5">
        <v>75594.3</v>
      </c>
      <c r="O55" s="1">
        <v>73296.7</v>
      </c>
      <c r="P55" s="1">
        <v>74410.600000000006</v>
      </c>
      <c r="Q55" s="1">
        <v>75905.3</v>
      </c>
      <c r="R55" s="1">
        <v>55880</v>
      </c>
      <c r="S55" s="1">
        <v>54958</v>
      </c>
      <c r="T55" s="1">
        <v>54910.8</v>
      </c>
      <c r="U55" s="1">
        <v>55082.7</v>
      </c>
      <c r="V55" s="1">
        <v>56355.4</v>
      </c>
      <c r="W55" s="1">
        <v>56200.2</v>
      </c>
      <c r="X55" s="1">
        <v>53684.4</v>
      </c>
      <c r="Y55" s="1">
        <v>54037.9</v>
      </c>
      <c r="Z55" s="1">
        <v>53236.4</v>
      </c>
      <c r="AA55" s="1">
        <v>56682.400000000001</v>
      </c>
      <c r="AB55" s="1">
        <v>56126</v>
      </c>
      <c r="AC55" s="1">
        <v>53758.7</v>
      </c>
      <c r="AD55" s="1">
        <v>37469.300000000003</v>
      </c>
      <c r="AE55" s="1">
        <v>38274.699999999997</v>
      </c>
      <c r="AF55" s="1">
        <v>38699.800000000003</v>
      </c>
      <c r="AG55" s="1">
        <v>39063.699999999997</v>
      </c>
      <c r="AH55" s="1">
        <v>40421.4</v>
      </c>
      <c r="AI55" s="1">
        <v>36162.9</v>
      </c>
      <c r="AJ55" s="17">
        <f t="shared" si="0"/>
        <v>-4258.5</v>
      </c>
      <c r="AK55" s="17">
        <f t="shared" si="1"/>
        <v>-20037.299999999996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35">
      <c r="A56" t="s">
        <v>42</v>
      </c>
      <c r="B56" t="s">
        <v>19</v>
      </c>
      <c r="C56" s="2">
        <v>5.6000000000000001E-2</v>
      </c>
      <c r="D56" s="2">
        <v>5.8999999999999997E-2</v>
      </c>
      <c r="E56" s="2">
        <v>5.7000000000000002E-2</v>
      </c>
      <c r="F56" s="2">
        <v>4.5999999999999999E-2</v>
      </c>
      <c r="G56" s="2">
        <v>4.2000000000000003E-2</v>
      </c>
      <c r="H56" s="2">
        <v>4.2999999999999997E-2</v>
      </c>
      <c r="I56" s="2">
        <v>4.4999999999999998E-2</v>
      </c>
      <c r="J56" s="2">
        <v>4.5999999999999999E-2</v>
      </c>
      <c r="K56" s="2">
        <v>4.3999999999999997E-2</v>
      </c>
      <c r="L56" s="8">
        <v>4.4999999999999998E-2</v>
      </c>
      <c r="M56" s="8">
        <v>4.8000000000000001E-2</v>
      </c>
      <c r="N56" s="8">
        <v>4.8000000000000001E-2</v>
      </c>
      <c r="O56" s="2">
        <v>4.8000000000000001E-2</v>
      </c>
      <c r="P56" s="2">
        <v>4.5999999999999999E-2</v>
      </c>
      <c r="Q56" s="2">
        <v>4.4999999999999998E-2</v>
      </c>
      <c r="R56" s="2">
        <v>3.3000000000000002E-2</v>
      </c>
      <c r="S56" s="2">
        <v>2.7E-2</v>
      </c>
      <c r="T56" s="2">
        <v>2.8000000000000001E-2</v>
      </c>
      <c r="U56" s="2">
        <v>2.8000000000000001E-2</v>
      </c>
      <c r="V56" s="2">
        <v>2.9000000000000001E-2</v>
      </c>
      <c r="W56" s="2">
        <v>2.8000000000000001E-2</v>
      </c>
      <c r="X56" s="2">
        <v>2.5999999999999999E-2</v>
      </c>
      <c r="Y56" s="2">
        <v>2.4E-2</v>
      </c>
      <c r="Z56" s="2">
        <v>2.5000000000000001E-2</v>
      </c>
      <c r="AA56" s="2">
        <v>2.5000000000000001E-2</v>
      </c>
      <c r="AB56" s="2">
        <v>2.8000000000000001E-2</v>
      </c>
      <c r="AC56" s="2">
        <v>0.03</v>
      </c>
      <c r="AD56" s="2">
        <v>0.02</v>
      </c>
      <c r="AE56" s="2">
        <v>1.7000000000000001E-2</v>
      </c>
      <c r="AF56" s="2">
        <v>1.6E-2</v>
      </c>
      <c r="AG56" s="2">
        <v>1.4999999999999999E-2</v>
      </c>
      <c r="AH56" s="2">
        <v>1.4999999999999999E-2</v>
      </c>
      <c r="AI56" s="2">
        <v>1.2999999999999999E-2</v>
      </c>
      <c r="AJ56" s="17">
        <f t="shared" si="0"/>
        <v>-2E-3</v>
      </c>
      <c r="AK56" s="17">
        <f t="shared" si="1"/>
        <v>-1.5000000000000001E-2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x14ac:dyDescent="0.35">
      <c r="A57" t="s">
        <v>44</v>
      </c>
      <c r="B57" t="s">
        <v>45</v>
      </c>
      <c r="C57" s="2">
        <f>C55/C51</f>
        <v>0.6972048351213409</v>
      </c>
      <c r="D57" s="2">
        <f>D55/D51</f>
        <v>0.69214834563487715</v>
      </c>
      <c r="E57" s="2">
        <f>E55/E51</f>
        <v>0.66743580228906774</v>
      </c>
      <c r="F57" s="2">
        <f>F55/F51</f>
        <v>0.58772418237386936</v>
      </c>
      <c r="G57" s="2">
        <f>G55/G51</f>
        <v>0.58612420781234509</v>
      </c>
      <c r="H57" s="2">
        <f t="shared" ref="H57:P57" si="42">H55/H51</f>
        <v>0.58040692300221342</v>
      </c>
      <c r="I57" s="2">
        <f t="shared" si="42"/>
        <v>0.56375189299396378</v>
      </c>
      <c r="J57" s="2">
        <f t="shared" si="42"/>
        <v>0.54736274210545677</v>
      </c>
      <c r="K57" s="2">
        <f t="shared" si="42"/>
        <v>0.53775787202023262</v>
      </c>
      <c r="L57" s="2">
        <f t="shared" si="42"/>
        <v>0.53756743798178575</v>
      </c>
      <c r="M57" s="2">
        <f t="shared" si="42"/>
        <v>0.53955916671507109</v>
      </c>
      <c r="N57" s="2">
        <f t="shared" si="42"/>
        <v>0.52917729826219351</v>
      </c>
      <c r="O57" s="2">
        <f>O55/O51</f>
        <v>0.5231536235194193</v>
      </c>
      <c r="P57" s="2">
        <f t="shared" si="42"/>
        <v>0.512383593941514</v>
      </c>
      <c r="Q57" s="2">
        <f t="shared" ref="Q57:AB57" si="43">Q55/Q51</f>
        <v>0.5022546948271378</v>
      </c>
      <c r="R57" s="2">
        <f t="shared" si="43"/>
        <v>0.41886763318049314</v>
      </c>
      <c r="S57" s="2">
        <f t="shared" si="43"/>
        <v>0.41158994383869518</v>
      </c>
      <c r="T57" s="2">
        <f t="shared" si="43"/>
        <v>0.41151413411673016</v>
      </c>
      <c r="U57" s="2">
        <f t="shared" si="43"/>
        <v>0.40590418684236312</v>
      </c>
      <c r="V57" s="2">
        <f t="shared" si="43"/>
        <v>0.40563968683442053</v>
      </c>
      <c r="W57" s="2">
        <f t="shared" si="43"/>
        <v>0.39720684013188351</v>
      </c>
      <c r="X57" s="2">
        <f t="shared" si="43"/>
        <v>0.36529517554573743</v>
      </c>
      <c r="Y57" s="2">
        <f t="shared" si="43"/>
        <v>0.37997060808910393</v>
      </c>
      <c r="Z57" s="2">
        <f t="shared" si="43"/>
        <v>0.39902590320943759</v>
      </c>
      <c r="AA57" s="2">
        <f t="shared" si="43"/>
        <v>0.41097342489213134</v>
      </c>
      <c r="AB57" s="2">
        <f t="shared" si="43"/>
        <v>0.42803007482099326</v>
      </c>
      <c r="AC57" s="2">
        <f t="shared" ref="AC57:AI57" si="44">AC55/AC51</f>
        <v>0.4422491413528577</v>
      </c>
      <c r="AD57" s="2">
        <f t="shared" si="44"/>
        <v>0.32069666167967054</v>
      </c>
      <c r="AE57" s="2">
        <f t="shared" si="44"/>
        <v>0.31348987610193269</v>
      </c>
      <c r="AF57" s="2">
        <f t="shared" si="44"/>
        <v>0.28566261520677805</v>
      </c>
      <c r="AG57" s="2">
        <f t="shared" si="44"/>
        <v>0.27818709835467842</v>
      </c>
      <c r="AH57" s="2">
        <f t="shared" si="44"/>
        <v>0.27958756383360622</v>
      </c>
      <c r="AI57" s="2">
        <f t="shared" si="44"/>
        <v>0.24306928330558469</v>
      </c>
      <c r="AJ57" s="17">
        <f t="shared" si="0"/>
        <v>-3.6518280528021529E-2</v>
      </c>
      <c r="AK57" s="17">
        <f t="shared" si="1"/>
        <v>-0.15413755682629882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35"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35">
      <c r="A60" t="s">
        <v>117</v>
      </c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35">
      <c r="A61" t="s">
        <v>119</v>
      </c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35">
      <c r="A62" t="s">
        <v>219</v>
      </c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35">
      <c r="A63" t="s">
        <v>242</v>
      </c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3:68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3:68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3:68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3:68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3:68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3:68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3:68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3:68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3:68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3:68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3:68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3:68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3:68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3:68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3:68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3:68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3:68" x14ac:dyDescent="0.35">
      <c r="C81" s="1"/>
      <c r="D81" s="1"/>
      <c r="E81" s="1"/>
      <c r="F81" s="1"/>
      <c r="G81" s="1"/>
      <c r="H81" s="1"/>
      <c r="I81" s="1"/>
      <c r="J81" s="1"/>
      <c r="K81" s="1"/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3:68" x14ac:dyDescent="0.35">
      <c r="C82" s="1"/>
      <c r="D82" s="1"/>
      <c r="E82" s="1"/>
      <c r="F82" s="1"/>
      <c r="G82" s="1"/>
      <c r="H82" s="1"/>
      <c r="I82" s="1"/>
      <c r="J82" s="1"/>
      <c r="K82" s="1"/>
      <c r="L82" s="5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3:68" x14ac:dyDescent="0.35">
      <c r="C83" s="1"/>
      <c r="D83" s="1"/>
      <c r="E83" s="1"/>
      <c r="F83" s="1"/>
      <c r="G83" s="1"/>
      <c r="H83" s="1"/>
      <c r="I83" s="1"/>
      <c r="J83" s="1"/>
      <c r="K83" s="1"/>
      <c r="L83" s="5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3:68" x14ac:dyDescent="0.35">
      <c r="C84" s="1"/>
      <c r="D84" s="1"/>
      <c r="E84" s="1"/>
      <c r="F84" s="1"/>
      <c r="G84" s="1"/>
      <c r="H84" s="1"/>
      <c r="I84" s="1"/>
      <c r="J84" s="1"/>
      <c r="K84" s="1"/>
      <c r="L84" s="5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pane xSplit="1" ySplit="1" topLeftCell="AA8" activePane="bottomRight" state="frozen"/>
      <selection pane="topRight" activeCell="B1" sqref="B1"/>
      <selection pane="bottomLeft" activeCell="A2" sqref="A2"/>
      <selection pane="bottomRight" activeCell="Z18" sqref="Z18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4" width="9.90625" bestFit="1" customWidth="1"/>
  </cols>
  <sheetData>
    <row r="1" spans="1:34" x14ac:dyDescent="0.35">
      <c r="A1" t="s">
        <v>138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233</v>
      </c>
      <c r="AF1" t="s">
        <v>238</v>
      </c>
      <c r="AG1" t="s">
        <v>239</v>
      </c>
      <c r="AH1" t="s">
        <v>243</v>
      </c>
    </row>
    <row r="2" spans="1:34" x14ac:dyDescent="0.35">
      <c r="A2" t="s">
        <v>129</v>
      </c>
      <c r="B2" s="12">
        <f>Main_!C50</f>
        <v>10792185.6</v>
      </c>
      <c r="C2" s="12">
        <f>Main_!D50</f>
        <v>11374082</v>
      </c>
      <c r="D2" s="12">
        <f>Main_!E50</f>
        <v>11389507.9</v>
      </c>
      <c r="E2" s="12">
        <f>Main_!F50</f>
        <v>10434580.800000001</v>
      </c>
      <c r="F2" s="12">
        <f>Main_!G50</f>
        <v>10807595</v>
      </c>
      <c r="G2" s="12">
        <f>Main_!H50</f>
        <v>11106403.6</v>
      </c>
      <c r="H2" s="12">
        <f>Main_!I50</f>
        <v>11906061.4</v>
      </c>
      <c r="I2" s="12">
        <f>Main_!J50</f>
        <v>12475588.300000001</v>
      </c>
      <c r="J2" s="12">
        <f>Main_!K50</f>
        <v>12353145.800000001</v>
      </c>
      <c r="K2" s="12">
        <f>Main_!L50</f>
        <v>12670270.1</v>
      </c>
      <c r="L2" s="12">
        <f>Main_!M50</f>
        <v>13313450.5</v>
      </c>
      <c r="M2" s="12">
        <f>Main_!N50</f>
        <v>13703597.699999999</v>
      </c>
      <c r="N2" s="12">
        <f>Main_!O50</f>
        <v>13648337.699999999</v>
      </c>
      <c r="O2" s="12">
        <f>Main_!P50</f>
        <v>13541231.5</v>
      </c>
      <c r="P2" s="12">
        <f>Main_!Q50</f>
        <v>13432971.800000001</v>
      </c>
      <c r="Q2" s="12">
        <f>Main_!R50</f>
        <v>11965074.699999999</v>
      </c>
      <c r="R2" s="12">
        <f>Main_!S50</f>
        <v>11922371.199999999</v>
      </c>
      <c r="S2" s="12">
        <f>Main_!T50</f>
        <v>12258661.199999999</v>
      </c>
      <c r="T2" s="12">
        <f>Main_!U50</f>
        <v>12534406.300000001</v>
      </c>
      <c r="U2" s="12">
        <f>Main_!V50</f>
        <v>12750839.4</v>
      </c>
      <c r="V2" s="12">
        <f>Main_!W50</f>
        <v>12703814.5</v>
      </c>
      <c r="W2" s="12">
        <f>Main_!X50</f>
        <v>12601672.4</v>
      </c>
      <c r="X2" s="12">
        <f>Main_!Y50</f>
        <v>12277510.9</v>
      </c>
      <c r="Y2" s="12">
        <f>Main_!Z50</f>
        <v>12165767</v>
      </c>
      <c r="Z2" s="12">
        <f>Main_!AA50</f>
        <v>12787132.6</v>
      </c>
      <c r="AA2" s="12">
        <f>Main_!AB50</f>
        <v>12726198.800000001</v>
      </c>
      <c r="AB2" s="12">
        <f>Main_!AC50</f>
        <v>13096719.1</v>
      </c>
      <c r="AC2" s="12">
        <f>Main_!AD50</f>
        <v>11879972.699999999</v>
      </c>
      <c r="AD2" s="12">
        <f>Main_!AE50</f>
        <v>11965801.9</v>
      </c>
      <c r="AE2" s="12">
        <f>Main_!AF50</f>
        <v>11880606.5</v>
      </c>
      <c r="AF2" s="12">
        <f>Main_!AG50</f>
        <v>11750725.5</v>
      </c>
      <c r="AG2" s="12">
        <f>Main_!AH50</f>
        <v>11791774.4</v>
      </c>
      <c r="AH2" s="12">
        <f>Main_!AI50</f>
        <v>11696343.9</v>
      </c>
    </row>
    <row r="3" spans="1:34" x14ac:dyDescent="0.35">
      <c r="A3" t="s">
        <v>130</v>
      </c>
      <c r="B3" s="12">
        <f>Main_!C51</f>
        <v>187974.6</v>
      </c>
      <c r="C3" s="12">
        <f>Main_!D51</f>
        <v>184841.3</v>
      </c>
      <c r="D3" s="12">
        <f>Main_!E51</f>
        <v>186486.39999999999</v>
      </c>
      <c r="E3" s="12">
        <f>Main_!F51</f>
        <v>148350.20000000001</v>
      </c>
      <c r="F3" s="12">
        <f>Main_!G51</f>
        <v>155297.79999999999</v>
      </c>
      <c r="G3" s="12">
        <f>Main_!H51</f>
        <v>147236.70000000001</v>
      </c>
      <c r="H3" s="12">
        <f>Main_!I51</f>
        <v>154451.1</v>
      </c>
      <c r="I3" s="12">
        <f>Main_!J51</f>
        <v>154958.29999999999</v>
      </c>
      <c r="J3" s="12">
        <f>Main_!K51</f>
        <v>153099.20000000001</v>
      </c>
      <c r="K3" s="12">
        <f>Main_!L51</f>
        <v>145578.20000000001</v>
      </c>
      <c r="L3" s="12">
        <f>Main_!M51</f>
        <v>146336.5</v>
      </c>
      <c r="M3" s="12">
        <f>Main_!N51</f>
        <v>142852.5</v>
      </c>
      <c r="N3" s="12">
        <f>Main_!O51</f>
        <v>140105.5</v>
      </c>
      <c r="O3" s="12">
        <f>Main_!P51</f>
        <v>145224.4</v>
      </c>
      <c r="P3" s="12">
        <f>Main_!Q51</f>
        <v>151129.1</v>
      </c>
      <c r="Q3" s="12">
        <f>Main_!R51</f>
        <v>133407.29999999999</v>
      </c>
      <c r="R3" s="12">
        <f>Main_!S51</f>
        <v>133526.1</v>
      </c>
      <c r="S3" s="12">
        <f>Main_!T51</f>
        <v>133436</v>
      </c>
      <c r="T3" s="12">
        <f>Main_!U51</f>
        <v>135703.70000000001</v>
      </c>
      <c r="U3" s="12">
        <f>Main_!V51</f>
        <v>138929.70000000001</v>
      </c>
      <c r="V3" s="12">
        <f>Main_!W51</f>
        <v>141488.5</v>
      </c>
      <c r="W3" s="12">
        <f>Main_!X51</f>
        <v>146961.70000000001</v>
      </c>
      <c r="X3" s="12">
        <f>Main_!Y51</f>
        <v>142216</v>
      </c>
      <c r="Y3" s="12">
        <f>Main_!Z51</f>
        <v>133415.9</v>
      </c>
      <c r="Z3" s="12">
        <f>Main_!AA51</f>
        <v>137922.29999999999</v>
      </c>
      <c r="AA3" s="12">
        <f>Main_!AB51</f>
        <v>131126.29999999999</v>
      </c>
      <c r="AB3" s="12">
        <f>Main_!AC51</f>
        <v>121557.5</v>
      </c>
      <c r="AC3" s="12">
        <f>Main_!AD51</f>
        <v>116837.2</v>
      </c>
      <c r="AD3" s="12">
        <f>Main_!AE51</f>
        <v>122092.3</v>
      </c>
      <c r="AE3" s="12">
        <f>Main_!AF51</f>
        <v>135473.79999999999</v>
      </c>
      <c r="AF3" s="12">
        <f>Main_!AG51</f>
        <v>140422.39999999999</v>
      </c>
      <c r="AG3" s="12">
        <f>Main_!AH51</f>
        <v>144575.1</v>
      </c>
      <c r="AH3" s="12">
        <f>Main_!AI51</f>
        <v>148776.1</v>
      </c>
    </row>
    <row r="4" spans="1:34" x14ac:dyDescent="0.35">
      <c r="A4" t="s">
        <v>139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  <c r="AF4" s="12">
        <f>Main_!AG2</f>
        <v>0</v>
      </c>
      <c r="AG4" s="12">
        <f>Main_!AH2</f>
        <v>0</v>
      </c>
      <c r="AH4" s="12">
        <f>Main_!AI2</f>
        <v>0</v>
      </c>
    </row>
    <row r="5" spans="1:34" x14ac:dyDescent="0.35">
      <c r="A5" t="s">
        <v>140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  <c r="AF5" s="12">
        <f>Main_!AG5</f>
        <v>164387.6</v>
      </c>
      <c r="AG5" s="12">
        <f>Main_!AH5</f>
        <v>164597.20000000001</v>
      </c>
      <c r="AH5" s="12">
        <f>Main_!AI5</f>
        <v>153698.1</v>
      </c>
    </row>
    <row r="6" spans="1:34" x14ac:dyDescent="0.35">
      <c r="A6" t="s">
        <v>141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  <c r="AF6" s="12">
        <f>Main_!AG6</f>
        <v>168271.4</v>
      </c>
      <c r="AG6" s="12">
        <f>Main_!AH6</f>
        <v>168061.1</v>
      </c>
      <c r="AH6" s="12">
        <f>Main_!AI6</f>
        <v>139509.1</v>
      </c>
    </row>
    <row r="7" spans="1:34" x14ac:dyDescent="0.35">
      <c r="A7" t="s">
        <v>142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  <c r="AF7" s="12">
        <f>Main_!AG7</f>
        <v>1671.6</v>
      </c>
      <c r="AG7" s="12">
        <f>Main_!AH7</f>
        <v>397.6</v>
      </c>
      <c r="AH7" s="12">
        <f>Main_!AI7</f>
        <v>1271.3</v>
      </c>
    </row>
    <row r="8" spans="1:34" x14ac:dyDescent="0.35">
      <c r="A8" t="s">
        <v>147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659635.9</v>
      </c>
      <c r="V8" s="12">
        <f>SUM(Main_!W8:W23)</f>
        <v>660216.1</v>
      </c>
      <c r="W8" s="12">
        <f>SUM(Main_!X8:X23)</f>
        <v>660688.69999999995</v>
      </c>
      <c r="X8" s="12">
        <f>SUM(Main_!Y8:Y23)</f>
        <v>689427.9</v>
      </c>
      <c r="Y8" s="12">
        <f>SUM(Main_!Z8:Z23)</f>
        <v>690022.5</v>
      </c>
      <c r="Z8" s="12">
        <f>SUM(Main_!AA8:AA23)</f>
        <v>690508.4</v>
      </c>
      <c r="AA8" s="12">
        <f>SUM(Main_!AB8:AB23)</f>
        <v>752240.9</v>
      </c>
      <c r="AB8" s="12">
        <f>SUM(Main_!AC8:AC23)</f>
        <v>751917.8</v>
      </c>
      <c r="AC8" s="12">
        <f>SUM(Main_!AD8:AD23)</f>
        <v>891319.7</v>
      </c>
      <c r="AD8" s="12">
        <f>SUM(Main_!AE8:AE23)</f>
        <v>968847.4</v>
      </c>
      <c r="AE8" s="12">
        <f>SUM(Main_!AF8:AF23)</f>
        <v>1005833.7000000001</v>
      </c>
      <c r="AF8" s="12">
        <f>SUM(Main_!AG8:AG23)</f>
        <v>1054339.1000000001</v>
      </c>
      <c r="AG8" s="12">
        <f>SUM(Main_!AH8:AH23)</f>
        <v>1055987.8999999999</v>
      </c>
      <c r="AH8" s="12">
        <f>SUM(Main_!AI8:AI23)</f>
        <v>1104103.6000000001</v>
      </c>
    </row>
    <row r="9" spans="1:34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>
        <f>Main_!AG24</f>
        <v>3000</v>
      </c>
      <c r="AG9" s="12">
        <f>Main_!AH24</f>
        <v>3000</v>
      </c>
      <c r="AH9" s="12">
        <f>Main_!AI24</f>
        <v>3000</v>
      </c>
    </row>
    <row r="10" spans="1:34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  <c r="AF10" s="12">
        <f>Main_!AG25</f>
        <v>1340916</v>
      </c>
      <c r="AG10" s="12">
        <f>Main_!AH25</f>
        <v>1340825.6000000001</v>
      </c>
      <c r="AH10" s="12">
        <f>Main_!AI25</f>
        <v>1347272.4</v>
      </c>
    </row>
    <row r="11" spans="1:34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  <c r="AF11" s="12">
        <f>Main_!AG26</f>
        <v>1875.4</v>
      </c>
      <c r="AG11" s="12">
        <f>Main_!AH26</f>
        <v>1875.4</v>
      </c>
      <c r="AH11" s="12">
        <f>Main_!AI26</f>
        <v>1875.4</v>
      </c>
    </row>
    <row r="12" spans="1:34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  <c r="AF12" s="12">
        <f>SUM(Main_!AG27:AG29)</f>
        <v>403992</v>
      </c>
      <c r="AG12" s="12">
        <f>SUM(Main_!AH27:AH29)</f>
        <v>403992</v>
      </c>
      <c r="AH12" s="12">
        <f>SUM(Main_!AI27:AI29)</f>
        <v>403992</v>
      </c>
    </row>
    <row r="13" spans="1:34" x14ac:dyDescent="0.35">
      <c r="A13" t="s">
        <v>240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  <c r="AF13" s="12">
        <f>Main_!AG31</f>
        <v>38433.9</v>
      </c>
      <c r="AG13" s="12">
        <f>Main_!AH31</f>
        <v>38433.9</v>
      </c>
      <c r="AH13" s="12">
        <f>SUM(Main_!AI31:AI35)</f>
        <v>338433.9</v>
      </c>
    </row>
    <row r="14" spans="1:34" x14ac:dyDescent="0.35">
      <c r="A14" t="s">
        <v>135</v>
      </c>
      <c r="B14" s="12">
        <f>SUM(Main_!C36:C40)</f>
        <v>1393665.3</v>
      </c>
      <c r="C14" s="12">
        <f>SUM(Main_!D36:D40)</f>
        <v>1601086.9</v>
      </c>
      <c r="D14" s="12">
        <f>SUM(Main_!E36:E40)</f>
        <v>1702023.3</v>
      </c>
      <c r="E14" s="12">
        <f>SUM(Main_!F36:F40)</f>
        <v>1757319.5</v>
      </c>
      <c r="F14" s="12">
        <f>SUM(Main_!G36:G40)</f>
        <v>1932491.9</v>
      </c>
      <c r="G14" s="12">
        <f>SUM(Main_!H36:H40)</f>
        <v>2095160.2</v>
      </c>
      <c r="H14" s="12">
        <f>SUM(Main_!I36:I40)</f>
        <v>2709111.9</v>
      </c>
      <c r="I14" s="12">
        <f>SUM(Main_!J36:J40)</f>
        <v>3041875.2</v>
      </c>
      <c r="J14" s="12">
        <f>SUM(Main_!K36:K40)</f>
        <v>3088748.3</v>
      </c>
      <c r="K14" s="12">
        <f>SUM(Main_!L36:L40)</f>
        <v>3128294.4</v>
      </c>
      <c r="L14" s="12">
        <f>SUM(Main_!M36:M40)</f>
        <v>3384520.6999999997</v>
      </c>
      <c r="M14" s="12">
        <f>SUM(Main_!N36:N40)</f>
        <v>3465106.2</v>
      </c>
      <c r="N14" s="12">
        <f>SUM(Main_!O36:O40)</f>
        <v>3389191.3</v>
      </c>
      <c r="O14" s="12">
        <f>SUM(Main_!P36:P40)</f>
        <v>3463670.0000000005</v>
      </c>
      <c r="P14" s="12">
        <f>SUM(Main_!Q36:Q40)</f>
        <v>3530974</v>
      </c>
      <c r="Q14" s="12">
        <f>SUM(Main_!R36:R40)</f>
        <v>3479595.8999999994</v>
      </c>
      <c r="R14" s="12">
        <f>SUM(Main_!S36:S40)</f>
        <v>3544601.3999999994</v>
      </c>
      <c r="S14" s="12">
        <f>SUM(Main_!T36:T40)</f>
        <v>3726117.6</v>
      </c>
      <c r="T14" s="12">
        <f>SUM(Main_!U36:U40)</f>
        <v>3807455.2</v>
      </c>
      <c r="U14" s="12">
        <f>SUM(Main_!V36:V40)</f>
        <v>3937682.4</v>
      </c>
      <c r="V14" s="12">
        <f>SUM(Main_!W36:W40)</f>
        <v>3995946.6</v>
      </c>
      <c r="W14" s="12">
        <f>SUM(Main_!X36:X40)</f>
        <v>4167665.7</v>
      </c>
      <c r="X14" s="12">
        <f>SUM(Main_!Y36:Y40)</f>
        <v>3710250.0999999996</v>
      </c>
      <c r="Y14" s="12">
        <f>SUM(Main_!Z36:Z40)</f>
        <v>3313410.9</v>
      </c>
      <c r="Z14" s="12">
        <f>SUM(Main_!AA36:AA40)</f>
        <v>3488466.3</v>
      </c>
      <c r="AA14" s="12">
        <f>SUM(Main_!AB36:AB40)</f>
        <v>3120030.0000000005</v>
      </c>
      <c r="AB14" s="12">
        <f>SUM(Main_!AC36:AC40)</f>
        <v>3035844.9</v>
      </c>
      <c r="AC14" s="12">
        <f>SUM(Main_!AD36:AD40)</f>
        <v>3551920.4</v>
      </c>
      <c r="AD14" s="12">
        <f>SUM(Main_!AE36:AE40)</f>
        <v>3638440</v>
      </c>
      <c r="AE14" s="12">
        <f>SUM(Main_!AF36:AF40)</f>
        <v>3939607.3000000003</v>
      </c>
      <c r="AF14" s="12">
        <f>SUM(Main_!AG36:AG40)</f>
        <v>3910964.5</v>
      </c>
      <c r="AG14" s="12">
        <f>SUM(Main_!AH36:AH40)</f>
        <v>3936226.2</v>
      </c>
      <c r="AH14" s="12">
        <f>SUM(Main_!AI36:AI40)</f>
        <v>3949833.6</v>
      </c>
    </row>
    <row r="15" spans="1:34" x14ac:dyDescent="0.35">
      <c r="A15" t="s">
        <v>136</v>
      </c>
      <c r="B15" s="12">
        <f>Main_!C41</f>
        <v>250000</v>
      </c>
      <c r="C15" s="12">
        <f>Main_!D41</f>
        <v>250000</v>
      </c>
      <c r="D15" s="12">
        <f>Main_!E41</f>
        <v>250000</v>
      </c>
      <c r="E15" s="12">
        <f>Main_!F41</f>
        <v>467000</v>
      </c>
      <c r="F15" s="12">
        <f>Main_!G41</f>
        <v>467000</v>
      </c>
      <c r="G15" s="12">
        <f>Main_!H41</f>
        <v>467000</v>
      </c>
      <c r="H15" s="12">
        <f>Main_!I41</f>
        <v>467000</v>
      </c>
      <c r="I15" s="12">
        <f>Main_!J41</f>
        <v>467000</v>
      </c>
      <c r="J15" s="12">
        <f>Main_!K41</f>
        <v>467000</v>
      </c>
      <c r="K15" s="12">
        <f>Main_!L41</f>
        <v>467000</v>
      </c>
      <c r="L15" s="12">
        <f>Main_!M41</f>
        <v>467000</v>
      </c>
      <c r="M15" s="12">
        <f>Main_!N41</f>
        <v>467000</v>
      </c>
      <c r="N15" s="12">
        <f>Main_!O41</f>
        <v>467000</v>
      </c>
      <c r="O15" s="12">
        <f>Main_!P41</f>
        <v>467000</v>
      </c>
      <c r="P15" s="12">
        <f>Main_!Q41</f>
        <v>467000</v>
      </c>
      <c r="Q15" s="12">
        <f>Main_!R41</f>
        <v>467000</v>
      </c>
      <c r="R15" s="12">
        <f>Main_!S41</f>
        <v>467000</v>
      </c>
      <c r="S15" s="12">
        <f>Main_!T41</f>
        <v>467000</v>
      </c>
      <c r="T15" s="12">
        <f>Main_!U41</f>
        <v>467000</v>
      </c>
      <c r="U15" s="12">
        <f>Main_!V41</f>
        <v>467000</v>
      </c>
      <c r="V15" s="12">
        <f>Main_!W41</f>
        <v>467000</v>
      </c>
      <c r="W15" s="12">
        <f>Main_!X41</f>
        <v>467000</v>
      </c>
      <c r="X15" s="12">
        <f>Main_!Y41</f>
        <v>467000</v>
      </c>
      <c r="Y15" s="12">
        <f>Main_!Z41</f>
        <v>467000</v>
      </c>
      <c r="Z15" s="12">
        <f>Main_!AA41</f>
        <v>467000</v>
      </c>
      <c r="AA15" s="12">
        <f>Main_!AB41</f>
        <v>467000</v>
      </c>
      <c r="AB15" s="12">
        <f>Main_!AC41</f>
        <v>467000</v>
      </c>
      <c r="AC15" s="12">
        <f>Main_!AD41</f>
        <v>467000</v>
      </c>
      <c r="AD15" s="12">
        <f>Main_!AE41</f>
        <v>467000</v>
      </c>
      <c r="AE15" s="12">
        <f>Main_!AF41</f>
        <v>467000</v>
      </c>
      <c r="AF15" s="12">
        <f>Main_!AG41</f>
        <v>467000</v>
      </c>
      <c r="AG15" s="12">
        <f>Main_!AH41</f>
        <v>467000</v>
      </c>
      <c r="AH15" s="12">
        <f>Main_!AI41</f>
        <v>467000</v>
      </c>
    </row>
    <row r="16" spans="1:34" x14ac:dyDescent="0.35">
      <c r="A16" t="s">
        <v>137</v>
      </c>
      <c r="B16" s="12">
        <f>SUM(Main_!C42:C45)</f>
        <v>14150.8</v>
      </c>
      <c r="C16" s="12">
        <f>SUM(Main_!D42:D45)</f>
        <v>14150.8</v>
      </c>
      <c r="D16" s="12">
        <f>SUM(Main_!E42:E45)</f>
        <v>14150.8</v>
      </c>
      <c r="E16" s="12">
        <f>SUM(Main_!F42:F45)</f>
        <v>14150.8</v>
      </c>
      <c r="F16" s="12">
        <f>SUM(Main_!G42:G45)</f>
        <v>14150.8</v>
      </c>
      <c r="G16" s="12">
        <f>SUM(Main_!H42:H45)</f>
        <v>14150.8</v>
      </c>
      <c r="H16" s="12">
        <f>SUM(Main_!I42:I45)</f>
        <v>14150.8</v>
      </c>
      <c r="I16" s="12">
        <f>SUM(Main_!J42:J45)</f>
        <v>109098.9</v>
      </c>
      <c r="J16" s="12">
        <f>SUM(Main_!K42:K45)</f>
        <v>109098.9</v>
      </c>
      <c r="K16" s="12">
        <f>SUM(Main_!L42:L45)</f>
        <v>109098.9</v>
      </c>
      <c r="L16" s="12">
        <f>SUM(Main_!M42:M45)</f>
        <v>96722.8</v>
      </c>
      <c r="M16" s="12">
        <f>SUM(Main_!N42:N45)</f>
        <v>159313.4</v>
      </c>
      <c r="N16" s="12">
        <f>SUM(Main_!O42:O45)</f>
        <v>227543.5</v>
      </c>
      <c r="O16" s="12">
        <f>SUM(Main_!P42:P45)</f>
        <v>245719.7</v>
      </c>
      <c r="P16" s="12">
        <f>SUM(Main_!Q42:Q45)</f>
        <v>250195.1</v>
      </c>
      <c r="Q16" s="12">
        <f>SUM(Main_!R42:R48)</f>
        <v>385771.2</v>
      </c>
      <c r="R16" s="12">
        <f>SUM(Main_!S42:S48)</f>
        <v>384966.40000000002</v>
      </c>
      <c r="S16" s="12">
        <f>SUM(Main_!T42:T48)</f>
        <v>383946.4</v>
      </c>
      <c r="T16" s="12">
        <f>SUM(Main_!U42:U48)</f>
        <v>517310.5</v>
      </c>
      <c r="U16" s="12">
        <f>SUM(Main_!V42:V48)</f>
        <v>516505.8</v>
      </c>
      <c r="V16" s="12">
        <f>SUM(Main_!W42:W48)</f>
        <v>515485.7</v>
      </c>
      <c r="W16" s="12">
        <f>SUM(Main_!X42:X48)</f>
        <v>611147.5</v>
      </c>
      <c r="X16" s="12">
        <f>SUM(Main_!Y42:Y46)+Main_!Y48</f>
        <v>610342.80000000005</v>
      </c>
      <c r="Y16" s="12">
        <f>SUM(Main_!Z42:Z46)+Main_!Z48</f>
        <v>621822.69999999995</v>
      </c>
      <c r="Z16" s="12">
        <f>SUM(Main_!AA42:AA46)+Main_!AA48</f>
        <v>618736.5</v>
      </c>
      <c r="AA16" s="12">
        <f>SUM(Main_!AB42:AB46)+Main_!AB48</f>
        <v>617931.80000000005</v>
      </c>
      <c r="AB16" s="12">
        <f>SUM(Main_!AC42:AC46)+Main_!AC48</f>
        <v>638111.69999999995</v>
      </c>
      <c r="AC16" s="12">
        <f>SUM(Main_!AD42:AD46)+Main_!AD48</f>
        <v>746538.5</v>
      </c>
      <c r="AD16" s="12">
        <f>SUM(Main_!AE42:AE46)+Main_!AE48</f>
        <v>745733.8</v>
      </c>
      <c r="AE16" s="12">
        <f>SUM(Main_!AF42:AF46)+Main_!AF48</f>
        <v>744713.7</v>
      </c>
      <c r="AF16" s="12">
        <f>SUM(Main_!AG42:AG46)+Main_!AG48</f>
        <v>742047</v>
      </c>
      <c r="AG16" s="12">
        <f>SUM(Main_!AH42:AH46)+Main_!AH48</f>
        <v>741242.3</v>
      </c>
      <c r="AH16" s="12">
        <f>SUM(Main_!AI42:AI46)+Main_!AI48</f>
        <v>748922.2</v>
      </c>
    </row>
    <row r="17" spans="1:34" x14ac:dyDescent="0.35">
      <c r="A17" t="s">
        <v>211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Main_!Y47</f>
        <v>3000</v>
      </c>
      <c r="Y17" s="12">
        <f>Main_!Z47</f>
        <v>5750</v>
      </c>
      <c r="Z17" s="12">
        <f>Main_!AA47</f>
        <v>7750</v>
      </c>
      <c r="AA17" s="12">
        <f>Main_!AB47</f>
        <v>9000</v>
      </c>
      <c r="AB17" s="12">
        <f>Main_!AC47</f>
        <v>10000</v>
      </c>
      <c r="AC17" s="12">
        <f>Main_!AD47</f>
        <v>10000</v>
      </c>
      <c r="AD17" s="12">
        <f>Main_!AE47</f>
        <v>10000</v>
      </c>
      <c r="AE17" s="12">
        <f>Main_!AF47</f>
        <v>10000</v>
      </c>
      <c r="AF17" s="12">
        <f>Main_!AG47</f>
        <v>10000</v>
      </c>
      <c r="AG17" s="12">
        <f>Main_!AH47</f>
        <v>10000</v>
      </c>
      <c r="AH17" s="12">
        <f>Main_!AI47</f>
        <v>10000</v>
      </c>
    </row>
    <row r="18" spans="1:34" x14ac:dyDescent="0.35">
      <c r="A18" t="s">
        <v>143</v>
      </c>
      <c r="B18" s="12">
        <f>Main_!C54</f>
        <v>7524361.2999999998</v>
      </c>
      <c r="C18" s="12">
        <f>Main_!D54</f>
        <v>7872548.2999999998</v>
      </c>
      <c r="D18" s="12">
        <f>Main_!E54</f>
        <v>7601763</v>
      </c>
      <c r="E18" s="12">
        <f>Main_!F54</f>
        <v>6132655.2000000002</v>
      </c>
      <c r="F18" s="12">
        <f>Main_!G54</f>
        <v>6334590.5999999996</v>
      </c>
      <c r="G18" s="12">
        <f>Main_!H54</f>
        <v>6446231</v>
      </c>
      <c r="H18" s="12">
        <f>Main_!I54</f>
        <v>6712063.4000000004</v>
      </c>
      <c r="I18" s="12">
        <f>Main_!J54</f>
        <v>6828671.4000000004</v>
      </c>
      <c r="J18" s="12">
        <f>Main_!K54</f>
        <v>6643004.4000000004</v>
      </c>
      <c r="K18" s="12">
        <f>Main_!L54</f>
        <v>6811125</v>
      </c>
      <c r="L18" s="12">
        <f>Main_!M54</f>
        <v>7183391.5</v>
      </c>
      <c r="M18" s="12">
        <f>Main_!N54</f>
        <v>7251634.9000000004</v>
      </c>
      <c r="N18" s="12">
        <f>Main_!O54</f>
        <v>7140176.0999999996</v>
      </c>
      <c r="O18" s="12">
        <f>Main_!P54</f>
        <v>6938308.7999999998</v>
      </c>
      <c r="P18" s="12">
        <f>Main_!Q54</f>
        <v>6746505.0999999996</v>
      </c>
      <c r="Q18" s="12">
        <f>Main_!R54</f>
        <v>5011778</v>
      </c>
      <c r="R18" s="12">
        <f>Main_!S54</f>
        <v>4907126.4000000004</v>
      </c>
      <c r="S18" s="12">
        <f>Main_!T54</f>
        <v>5044614.2</v>
      </c>
      <c r="T18" s="12">
        <f>Main_!U54</f>
        <v>5087766.7</v>
      </c>
      <c r="U18" s="12">
        <f>Main_!V54</f>
        <v>5172247.3</v>
      </c>
      <c r="V18" s="12">
        <f>Main_!W54</f>
        <v>5046039</v>
      </c>
      <c r="W18" s="12">
        <f>Main_!X54</f>
        <v>4603329.0999999996</v>
      </c>
      <c r="X18" s="12">
        <f>Main_!Y54</f>
        <v>4665093</v>
      </c>
      <c r="Y18" s="12">
        <f>Main_!Z54</f>
        <v>4854458.2</v>
      </c>
      <c r="Z18" s="12">
        <f>Main_!AA54</f>
        <v>5255172.0999999996</v>
      </c>
      <c r="AA18" s="12">
        <f>Main_!AB54</f>
        <v>5447193.4000000004</v>
      </c>
      <c r="AB18" s="12">
        <f>Main_!AC54</f>
        <v>5792014.7999999998</v>
      </c>
      <c r="AC18" s="12">
        <f>Main_!AD54</f>
        <v>3809866.8</v>
      </c>
      <c r="AD18" s="12">
        <f>Main_!AE54</f>
        <v>3751160.1</v>
      </c>
      <c r="AE18" s="12">
        <f>Main_!AF54</f>
        <v>3393844.7</v>
      </c>
      <c r="AF18" s="12">
        <f>Main_!AG54</f>
        <v>3268903.8</v>
      </c>
      <c r="AG18" s="12">
        <f>Main_!AH54</f>
        <v>3296830.6</v>
      </c>
      <c r="AH18" s="12">
        <f>Main_!AI54</f>
        <v>2843025</v>
      </c>
    </row>
    <row r="19" spans="1:34" x14ac:dyDescent="0.35">
      <c r="A19" t="s">
        <v>144</v>
      </c>
      <c r="B19" s="12">
        <f>Main_!C55</f>
        <v>131056.8</v>
      </c>
      <c r="C19" s="12">
        <f>Main_!D55</f>
        <v>127937.60000000001</v>
      </c>
      <c r="D19" s="12">
        <f>Main_!E55</f>
        <v>124467.7</v>
      </c>
      <c r="E19" s="12">
        <f>Main_!F55</f>
        <v>87189</v>
      </c>
      <c r="F19" s="12">
        <f>Main_!G55</f>
        <v>91023.8</v>
      </c>
      <c r="G19" s="12">
        <f>Main_!H55</f>
        <v>85457.2</v>
      </c>
      <c r="H19" s="12">
        <f>Main_!I55</f>
        <v>87072.1</v>
      </c>
      <c r="I19" s="12">
        <f>Main_!J55</f>
        <v>84818.4</v>
      </c>
      <c r="J19" s="12">
        <f>Main_!K55</f>
        <v>82330.3</v>
      </c>
      <c r="K19" s="12">
        <f>Main_!L55</f>
        <v>78258.100000000006</v>
      </c>
      <c r="L19" s="12">
        <f>Main_!M55</f>
        <v>78957.2</v>
      </c>
      <c r="M19" s="12">
        <f>Main_!N55</f>
        <v>75594.3</v>
      </c>
      <c r="N19" s="12">
        <f>Main_!O55</f>
        <v>73296.7</v>
      </c>
      <c r="O19" s="12">
        <f>Main_!P55</f>
        <v>74410.600000000006</v>
      </c>
      <c r="P19" s="12">
        <f>Main_!Q55</f>
        <v>75905.3</v>
      </c>
      <c r="Q19" s="12">
        <f>Main_!R55</f>
        <v>55880</v>
      </c>
      <c r="R19" s="12">
        <f>Main_!S55</f>
        <v>54958</v>
      </c>
      <c r="S19" s="12">
        <f>Main_!T55</f>
        <v>54910.8</v>
      </c>
      <c r="T19" s="12">
        <f>Main_!U55</f>
        <v>55082.7</v>
      </c>
      <c r="U19" s="12">
        <f>Main_!V55</f>
        <v>56355.4</v>
      </c>
      <c r="V19" s="12">
        <f>Main_!W55</f>
        <v>56200.2</v>
      </c>
      <c r="W19" s="12">
        <f>Main_!X55</f>
        <v>53684.4</v>
      </c>
      <c r="X19" s="12">
        <f>Main_!Y55</f>
        <v>54037.9</v>
      </c>
      <c r="Y19" s="12">
        <f>Main_!Z55</f>
        <v>53236.4</v>
      </c>
      <c r="Z19" s="12">
        <f>Main_!AA55</f>
        <v>56682.400000000001</v>
      </c>
      <c r="AA19" s="12">
        <f>Main_!AB55</f>
        <v>56126</v>
      </c>
      <c r="AB19" s="12">
        <f>Main_!AC55</f>
        <v>53758.7</v>
      </c>
      <c r="AC19" s="12">
        <f>Main_!AD55</f>
        <v>37469.300000000003</v>
      </c>
      <c r="AD19" s="12">
        <f>Main_!AE55</f>
        <v>38274.699999999997</v>
      </c>
      <c r="AE19" s="12">
        <f>Main_!AF55</f>
        <v>38699.800000000003</v>
      </c>
      <c r="AF19" s="12">
        <f>Main_!AG55</f>
        <v>39063.699999999997</v>
      </c>
      <c r="AG19" s="12">
        <f>Main_!AH55</f>
        <v>40421.4</v>
      </c>
      <c r="AH19" s="12">
        <f>Main_!AI55</f>
        <v>36162.9</v>
      </c>
    </row>
    <row r="20" spans="1:34" x14ac:dyDescent="0.35">
      <c r="A20" t="s">
        <v>145</v>
      </c>
      <c r="B20" s="2">
        <f>Main_!C57</f>
        <v>0.6972048351213409</v>
      </c>
      <c r="C20" s="2">
        <f>Main_!D57</f>
        <v>0.69214834563487715</v>
      </c>
      <c r="D20" s="2">
        <f>Main_!E57</f>
        <v>0.66743580228906774</v>
      </c>
      <c r="E20" s="2">
        <f>Main_!F57</f>
        <v>0.58772418237386936</v>
      </c>
      <c r="F20" s="2">
        <f>Main_!G57</f>
        <v>0.58612420781234509</v>
      </c>
      <c r="G20" s="2">
        <f>Main_!H57</f>
        <v>0.58040692300221342</v>
      </c>
      <c r="H20" s="2">
        <f>Main_!I57</f>
        <v>0.56375189299396378</v>
      </c>
      <c r="I20" s="2">
        <f>Main_!J57</f>
        <v>0.54736274210545677</v>
      </c>
      <c r="J20" s="2">
        <f>Main_!K57</f>
        <v>0.53775787202023262</v>
      </c>
      <c r="K20" s="2">
        <f>Main_!L57</f>
        <v>0.53756743798178575</v>
      </c>
      <c r="L20" s="2">
        <f>Main_!M57</f>
        <v>0.53955916671507109</v>
      </c>
      <c r="M20" s="2">
        <f>Main_!N57</f>
        <v>0.52917729826219351</v>
      </c>
      <c r="N20" s="2">
        <f>Main_!O57</f>
        <v>0.5231536235194193</v>
      </c>
      <c r="O20" s="2">
        <f>Main_!P57</f>
        <v>0.512383593941514</v>
      </c>
      <c r="P20" s="2">
        <f>Main_!Q57</f>
        <v>0.5022546948271378</v>
      </c>
      <c r="Q20" s="2">
        <f>Main_!R57</f>
        <v>0.41886763318049314</v>
      </c>
      <c r="R20" s="2">
        <f>Main_!S57</f>
        <v>0.41158994383869518</v>
      </c>
      <c r="S20" s="2">
        <f>Main_!T57</f>
        <v>0.41151413411673016</v>
      </c>
      <c r="T20" s="2">
        <f>Main_!U57</f>
        <v>0.40590418684236312</v>
      </c>
      <c r="U20" s="2">
        <f>Main_!V57</f>
        <v>0.40563968683442053</v>
      </c>
      <c r="V20" s="2">
        <f>Main_!W57</f>
        <v>0.39720684013188351</v>
      </c>
      <c r="W20" s="2">
        <f>Main_!X57</f>
        <v>0.36529517554573743</v>
      </c>
      <c r="X20" s="2">
        <f>Main_!Y57</f>
        <v>0.37997060808910393</v>
      </c>
      <c r="Y20" s="2">
        <f>Main_!Z57</f>
        <v>0.39902590320943759</v>
      </c>
      <c r="Z20" s="2">
        <f>Main_!AA57</f>
        <v>0.41097342489213134</v>
      </c>
      <c r="AA20" s="2">
        <f>Main_!AB57</f>
        <v>0.42803007482099326</v>
      </c>
      <c r="AB20" s="2">
        <f>Main_!AC57</f>
        <v>0.4422491413528577</v>
      </c>
      <c r="AC20" s="2">
        <f>Main_!AD57</f>
        <v>0.32069666167967054</v>
      </c>
      <c r="AD20" s="2">
        <f>Main_!AE57</f>
        <v>0.31348987610193269</v>
      </c>
      <c r="AE20" s="2">
        <f>Main_!AF57</f>
        <v>0.28566261520677805</v>
      </c>
      <c r="AF20" s="2">
        <f>Main_!AG57</f>
        <v>0.27818709835467842</v>
      </c>
      <c r="AG20" s="2">
        <f>Main_!AH57</f>
        <v>0.27958756383360622</v>
      </c>
      <c r="AH20" s="2">
        <f>Main_!AI57</f>
        <v>0.24306928330558469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Y15" sqref="Y15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4" width="9.90625" bestFit="1" customWidth="1"/>
  </cols>
  <sheetData>
    <row r="1" spans="1:34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204</v>
      </c>
      <c r="W1" t="s">
        <v>205</v>
      </c>
      <c r="X1" t="s">
        <v>208</v>
      </c>
      <c r="Y1" t="s">
        <v>215</v>
      </c>
      <c r="Z1" t="s">
        <v>216</v>
      </c>
      <c r="AA1" t="s">
        <v>217</v>
      </c>
      <c r="AB1" t="s">
        <v>218</v>
      </c>
      <c r="AC1" t="s">
        <v>220</v>
      </c>
      <c r="AD1" t="s">
        <v>228</v>
      </c>
      <c r="AE1" t="s">
        <v>233</v>
      </c>
      <c r="AF1" t="s">
        <v>238</v>
      </c>
      <c r="AG1" t="s">
        <v>239</v>
      </c>
      <c r="AH1" t="s">
        <v>243</v>
      </c>
    </row>
    <row r="2" spans="1:34" x14ac:dyDescent="0.35">
      <c r="A2" t="s">
        <v>148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  <c r="AF2" s="12">
        <v>84</v>
      </c>
      <c r="AG2" s="12">
        <v>82</v>
      </c>
      <c r="AH2" s="12">
        <v>79</v>
      </c>
    </row>
    <row r="3" spans="1:34" x14ac:dyDescent="0.35">
      <c r="A3" t="s">
        <v>214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  <c r="AF3" s="12">
        <v>11</v>
      </c>
      <c r="AG3" s="12">
        <v>11</v>
      </c>
      <c r="AH3" s="12">
        <v>11</v>
      </c>
    </row>
    <row r="4" spans="1:34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  <c r="AF4" s="12">
        <f>rnwf_structure!AF2</f>
        <v>11750725.5</v>
      </c>
      <c r="AG4" s="12">
        <f>rnwf_structure!AG2</f>
        <v>11791774.4</v>
      </c>
      <c r="AH4" s="12">
        <f>rnwf_structure!AH2</f>
        <v>11696343.9</v>
      </c>
    </row>
    <row r="5" spans="1:34" x14ac:dyDescent="0.35">
      <c r="A5" t="s">
        <v>156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  <c r="AD5" s="12">
        <f>rnwf_structure!AD8</f>
        <v>968847.4</v>
      </c>
      <c r="AE5" s="12">
        <f>rnwf_structure!AE8</f>
        <v>1005833.7000000001</v>
      </c>
      <c r="AF5" s="12">
        <f>rnwf_structure!AF8</f>
        <v>1054339.1000000001</v>
      </c>
      <c r="AG5" s="12">
        <f>rnwf_structure!AG8</f>
        <v>1055987.8999999999</v>
      </c>
      <c r="AH5" s="12">
        <f>rnwf_structure!AH8</f>
        <v>1104103.6000000001</v>
      </c>
    </row>
    <row r="6" spans="1:34" x14ac:dyDescent="0.35">
      <c r="A6" t="s">
        <v>155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  <c r="AF6" s="12">
        <f>rnwf_structure!AF9*AF2</f>
        <v>252000</v>
      </c>
      <c r="AG6" s="12">
        <f>rnwf_structure!AG9*AG2</f>
        <v>246000</v>
      </c>
      <c r="AH6" s="12">
        <f>rnwf_structure!AH9*AH2</f>
        <v>237000</v>
      </c>
    </row>
    <row r="7" spans="1:34" x14ac:dyDescent="0.35">
      <c r="A7" t="s">
        <v>154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  <c r="AF7" s="13">
        <f>(rnwf_structure!AF10+(rnwf_structure!AF11*AF2))</f>
        <v>1498449.6</v>
      </c>
      <c r="AG7" s="13">
        <f>(rnwf_structure!AG10+(rnwf_structure!AG11*AG2))</f>
        <v>1494608.4000000001</v>
      </c>
      <c r="AH7" s="13">
        <f>(rnwf_structure!AH10+(rnwf_structure!AH11*AH2))</f>
        <v>1495429</v>
      </c>
    </row>
    <row r="8" spans="1:34" s="6" customFormat="1" x14ac:dyDescent="0.35">
      <c r="A8" s="6" t="s">
        <v>149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  <c r="AF8" s="13">
        <f>(rnwf_structure!AF12+rnwf_structure!AF13)</f>
        <v>442425.9</v>
      </c>
      <c r="AG8" s="13">
        <f>(rnwf_structure!AG12+rnwf_structure!AG13)</f>
        <v>442425.9</v>
      </c>
      <c r="AH8" s="13">
        <f>(rnwf_structure!AH12+rnwf_structure!AH13)</f>
        <v>742425.9</v>
      </c>
    </row>
    <row r="9" spans="1:34" x14ac:dyDescent="0.35">
      <c r="A9" t="s">
        <v>153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  <c r="AF9" s="12">
        <f>rnwf_structure!AF14</f>
        <v>3910964.5</v>
      </c>
      <c r="AG9" s="12">
        <f>rnwf_structure!AG14</f>
        <v>3936226.2</v>
      </c>
      <c r="AH9" s="12">
        <f>rnwf_structure!AH14</f>
        <v>3949833.6</v>
      </c>
    </row>
    <row r="10" spans="1:34" x14ac:dyDescent="0.35">
      <c r="A10" t="s">
        <v>152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  <c r="AF10" s="12">
        <f>rnwf_structure!AF15</f>
        <v>467000</v>
      </c>
      <c r="AG10" s="12">
        <f>rnwf_structure!AG15</f>
        <v>467000</v>
      </c>
      <c r="AH10" s="12">
        <f>rnwf_structure!AH15</f>
        <v>467000</v>
      </c>
    </row>
    <row r="11" spans="1:34" x14ac:dyDescent="0.35">
      <c r="A11" t="s">
        <v>151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  <c r="AF11" s="12">
        <f>rnwf_structure!AF16+rnwf_structure!AF17*AF3</f>
        <v>852047</v>
      </c>
      <c r="AG11" s="12">
        <f>rnwf_structure!AG16+rnwf_structure!AG17*AG3</f>
        <v>851242.3</v>
      </c>
      <c r="AH11" s="12">
        <f>rnwf_structure!AH16+rnwf_structure!AH17*AH3</f>
        <v>858922.2</v>
      </c>
    </row>
    <row r="12" spans="1:34" x14ac:dyDescent="0.35">
      <c r="A12" t="s">
        <v>150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  <c r="AF12" s="12">
        <f>rnwf_structure!AF18</f>
        <v>3268903.8</v>
      </c>
      <c r="AG12" s="12">
        <f>rnwf_structure!AG18</f>
        <v>3296830.6</v>
      </c>
      <c r="AH12" s="12">
        <f>rnwf_structure!AH18</f>
        <v>2843025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5" sqref="E15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157</v>
      </c>
      <c r="B1" t="s">
        <v>158</v>
      </c>
    </row>
    <row r="2" spans="1:2" x14ac:dyDescent="0.35">
      <c r="A2" t="s">
        <v>159</v>
      </c>
      <c r="B2" s="13">
        <f>Main_!AI36+Main_!AI32</f>
        <v>3577333.3</v>
      </c>
    </row>
    <row r="3" spans="1:2" x14ac:dyDescent="0.35">
      <c r="A3" t="s">
        <v>161</v>
      </c>
      <c r="B3" s="13">
        <f>SUM(Main_!AI8:AI23)</f>
        <v>1104103.6000000001</v>
      </c>
    </row>
    <row r="4" spans="1:2" x14ac:dyDescent="0.35">
      <c r="A4" t="s">
        <v>160</v>
      </c>
      <c r="B4" s="13">
        <f>Main_!AI41+GETPIVOTDATA("Сумма, млн. руб",infra_invest!$N$13,"Получатель","ОАО «РЖД»")</f>
        <v>722141.3</v>
      </c>
    </row>
    <row r="5" spans="1:2" x14ac:dyDescent="0.35">
      <c r="A5" t="s">
        <v>167</v>
      </c>
      <c r="B5" s="13">
        <f>GETPIVOTDATA("Сумма, млн. руб",infra_invest!$N$13,"Получатель","ГК «Российские автомобильные дороги»")</f>
        <v>527166.09999999986</v>
      </c>
    </row>
    <row r="6" spans="1:2" x14ac:dyDescent="0.35">
      <c r="A6" t="s">
        <v>168</v>
      </c>
      <c r="B6" s="13">
        <f>Main_!AI27+Main_!AI40+Main_!AI33</f>
        <v>417888.2</v>
      </c>
    </row>
    <row r="7" spans="1:2" x14ac:dyDescent="0.35">
      <c r="A7" t="s">
        <v>184</v>
      </c>
      <c r="B7" s="13">
        <f>Main_!AI48</f>
        <v>358418.2</v>
      </c>
    </row>
    <row r="8" spans="1:2" x14ac:dyDescent="0.35">
      <c r="A8" t="s">
        <v>182</v>
      </c>
      <c r="B8" s="13">
        <f>Main_!AI31+Main_!AI29+Main_!AI34</f>
        <v>286442.90000000002</v>
      </c>
    </row>
    <row r="9" spans="1:2" x14ac:dyDescent="0.35">
      <c r="A9" t="s">
        <v>170</v>
      </c>
      <c r="B9" s="13">
        <f>Main_!AI44</f>
        <v>272104</v>
      </c>
    </row>
    <row r="10" spans="1:2" x14ac:dyDescent="0.35">
      <c r="A10" t="s">
        <v>173</v>
      </c>
      <c r="B10" s="13">
        <f>GETPIVOTDATA("Сумма, млн. руб",infra_invest!$N$13,"Получатель","АО «ГТЛК»")+Main_!AI39</f>
        <v>241325.40000000002</v>
      </c>
    </row>
    <row r="11" spans="1:2" x14ac:dyDescent="0.35">
      <c r="A11" t="s">
        <v>169</v>
      </c>
      <c r="B11" s="13">
        <f>structure!AH6</f>
        <v>237000</v>
      </c>
    </row>
    <row r="12" spans="1:2" x14ac:dyDescent="0.35">
      <c r="A12" t="s">
        <v>174</v>
      </c>
      <c r="B12" s="13">
        <f>GETPIVOTDATA("Сумма, млн. руб",infra_invest!$N$13,"Получатель","ООО «Авиакапитал-Сервис»")</f>
        <v>175389.3</v>
      </c>
    </row>
    <row r="13" spans="1:2" x14ac:dyDescent="0.35">
      <c r="A13" t="s">
        <v>177</v>
      </c>
      <c r="B13" s="13">
        <f>Main_!AI37</f>
        <v>160696.1</v>
      </c>
    </row>
    <row r="14" spans="1:2" x14ac:dyDescent="0.35">
      <c r="A14" t="s">
        <v>172</v>
      </c>
      <c r="B14" s="13">
        <f>Main_!AI26*structure!AH2</f>
        <v>148156.6</v>
      </c>
    </row>
    <row r="15" spans="1:2" x14ac:dyDescent="0.35">
      <c r="A15" t="s">
        <v>176</v>
      </c>
      <c r="B15" s="13">
        <f>GETPIVOTDATA("Сумма, млн. руб",infra_invest!$N$13,"Получатель","ППК «Фонд развития территорий»")+GETPIVOTDATA("Сумма, млн. руб",infra_invest!$N$13,"Получатель","ГК Фонд содействия реформированию жилищно-коммунального хозяйства")</f>
        <v>145034.29999999999</v>
      </c>
    </row>
    <row r="16" spans="1:2" x14ac:dyDescent="0.35">
      <c r="A16" t="s">
        <v>175</v>
      </c>
      <c r="B16" s="13">
        <f>Main_!AI38</f>
        <v>137000</v>
      </c>
    </row>
    <row r="17" spans="1:2" x14ac:dyDescent="0.35">
      <c r="A17" t="s">
        <v>190</v>
      </c>
      <c r="B17" s="13">
        <f>rnwf_structure!AH17*structure!AH3</f>
        <v>110000</v>
      </c>
    </row>
    <row r="18" spans="1:2" x14ac:dyDescent="0.35">
      <c r="A18" t="s">
        <v>178</v>
      </c>
      <c r="B18" s="13">
        <f>Main_!AI45</f>
        <v>60000</v>
      </c>
    </row>
    <row r="19" spans="1:2" x14ac:dyDescent="0.35">
      <c r="A19" t="s">
        <v>224</v>
      </c>
      <c r="B19" s="12">
        <f>Main_!AI46</f>
        <v>58400</v>
      </c>
    </row>
    <row r="20" spans="1:2" x14ac:dyDescent="0.35">
      <c r="A20" t="s">
        <v>179</v>
      </c>
      <c r="B20" s="13">
        <f>GETPIVOTDATA("Сумма, млн. руб",infra_invest!$N$13,"Получатель","АО «Атомэнергопром»")</f>
        <v>57500</v>
      </c>
    </row>
    <row r="21" spans="1:2" x14ac:dyDescent="0.35">
      <c r="A21" t="s">
        <v>247</v>
      </c>
      <c r="B21" s="12">
        <f>Main_!AI35</f>
        <v>29565</v>
      </c>
    </row>
    <row r="22" spans="1:2" x14ac:dyDescent="0.35">
      <c r="A22" t="s">
        <v>180</v>
      </c>
      <c r="B22" s="13">
        <f>Main_!AI28</f>
        <v>25000</v>
      </c>
    </row>
    <row r="23" spans="1:2" x14ac:dyDescent="0.35">
      <c r="A23" t="s">
        <v>181</v>
      </c>
      <c r="B23" s="13">
        <f>GETPIVOTDATA("Сумма, млн. руб",infra_invest!$N$13,"Получатель","ООО «Инфраструктурные инвестиции - 4»")</f>
        <v>4050</v>
      </c>
    </row>
  </sheetData>
  <autoFilter ref="A1:B1">
    <sortState ref="A2:B23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workbookViewId="0">
      <selection activeCell="J15" sqref="J15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97</v>
      </c>
      <c r="C2" s="9">
        <v>-0.4</v>
      </c>
      <c r="D2" s="9" t="s">
        <v>65</v>
      </c>
      <c r="F2" s="9" t="s">
        <v>81</v>
      </c>
      <c r="G2" s="9" t="s">
        <v>105</v>
      </c>
      <c r="H2" s="9" t="s">
        <v>166</v>
      </c>
      <c r="J2"/>
      <c r="K2"/>
    </row>
    <row r="3" spans="1:14" ht="14.5" x14ac:dyDescent="0.35">
      <c r="A3" s="9">
        <v>2025</v>
      </c>
      <c r="B3" s="9" t="s">
        <v>97</v>
      </c>
      <c r="C3" s="9">
        <v>-180.1</v>
      </c>
      <c r="D3" s="9" t="s">
        <v>65</v>
      </c>
      <c r="F3" s="9" t="s">
        <v>69</v>
      </c>
      <c r="G3" s="9" t="s">
        <v>84</v>
      </c>
      <c r="H3" s="9" t="s">
        <v>166</v>
      </c>
      <c r="J3"/>
      <c r="K3"/>
    </row>
    <row r="4" spans="1:14" ht="14.5" x14ac:dyDescent="0.35">
      <c r="A4" s="9">
        <v>2025</v>
      </c>
      <c r="B4" s="9" t="s">
        <v>97</v>
      </c>
      <c r="C4" s="9">
        <v>-612.1</v>
      </c>
      <c r="D4" s="9" t="s">
        <v>65</v>
      </c>
      <c r="F4" s="9" t="s">
        <v>69</v>
      </c>
      <c r="G4" s="9" t="s">
        <v>91</v>
      </c>
      <c r="H4" s="9" t="s">
        <v>166</v>
      </c>
      <c r="J4"/>
      <c r="K4"/>
    </row>
    <row r="5" spans="1:14" ht="14.5" x14ac:dyDescent="0.35">
      <c r="A5" s="9">
        <v>2025</v>
      </c>
      <c r="B5" s="9" t="s">
        <v>97</v>
      </c>
      <c r="C5" s="9">
        <v>-1020.1</v>
      </c>
      <c r="D5" s="9" t="s">
        <v>65</v>
      </c>
      <c r="F5" s="10" t="s">
        <v>92</v>
      </c>
      <c r="J5"/>
      <c r="K5"/>
    </row>
    <row r="6" spans="1:14" ht="14.5" x14ac:dyDescent="0.35">
      <c r="A6" s="9">
        <v>2025</v>
      </c>
      <c r="B6" s="9" t="s">
        <v>97</v>
      </c>
      <c r="C6" s="9">
        <v>660.2</v>
      </c>
      <c r="D6" s="9" t="s">
        <v>65</v>
      </c>
      <c r="F6" s="9" t="s">
        <v>66</v>
      </c>
      <c r="G6" s="9" t="s">
        <v>223</v>
      </c>
      <c r="H6" s="9" t="s">
        <v>166</v>
      </c>
      <c r="J6"/>
      <c r="K6"/>
    </row>
    <row r="7" spans="1:14" ht="14.5" x14ac:dyDescent="0.35">
      <c r="A7" s="9">
        <v>2025</v>
      </c>
      <c r="B7" s="9" t="s">
        <v>97</v>
      </c>
      <c r="C7" s="9">
        <v>6579.2</v>
      </c>
      <c r="D7" s="9" t="s">
        <v>65</v>
      </c>
      <c r="F7" s="9" t="s">
        <v>69</v>
      </c>
      <c r="G7" s="9" t="s">
        <v>70</v>
      </c>
      <c r="H7" s="9" t="s">
        <v>166</v>
      </c>
      <c r="J7"/>
      <c r="K7"/>
    </row>
    <row r="8" spans="1:14" ht="14.5" x14ac:dyDescent="0.35">
      <c r="A8" s="9">
        <v>2025</v>
      </c>
      <c r="B8" s="9" t="s">
        <v>101</v>
      </c>
      <c r="C8" s="9">
        <v>-464.4</v>
      </c>
      <c r="D8" s="9" t="s">
        <v>65</v>
      </c>
      <c r="F8" s="9" t="s">
        <v>69</v>
      </c>
      <c r="G8" s="9" t="s">
        <v>91</v>
      </c>
      <c r="H8" s="9" t="s">
        <v>166</v>
      </c>
      <c r="J8"/>
      <c r="K8"/>
    </row>
    <row r="9" spans="1:14" ht="14.5" x14ac:dyDescent="0.35">
      <c r="A9" s="9">
        <v>2025</v>
      </c>
      <c r="B9" s="9" t="s">
        <v>101</v>
      </c>
      <c r="C9" s="9">
        <v>-804.7</v>
      </c>
      <c r="D9" s="9" t="s">
        <v>65</v>
      </c>
      <c r="F9" s="10" t="s">
        <v>92</v>
      </c>
      <c r="J9"/>
      <c r="K9"/>
    </row>
    <row r="10" spans="1:14" ht="14.5" x14ac:dyDescent="0.35">
      <c r="A10" s="9">
        <v>2025</v>
      </c>
      <c r="B10" s="9" t="s">
        <v>101</v>
      </c>
      <c r="C10" s="9">
        <v>374</v>
      </c>
      <c r="D10" s="9" t="s">
        <v>65</v>
      </c>
      <c r="F10" s="9" t="s">
        <v>66</v>
      </c>
      <c r="G10" s="9" t="s">
        <v>223</v>
      </c>
      <c r="H10" s="9" t="s">
        <v>166</v>
      </c>
      <c r="J10"/>
      <c r="K10"/>
    </row>
    <row r="11" spans="1:14" ht="14.5" x14ac:dyDescent="0.35">
      <c r="A11" s="9">
        <v>2025</v>
      </c>
      <c r="B11" s="9" t="s">
        <v>102</v>
      </c>
      <c r="C11" s="9">
        <v>-1.2</v>
      </c>
      <c r="D11" s="9" t="s">
        <v>65</v>
      </c>
      <c r="F11" s="9" t="s">
        <v>81</v>
      </c>
      <c r="G11" s="9" t="s">
        <v>105</v>
      </c>
      <c r="H11" s="9" t="s">
        <v>166</v>
      </c>
      <c r="J11"/>
      <c r="K11"/>
    </row>
    <row r="12" spans="1:14" ht="14.5" x14ac:dyDescent="0.35">
      <c r="A12" s="9">
        <v>2025</v>
      </c>
      <c r="B12" s="9" t="s">
        <v>102</v>
      </c>
      <c r="C12" s="9">
        <v>-5.9</v>
      </c>
      <c r="D12" s="9" t="s">
        <v>65</v>
      </c>
      <c r="F12" s="9" t="s">
        <v>69</v>
      </c>
      <c r="G12" s="9" t="s">
        <v>78</v>
      </c>
      <c r="H12" s="9" t="s">
        <v>166</v>
      </c>
      <c r="J12"/>
      <c r="K12"/>
    </row>
    <row r="13" spans="1:14" ht="14.5" x14ac:dyDescent="0.35">
      <c r="A13" s="9">
        <v>2025</v>
      </c>
      <c r="B13" s="9" t="s">
        <v>102</v>
      </c>
      <c r="C13" s="9">
        <v>-128.19999999999999</v>
      </c>
      <c r="D13" s="9" t="s">
        <v>65</v>
      </c>
      <c r="F13" s="9" t="s">
        <v>69</v>
      </c>
      <c r="G13" s="9" t="s">
        <v>91</v>
      </c>
      <c r="H13" s="9" t="s">
        <v>166</v>
      </c>
      <c r="J13" s="6" t="s">
        <v>162</v>
      </c>
      <c r="K13" s="14" t="s">
        <v>171</v>
      </c>
      <c r="L13"/>
      <c r="M13"/>
      <c r="N13"/>
    </row>
    <row r="14" spans="1:14" ht="14.5" x14ac:dyDescent="0.35">
      <c r="A14" s="9">
        <v>2025</v>
      </c>
      <c r="B14" s="9" t="s">
        <v>102</v>
      </c>
      <c r="C14" s="9">
        <v>-2666.7</v>
      </c>
      <c r="D14" s="9" t="s">
        <v>65</v>
      </c>
      <c r="F14" s="10" t="s">
        <v>92</v>
      </c>
      <c r="H14" s="9" t="s">
        <v>166</v>
      </c>
      <c r="J14" s="6" t="s">
        <v>163</v>
      </c>
      <c r="K14" t="s">
        <v>65</v>
      </c>
      <c r="L14" t="s">
        <v>98</v>
      </c>
      <c r="M14" t="s">
        <v>165</v>
      </c>
      <c r="N14" t="s">
        <v>164</v>
      </c>
    </row>
    <row r="15" spans="1:14" ht="14.5" x14ac:dyDescent="0.35">
      <c r="A15" s="9">
        <v>2025</v>
      </c>
      <c r="B15" s="9" t="s">
        <v>102</v>
      </c>
      <c r="C15" s="9">
        <v>2563</v>
      </c>
      <c r="D15" s="9" t="s">
        <v>65</v>
      </c>
      <c r="F15" s="9" t="s">
        <v>69</v>
      </c>
      <c r="G15" s="9" t="s">
        <v>78</v>
      </c>
      <c r="H15" s="9" t="s">
        <v>166</v>
      </c>
      <c r="J15" s="33" t="s">
        <v>123</v>
      </c>
      <c r="K15" s="15"/>
      <c r="L15" s="15">
        <v>57500</v>
      </c>
      <c r="M15" s="15"/>
      <c r="N15" s="15">
        <v>57500</v>
      </c>
    </row>
    <row r="16" spans="1:14" ht="14.5" x14ac:dyDescent="0.35">
      <c r="A16" s="9">
        <v>2025</v>
      </c>
      <c r="B16" s="9" t="s">
        <v>103</v>
      </c>
      <c r="C16" s="9">
        <v>-0.4</v>
      </c>
      <c r="D16" s="9" t="s">
        <v>65</v>
      </c>
      <c r="F16" s="9" t="s">
        <v>81</v>
      </c>
      <c r="G16" s="9" t="s">
        <v>105</v>
      </c>
      <c r="H16" s="9" t="s">
        <v>166</v>
      </c>
      <c r="J16" s="33" t="s">
        <v>69</v>
      </c>
      <c r="K16" s="15">
        <v>182991.40000000002</v>
      </c>
      <c r="L16" s="15"/>
      <c r="M16" s="15"/>
      <c r="N16" s="15">
        <v>182991.40000000002</v>
      </c>
    </row>
    <row r="17" spans="1:14" ht="14.5" x14ac:dyDescent="0.35">
      <c r="A17" s="9">
        <v>2025</v>
      </c>
      <c r="B17" s="9" t="s">
        <v>103</v>
      </c>
      <c r="C17" s="9">
        <v>-179.9</v>
      </c>
      <c r="D17" s="9" t="s">
        <v>65</v>
      </c>
      <c r="F17" s="9" t="s">
        <v>69</v>
      </c>
      <c r="G17" s="9" t="s">
        <v>84</v>
      </c>
      <c r="H17" s="9" t="s">
        <v>166</v>
      </c>
      <c r="J17" s="33" t="s">
        <v>81</v>
      </c>
      <c r="K17" s="15">
        <v>527166.09999999986</v>
      </c>
      <c r="L17" s="15"/>
      <c r="M17" s="15"/>
      <c r="N17" s="15">
        <v>527166.09999999986</v>
      </c>
    </row>
    <row r="18" spans="1:14" ht="14.5" x14ac:dyDescent="0.35">
      <c r="A18" s="9">
        <v>2025</v>
      </c>
      <c r="B18" s="9" t="s">
        <v>103</v>
      </c>
      <c r="C18" s="9">
        <v>-404.5</v>
      </c>
      <c r="D18" s="9" t="s">
        <v>65</v>
      </c>
      <c r="F18" s="9" t="s">
        <v>69</v>
      </c>
      <c r="G18" s="9" t="s">
        <v>91</v>
      </c>
      <c r="H18" s="9" t="s">
        <v>166</v>
      </c>
      <c r="J18" s="18" t="s">
        <v>110</v>
      </c>
      <c r="K18" s="15">
        <v>36999.899999999994</v>
      </c>
      <c r="L18" s="15"/>
      <c r="M18" s="15"/>
      <c r="N18" s="15">
        <v>36999.899999999994</v>
      </c>
    </row>
    <row r="19" spans="1:14" ht="14.5" x14ac:dyDescent="0.35">
      <c r="A19" s="9">
        <v>2025</v>
      </c>
      <c r="B19" s="9" t="s">
        <v>103</v>
      </c>
      <c r="C19" s="9">
        <v>-1020.1</v>
      </c>
      <c r="D19" s="9" t="s">
        <v>65</v>
      </c>
      <c r="F19" s="10" t="s">
        <v>92</v>
      </c>
      <c r="J19" s="33" t="s">
        <v>99</v>
      </c>
      <c r="K19" s="15"/>
      <c r="L19" s="15">
        <v>255141.3</v>
      </c>
      <c r="M19" s="15"/>
      <c r="N19" s="15">
        <v>255141.3</v>
      </c>
    </row>
    <row r="20" spans="1:14" ht="14.5" x14ac:dyDescent="0.35">
      <c r="A20" s="9">
        <v>2025</v>
      </c>
      <c r="B20" s="9" t="s">
        <v>121</v>
      </c>
      <c r="C20" s="9">
        <v>-254.1</v>
      </c>
      <c r="D20" s="9" t="s">
        <v>65</v>
      </c>
      <c r="F20" s="9" t="s">
        <v>69</v>
      </c>
      <c r="G20" s="9" t="s">
        <v>91</v>
      </c>
      <c r="H20" s="9" t="s">
        <v>166</v>
      </c>
      <c r="J20" s="18" t="s">
        <v>85</v>
      </c>
      <c r="K20" s="15">
        <v>117247.90000000001</v>
      </c>
      <c r="L20" s="15"/>
      <c r="M20" s="15"/>
      <c r="N20" s="15">
        <v>117247.90000000001</v>
      </c>
    </row>
    <row r="21" spans="1:14" ht="14.5" x14ac:dyDescent="0.35">
      <c r="A21" s="9">
        <v>2025</v>
      </c>
      <c r="B21" s="9" t="s">
        <v>121</v>
      </c>
      <c r="C21" s="9">
        <v>-804.7</v>
      </c>
      <c r="D21" s="9" t="s">
        <v>65</v>
      </c>
      <c r="F21" s="10" t="s">
        <v>92</v>
      </c>
      <c r="J21" s="33" t="s">
        <v>82</v>
      </c>
      <c r="K21" s="15">
        <v>175389.3</v>
      </c>
      <c r="L21" s="15"/>
      <c r="M21" s="15"/>
      <c r="N21" s="15">
        <v>175389.3</v>
      </c>
    </row>
    <row r="22" spans="1:14" ht="14.5" x14ac:dyDescent="0.35">
      <c r="A22" s="9">
        <v>2024</v>
      </c>
      <c r="B22" s="9" t="s">
        <v>104</v>
      </c>
      <c r="C22" s="9">
        <v>-5.4</v>
      </c>
      <c r="D22" s="9" t="s">
        <v>65</v>
      </c>
      <c r="F22" s="9" t="s">
        <v>69</v>
      </c>
      <c r="G22" s="9" t="s">
        <v>78</v>
      </c>
      <c r="H22" s="9" t="s">
        <v>166</v>
      </c>
      <c r="J22" s="18" t="s">
        <v>113</v>
      </c>
      <c r="K22" s="15">
        <v>-23202</v>
      </c>
      <c r="L22" s="15"/>
      <c r="M22" s="15"/>
      <c r="N22" s="15">
        <v>-23202</v>
      </c>
    </row>
    <row r="23" spans="1:14" ht="14.5" x14ac:dyDescent="0.35">
      <c r="A23" s="9">
        <v>2024</v>
      </c>
      <c r="B23" s="9" t="s">
        <v>104</v>
      </c>
      <c r="C23" s="9">
        <v>-126.8</v>
      </c>
      <c r="D23" s="9" t="s">
        <v>65</v>
      </c>
      <c r="F23" s="9" t="s">
        <v>69</v>
      </c>
      <c r="G23" s="9" t="s">
        <v>91</v>
      </c>
      <c r="H23" s="9" t="s">
        <v>166</v>
      </c>
      <c r="J23" s="18" t="s">
        <v>107</v>
      </c>
      <c r="K23" s="15">
        <v>0</v>
      </c>
      <c r="L23" s="15"/>
      <c r="M23" s="15"/>
      <c r="N23" s="15">
        <v>0</v>
      </c>
    </row>
    <row r="24" spans="1:14" ht="14.5" x14ac:dyDescent="0.35">
      <c r="A24" s="9">
        <v>2024</v>
      </c>
      <c r="B24" s="9" t="s">
        <v>104</v>
      </c>
      <c r="C24" s="9">
        <v>-2666.7</v>
      </c>
      <c r="D24" s="9" t="s">
        <v>65</v>
      </c>
      <c r="F24" s="10" t="s">
        <v>92</v>
      </c>
      <c r="H24" s="9" t="s">
        <v>166</v>
      </c>
      <c r="J24" s="33" t="s">
        <v>125</v>
      </c>
      <c r="K24" s="15">
        <v>4050</v>
      </c>
      <c r="L24" s="15"/>
      <c r="M24" s="15"/>
      <c r="N24" s="15">
        <v>4050</v>
      </c>
    </row>
    <row r="25" spans="1:14" ht="14.5" x14ac:dyDescent="0.35">
      <c r="A25" s="9">
        <v>2024</v>
      </c>
      <c r="B25" s="9" t="s">
        <v>104</v>
      </c>
      <c r="C25" s="9">
        <v>347.4</v>
      </c>
      <c r="D25" s="9" t="s">
        <v>65</v>
      </c>
      <c r="E25" s="9">
        <v>347398</v>
      </c>
      <c r="F25" s="9" t="s">
        <v>69</v>
      </c>
      <c r="G25" s="9" t="s">
        <v>78</v>
      </c>
      <c r="H25" s="9" t="s">
        <v>166</v>
      </c>
      <c r="J25" s="18" t="s">
        <v>66</v>
      </c>
      <c r="K25" s="15">
        <v>108034.40000000001</v>
      </c>
      <c r="L25" s="15"/>
      <c r="M25" s="15"/>
      <c r="N25" s="15">
        <v>108034.40000000001</v>
      </c>
    </row>
    <row r="26" spans="1:14" ht="14.5" x14ac:dyDescent="0.35">
      <c r="A26" s="9">
        <v>2024</v>
      </c>
      <c r="B26" s="9" t="s">
        <v>104</v>
      </c>
      <c r="C26" s="9">
        <v>564.4</v>
      </c>
      <c r="D26" s="9" t="s">
        <v>65</v>
      </c>
      <c r="E26" s="9">
        <v>564369</v>
      </c>
      <c r="F26" s="9" t="s">
        <v>66</v>
      </c>
      <c r="G26" s="9" t="s">
        <v>223</v>
      </c>
      <c r="H26" s="9" t="s">
        <v>166</v>
      </c>
      <c r="J26" s="18" t="s">
        <v>165</v>
      </c>
      <c r="K26" s="15"/>
      <c r="L26" s="15"/>
      <c r="M26" s="15"/>
      <c r="N26" s="15"/>
    </row>
    <row r="27" spans="1:14" ht="14.5" x14ac:dyDescent="0.35">
      <c r="A27" s="9">
        <v>2024</v>
      </c>
      <c r="B27" s="9" t="s">
        <v>104</v>
      </c>
      <c r="C27" s="9">
        <v>2519.9</v>
      </c>
      <c r="D27" s="9" t="s">
        <v>65</v>
      </c>
      <c r="E27" s="9">
        <v>2519900</v>
      </c>
      <c r="F27" s="9" t="s">
        <v>81</v>
      </c>
      <c r="G27" s="9" t="s">
        <v>64</v>
      </c>
      <c r="H27" s="9" t="s">
        <v>166</v>
      </c>
      <c r="J27" s="18" t="s">
        <v>92</v>
      </c>
      <c r="K27" s="15">
        <v>-20460.600000000002</v>
      </c>
      <c r="L27" s="15"/>
      <c r="M27" s="15"/>
      <c r="N27" s="15">
        <v>-20460.600000000002</v>
      </c>
    </row>
    <row r="28" spans="1:14" ht="14.5" x14ac:dyDescent="0.35">
      <c r="A28" s="9">
        <v>2024</v>
      </c>
      <c r="B28" s="9" t="s">
        <v>104</v>
      </c>
      <c r="C28" s="9">
        <v>6286.5</v>
      </c>
      <c r="D28" s="9" t="s">
        <v>65</v>
      </c>
      <c r="E28" s="9">
        <v>6286533</v>
      </c>
      <c r="F28" s="9" t="s">
        <v>69</v>
      </c>
      <c r="G28" s="9" t="s">
        <v>91</v>
      </c>
      <c r="H28" s="9" t="s">
        <v>166</v>
      </c>
      <c r="J28" s="18" t="s">
        <v>86</v>
      </c>
      <c r="K28" s="15">
        <v>-2298.9</v>
      </c>
      <c r="L28" s="15"/>
      <c r="M28" s="15"/>
      <c r="N28" s="15">
        <v>-2298.9</v>
      </c>
    </row>
    <row r="29" spans="1:14" ht="14.5" x14ac:dyDescent="0.35">
      <c r="A29" s="9">
        <v>2024</v>
      </c>
      <c r="B29" s="9" t="s">
        <v>104</v>
      </c>
      <c r="C29" s="9">
        <v>32841.800000000003</v>
      </c>
      <c r="D29" s="9" t="s">
        <v>65</v>
      </c>
      <c r="E29" s="9">
        <v>32841792</v>
      </c>
      <c r="F29" s="9" t="s">
        <v>81</v>
      </c>
      <c r="G29" s="9" t="s">
        <v>68</v>
      </c>
      <c r="H29" s="9" t="s">
        <v>166</v>
      </c>
      <c r="J29" s="18" t="s">
        <v>94</v>
      </c>
      <c r="K29" s="15">
        <v>-11851.9</v>
      </c>
      <c r="L29" s="15"/>
      <c r="M29" s="15"/>
      <c r="N29" s="15">
        <v>-11851.9</v>
      </c>
    </row>
    <row r="30" spans="1:14" ht="14.5" x14ac:dyDescent="0.35">
      <c r="A30" s="9">
        <v>2024</v>
      </c>
      <c r="B30" s="9" t="s">
        <v>104</v>
      </c>
      <c r="C30" s="9">
        <v>111093.5</v>
      </c>
      <c r="D30" s="9" t="s">
        <v>65</v>
      </c>
      <c r="E30" s="9">
        <v>111093512</v>
      </c>
      <c r="F30" s="9" t="s">
        <v>221</v>
      </c>
      <c r="G30" s="9" t="s">
        <v>222</v>
      </c>
      <c r="H30" s="9" t="s">
        <v>166</v>
      </c>
      <c r="J30" s="18" t="s">
        <v>221</v>
      </c>
      <c r="K30" s="15">
        <v>111093.5</v>
      </c>
      <c r="L30" s="15"/>
      <c r="M30" s="15"/>
      <c r="N30" s="15">
        <v>111093.5</v>
      </c>
    </row>
    <row r="31" spans="1:14" ht="14.5" x14ac:dyDescent="0.35">
      <c r="A31" s="9">
        <v>2024</v>
      </c>
      <c r="B31" s="9" t="s">
        <v>109</v>
      </c>
      <c r="C31" s="9">
        <v>-78.900000000000006</v>
      </c>
      <c r="D31" s="9" t="s">
        <v>65</v>
      </c>
      <c r="F31" s="9" t="s">
        <v>69</v>
      </c>
      <c r="G31" s="9" t="s">
        <v>84</v>
      </c>
      <c r="H31" s="9" t="s">
        <v>166</v>
      </c>
      <c r="J31" s="16" t="s">
        <v>164</v>
      </c>
      <c r="K31" s="15">
        <v>1205159.0999999999</v>
      </c>
      <c r="L31" s="15">
        <v>312641.3</v>
      </c>
      <c r="M31" s="15"/>
      <c r="N31" s="15">
        <v>1517800.4</v>
      </c>
    </row>
    <row r="32" spans="1:14" x14ac:dyDescent="0.3">
      <c r="A32" s="9">
        <v>2024</v>
      </c>
      <c r="B32" s="9" t="s">
        <v>109</v>
      </c>
      <c r="C32" s="9">
        <v>-218.5</v>
      </c>
      <c r="D32" s="9" t="s">
        <v>65</v>
      </c>
      <c r="F32" s="9" t="s">
        <v>69</v>
      </c>
      <c r="G32" s="9" t="s">
        <v>91</v>
      </c>
      <c r="H32" s="9" t="s">
        <v>166</v>
      </c>
    </row>
    <row r="33" spans="1:8" x14ac:dyDescent="0.3">
      <c r="A33" s="9">
        <v>2024</v>
      </c>
      <c r="B33" s="9" t="s">
        <v>109</v>
      </c>
      <c r="C33" s="9">
        <v>-1020.1</v>
      </c>
      <c r="D33" s="9" t="s">
        <v>65</v>
      </c>
      <c r="F33" s="10" t="s">
        <v>92</v>
      </c>
      <c r="H33" s="9" t="s">
        <v>166</v>
      </c>
    </row>
    <row r="34" spans="1:8" x14ac:dyDescent="0.3">
      <c r="A34" s="9">
        <v>2024</v>
      </c>
      <c r="B34" s="9" t="s">
        <v>109</v>
      </c>
      <c r="C34" s="9">
        <v>2093.4</v>
      </c>
      <c r="D34" s="9" t="s">
        <v>65</v>
      </c>
      <c r="E34" s="9">
        <v>2093362</v>
      </c>
      <c r="F34" s="9" t="s">
        <v>66</v>
      </c>
      <c r="G34" s="9" t="s">
        <v>206</v>
      </c>
      <c r="H34" s="9" t="s">
        <v>166</v>
      </c>
    </row>
    <row r="35" spans="1:8" x14ac:dyDescent="0.3">
      <c r="A35" s="9">
        <v>2024</v>
      </c>
      <c r="B35" s="9" t="s">
        <v>109</v>
      </c>
      <c r="C35" s="9">
        <v>4779</v>
      </c>
      <c r="D35" s="9" t="s">
        <v>65</v>
      </c>
      <c r="E35" s="9">
        <v>4778963</v>
      </c>
      <c r="F35" s="9" t="s">
        <v>69</v>
      </c>
      <c r="G35" s="9" t="s">
        <v>78</v>
      </c>
      <c r="H35" s="9" t="s">
        <v>166</v>
      </c>
    </row>
    <row r="36" spans="1:8" x14ac:dyDescent="0.3">
      <c r="A36" s="9">
        <v>2024</v>
      </c>
      <c r="B36" s="9" t="s">
        <v>109</v>
      </c>
      <c r="C36" s="9">
        <v>6400</v>
      </c>
      <c r="D36" s="9" t="s">
        <v>65</v>
      </c>
      <c r="E36" s="9">
        <v>6400000</v>
      </c>
      <c r="F36" s="9" t="s">
        <v>69</v>
      </c>
      <c r="G36" s="9" t="s">
        <v>91</v>
      </c>
      <c r="H36" s="9" t="s">
        <v>166</v>
      </c>
    </row>
    <row r="37" spans="1:8" x14ac:dyDescent="0.3">
      <c r="A37" s="9">
        <v>2024</v>
      </c>
      <c r="B37" s="9" t="s">
        <v>111</v>
      </c>
      <c r="C37" s="9">
        <v>-131.69999999999999</v>
      </c>
      <c r="D37" s="9" t="s">
        <v>65</v>
      </c>
      <c r="F37" s="9" t="s">
        <v>69</v>
      </c>
      <c r="H37" s="9" t="s">
        <v>166</v>
      </c>
    </row>
    <row r="38" spans="1:8" x14ac:dyDescent="0.3">
      <c r="A38" s="9">
        <v>2024</v>
      </c>
      <c r="B38" s="9" t="s">
        <v>111</v>
      </c>
      <c r="C38" s="9">
        <v>-804.7</v>
      </c>
      <c r="D38" s="9" t="s">
        <v>65</v>
      </c>
      <c r="F38" s="10" t="s">
        <v>92</v>
      </c>
      <c r="H38" s="9" t="s">
        <v>166</v>
      </c>
    </row>
    <row r="39" spans="1:8" x14ac:dyDescent="0.3">
      <c r="A39" s="9">
        <v>2024</v>
      </c>
      <c r="B39" s="9" t="s">
        <v>111</v>
      </c>
      <c r="C39" s="9">
        <v>6613</v>
      </c>
      <c r="D39" s="9" t="s">
        <v>65</v>
      </c>
      <c r="E39" s="9">
        <v>6613007</v>
      </c>
      <c r="F39" s="9" t="s">
        <v>69</v>
      </c>
      <c r="G39" s="9" t="s">
        <v>91</v>
      </c>
      <c r="H39" s="9" t="s">
        <v>166</v>
      </c>
    </row>
    <row r="40" spans="1:8" x14ac:dyDescent="0.3">
      <c r="A40" s="9">
        <v>2024</v>
      </c>
      <c r="B40" s="9" t="s">
        <v>111</v>
      </c>
      <c r="C40" s="9">
        <v>7048.9</v>
      </c>
      <c r="D40" s="9" t="s">
        <v>65</v>
      </c>
      <c r="E40" s="9">
        <v>7048930</v>
      </c>
      <c r="F40" s="9" t="s">
        <v>66</v>
      </c>
      <c r="G40" s="9" t="s">
        <v>206</v>
      </c>
      <c r="H40" s="9" t="s">
        <v>166</v>
      </c>
    </row>
    <row r="41" spans="1:8" x14ac:dyDescent="0.3">
      <c r="A41" s="9">
        <v>2024</v>
      </c>
      <c r="B41" s="9" t="s">
        <v>77</v>
      </c>
      <c r="C41" s="9">
        <v>-123.9</v>
      </c>
      <c r="D41" s="9" t="s">
        <v>65</v>
      </c>
      <c r="F41" s="9" t="s">
        <v>69</v>
      </c>
      <c r="H41" s="9" t="s">
        <v>166</v>
      </c>
    </row>
    <row r="42" spans="1:8" x14ac:dyDescent="0.3">
      <c r="A42" s="9">
        <v>2024</v>
      </c>
      <c r="B42" s="9" t="s">
        <v>77</v>
      </c>
      <c r="C42" s="9">
        <v>-3086.3</v>
      </c>
      <c r="D42" s="9" t="s">
        <v>65</v>
      </c>
      <c r="F42" s="10" t="s">
        <v>92</v>
      </c>
    </row>
    <row r="43" spans="1:8" x14ac:dyDescent="0.3">
      <c r="A43" s="9">
        <v>2024</v>
      </c>
      <c r="B43" s="9" t="s">
        <v>77</v>
      </c>
      <c r="C43" s="9">
        <v>400</v>
      </c>
      <c r="D43" s="9" t="s">
        <v>65</v>
      </c>
      <c r="E43" s="9">
        <v>400000</v>
      </c>
      <c r="F43" s="9" t="s">
        <v>81</v>
      </c>
      <c r="G43" s="9" t="s">
        <v>64</v>
      </c>
      <c r="H43" s="9" t="s">
        <v>166</v>
      </c>
    </row>
    <row r="44" spans="1:8" x14ac:dyDescent="0.3">
      <c r="A44" s="9">
        <v>2024</v>
      </c>
      <c r="B44" s="9" t="s">
        <v>77</v>
      </c>
      <c r="C44" s="9">
        <v>810.7</v>
      </c>
      <c r="D44" s="9" t="s">
        <v>65</v>
      </c>
      <c r="E44" s="9">
        <v>810724</v>
      </c>
      <c r="F44" s="9" t="s">
        <v>66</v>
      </c>
      <c r="G44" s="9" t="s">
        <v>206</v>
      </c>
      <c r="H44" s="9" t="s">
        <v>166</v>
      </c>
    </row>
    <row r="45" spans="1:8" x14ac:dyDescent="0.3">
      <c r="A45" s="9">
        <v>2024</v>
      </c>
      <c r="B45" s="9" t="s">
        <v>77</v>
      </c>
      <c r="C45" s="9">
        <v>2651</v>
      </c>
      <c r="D45" s="9" t="s">
        <v>65</v>
      </c>
      <c r="E45" s="9">
        <v>2650967</v>
      </c>
      <c r="F45" s="9" t="s">
        <v>81</v>
      </c>
      <c r="G45" s="9" t="s">
        <v>68</v>
      </c>
      <c r="H45" s="9" t="s">
        <v>166</v>
      </c>
    </row>
    <row r="46" spans="1:8" x14ac:dyDescent="0.3">
      <c r="A46" s="9">
        <v>2024</v>
      </c>
      <c r="B46" s="9" t="s">
        <v>77</v>
      </c>
      <c r="C46" s="9">
        <v>3680.4</v>
      </c>
      <c r="D46" s="9" t="s">
        <v>65</v>
      </c>
      <c r="E46" s="9">
        <v>3680356</v>
      </c>
      <c r="F46" s="9" t="s">
        <v>69</v>
      </c>
      <c r="G46" s="9" t="s">
        <v>78</v>
      </c>
      <c r="H46" s="9" t="s">
        <v>166</v>
      </c>
    </row>
    <row r="47" spans="1:8" x14ac:dyDescent="0.3">
      <c r="A47" s="9">
        <v>2024</v>
      </c>
      <c r="B47" s="9" t="s">
        <v>80</v>
      </c>
      <c r="C47" s="9">
        <v>-49.1</v>
      </c>
      <c r="D47" s="9" t="s">
        <v>65</v>
      </c>
      <c r="F47" s="9" t="s">
        <v>69</v>
      </c>
      <c r="G47" s="9" t="s">
        <v>91</v>
      </c>
      <c r="H47" s="9" t="s">
        <v>166</v>
      </c>
    </row>
    <row r="48" spans="1:8" x14ac:dyDescent="0.3">
      <c r="A48" s="9">
        <v>2024</v>
      </c>
      <c r="B48" s="9" t="s">
        <v>80</v>
      </c>
      <c r="C48" s="9">
        <v>-1020.1</v>
      </c>
      <c r="D48" s="9" t="s">
        <v>65</v>
      </c>
      <c r="F48" s="10" t="s">
        <v>92</v>
      </c>
    </row>
    <row r="49" spans="1:11" x14ac:dyDescent="0.3">
      <c r="A49" s="9">
        <v>2024</v>
      </c>
      <c r="B49" s="9" t="s">
        <v>80</v>
      </c>
      <c r="C49" s="9">
        <v>1066.8</v>
      </c>
      <c r="D49" s="9" t="s">
        <v>65</v>
      </c>
      <c r="E49" s="9">
        <v>1066780</v>
      </c>
      <c r="F49" s="9" t="s">
        <v>66</v>
      </c>
      <c r="G49" s="9" t="s">
        <v>206</v>
      </c>
      <c r="H49" s="9" t="s">
        <v>166</v>
      </c>
    </row>
    <row r="50" spans="1:11" x14ac:dyDescent="0.3">
      <c r="A50" s="9">
        <v>2024</v>
      </c>
      <c r="B50" s="9" t="s">
        <v>80</v>
      </c>
      <c r="C50" s="9">
        <v>5883.7</v>
      </c>
      <c r="D50" s="9" t="s">
        <v>65</v>
      </c>
      <c r="E50" s="9">
        <v>5883653</v>
      </c>
      <c r="F50" s="9" t="s">
        <v>69</v>
      </c>
      <c r="G50" s="9" t="s">
        <v>91</v>
      </c>
      <c r="H50" s="9" t="s">
        <v>166</v>
      </c>
    </row>
    <row r="51" spans="1:11" x14ac:dyDescent="0.3">
      <c r="A51" s="9">
        <v>2024</v>
      </c>
      <c r="B51" s="9" t="s">
        <v>80</v>
      </c>
      <c r="C51" s="9">
        <v>19500</v>
      </c>
      <c r="D51" s="9" t="s">
        <v>65</v>
      </c>
      <c r="E51" s="9">
        <v>19500000</v>
      </c>
      <c r="F51" s="9" t="s">
        <v>81</v>
      </c>
      <c r="G51" s="9" t="s">
        <v>68</v>
      </c>
      <c r="H51" s="9" t="s">
        <v>166</v>
      </c>
    </row>
    <row r="52" spans="1:11" x14ac:dyDescent="0.3">
      <c r="A52" s="9">
        <v>2024</v>
      </c>
      <c r="B52" s="9" t="s">
        <v>90</v>
      </c>
      <c r="C52" s="9">
        <v>-80.8</v>
      </c>
      <c r="D52" s="9" t="s">
        <v>65</v>
      </c>
      <c r="F52" s="9" t="s">
        <v>69</v>
      </c>
      <c r="G52" s="9" t="s">
        <v>91</v>
      </c>
      <c r="H52" s="9" t="s">
        <v>166</v>
      </c>
    </row>
    <row r="53" spans="1:11" x14ac:dyDescent="0.3">
      <c r="A53" s="9">
        <v>2024</v>
      </c>
      <c r="B53" s="9" t="s">
        <v>90</v>
      </c>
      <c r="C53" s="9">
        <v>-804.7</v>
      </c>
      <c r="D53" s="9" t="s">
        <v>65</v>
      </c>
      <c r="F53" s="10" t="s">
        <v>92</v>
      </c>
      <c r="H53" s="9" t="s">
        <v>166</v>
      </c>
    </row>
    <row r="54" spans="1:11" x14ac:dyDescent="0.3">
      <c r="A54" s="9">
        <v>2024</v>
      </c>
      <c r="B54" s="9" t="s">
        <v>90</v>
      </c>
      <c r="C54" s="9">
        <v>500</v>
      </c>
      <c r="D54" s="9" t="s">
        <v>65</v>
      </c>
      <c r="E54" s="9">
        <v>500000</v>
      </c>
      <c r="F54" s="9" t="s">
        <v>81</v>
      </c>
      <c r="G54" s="9" t="s">
        <v>64</v>
      </c>
      <c r="H54" s="9" t="s">
        <v>166</v>
      </c>
    </row>
    <row r="55" spans="1:11" x14ac:dyDescent="0.3">
      <c r="A55" s="9">
        <v>2024</v>
      </c>
      <c r="B55" s="9" t="s">
        <v>90</v>
      </c>
      <c r="C55" s="9">
        <v>914.2</v>
      </c>
      <c r="D55" s="9" t="s">
        <v>65</v>
      </c>
      <c r="E55" s="9">
        <v>914206</v>
      </c>
      <c r="F55" s="9" t="s">
        <v>69</v>
      </c>
      <c r="G55" s="9" t="s">
        <v>78</v>
      </c>
      <c r="H55" s="9" t="s">
        <v>166</v>
      </c>
    </row>
    <row r="56" spans="1:11" ht="14.5" x14ac:dyDescent="0.35">
      <c r="A56" s="9">
        <v>2024</v>
      </c>
      <c r="B56" s="9" t="s">
        <v>90</v>
      </c>
      <c r="C56" s="9">
        <v>3873.6</v>
      </c>
      <c r="D56" s="9" t="s">
        <v>65</v>
      </c>
      <c r="E56" s="9">
        <v>3873626</v>
      </c>
      <c r="F56" s="9" t="s">
        <v>69</v>
      </c>
      <c r="G56" s="9" t="s">
        <v>91</v>
      </c>
      <c r="H56" s="9" t="s">
        <v>166</v>
      </c>
      <c r="J56"/>
      <c r="K56"/>
    </row>
    <row r="57" spans="1:11" ht="14.5" x14ac:dyDescent="0.35">
      <c r="A57" s="9">
        <v>2024</v>
      </c>
      <c r="B57" s="9" t="s">
        <v>96</v>
      </c>
      <c r="C57" s="9">
        <v>-122.3</v>
      </c>
      <c r="D57" s="9" t="s">
        <v>65</v>
      </c>
      <c r="F57" s="9" t="s">
        <v>69</v>
      </c>
      <c r="G57" s="9" t="s">
        <v>91</v>
      </c>
      <c r="H57" s="9" t="s">
        <v>166</v>
      </c>
      <c r="J57"/>
      <c r="K57"/>
    </row>
    <row r="58" spans="1:11" ht="14.5" x14ac:dyDescent="0.35">
      <c r="A58" s="9">
        <v>2024</v>
      </c>
      <c r="B58" s="9" t="s">
        <v>96</v>
      </c>
      <c r="C58" s="9">
        <v>-2673.2</v>
      </c>
      <c r="D58" s="9" t="s">
        <v>65</v>
      </c>
      <c r="F58" s="10" t="s">
        <v>92</v>
      </c>
      <c r="G58" s="9" t="s">
        <v>93</v>
      </c>
      <c r="H58" s="9" t="s">
        <v>166</v>
      </c>
      <c r="J58"/>
      <c r="K58"/>
    </row>
    <row r="59" spans="1:11" ht="14.5" x14ac:dyDescent="0.35">
      <c r="A59" s="9">
        <v>2024</v>
      </c>
      <c r="B59" s="9" t="s">
        <v>96</v>
      </c>
      <c r="C59" s="9">
        <v>494.7</v>
      </c>
      <c r="D59" s="9" t="s">
        <v>65</v>
      </c>
      <c r="E59" s="9">
        <v>494731</v>
      </c>
      <c r="F59" s="9" t="s">
        <v>69</v>
      </c>
      <c r="G59" s="9" t="s">
        <v>78</v>
      </c>
      <c r="H59" s="9" t="s">
        <v>166</v>
      </c>
      <c r="J59"/>
      <c r="K59"/>
    </row>
    <row r="60" spans="1:11" ht="14.5" x14ac:dyDescent="0.35">
      <c r="A60" s="9">
        <v>2024</v>
      </c>
      <c r="B60" s="9" t="s">
        <v>96</v>
      </c>
      <c r="C60" s="9">
        <v>500</v>
      </c>
      <c r="D60" s="9" t="s">
        <v>65</v>
      </c>
      <c r="E60" s="9">
        <v>500000</v>
      </c>
      <c r="F60" s="10" t="s">
        <v>81</v>
      </c>
      <c r="G60" s="9" t="s">
        <v>64</v>
      </c>
      <c r="H60" s="9" t="s">
        <v>166</v>
      </c>
      <c r="J60"/>
      <c r="K60"/>
    </row>
    <row r="61" spans="1:11" ht="14.5" x14ac:dyDescent="0.35">
      <c r="A61" s="9">
        <v>2024</v>
      </c>
      <c r="B61" s="9" t="s">
        <v>96</v>
      </c>
      <c r="C61" s="9">
        <v>6948.3</v>
      </c>
      <c r="D61" s="9" t="s">
        <v>65</v>
      </c>
      <c r="E61" s="9">
        <v>6948286</v>
      </c>
      <c r="F61" s="9" t="s">
        <v>66</v>
      </c>
      <c r="G61" s="9" t="s">
        <v>206</v>
      </c>
      <c r="H61" s="9" t="s">
        <v>166</v>
      </c>
      <c r="J61"/>
      <c r="K61"/>
    </row>
    <row r="62" spans="1:11" ht="14.5" x14ac:dyDescent="0.35">
      <c r="A62" s="9">
        <v>2024</v>
      </c>
      <c r="B62" s="9" t="s">
        <v>96</v>
      </c>
      <c r="C62" s="9">
        <v>9584.6</v>
      </c>
      <c r="D62" s="9" t="s">
        <v>65</v>
      </c>
      <c r="E62" s="9">
        <v>9584568</v>
      </c>
      <c r="F62" s="10" t="s">
        <v>81</v>
      </c>
      <c r="G62" s="9" t="s">
        <v>68</v>
      </c>
      <c r="H62" s="9" t="s">
        <v>166</v>
      </c>
      <c r="J62"/>
      <c r="K62"/>
    </row>
    <row r="63" spans="1:11" ht="14.5" x14ac:dyDescent="0.35">
      <c r="A63" s="9">
        <v>2024</v>
      </c>
      <c r="B63" s="9" t="s">
        <v>97</v>
      </c>
      <c r="C63" s="9">
        <v>-111.4</v>
      </c>
      <c r="D63" s="9" t="s">
        <v>65</v>
      </c>
      <c r="F63" s="9" t="s">
        <v>69</v>
      </c>
      <c r="G63" s="9" t="s">
        <v>91</v>
      </c>
      <c r="H63" s="9" t="s">
        <v>166</v>
      </c>
      <c r="J63"/>
      <c r="K63"/>
    </row>
    <row r="64" spans="1:11" ht="14.5" x14ac:dyDescent="0.35">
      <c r="A64" s="9">
        <v>2024</v>
      </c>
      <c r="B64" s="9" t="s">
        <v>97</v>
      </c>
      <c r="C64" s="9">
        <v>-1020.1</v>
      </c>
      <c r="D64" s="9" t="s">
        <v>65</v>
      </c>
      <c r="E64" s="11">
        <f>34948091*0.015</f>
        <v>524221.36499999999</v>
      </c>
      <c r="F64" s="10" t="s">
        <v>92</v>
      </c>
      <c r="G64" s="9" t="s">
        <v>93</v>
      </c>
      <c r="H64" s="9" t="s">
        <v>166</v>
      </c>
      <c r="J64"/>
      <c r="K64"/>
    </row>
    <row r="65" spans="1:11" ht="14.5" x14ac:dyDescent="0.35">
      <c r="A65" s="9">
        <v>2024</v>
      </c>
      <c r="B65" s="9" t="s">
        <v>97</v>
      </c>
      <c r="C65" s="9">
        <v>798.8</v>
      </c>
      <c r="D65" s="9" t="s">
        <v>65</v>
      </c>
      <c r="E65" s="9">
        <v>798819</v>
      </c>
      <c r="F65" s="9" t="s">
        <v>69</v>
      </c>
      <c r="G65" s="9" t="s">
        <v>78</v>
      </c>
      <c r="H65" s="9" t="s">
        <v>166</v>
      </c>
      <c r="J65"/>
      <c r="K65"/>
    </row>
    <row r="66" spans="1:11" ht="14.5" x14ac:dyDescent="0.35">
      <c r="A66" s="9">
        <v>2024</v>
      </c>
      <c r="B66" s="9" t="s">
        <v>97</v>
      </c>
      <c r="C66" s="9">
        <v>5408.4</v>
      </c>
      <c r="D66" s="9" t="s">
        <v>65</v>
      </c>
      <c r="E66" s="9">
        <v>5408378</v>
      </c>
      <c r="F66" s="9" t="s">
        <v>69</v>
      </c>
      <c r="G66" s="9" t="s">
        <v>91</v>
      </c>
      <c r="H66" s="9" t="s">
        <v>166</v>
      </c>
      <c r="J66"/>
      <c r="K66"/>
    </row>
    <row r="67" spans="1:11" ht="14.5" x14ac:dyDescent="0.35">
      <c r="A67" s="9">
        <v>2024</v>
      </c>
      <c r="B67" s="9" t="s">
        <v>97</v>
      </c>
      <c r="C67" s="9">
        <v>8686.1</v>
      </c>
      <c r="D67" s="9" t="s">
        <v>65</v>
      </c>
      <c r="E67" s="9">
        <v>8686092</v>
      </c>
      <c r="F67" s="9" t="s">
        <v>69</v>
      </c>
      <c r="G67" s="9" t="s">
        <v>70</v>
      </c>
      <c r="H67" s="9" t="s">
        <v>166</v>
      </c>
      <c r="J67"/>
      <c r="K67"/>
    </row>
    <row r="68" spans="1:11" ht="14.5" x14ac:dyDescent="0.35">
      <c r="A68" s="9">
        <v>2024</v>
      </c>
      <c r="B68" s="9" t="s">
        <v>97</v>
      </c>
      <c r="C68" s="9">
        <v>16290</v>
      </c>
      <c r="D68" s="9" t="s">
        <v>65</v>
      </c>
      <c r="E68" s="9">
        <v>16290000</v>
      </c>
      <c r="F68" s="9" t="s">
        <v>69</v>
      </c>
      <c r="G68" s="9" t="s">
        <v>84</v>
      </c>
      <c r="H68" s="9" t="s">
        <v>166</v>
      </c>
      <c r="J68"/>
      <c r="K68"/>
    </row>
    <row r="69" spans="1:11" ht="14.5" x14ac:dyDescent="0.35">
      <c r="A69" s="9">
        <v>2024</v>
      </c>
      <c r="B69" s="9" t="s">
        <v>101</v>
      </c>
      <c r="C69" s="9">
        <v>-15.5</v>
      </c>
      <c r="D69" s="9" t="s">
        <v>65</v>
      </c>
      <c r="F69" s="9" t="s">
        <v>69</v>
      </c>
      <c r="G69" s="9" t="s">
        <v>91</v>
      </c>
      <c r="H69" s="9" t="s">
        <v>166</v>
      </c>
      <c r="J69"/>
      <c r="K69"/>
    </row>
    <row r="70" spans="1:11" ht="14.5" x14ac:dyDescent="0.35">
      <c r="A70" s="9">
        <v>2024</v>
      </c>
      <c r="B70" s="9" t="s">
        <v>101</v>
      </c>
      <c r="C70" s="9">
        <v>1609.9</v>
      </c>
      <c r="D70" s="9" t="s">
        <v>65</v>
      </c>
      <c r="E70" s="9">
        <v>1609865</v>
      </c>
      <c r="F70" s="9" t="s">
        <v>69</v>
      </c>
      <c r="G70" s="9" t="s">
        <v>91</v>
      </c>
      <c r="H70" s="9" t="s">
        <v>166</v>
      </c>
      <c r="J70"/>
      <c r="K70"/>
    </row>
    <row r="71" spans="1:11" x14ac:dyDescent="0.3">
      <c r="A71" s="9">
        <v>2024</v>
      </c>
      <c r="B71" s="9" t="s">
        <v>101</v>
      </c>
      <c r="C71" s="9">
        <v>1994.2</v>
      </c>
      <c r="D71" s="9" t="s">
        <v>65</v>
      </c>
      <c r="E71" s="9">
        <v>1994162</v>
      </c>
      <c r="F71" s="9" t="s">
        <v>66</v>
      </c>
      <c r="G71" s="9" t="s">
        <v>67</v>
      </c>
      <c r="H71" s="9" t="s">
        <v>166</v>
      </c>
    </row>
    <row r="72" spans="1:11" x14ac:dyDescent="0.3">
      <c r="A72" s="9">
        <v>2024</v>
      </c>
      <c r="B72" s="9" t="s">
        <v>102</v>
      </c>
      <c r="C72" s="9">
        <v>-49.9</v>
      </c>
      <c r="D72" s="9" t="s">
        <v>65</v>
      </c>
      <c r="F72" s="9" t="s">
        <v>69</v>
      </c>
      <c r="G72" s="9" t="s">
        <v>91</v>
      </c>
      <c r="H72" s="9" t="s">
        <v>166</v>
      </c>
    </row>
    <row r="73" spans="1:11" x14ac:dyDescent="0.3">
      <c r="A73" s="9">
        <v>2024</v>
      </c>
      <c r="B73" s="9" t="s">
        <v>102</v>
      </c>
      <c r="C73" s="9">
        <v>1226.9000000000001</v>
      </c>
      <c r="D73" s="9" t="s">
        <v>65</v>
      </c>
      <c r="E73" s="9">
        <v>1226864</v>
      </c>
      <c r="F73" s="9" t="s">
        <v>69</v>
      </c>
      <c r="G73" s="9" t="s">
        <v>78</v>
      </c>
      <c r="H73" s="9" t="s">
        <v>166</v>
      </c>
    </row>
    <row r="74" spans="1:11" x14ac:dyDescent="0.3">
      <c r="A74" s="9">
        <v>2024</v>
      </c>
      <c r="B74" s="9" t="s">
        <v>102</v>
      </c>
      <c r="C74" s="9">
        <v>1893</v>
      </c>
      <c r="D74" s="9" t="s">
        <v>65</v>
      </c>
      <c r="E74" s="9">
        <v>1893011</v>
      </c>
      <c r="F74" s="9" t="s">
        <v>66</v>
      </c>
      <c r="G74" s="9" t="s">
        <v>67</v>
      </c>
      <c r="H74" s="9" t="s">
        <v>166</v>
      </c>
    </row>
    <row r="75" spans="1:11" x14ac:dyDescent="0.3">
      <c r="A75" s="9">
        <v>2024</v>
      </c>
      <c r="B75" s="9" t="s">
        <v>102</v>
      </c>
      <c r="C75" s="9">
        <v>12859.2</v>
      </c>
      <c r="D75" s="9" t="s">
        <v>65</v>
      </c>
      <c r="E75" s="9">
        <v>12859247</v>
      </c>
      <c r="F75" s="10" t="s">
        <v>81</v>
      </c>
      <c r="G75" s="9" t="s">
        <v>68</v>
      </c>
      <c r="H75" s="9" t="s">
        <v>166</v>
      </c>
    </row>
    <row r="76" spans="1:11" x14ac:dyDescent="0.3">
      <c r="A76" s="9">
        <v>2024</v>
      </c>
      <c r="B76" s="9" t="s">
        <v>103</v>
      </c>
      <c r="C76" s="9">
        <v>1580.4</v>
      </c>
      <c r="D76" s="9" t="s">
        <v>65</v>
      </c>
      <c r="E76" s="9">
        <v>1580376</v>
      </c>
      <c r="F76" s="9" t="s">
        <v>66</v>
      </c>
      <c r="G76" s="9" t="s">
        <v>67</v>
      </c>
      <c r="H76" s="9" t="s">
        <v>166</v>
      </c>
    </row>
    <row r="77" spans="1:11" x14ac:dyDescent="0.3">
      <c r="A77" s="9">
        <v>2024</v>
      </c>
      <c r="B77" s="9" t="s">
        <v>103</v>
      </c>
      <c r="C77" s="9">
        <v>4447.1000000000004</v>
      </c>
      <c r="D77" s="9" t="s">
        <v>65</v>
      </c>
      <c r="E77" s="9">
        <v>4447120</v>
      </c>
      <c r="F77" s="9" t="s">
        <v>69</v>
      </c>
      <c r="G77" s="9" t="s">
        <v>78</v>
      </c>
      <c r="H77" s="9" t="s">
        <v>166</v>
      </c>
    </row>
    <row r="78" spans="1:11" x14ac:dyDescent="0.3">
      <c r="A78" s="9">
        <v>2023</v>
      </c>
      <c r="B78" s="9" t="s">
        <v>104</v>
      </c>
      <c r="C78" s="9">
        <v>76841.3</v>
      </c>
      <c r="D78" s="9" t="s">
        <v>98</v>
      </c>
      <c r="E78" s="9">
        <v>76841289</v>
      </c>
      <c r="F78" s="9" t="s">
        <v>99</v>
      </c>
      <c r="G78" s="9" t="s">
        <v>100</v>
      </c>
      <c r="H78" s="9" t="s">
        <v>166</v>
      </c>
    </row>
    <row r="79" spans="1:11" x14ac:dyDescent="0.3">
      <c r="A79" s="9">
        <v>2023</v>
      </c>
      <c r="B79" s="9" t="s">
        <v>104</v>
      </c>
      <c r="C79" s="9">
        <v>7896.7</v>
      </c>
      <c r="D79" s="9" t="s">
        <v>65</v>
      </c>
      <c r="E79" s="9">
        <v>7896728</v>
      </c>
      <c r="F79" s="10" t="s">
        <v>81</v>
      </c>
      <c r="G79" s="9" t="s">
        <v>106</v>
      </c>
      <c r="H79" s="9" t="s">
        <v>166</v>
      </c>
    </row>
    <row r="80" spans="1:11" x14ac:dyDescent="0.3">
      <c r="A80" s="9">
        <v>2023</v>
      </c>
      <c r="B80" s="9" t="s">
        <v>104</v>
      </c>
      <c r="C80" s="9">
        <v>34497.5</v>
      </c>
      <c r="D80" s="9" t="s">
        <v>65</v>
      </c>
      <c r="E80" s="9">
        <v>34497540</v>
      </c>
      <c r="F80" s="9" t="s">
        <v>82</v>
      </c>
      <c r="G80" s="9" t="s">
        <v>83</v>
      </c>
      <c r="H80" s="9" t="s">
        <v>166</v>
      </c>
    </row>
    <row r="81" spans="1:8" x14ac:dyDescent="0.3">
      <c r="A81" s="9">
        <v>2023</v>
      </c>
      <c r="B81" s="9" t="s">
        <v>104</v>
      </c>
      <c r="C81" s="9">
        <v>2286.6999999999998</v>
      </c>
      <c r="D81" s="9" t="s">
        <v>65</v>
      </c>
      <c r="E81" s="9">
        <v>2286725</v>
      </c>
      <c r="F81" s="9" t="s">
        <v>69</v>
      </c>
      <c r="G81" s="9" t="s">
        <v>91</v>
      </c>
      <c r="H81" s="9" t="s">
        <v>166</v>
      </c>
    </row>
    <row r="82" spans="1:8" x14ac:dyDescent="0.3">
      <c r="A82" s="9">
        <v>2023</v>
      </c>
      <c r="B82" s="9" t="s">
        <v>104</v>
      </c>
      <c r="C82" s="9">
        <v>2926.5</v>
      </c>
      <c r="D82" s="9" t="s">
        <v>65</v>
      </c>
      <c r="E82" s="9">
        <v>2926533</v>
      </c>
      <c r="F82" s="9" t="s">
        <v>66</v>
      </c>
      <c r="G82" s="9" t="s">
        <v>67</v>
      </c>
      <c r="H82" s="9" t="s">
        <v>166</v>
      </c>
    </row>
    <row r="83" spans="1:8" x14ac:dyDescent="0.3">
      <c r="A83" s="9">
        <v>2023</v>
      </c>
      <c r="B83" s="9" t="s">
        <v>104</v>
      </c>
      <c r="C83" s="9">
        <v>49570</v>
      </c>
      <c r="D83" s="9" t="s">
        <v>65</v>
      </c>
      <c r="E83" s="9">
        <v>49569991</v>
      </c>
      <c r="F83" s="10" t="s">
        <v>81</v>
      </c>
      <c r="G83" s="9" t="s">
        <v>68</v>
      </c>
      <c r="H83" s="9" t="s">
        <v>166</v>
      </c>
    </row>
    <row r="84" spans="1:8" x14ac:dyDescent="0.3">
      <c r="A84" s="9">
        <v>2023</v>
      </c>
      <c r="B84" s="9" t="s">
        <v>104</v>
      </c>
      <c r="C84" s="9">
        <v>1600</v>
      </c>
      <c r="D84" s="9" t="s">
        <v>65</v>
      </c>
      <c r="E84" s="9">
        <v>1600000</v>
      </c>
      <c r="F84" s="10" t="s">
        <v>81</v>
      </c>
      <c r="G84" s="9" t="s">
        <v>64</v>
      </c>
      <c r="H84" s="9" t="s">
        <v>166</v>
      </c>
    </row>
    <row r="85" spans="1:8" x14ac:dyDescent="0.3">
      <c r="A85" s="9">
        <v>2023</v>
      </c>
      <c r="B85" s="9" t="s">
        <v>104</v>
      </c>
      <c r="C85" s="9">
        <v>8720.7000000000007</v>
      </c>
      <c r="D85" s="9" t="s">
        <v>65</v>
      </c>
      <c r="E85" s="9">
        <v>8720735</v>
      </c>
      <c r="F85" s="9" t="s">
        <v>69</v>
      </c>
      <c r="G85" s="9" t="s">
        <v>78</v>
      </c>
      <c r="H85" s="9" t="s">
        <v>166</v>
      </c>
    </row>
    <row r="86" spans="1:8" x14ac:dyDescent="0.3">
      <c r="A86" s="9">
        <v>2024</v>
      </c>
      <c r="B86" s="9" t="s">
        <v>121</v>
      </c>
      <c r="C86" s="9">
        <v>-62.1</v>
      </c>
      <c r="D86" s="9" t="s">
        <v>65</v>
      </c>
      <c r="F86" s="9" t="s">
        <v>69</v>
      </c>
      <c r="G86" s="9" t="s">
        <v>91</v>
      </c>
    </row>
    <row r="87" spans="1:8" x14ac:dyDescent="0.3">
      <c r="A87" s="9">
        <v>2023</v>
      </c>
      <c r="B87" s="9" t="s">
        <v>104</v>
      </c>
      <c r="C87" s="9">
        <f>445811.6-453055.5</f>
        <v>-7243.9000000000233</v>
      </c>
      <c r="D87" s="9" t="s">
        <v>65</v>
      </c>
      <c r="F87" s="10" t="s">
        <v>81</v>
      </c>
      <c r="H87" s="9" t="s">
        <v>166</v>
      </c>
    </row>
    <row r="88" spans="1:8" x14ac:dyDescent="0.3">
      <c r="A88" s="9">
        <v>2023</v>
      </c>
      <c r="B88" s="9" t="s">
        <v>104</v>
      </c>
      <c r="C88" s="9">
        <f>99515-99563.6652</f>
        <v>-48.665200000003097</v>
      </c>
      <c r="D88" s="9" t="s">
        <v>65</v>
      </c>
      <c r="F88" s="9" t="s">
        <v>69</v>
      </c>
      <c r="H88" s="9" t="s">
        <v>166</v>
      </c>
    </row>
    <row r="89" spans="1:8" x14ac:dyDescent="0.3">
      <c r="A89" s="9">
        <v>2023</v>
      </c>
      <c r="B89" s="9" t="s">
        <v>109</v>
      </c>
      <c r="C89" s="9">
        <v>10797.1</v>
      </c>
      <c r="D89" s="10" t="s">
        <v>65</v>
      </c>
      <c r="E89" s="9">
        <v>10797144</v>
      </c>
      <c r="F89" s="9" t="s">
        <v>69</v>
      </c>
      <c r="G89" s="10" t="s">
        <v>70</v>
      </c>
      <c r="H89" s="9" t="s">
        <v>166</v>
      </c>
    </row>
    <row r="90" spans="1:8" x14ac:dyDescent="0.3">
      <c r="A90" s="9">
        <v>2023</v>
      </c>
      <c r="B90" s="9" t="s">
        <v>109</v>
      </c>
      <c r="C90" s="9">
        <v>1551.5</v>
      </c>
      <c r="D90" s="10" t="s">
        <v>65</v>
      </c>
      <c r="E90" s="9">
        <v>1551604</v>
      </c>
      <c r="F90" s="9" t="s">
        <v>69</v>
      </c>
      <c r="G90" s="9" t="s">
        <v>91</v>
      </c>
      <c r="H90" s="9" t="s">
        <v>166</v>
      </c>
    </row>
    <row r="91" spans="1:8" x14ac:dyDescent="0.3">
      <c r="A91" s="9">
        <v>2023</v>
      </c>
      <c r="B91" s="9" t="s">
        <v>109</v>
      </c>
      <c r="C91" s="9">
        <v>12000</v>
      </c>
      <c r="D91" s="10" t="s">
        <v>65</v>
      </c>
      <c r="E91" s="9">
        <v>12000000</v>
      </c>
      <c r="F91" s="10" t="s">
        <v>81</v>
      </c>
      <c r="G91" s="9" t="s">
        <v>68</v>
      </c>
      <c r="H91" s="9" t="s">
        <v>166</v>
      </c>
    </row>
    <row r="92" spans="1:8" x14ac:dyDescent="0.3">
      <c r="A92" s="9">
        <v>2023</v>
      </c>
      <c r="B92" s="9" t="s">
        <v>109</v>
      </c>
      <c r="C92" s="9">
        <v>6572.5</v>
      </c>
      <c r="D92" s="10" t="s">
        <v>65</v>
      </c>
      <c r="E92" s="9">
        <v>6572481</v>
      </c>
      <c r="F92" s="9" t="s">
        <v>66</v>
      </c>
      <c r="G92" s="9" t="s">
        <v>67</v>
      </c>
      <c r="H92" s="9" t="s">
        <v>166</v>
      </c>
    </row>
    <row r="93" spans="1:8" x14ac:dyDescent="0.3">
      <c r="A93" s="9">
        <v>2023</v>
      </c>
      <c r="B93" s="9" t="s">
        <v>109</v>
      </c>
      <c r="C93" s="9">
        <v>1800</v>
      </c>
      <c r="D93" s="10" t="s">
        <v>65</v>
      </c>
      <c r="E93" s="9">
        <v>1800000</v>
      </c>
      <c r="F93" s="10" t="s">
        <v>81</v>
      </c>
      <c r="G93" s="10" t="s">
        <v>64</v>
      </c>
      <c r="H93" s="9" t="s">
        <v>166</v>
      </c>
    </row>
    <row r="94" spans="1:8" x14ac:dyDescent="0.3">
      <c r="A94" s="9">
        <v>2023</v>
      </c>
      <c r="B94" s="9" t="s">
        <v>111</v>
      </c>
      <c r="C94" s="9">
        <v>500</v>
      </c>
      <c r="D94" s="10" t="s">
        <v>65</v>
      </c>
      <c r="E94" s="9">
        <v>500000</v>
      </c>
      <c r="F94" s="9" t="s">
        <v>69</v>
      </c>
      <c r="G94" s="9" t="s">
        <v>91</v>
      </c>
      <c r="H94" s="9" t="s">
        <v>166</v>
      </c>
    </row>
    <row r="95" spans="1:8" x14ac:dyDescent="0.3">
      <c r="A95" s="9">
        <v>2023</v>
      </c>
      <c r="B95" s="9" t="s">
        <v>111</v>
      </c>
      <c r="C95" s="9">
        <v>21091.3</v>
      </c>
      <c r="D95" s="10" t="s">
        <v>65</v>
      </c>
      <c r="E95" s="9">
        <v>21091262</v>
      </c>
      <c r="F95" s="9" t="s">
        <v>66</v>
      </c>
      <c r="G95" s="9" t="s">
        <v>67</v>
      </c>
      <c r="H95" s="9" t="s">
        <v>166</v>
      </c>
    </row>
    <row r="96" spans="1:8" x14ac:dyDescent="0.3">
      <c r="A96" s="9">
        <v>2023</v>
      </c>
      <c r="B96" s="9" t="s">
        <v>111</v>
      </c>
      <c r="C96" s="9">
        <v>400</v>
      </c>
      <c r="D96" s="10" t="s">
        <v>65</v>
      </c>
      <c r="E96" s="9">
        <v>400000</v>
      </c>
      <c r="F96" s="10" t="s">
        <v>81</v>
      </c>
      <c r="G96" s="9" t="s">
        <v>64</v>
      </c>
      <c r="H96" s="9" t="s">
        <v>166</v>
      </c>
    </row>
    <row r="97" spans="1:8" x14ac:dyDescent="0.3">
      <c r="A97" s="9">
        <v>2023</v>
      </c>
      <c r="B97" s="9" t="s">
        <v>77</v>
      </c>
      <c r="C97" s="9">
        <v>1100</v>
      </c>
      <c r="D97" s="10" t="s">
        <v>65</v>
      </c>
      <c r="E97" s="10">
        <v>1100000</v>
      </c>
      <c r="F97" s="10" t="s">
        <v>81</v>
      </c>
      <c r="G97" s="10" t="s">
        <v>64</v>
      </c>
      <c r="H97" s="9" t="s">
        <v>166</v>
      </c>
    </row>
    <row r="98" spans="1:8" x14ac:dyDescent="0.3">
      <c r="A98" s="9">
        <v>2023</v>
      </c>
      <c r="B98" s="9" t="s">
        <v>77</v>
      </c>
      <c r="C98" s="9">
        <v>13767</v>
      </c>
      <c r="D98" s="10" t="s">
        <v>65</v>
      </c>
      <c r="E98" s="10">
        <v>13766983</v>
      </c>
      <c r="F98" s="9" t="s">
        <v>66</v>
      </c>
      <c r="G98" s="10" t="s">
        <v>67</v>
      </c>
      <c r="H98" s="9" t="s">
        <v>166</v>
      </c>
    </row>
    <row r="99" spans="1:8" x14ac:dyDescent="0.3">
      <c r="A99" s="9">
        <v>2023</v>
      </c>
      <c r="B99" s="9" t="s">
        <v>77</v>
      </c>
      <c r="C99" s="9">
        <v>19984.900000000001</v>
      </c>
      <c r="D99" s="10" t="s">
        <v>65</v>
      </c>
      <c r="E99" s="10">
        <v>19984872</v>
      </c>
      <c r="F99" s="10" t="s">
        <v>81</v>
      </c>
      <c r="G99" s="10" t="s">
        <v>68</v>
      </c>
      <c r="H99" s="9" t="s">
        <v>166</v>
      </c>
    </row>
    <row r="100" spans="1:8" x14ac:dyDescent="0.3">
      <c r="A100" s="9">
        <v>2023</v>
      </c>
      <c r="B100" s="9" t="s">
        <v>77</v>
      </c>
      <c r="C100" s="9">
        <v>1E-3</v>
      </c>
      <c r="D100" s="10" t="s">
        <v>65</v>
      </c>
      <c r="E100" s="10">
        <v>1</v>
      </c>
      <c r="F100" s="9" t="s">
        <v>69</v>
      </c>
      <c r="G100" s="10" t="s">
        <v>70</v>
      </c>
      <c r="H100" s="9" t="s">
        <v>166</v>
      </c>
    </row>
    <row r="101" spans="1:8" x14ac:dyDescent="0.3">
      <c r="A101" s="9">
        <v>2023</v>
      </c>
      <c r="B101" s="9" t="s">
        <v>77</v>
      </c>
      <c r="C101" s="9">
        <v>21237.1</v>
      </c>
      <c r="D101" s="10" t="s">
        <v>65</v>
      </c>
      <c r="E101" s="9">
        <v>21237134</v>
      </c>
      <c r="F101" s="9" t="s">
        <v>69</v>
      </c>
      <c r="G101" s="9" t="s">
        <v>78</v>
      </c>
      <c r="H101" s="9" t="s">
        <v>166</v>
      </c>
    </row>
    <row r="102" spans="1:8" x14ac:dyDescent="0.3">
      <c r="A102" s="9">
        <v>2023</v>
      </c>
      <c r="B102" s="9" t="s">
        <v>80</v>
      </c>
      <c r="C102" s="9">
        <v>2241.6</v>
      </c>
      <c r="D102" s="10" t="s">
        <v>65</v>
      </c>
      <c r="E102" s="9">
        <v>2241607</v>
      </c>
      <c r="F102" s="9" t="s">
        <v>66</v>
      </c>
      <c r="G102" s="9" t="s">
        <v>67</v>
      </c>
      <c r="H102" s="9" t="s">
        <v>166</v>
      </c>
    </row>
    <row r="103" spans="1:8" x14ac:dyDescent="0.3">
      <c r="A103" s="9">
        <v>2023</v>
      </c>
      <c r="B103" s="9" t="s">
        <v>80</v>
      </c>
      <c r="C103" s="9">
        <v>4600</v>
      </c>
      <c r="D103" s="10" t="s">
        <v>65</v>
      </c>
      <c r="E103" s="9">
        <v>4600000</v>
      </c>
      <c r="F103" s="10" t="s">
        <v>81</v>
      </c>
      <c r="G103" s="9" t="s">
        <v>68</v>
      </c>
      <c r="H103" s="9" t="s">
        <v>166</v>
      </c>
    </row>
    <row r="104" spans="1:8" x14ac:dyDescent="0.3">
      <c r="A104" s="9">
        <v>2023</v>
      </c>
      <c r="B104" s="9" t="s">
        <v>80</v>
      </c>
      <c r="C104" s="9">
        <v>123643</v>
      </c>
      <c r="D104" s="10" t="s">
        <v>65</v>
      </c>
      <c r="E104" s="9">
        <v>123643009</v>
      </c>
      <c r="F104" s="9" t="s">
        <v>82</v>
      </c>
      <c r="G104" s="9" t="s">
        <v>83</v>
      </c>
      <c r="H104" s="9" t="s">
        <v>166</v>
      </c>
    </row>
    <row r="105" spans="1:8" x14ac:dyDescent="0.3">
      <c r="A105" s="9">
        <v>2023</v>
      </c>
      <c r="B105" s="9" t="s">
        <v>80</v>
      </c>
      <c r="C105" s="9">
        <v>12766</v>
      </c>
      <c r="D105" s="10" t="s">
        <v>65</v>
      </c>
      <c r="E105" s="9">
        <v>12766000</v>
      </c>
      <c r="F105" s="9" t="s">
        <v>69</v>
      </c>
      <c r="G105" s="9" t="s">
        <v>84</v>
      </c>
      <c r="H105" s="9" t="s">
        <v>166</v>
      </c>
    </row>
    <row r="106" spans="1:8" x14ac:dyDescent="0.3">
      <c r="A106" s="9">
        <v>2023</v>
      </c>
      <c r="B106" s="9" t="s">
        <v>80</v>
      </c>
      <c r="C106" s="9">
        <v>16054.2</v>
      </c>
      <c r="D106" s="10" t="s">
        <v>65</v>
      </c>
      <c r="E106" s="9">
        <v>16054214</v>
      </c>
      <c r="F106" s="9" t="s">
        <v>69</v>
      </c>
      <c r="G106" s="9" t="s">
        <v>70</v>
      </c>
      <c r="H106" s="9" t="s">
        <v>166</v>
      </c>
    </row>
    <row r="107" spans="1:8" x14ac:dyDescent="0.3">
      <c r="A107" s="9">
        <v>2023</v>
      </c>
      <c r="B107" s="9" t="s">
        <v>90</v>
      </c>
      <c r="C107" s="9">
        <v>3134.9</v>
      </c>
      <c r="D107" s="10" t="s">
        <v>65</v>
      </c>
      <c r="E107" s="9">
        <v>3134869</v>
      </c>
      <c r="F107" s="9" t="s">
        <v>66</v>
      </c>
      <c r="G107" s="9" t="s">
        <v>67</v>
      </c>
      <c r="H107" s="9" t="s">
        <v>166</v>
      </c>
    </row>
    <row r="108" spans="1:8" x14ac:dyDescent="0.3">
      <c r="A108" s="9">
        <v>2023</v>
      </c>
      <c r="B108" s="9" t="s">
        <v>90</v>
      </c>
      <c r="C108" s="9">
        <v>2000</v>
      </c>
      <c r="D108" s="10" t="s">
        <v>65</v>
      </c>
      <c r="E108" s="9">
        <v>2000000</v>
      </c>
      <c r="F108" s="9" t="s">
        <v>69</v>
      </c>
      <c r="G108" s="9" t="s">
        <v>91</v>
      </c>
      <c r="H108" s="9" t="s">
        <v>166</v>
      </c>
    </row>
    <row r="109" spans="1:8" x14ac:dyDescent="0.3">
      <c r="A109" s="9">
        <v>2023</v>
      </c>
      <c r="B109" s="9" t="s">
        <v>96</v>
      </c>
      <c r="C109" s="9">
        <v>9361.9</v>
      </c>
      <c r="D109" s="10" t="s">
        <v>65</v>
      </c>
      <c r="E109" s="11">
        <v>9361922</v>
      </c>
      <c r="F109" s="9" t="s">
        <v>66</v>
      </c>
      <c r="G109" s="9" t="s">
        <v>67</v>
      </c>
      <c r="H109" s="9" t="s">
        <v>166</v>
      </c>
    </row>
    <row r="110" spans="1:8" x14ac:dyDescent="0.3">
      <c r="A110" s="9">
        <v>2023</v>
      </c>
      <c r="B110" s="9" t="s">
        <v>96</v>
      </c>
      <c r="C110" s="9">
        <v>28300</v>
      </c>
      <c r="D110" s="10" t="s">
        <v>65</v>
      </c>
      <c r="E110" s="9">
        <v>28300000</v>
      </c>
      <c r="F110" s="10" t="s">
        <v>81</v>
      </c>
      <c r="G110" s="9" t="s">
        <v>68</v>
      </c>
      <c r="H110" s="9" t="s">
        <v>166</v>
      </c>
    </row>
    <row r="111" spans="1:8" x14ac:dyDescent="0.3">
      <c r="A111" s="9">
        <v>2023</v>
      </c>
      <c r="B111" s="9" t="s">
        <v>96</v>
      </c>
      <c r="C111" s="9">
        <v>17248.8</v>
      </c>
      <c r="D111" s="10" t="s">
        <v>65</v>
      </c>
      <c r="E111" s="9">
        <v>17248770</v>
      </c>
      <c r="F111" s="9" t="s">
        <v>82</v>
      </c>
      <c r="G111" s="9" t="s">
        <v>83</v>
      </c>
      <c r="H111" s="9" t="s">
        <v>166</v>
      </c>
    </row>
    <row r="112" spans="1:8" x14ac:dyDescent="0.3">
      <c r="A112" s="9">
        <v>2023</v>
      </c>
      <c r="B112" s="9" t="s">
        <v>96</v>
      </c>
      <c r="C112" s="9">
        <v>1578.2</v>
      </c>
      <c r="D112" s="10" t="s">
        <v>65</v>
      </c>
      <c r="E112" s="9">
        <v>1578243</v>
      </c>
      <c r="F112" s="9" t="s">
        <v>69</v>
      </c>
      <c r="G112" s="9" t="s">
        <v>91</v>
      </c>
      <c r="H112" s="9" t="s">
        <v>166</v>
      </c>
    </row>
    <row r="113" spans="1:8" x14ac:dyDescent="0.3">
      <c r="A113" s="9">
        <v>2023</v>
      </c>
      <c r="B113" s="9" t="s">
        <v>96</v>
      </c>
      <c r="C113" s="9">
        <v>15450</v>
      </c>
      <c r="D113" s="10" t="s">
        <v>65</v>
      </c>
      <c r="E113" s="9">
        <v>15450000</v>
      </c>
      <c r="F113" s="9" t="s">
        <v>69</v>
      </c>
      <c r="G113" s="9" t="s">
        <v>84</v>
      </c>
      <c r="H113" s="9" t="s">
        <v>166</v>
      </c>
    </row>
    <row r="114" spans="1:8" x14ac:dyDescent="0.3">
      <c r="A114" s="9">
        <v>2023</v>
      </c>
      <c r="B114" s="9" t="s">
        <v>96</v>
      </c>
      <c r="C114" s="9">
        <v>6622.2</v>
      </c>
      <c r="D114" s="10" t="s">
        <v>65</v>
      </c>
      <c r="E114" s="9">
        <v>6622214</v>
      </c>
      <c r="F114" s="9" t="s">
        <v>69</v>
      </c>
      <c r="G114" s="9" t="s">
        <v>70</v>
      </c>
      <c r="H114" s="9" t="s">
        <v>166</v>
      </c>
    </row>
    <row r="115" spans="1:8" x14ac:dyDescent="0.3">
      <c r="A115" s="9">
        <v>2023</v>
      </c>
      <c r="B115" s="9" t="s">
        <v>97</v>
      </c>
      <c r="C115" s="9">
        <v>5675.3</v>
      </c>
      <c r="D115" s="10" t="s">
        <v>65</v>
      </c>
      <c r="E115" s="9">
        <v>5675261</v>
      </c>
      <c r="F115" s="9" t="s">
        <v>66</v>
      </c>
      <c r="G115" s="9" t="s">
        <v>67</v>
      </c>
      <c r="H115" s="9" t="s">
        <v>166</v>
      </c>
    </row>
    <row r="116" spans="1:8" x14ac:dyDescent="0.3">
      <c r="A116" s="9">
        <v>2023</v>
      </c>
      <c r="B116" s="9" t="s">
        <v>97</v>
      </c>
      <c r="C116" s="9">
        <v>10000</v>
      </c>
      <c r="D116" s="9" t="s">
        <v>98</v>
      </c>
      <c r="E116" s="9">
        <v>10000000</v>
      </c>
      <c r="F116" s="9" t="s">
        <v>99</v>
      </c>
      <c r="G116" s="9" t="s">
        <v>100</v>
      </c>
      <c r="H116" s="9" t="s">
        <v>166</v>
      </c>
    </row>
    <row r="117" spans="1:8" x14ac:dyDescent="0.3">
      <c r="A117" s="9">
        <v>2023</v>
      </c>
      <c r="B117" s="9" t="s">
        <v>101</v>
      </c>
      <c r="C117" s="9">
        <v>6343.1</v>
      </c>
      <c r="D117" s="10" t="s">
        <v>65</v>
      </c>
      <c r="E117" s="9">
        <v>6343082</v>
      </c>
      <c r="F117" s="9" t="s">
        <v>66</v>
      </c>
      <c r="G117" s="9" t="s">
        <v>67</v>
      </c>
      <c r="H117" s="9" t="s">
        <v>166</v>
      </c>
    </row>
    <row r="118" spans="1:8" x14ac:dyDescent="0.3">
      <c r="A118" s="9">
        <v>2023</v>
      </c>
      <c r="B118" s="9" t="s">
        <v>101</v>
      </c>
      <c r="C118" s="9">
        <v>1700</v>
      </c>
      <c r="D118" s="10" t="s">
        <v>65</v>
      </c>
      <c r="E118" s="9">
        <v>1700000</v>
      </c>
      <c r="F118" s="9" t="s">
        <v>81</v>
      </c>
      <c r="G118" s="9" t="s">
        <v>68</v>
      </c>
      <c r="H118" s="9" t="s">
        <v>166</v>
      </c>
    </row>
    <row r="119" spans="1:8" x14ac:dyDescent="0.3">
      <c r="A119" s="9">
        <v>2023</v>
      </c>
      <c r="B119" s="9" t="s">
        <v>102</v>
      </c>
      <c r="C119" s="9">
        <v>11886</v>
      </c>
      <c r="D119" s="10" t="s">
        <v>65</v>
      </c>
      <c r="E119" s="9">
        <v>11886000</v>
      </c>
      <c r="F119" s="9" t="s">
        <v>66</v>
      </c>
      <c r="G119" s="9" t="s">
        <v>67</v>
      </c>
      <c r="H119" s="9" t="s">
        <v>166</v>
      </c>
    </row>
    <row r="120" spans="1:8" x14ac:dyDescent="0.3">
      <c r="A120" s="9">
        <v>2022</v>
      </c>
      <c r="B120" s="9" t="s">
        <v>104</v>
      </c>
      <c r="C120" s="9">
        <v>115000</v>
      </c>
      <c r="D120" s="10" t="s">
        <v>65</v>
      </c>
      <c r="E120" s="9">
        <v>115000000</v>
      </c>
      <c r="F120" s="9" t="s">
        <v>81</v>
      </c>
      <c r="G120" s="9" t="s">
        <v>105</v>
      </c>
      <c r="H120" s="9" t="s">
        <v>166</v>
      </c>
    </row>
    <row r="121" spans="1:8" x14ac:dyDescent="0.3">
      <c r="A121" s="9">
        <v>2022</v>
      </c>
      <c r="B121" s="9" t="s">
        <v>104</v>
      </c>
      <c r="C121" s="9">
        <v>66940.600000000006</v>
      </c>
      <c r="D121" s="10" t="s">
        <v>65</v>
      </c>
      <c r="E121" s="9">
        <v>66940563</v>
      </c>
      <c r="F121" s="9" t="s">
        <v>81</v>
      </c>
      <c r="G121" s="9" t="s">
        <v>68</v>
      </c>
      <c r="H121" s="9" t="s">
        <v>166</v>
      </c>
    </row>
    <row r="122" spans="1:8" x14ac:dyDescent="0.3">
      <c r="A122" s="9">
        <v>2022</v>
      </c>
      <c r="B122" s="9" t="s">
        <v>104</v>
      </c>
      <c r="C122" s="9">
        <v>17703.3</v>
      </c>
      <c r="D122" s="10" t="s">
        <v>65</v>
      </c>
      <c r="E122" s="9">
        <v>17703272</v>
      </c>
      <c r="F122" s="9" t="s">
        <v>81</v>
      </c>
      <c r="G122" s="9" t="s">
        <v>106</v>
      </c>
      <c r="H122" s="9" t="s">
        <v>166</v>
      </c>
    </row>
    <row r="123" spans="1:8" x14ac:dyDescent="0.3">
      <c r="A123" s="9">
        <v>2022</v>
      </c>
      <c r="B123" s="9" t="s">
        <v>109</v>
      </c>
      <c r="C123" s="9">
        <v>35000</v>
      </c>
      <c r="D123" s="10" t="s">
        <v>65</v>
      </c>
      <c r="E123" s="9">
        <v>35000000</v>
      </c>
      <c r="F123" s="9" t="s">
        <v>81</v>
      </c>
      <c r="G123" s="9" t="s">
        <v>105</v>
      </c>
      <c r="H123" s="9" t="s">
        <v>166</v>
      </c>
    </row>
    <row r="124" spans="1:8" x14ac:dyDescent="0.3">
      <c r="A124" s="9">
        <v>2022</v>
      </c>
      <c r="B124" s="9" t="s">
        <v>109</v>
      </c>
      <c r="C124" s="9">
        <v>18300</v>
      </c>
      <c r="D124" s="9" t="s">
        <v>98</v>
      </c>
      <c r="E124" s="9">
        <v>18300000</v>
      </c>
      <c r="F124" s="9" t="s">
        <v>99</v>
      </c>
      <c r="G124" s="9" t="s">
        <v>100</v>
      </c>
      <c r="H124" s="9" t="s">
        <v>166</v>
      </c>
    </row>
    <row r="125" spans="1:8" x14ac:dyDescent="0.3">
      <c r="A125" s="9">
        <v>2022</v>
      </c>
      <c r="B125" s="9" t="s">
        <v>109</v>
      </c>
      <c r="C125" s="9">
        <v>12457.5</v>
      </c>
      <c r="D125" s="10" t="s">
        <v>65</v>
      </c>
      <c r="E125" s="9">
        <v>12457517</v>
      </c>
      <c r="F125" s="9" t="s">
        <v>110</v>
      </c>
      <c r="G125" s="9" t="s">
        <v>67</v>
      </c>
      <c r="H125" s="9" t="s">
        <v>166</v>
      </c>
    </row>
    <row r="126" spans="1:8" x14ac:dyDescent="0.3">
      <c r="A126" s="9">
        <v>2022</v>
      </c>
      <c r="B126" s="9" t="s">
        <v>111</v>
      </c>
      <c r="C126" s="9">
        <v>5031.2</v>
      </c>
      <c r="D126" s="10" t="s">
        <v>65</v>
      </c>
      <c r="E126" s="9">
        <v>5031235</v>
      </c>
      <c r="F126" s="9" t="s">
        <v>110</v>
      </c>
      <c r="G126" s="9" t="s">
        <v>67</v>
      </c>
      <c r="H126" s="9" t="s">
        <v>166</v>
      </c>
    </row>
    <row r="127" spans="1:8" x14ac:dyDescent="0.3">
      <c r="A127" s="9">
        <v>2022</v>
      </c>
      <c r="B127" s="9" t="s">
        <v>77</v>
      </c>
      <c r="C127" s="9">
        <v>4607.3</v>
      </c>
      <c r="D127" s="10" t="s">
        <v>65</v>
      </c>
      <c r="E127" s="9">
        <v>4607263</v>
      </c>
      <c r="F127" s="9" t="s">
        <v>110</v>
      </c>
      <c r="G127" s="9" t="s">
        <v>67</v>
      </c>
      <c r="H127" s="9" t="s">
        <v>166</v>
      </c>
    </row>
    <row r="128" spans="1:8" x14ac:dyDescent="0.3">
      <c r="A128" s="9">
        <v>2022</v>
      </c>
      <c r="B128" s="9" t="s">
        <v>80</v>
      </c>
      <c r="C128" s="9">
        <v>2078.6</v>
      </c>
      <c r="D128" s="10" t="s">
        <v>65</v>
      </c>
      <c r="E128" s="9">
        <v>2078621</v>
      </c>
      <c r="F128" s="9" t="s">
        <v>110</v>
      </c>
      <c r="G128" s="9" t="s">
        <v>67</v>
      </c>
      <c r="H128" s="9" t="s">
        <v>166</v>
      </c>
    </row>
    <row r="129" spans="1:8" x14ac:dyDescent="0.3">
      <c r="A129" s="9">
        <v>2022</v>
      </c>
      <c r="B129" s="9" t="s">
        <v>90</v>
      </c>
      <c r="C129" s="9">
        <v>1569.6</v>
      </c>
      <c r="D129" s="10" t="s">
        <v>65</v>
      </c>
      <c r="E129" s="9">
        <v>1569640</v>
      </c>
      <c r="F129" s="9" t="s">
        <v>110</v>
      </c>
      <c r="G129" s="9" t="s">
        <v>67</v>
      </c>
      <c r="H129" s="9" t="s">
        <v>166</v>
      </c>
    </row>
    <row r="130" spans="1:8" x14ac:dyDescent="0.3">
      <c r="A130" s="9">
        <v>2022</v>
      </c>
      <c r="B130" s="9" t="s">
        <v>96</v>
      </c>
      <c r="C130" s="9">
        <v>4203.7</v>
      </c>
      <c r="D130" s="10" t="s">
        <v>65</v>
      </c>
      <c r="E130" s="9">
        <v>4203745</v>
      </c>
      <c r="F130" s="9" t="s">
        <v>110</v>
      </c>
      <c r="G130" s="9" t="s">
        <v>67</v>
      </c>
      <c r="H130" s="9" t="s">
        <v>166</v>
      </c>
    </row>
    <row r="131" spans="1:8" x14ac:dyDescent="0.3">
      <c r="A131" s="9">
        <v>2022</v>
      </c>
      <c r="B131" s="9" t="s">
        <v>97</v>
      </c>
      <c r="C131" s="9">
        <v>3038</v>
      </c>
      <c r="D131" s="10" t="s">
        <v>65</v>
      </c>
      <c r="E131" s="9">
        <v>3037979</v>
      </c>
      <c r="F131" s="9" t="s">
        <v>110</v>
      </c>
      <c r="G131" s="9" t="s">
        <v>67</v>
      </c>
      <c r="H131" s="9" t="s">
        <v>166</v>
      </c>
    </row>
    <row r="132" spans="1:8" x14ac:dyDescent="0.3">
      <c r="A132" s="9">
        <v>2022</v>
      </c>
      <c r="B132" s="9" t="s">
        <v>101</v>
      </c>
      <c r="C132" s="9">
        <v>4014</v>
      </c>
      <c r="D132" s="10" t="s">
        <v>65</v>
      </c>
      <c r="E132" s="9">
        <v>4014000</v>
      </c>
      <c r="F132" s="9" t="s">
        <v>110</v>
      </c>
      <c r="G132" s="9" t="s">
        <v>67</v>
      </c>
      <c r="H132" s="9" t="s">
        <v>166</v>
      </c>
    </row>
    <row r="133" spans="1:8" x14ac:dyDescent="0.3">
      <c r="A133" s="9">
        <v>2021</v>
      </c>
      <c r="B133" s="9" t="s">
        <v>96</v>
      </c>
      <c r="C133" s="9">
        <v>13830</v>
      </c>
      <c r="D133" s="9" t="s">
        <v>98</v>
      </c>
      <c r="E133" s="9">
        <v>13830000</v>
      </c>
      <c r="F133" s="9" t="s">
        <v>99</v>
      </c>
      <c r="G133" s="9" t="s">
        <v>115</v>
      </c>
      <c r="H133" s="9" t="s">
        <v>166</v>
      </c>
    </row>
    <row r="134" spans="1:8" x14ac:dyDescent="0.3">
      <c r="A134" s="9">
        <v>2021</v>
      </c>
      <c r="B134" s="9" t="s">
        <v>97</v>
      </c>
      <c r="C134" s="9">
        <v>1670</v>
      </c>
      <c r="D134" s="9" t="s">
        <v>98</v>
      </c>
      <c r="E134" s="9">
        <v>1670000</v>
      </c>
      <c r="F134" s="9" t="s">
        <v>99</v>
      </c>
      <c r="G134" s="9" t="s">
        <v>115</v>
      </c>
      <c r="H134" s="9" t="s">
        <v>166</v>
      </c>
    </row>
    <row r="135" spans="1:8" x14ac:dyDescent="0.3">
      <c r="A135" s="9">
        <v>2020</v>
      </c>
      <c r="B135" s="9" t="s">
        <v>104</v>
      </c>
      <c r="C135" s="9">
        <v>24500</v>
      </c>
      <c r="D135" s="9" t="s">
        <v>98</v>
      </c>
      <c r="E135" s="9">
        <v>24500000</v>
      </c>
      <c r="F135" s="9" t="s">
        <v>99</v>
      </c>
      <c r="G135" s="9" t="s">
        <v>115</v>
      </c>
      <c r="H135" s="9" t="s">
        <v>166</v>
      </c>
    </row>
    <row r="136" spans="1:8" x14ac:dyDescent="0.3">
      <c r="A136" s="9">
        <v>2020</v>
      </c>
      <c r="B136" s="9" t="s">
        <v>80</v>
      </c>
      <c r="C136" s="9">
        <v>2150</v>
      </c>
      <c r="D136" s="9" t="s">
        <v>65</v>
      </c>
      <c r="E136" s="9">
        <v>2150000</v>
      </c>
      <c r="F136" s="9" t="s">
        <v>81</v>
      </c>
      <c r="G136" s="9" t="s">
        <v>64</v>
      </c>
      <c r="H136" s="9" t="s">
        <v>166</v>
      </c>
    </row>
    <row r="137" spans="1:8" x14ac:dyDescent="0.3">
      <c r="A137" s="9">
        <v>2020</v>
      </c>
      <c r="B137" s="9" t="s">
        <v>80</v>
      </c>
      <c r="C137" s="9">
        <v>7359.9</v>
      </c>
      <c r="D137" s="9" t="s">
        <v>98</v>
      </c>
      <c r="E137" s="9">
        <v>7359900</v>
      </c>
      <c r="F137" s="9" t="s">
        <v>99</v>
      </c>
      <c r="G137" s="9" t="s">
        <v>115</v>
      </c>
      <c r="H137" s="9" t="s">
        <v>166</v>
      </c>
    </row>
    <row r="138" spans="1:8" x14ac:dyDescent="0.3">
      <c r="A138" s="9">
        <v>2020</v>
      </c>
      <c r="B138" s="9" t="s">
        <v>90</v>
      </c>
      <c r="C138" s="9">
        <v>13600</v>
      </c>
      <c r="D138" s="9" t="s">
        <v>65</v>
      </c>
      <c r="E138" s="9">
        <v>13600000</v>
      </c>
      <c r="F138" s="9" t="s">
        <v>81</v>
      </c>
      <c r="G138" s="9" t="s">
        <v>64</v>
      </c>
      <c r="H138" s="9" t="s">
        <v>166</v>
      </c>
    </row>
    <row r="139" spans="1:8" x14ac:dyDescent="0.3">
      <c r="A139" s="9">
        <v>2020</v>
      </c>
      <c r="B139" s="9" t="s">
        <v>90</v>
      </c>
      <c r="C139" s="9">
        <v>6500</v>
      </c>
      <c r="D139" s="9" t="s">
        <v>98</v>
      </c>
      <c r="E139" s="9">
        <v>6500000</v>
      </c>
      <c r="F139" s="9" t="s">
        <v>99</v>
      </c>
      <c r="G139" s="9" t="s">
        <v>115</v>
      </c>
      <c r="H139" s="9" t="s">
        <v>166</v>
      </c>
    </row>
    <row r="140" spans="1:8" x14ac:dyDescent="0.3">
      <c r="A140" s="9">
        <v>2020</v>
      </c>
      <c r="B140" s="9" t="s">
        <v>96</v>
      </c>
      <c r="C140" s="9">
        <v>3000</v>
      </c>
      <c r="D140" s="9" t="s">
        <v>65</v>
      </c>
      <c r="E140" s="9">
        <v>3000000</v>
      </c>
      <c r="F140" s="9" t="s">
        <v>81</v>
      </c>
      <c r="G140" s="9" t="s">
        <v>64</v>
      </c>
      <c r="H140" s="9" t="s">
        <v>166</v>
      </c>
    </row>
    <row r="141" spans="1:8" x14ac:dyDescent="0.3">
      <c r="A141" s="9">
        <v>2020</v>
      </c>
      <c r="B141" s="9" t="s">
        <v>97</v>
      </c>
      <c r="C141" s="9">
        <v>6640.1</v>
      </c>
      <c r="D141" s="9" t="s">
        <v>98</v>
      </c>
      <c r="E141" s="9">
        <v>6640100</v>
      </c>
      <c r="F141" s="9" t="s">
        <v>99</v>
      </c>
      <c r="G141" s="9" t="s">
        <v>115</v>
      </c>
      <c r="H141" s="9" t="s">
        <v>166</v>
      </c>
    </row>
    <row r="142" spans="1:8" x14ac:dyDescent="0.3">
      <c r="A142" s="9">
        <v>2020</v>
      </c>
      <c r="B142" s="9" t="s">
        <v>101</v>
      </c>
      <c r="C142" s="9">
        <v>3000</v>
      </c>
      <c r="D142" s="9" t="s">
        <v>65</v>
      </c>
      <c r="E142" s="9">
        <v>3000000</v>
      </c>
      <c r="F142" s="9" t="s">
        <v>81</v>
      </c>
      <c r="G142" s="9" t="s">
        <v>64</v>
      </c>
      <c r="H142" s="9" t="s">
        <v>166</v>
      </c>
    </row>
    <row r="143" spans="1:8" x14ac:dyDescent="0.3">
      <c r="A143" s="9">
        <v>2020</v>
      </c>
      <c r="B143" s="9" t="s">
        <v>103</v>
      </c>
      <c r="C143" s="9">
        <v>6000</v>
      </c>
      <c r="D143" s="9" t="s">
        <v>65</v>
      </c>
      <c r="E143" s="9">
        <v>6000000</v>
      </c>
      <c r="F143" s="9" t="s">
        <v>81</v>
      </c>
      <c r="G143" s="9" t="s">
        <v>64</v>
      </c>
      <c r="H143" s="9" t="s">
        <v>166</v>
      </c>
    </row>
    <row r="144" spans="1:8" x14ac:dyDescent="0.3">
      <c r="A144" s="9">
        <v>2019</v>
      </c>
      <c r="B144" s="9" t="s">
        <v>109</v>
      </c>
      <c r="C144" s="9">
        <v>4000</v>
      </c>
      <c r="D144" s="9" t="s">
        <v>65</v>
      </c>
      <c r="E144" s="9">
        <v>4000000</v>
      </c>
      <c r="F144" s="9" t="s">
        <v>81</v>
      </c>
      <c r="G144" s="9" t="s">
        <v>64</v>
      </c>
      <c r="H144" s="9" t="s">
        <v>166</v>
      </c>
    </row>
    <row r="145" spans="1:8" x14ac:dyDescent="0.3">
      <c r="A145" s="9">
        <v>2019</v>
      </c>
      <c r="B145" s="9" t="s">
        <v>109</v>
      </c>
      <c r="C145" s="9">
        <v>4055.2</v>
      </c>
      <c r="D145" s="9" t="s">
        <v>98</v>
      </c>
      <c r="E145" s="9">
        <v>4055202</v>
      </c>
      <c r="F145" s="9" t="s">
        <v>99</v>
      </c>
      <c r="G145" s="9" t="s">
        <v>115</v>
      </c>
      <c r="H145" s="9" t="s">
        <v>166</v>
      </c>
    </row>
    <row r="146" spans="1:8" x14ac:dyDescent="0.3">
      <c r="A146" s="9">
        <v>2019</v>
      </c>
      <c r="B146" s="9" t="s">
        <v>111</v>
      </c>
      <c r="C146" s="9">
        <v>2500</v>
      </c>
      <c r="D146" s="9" t="s">
        <v>65</v>
      </c>
      <c r="E146" s="9">
        <v>2500000</v>
      </c>
      <c r="F146" s="9" t="s">
        <v>81</v>
      </c>
      <c r="G146" s="9" t="s">
        <v>64</v>
      </c>
      <c r="H146" s="9" t="s">
        <v>166</v>
      </c>
    </row>
    <row r="147" spans="1:8" x14ac:dyDescent="0.3">
      <c r="A147" s="9">
        <v>2019</v>
      </c>
      <c r="B147" s="9" t="s">
        <v>111</v>
      </c>
      <c r="C147" s="9">
        <v>15444.8</v>
      </c>
      <c r="D147" s="9" t="s">
        <v>98</v>
      </c>
      <c r="E147" s="9">
        <v>15444798</v>
      </c>
      <c r="F147" s="9" t="s">
        <v>99</v>
      </c>
      <c r="G147" s="9" t="s">
        <v>115</v>
      </c>
      <c r="H147" s="9" t="s">
        <v>166</v>
      </c>
    </row>
    <row r="148" spans="1:8" x14ac:dyDescent="0.3">
      <c r="A148" s="9">
        <v>2019</v>
      </c>
      <c r="B148" s="9" t="s">
        <v>77</v>
      </c>
      <c r="C148" s="9">
        <v>2000</v>
      </c>
      <c r="D148" s="9" t="s">
        <v>65</v>
      </c>
      <c r="E148" s="9">
        <v>2000000</v>
      </c>
      <c r="F148" s="9" t="s">
        <v>81</v>
      </c>
      <c r="G148" s="9" t="s">
        <v>64</v>
      </c>
      <c r="H148" s="9" t="s">
        <v>166</v>
      </c>
    </row>
    <row r="149" spans="1:8" x14ac:dyDescent="0.3">
      <c r="A149" s="9">
        <v>2019</v>
      </c>
      <c r="B149" s="9" t="s">
        <v>90</v>
      </c>
      <c r="C149" s="9">
        <v>500</v>
      </c>
      <c r="D149" s="9" t="s">
        <v>65</v>
      </c>
      <c r="E149" s="9">
        <v>500000</v>
      </c>
      <c r="F149" s="9" t="s">
        <v>81</v>
      </c>
      <c r="G149" s="9" t="s">
        <v>64</v>
      </c>
      <c r="H149" s="9" t="s">
        <v>166</v>
      </c>
    </row>
    <row r="150" spans="1:8" x14ac:dyDescent="0.3">
      <c r="A150" s="9">
        <v>2019</v>
      </c>
      <c r="B150" s="9" t="s">
        <v>96</v>
      </c>
      <c r="C150" s="9">
        <v>2000</v>
      </c>
      <c r="D150" s="9" t="s">
        <v>65</v>
      </c>
      <c r="E150" s="9">
        <v>2000000</v>
      </c>
      <c r="F150" s="9" t="s">
        <v>81</v>
      </c>
      <c r="G150" s="9" t="s">
        <v>64</v>
      </c>
      <c r="H150" s="9" t="s">
        <v>166</v>
      </c>
    </row>
    <row r="151" spans="1:8" x14ac:dyDescent="0.3">
      <c r="A151" s="9">
        <v>2019</v>
      </c>
      <c r="B151" s="9" t="s">
        <v>97</v>
      </c>
      <c r="C151" s="9">
        <v>3000</v>
      </c>
      <c r="D151" s="9" t="s">
        <v>65</v>
      </c>
      <c r="E151" s="9">
        <v>3000000</v>
      </c>
      <c r="F151" s="9" t="s">
        <v>81</v>
      </c>
      <c r="G151" s="9" t="s">
        <v>64</v>
      </c>
      <c r="H151" s="9" t="s">
        <v>166</v>
      </c>
    </row>
    <row r="152" spans="1:8" x14ac:dyDescent="0.3">
      <c r="A152" s="9">
        <v>2019</v>
      </c>
      <c r="B152" s="9" t="s">
        <v>121</v>
      </c>
      <c r="C152" s="9">
        <v>2000</v>
      </c>
      <c r="D152" s="9" t="s">
        <v>65</v>
      </c>
      <c r="E152" s="9">
        <v>2000000</v>
      </c>
      <c r="F152" s="9" t="s">
        <v>81</v>
      </c>
      <c r="G152" s="9" t="s">
        <v>64</v>
      </c>
      <c r="H152" s="9" t="s">
        <v>166</v>
      </c>
    </row>
    <row r="153" spans="1:8" x14ac:dyDescent="0.3">
      <c r="A153" s="9">
        <v>2018</v>
      </c>
      <c r="B153" s="9" t="s">
        <v>104</v>
      </c>
      <c r="C153" s="9">
        <v>12240.8</v>
      </c>
      <c r="D153" s="9" t="s">
        <v>65</v>
      </c>
      <c r="E153" s="9">
        <v>12240800</v>
      </c>
      <c r="F153" s="9" t="s">
        <v>81</v>
      </c>
      <c r="G153" s="9" t="s">
        <v>64</v>
      </c>
      <c r="H153" s="9" t="s">
        <v>166</v>
      </c>
    </row>
    <row r="154" spans="1:8" x14ac:dyDescent="0.3">
      <c r="A154" s="9">
        <v>2018</v>
      </c>
      <c r="B154" s="9" t="s">
        <v>104</v>
      </c>
      <c r="C154" s="9">
        <v>20000</v>
      </c>
      <c r="D154" s="9" t="s">
        <v>98</v>
      </c>
      <c r="E154" s="9">
        <v>20000000</v>
      </c>
      <c r="F154" s="9" t="s">
        <v>99</v>
      </c>
      <c r="G154" s="9" t="s">
        <v>115</v>
      </c>
      <c r="H154" s="9" t="s">
        <v>166</v>
      </c>
    </row>
    <row r="155" spans="1:8" x14ac:dyDescent="0.3">
      <c r="A155" s="9">
        <v>2018</v>
      </c>
      <c r="B155" s="9" t="s">
        <v>109</v>
      </c>
      <c r="C155" s="9">
        <v>12759.2</v>
      </c>
      <c r="D155" s="9" t="s">
        <v>65</v>
      </c>
      <c r="E155" s="9">
        <v>12759200</v>
      </c>
      <c r="F155" s="9" t="s">
        <v>81</v>
      </c>
      <c r="G155" s="9" t="s">
        <v>64</v>
      </c>
      <c r="H155" s="9" t="s">
        <v>166</v>
      </c>
    </row>
    <row r="156" spans="1:8" x14ac:dyDescent="0.3">
      <c r="A156" s="9">
        <v>2018</v>
      </c>
      <c r="B156" s="9" t="s">
        <v>111</v>
      </c>
      <c r="C156" s="9">
        <v>2000</v>
      </c>
      <c r="D156" s="9" t="s">
        <v>65</v>
      </c>
      <c r="E156" s="9">
        <v>2000000</v>
      </c>
      <c r="F156" s="9" t="s">
        <v>81</v>
      </c>
      <c r="G156" s="9" t="s">
        <v>64</v>
      </c>
      <c r="H156" s="9" t="s">
        <v>166</v>
      </c>
    </row>
    <row r="157" spans="1:8" x14ac:dyDescent="0.3">
      <c r="A157" s="9">
        <v>2018</v>
      </c>
      <c r="B157" s="9" t="s">
        <v>77</v>
      </c>
      <c r="C157" s="9">
        <v>2000</v>
      </c>
      <c r="D157" s="9" t="s">
        <v>65</v>
      </c>
      <c r="E157" s="9">
        <v>2000000</v>
      </c>
      <c r="F157" s="9" t="s">
        <v>81</v>
      </c>
      <c r="G157" s="9" t="s">
        <v>64</v>
      </c>
      <c r="H157" s="9" t="s">
        <v>166</v>
      </c>
    </row>
    <row r="158" spans="1:8" x14ac:dyDescent="0.3">
      <c r="A158" s="9">
        <v>2017</v>
      </c>
      <c r="B158" s="9" t="s">
        <v>80</v>
      </c>
      <c r="C158" s="9">
        <v>16710</v>
      </c>
      <c r="D158" s="9" t="s">
        <v>65</v>
      </c>
      <c r="E158" s="9">
        <v>16710000</v>
      </c>
      <c r="F158" s="9" t="s">
        <v>81</v>
      </c>
      <c r="G158" s="9" t="s">
        <v>64</v>
      </c>
      <c r="H158" s="9" t="s">
        <v>166</v>
      </c>
    </row>
    <row r="159" spans="1:8" x14ac:dyDescent="0.3">
      <c r="A159" s="9">
        <v>2015</v>
      </c>
      <c r="B159" s="9" t="s">
        <v>104</v>
      </c>
      <c r="C159" s="9">
        <v>118600</v>
      </c>
      <c r="D159" s="9" t="s">
        <v>65</v>
      </c>
      <c r="E159" s="9">
        <v>1750000</v>
      </c>
      <c r="F159" s="9" t="s">
        <v>113</v>
      </c>
      <c r="G159" s="9" t="s">
        <v>114</v>
      </c>
      <c r="H159" s="9" t="s">
        <v>166</v>
      </c>
    </row>
    <row r="160" spans="1:8" x14ac:dyDescent="0.3">
      <c r="A160" s="9">
        <v>2015</v>
      </c>
      <c r="B160" s="9" t="s">
        <v>109</v>
      </c>
      <c r="C160" s="9">
        <v>75000</v>
      </c>
      <c r="D160" s="9" t="s">
        <v>65</v>
      </c>
      <c r="E160" s="9">
        <v>1156206</v>
      </c>
      <c r="F160" s="9" t="s">
        <v>85</v>
      </c>
      <c r="G160" s="10" t="s">
        <v>87</v>
      </c>
      <c r="H160" s="9" t="s">
        <v>166</v>
      </c>
    </row>
    <row r="161" spans="1:8" x14ac:dyDescent="0.3">
      <c r="A161" s="9">
        <v>2015</v>
      </c>
      <c r="B161" s="9" t="s">
        <v>102</v>
      </c>
      <c r="C161" s="9">
        <v>50000</v>
      </c>
      <c r="D161" s="9" t="s">
        <v>98</v>
      </c>
      <c r="E161" s="9">
        <v>50000000</v>
      </c>
      <c r="F161" s="9" t="s">
        <v>99</v>
      </c>
      <c r="G161" s="9" t="s">
        <v>115</v>
      </c>
      <c r="H161" s="9" t="s">
        <v>166</v>
      </c>
    </row>
    <row r="162" spans="1:8" x14ac:dyDescent="0.3">
      <c r="A162" s="9">
        <v>2015</v>
      </c>
      <c r="B162" s="9" t="s">
        <v>102</v>
      </c>
      <c r="C162" s="9">
        <v>57500</v>
      </c>
      <c r="D162" s="9" t="s">
        <v>98</v>
      </c>
      <c r="E162" s="9">
        <v>57500000</v>
      </c>
      <c r="F162" s="9" t="s">
        <v>123</v>
      </c>
      <c r="G162" s="9" t="s">
        <v>124</v>
      </c>
      <c r="H162" s="9" t="s">
        <v>166</v>
      </c>
    </row>
    <row r="163" spans="1:8" x14ac:dyDescent="0.3">
      <c r="A163" s="9">
        <v>2015</v>
      </c>
      <c r="B163" s="9" t="s">
        <v>103</v>
      </c>
      <c r="C163" s="9">
        <v>75000</v>
      </c>
      <c r="D163" s="9" t="s">
        <v>65</v>
      </c>
      <c r="E163" s="9">
        <v>1207024</v>
      </c>
      <c r="F163" s="9" t="s">
        <v>85</v>
      </c>
      <c r="G163" s="10" t="s">
        <v>87</v>
      </c>
      <c r="H163" s="9" t="s">
        <v>166</v>
      </c>
    </row>
    <row r="164" spans="1:8" x14ac:dyDescent="0.3">
      <c r="A164" s="9">
        <v>2014</v>
      </c>
      <c r="B164" s="9" t="s">
        <v>104</v>
      </c>
      <c r="C164" s="9">
        <v>1080</v>
      </c>
      <c r="D164" s="9" t="s">
        <v>65</v>
      </c>
      <c r="E164" s="9">
        <v>1080000</v>
      </c>
      <c r="F164" s="9" t="s">
        <v>107</v>
      </c>
      <c r="G164" s="9" t="s">
        <v>108</v>
      </c>
      <c r="H164" s="9" t="s">
        <v>166</v>
      </c>
    </row>
    <row r="165" spans="1:8" x14ac:dyDescent="0.3">
      <c r="A165" s="9">
        <v>2014</v>
      </c>
      <c r="B165" s="9" t="s">
        <v>104</v>
      </c>
      <c r="C165" s="9">
        <v>4050</v>
      </c>
      <c r="D165" s="9" t="s">
        <v>65</v>
      </c>
      <c r="E165" s="9">
        <v>4050000</v>
      </c>
      <c r="F165" s="9" t="s">
        <v>125</v>
      </c>
      <c r="G165" s="9" t="s">
        <v>126</v>
      </c>
      <c r="H165" s="9" t="s">
        <v>166</v>
      </c>
    </row>
    <row r="166" spans="1:8" x14ac:dyDescent="0.3">
      <c r="A166" s="9">
        <v>2023</v>
      </c>
      <c r="B166" s="9" t="s">
        <v>111</v>
      </c>
      <c r="C166" s="9">
        <v>-0.02</v>
      </c>
      <c r="D166" s="9" t="s">
        <v>65</v>
      </c>
      <c r="E166" s="9">
        <f>20000/(2000000/2000000)</f>
        <v>20000</v>
      </c>
      <c r="F166" s="10" t="s">
        <v>69</v>
      </c>
      <c r="G166" s="9" t="s">
        <v>91</v>
      </c>
      <c r="H166" s="9" t="s">
        <v>166</v>
      </c>
    </row>
    <row r="167" spans="1:8" x14ac:dyDescent="0.3">
      <c r="A167" s="9">
        <v>2023</v>
      </c>
      <c r="B167" s="9" t="s">
        <v>111</v>
      </c>
      <c r="C167" s="9">
        <v>-524.20000000000005</v>
      </c>
      <c r="D167" s="9" t="s">
        <v>65</v>
      </c>
      <c r="E167" s="11">
        <f>34948091*0.015</f>
        <v>524221.36499999999</v>
      </c>
      <c r="F167" s="9" t="s">
        <v>92</v>
      </c>
      <c r="G167" s="9" t="s">
        <v>93</v>
      </c>
      <c r="H167" s="9" t="s">
        <v>166</v>
      </c>
    </row>
    <row r="168" spans="1:8" x14ac:dyDescent="0.3">
      <c r="A168" s="9">
        <v>2023</v>
      </c>
      <c r="B168" s="9" t="s">
        <v>77</v>
      </c>
      <c r="C168" s="9">
        <v>-2298.9</v>
      </c>
      <c r="D168" s="9" t="s">
        <v>65</v>
      </c>
      <c r="E168" s="11">
        <f>2298929*1</f>
        <v>2298929</v>
      </c>
      <c r="F168" s="10" t="s">
        <v>86</v>
      </c>
      <c r="G168" s="9" t="s">
        <v>88</v>
      </c>
      <c r="H168" s="9" t="s">
        <v>166</v>
      </c>
    </row>
    <row r="169" spans="1:8" x14ac:dyDescent="0.3">
      <c r="A169" s="9">
        <v>2023</v>
      </c>
      <c r="B169" s="9" t="s">
        <v>77</v>
      </c>
      <c r="C169" s="9">
        <v>-1.5800000000000002E-2</v>
      </c>
      <c r="D169" s="9" t="s">
        <v>65</v>
      </c>
      <c r="E169" s="11">
        <f>15800/(1578243000/1578243)</f>
        <v>15.8</v>
      </c>
      <c r="F169" s="10" t="s">
        <v>69</v>
      </c>
      <c r="G169" s="9" t="s">
        <v>89</v>
      </c>
      <c r="H169" s="9" t="s">
        <v>166</v>
      </c>
    </row>
    <row r="170" spans="1:8" x14ac:dyDescent="0.3">
      <c r="A170" s="9">
        <v>2023</v>
      </c>
      <c r="B170" s="9" t="s">
        <v>80</v>
      </c>
      <c r="C170" s="10">
        <v>-6775.9</v>
      </c>
      <c r="D170" s="9" t="s">
        <v>65</v>
      </c>
      <c r="E170" s="11">
        <f>1207024*0.0588</f>
        <v>70973.011199999994</v>
      </c>
      <c r="F170" s="9" t="s">
        <v>85</v>
      </c>
      <c r="G170" s="10" t="s">
        <v>87</v>
      </c>
      <c r="H170" s="9" t="s">
        <v>166</v>
      </c>
    </row>
    <row r="171" spans="1:8" x14ac:dyDescent="0.3">
      <c r="A171" s="9">
        <v>2023</v>
      </c>
      <c r="B171" s="9" t="s">
        <v>90</v>
      </c>
      <c r="C171" s="9">
        <v>-524.20000000000005</v>
      </c>
      <c r="D171" s="10" t="s">
        <v>65</v>
      </c>
      <c r="E171" s="11">
        <f>34948091*0.015</f>
        <v>524221.36499999999</v>
      </c>
      <c r="F171" s="10" t="s">
        <v>92</v>
      </c>
      <c r="G171" s="9" t="s">
        <v>93</v>
      </c>
      <c r="H171" s="9" t="s">
        <v>166</v>
      </c>
    </row>
    <row r="172" spans="1:8" x14ac:dyDescent="0.3">
      <c r="A172" s="9">
        <v>2023</v>
      </c>
      <c r="B172" s="9" t="s">
        <v>90</v>
      </c>
      <c r="C172" s="9">
        <v>-11851.9</v>
      </c>
      <c r="D172" s="10" t="s">
        <v>65</v>
      </c>
      <c r="E172" s="11">
        <v>11851945</v>
      </c>
      <c r="F172" s="9" t="s">
        <v>94</v>
      </c>
      <c r="G172" s="9" t="s">
        <v>95</v>
      </c>
      <c r="H172" s="9" t="s">
        <v>166</v>
      </c>
    </row>
    <row r="173" spans="1:8" x14ac:dyDescent="0.3">
      <c r="A173" s="9">
        <v>2023</v>
      </c>
      <c r="B173" s="9" t="s">
        <v>96</v>
      </c>
      <c r="C173" s="10">
        <v>-5498.3</v>
      </c>
      <c r="D173" s="9" t="s">
        <v>65</v>
      </c>
      <c r="E173" s="11">
        <f>1156206*0.0588</f>
        <v>67984.912799999991</v>
      </c>
      <c r="F173" s="9" t="s">
        <v>85</v>
      </c>
      <c r="G173" s="10" t="s">
        <v>87</v>
      </c>
      <c r="H173" s="9" t="s">
        <v>166</v>
      </c>
    </row>
    <row r="174" spans="1:8" x14ac:dyDescent="0.3">
      <c r="A174" s="9">
        <v>2023</v>
      </c>
      <c r="B174" s="9" t="s">
        <v>103</v>
      </c>
      <c r="C174" s="9">
        <v>-5353.7</v>
      </c>
      <c r="D174" s="9" t="s">
        <v>65</v>
      </c>
      <c r="E174" s="11">
        <f>1207024*0.0588</f>
        <v>70973.011199999994</v>
      </c>
      <c r="F174" s="9" t="s">
        <v>85</v>
      </c>
      <c r="G174" s="10" t="s">
        <v>87</v>
      </c>
      <c r="H174" s="9" t="s">
        <v>166</v>
      </c>
    </row>
    <row r="175" spans="1:8" x14ac:dyDescent="0.3">
      <c r="A175" s="9">
        <v>2022</v>
      </c>
      <c r="B175" s="9" t="s">
        <v>104</v>
      </c>
      <c r="C175" s="9">
        <v>-4199.8</v>
      </c>
      <c r="D175" s="9" t="s">
        <v>65</v>
      </c>
      <c r="E175" s="11">
        <f>1156206*0.0588</f>
        <v>67984.912799999991</v>
      </c>
      <c r="F175" s="9" t="s">
        <v>85</v>
      </c>
      <c r="G175" s="10" t="s">
        <v>87</v>
      </c>
      <c r="H175" s="9" t="s">
        <v>166</v>
      </c>
    </row>
    <row r="176" spans="1:8" x14ac:dyDescent="0.3">
      <c r="A176" s="9">
        <v>2022</v>
      </c>
      <c r="B176" s="9" t="s">
        <v>104</v>
      </c>
      <c r="C176" s="9">
        <v>-1080</v>
      </c>
      <c r="D176" s="9" t="s">
        <v>65</v>
      </c>
      <c r="E176" s="11">
        <f>1080000*1</f>
        <v>1080000</v>
      </c>
      <c r="F176" s="9" t="s">
        <v>107</v>
      </c>
      <c r="G176" s="9" t="s">
        <v>108</v>
      </c>
      <c r="H176" s="9" t="s">
        <v>166</v>
      </c>
    </row>
    <row r="177" spans="1:8" x14ac:dyDescent="0.3">
      <c r="A177" s="9">
        <v>2022</v>
      </c>
      <c r="B177" s="9" t="s">
        <v>80</v>
      </c>
      <c r="C177" s="9">
        <v>-4284.2</v>
      </c>
      <c r="D177" s="9" t="s">
        <v>65</v>
      </c>
      <c r="E177" s="11">
        <f>1207024*0.0588</f>
        <v>70973.011199999994</v>
      </c>
      <c r="F177" s="9" t="s">
        <v>85</v>
      </c>
      <c r="G177" s="10" t="s">
        <v>87</v>
      </c>
      <c r="H177" s="9" t="s">
        <v>166</v>
      </c>
    </row>
    <row r="178" spans="1:8" x14ac:dyDescent="0.3">
      <c r="A178" s="9">
        <v>2022</v>
      </c>
      <c r="B178" s="9" t="s">
        <v>102</v>
      </c>
      <c r="C178" s="9">
        <v>-6640.2</v>
      </c>
      <c r="D178" s="9" t="s">
        <v>65</v>
      </c>
      <c r="E178" s="11">
        <f>1207024*0.0588</f>
        <v>70973.011199999994</v>
      </c>
      <c r="F178" s="9" t="s">
        <v>85</v>
      </c>
      <c r="G178" s="10" t="s">
        <v>87</v>
      </c>
      <c r="H178" s="9" t="s">
        <v>166</v>
      </c>
    </row>
    <row r="179" spans="1:8" x14ac:dyDescent="0.3">
      <c r="A179" s="9">
        <v>2022</v>
      </c>
      <c r="B179" s="9" t="s">
        <v>103</v>
      </c>
      <c r="C179" s="9">
        <f>-(49898.6+91903.4)</f>
        <v>-141802</v>
      </c>
      <c r="D179" s="9" t="s">
        <v>65</v>
      </c>
      <c r="E179" s="11">
        <v>1750000</v>
      </c>
      <c r="F179" s="9" t="s">
        <v>113</v>
      </c>
      <c r="G179" s="9" t="s">
        <v>114</v>
      </c>
      <c r="H179" s="9" t="s">
        <v>166</v>
      </c>
    </row>
  </sheetData>
  <autoFilter ref="A1:G179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6" sqref="D6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8" t="s">
        <v>191</v>
      </c>
      <c r="B1" s="28" t="s">
        <v>195</v>
      </c>
      <c r="C1" s="28" t="s">
        <v>196</v>
      </c>
      <c r="D1" s="28" t="s">
        <v>197</v>
      </c>
      <c r="E1" s="28" t="s">
        <v>198</v>
      </c>
      <c r="F1" s="28" t="s">
        <v>199</v>
      </c>
      <c r="G1" s="28" t="s">
        <v>200</v>
      </c>
      <c r="H1" s="31" t="s">
        <v>236</v>
      </c>
      <c r="I1" s="28" t="s">
        <v>202</v>
      </c>
      <c r="J1" s="28" t="s">
        <v>193</v>
      </c>
      <c r="K1" s="28" t="s">
        <v>76</v>
      </c>
    </row>
    <row r="2" spans="1:11" ht="39.5" x14ac:dyDescent="0.35">
      <c r="A2" s="23" t="s">
        <v>192</v>
      </c>
      <c r="B2" s="23">
        <v>4915000</v>
      </c>
      <c r="C2" s="23">
        <v>900000</v>
      </c>
      <c r="D2" s="23">
        <f>Main_!AI21</f>
        <v>437923</v>
      </c>
      <c r="E2" s="29">
        <f>D2/C2</f>
        <v>0.48658111111111113</v>
      </c>
      <c r="F2" s="23">
        <f>C2-D2</f>
        <v>462077</v>
      </c>
      <c r="G2" s="23" t="s">
        <v>201</v>
      </c>
      <c r="H2" s="23">
        <f>213000-(Main_!AI21-Main_!AD21)</f>
        <v>1367</v>
      </c>
      <c r="I2" s="23" t="s">
        <v>203</v>
      </c>
      <c r="J2" s="24" t="s">
        <v>194</v>
      </c>
      <c r="K2" s="25" t="s">
        <v>76</v>
      </c>
    </row>
    <row r="3" spans="1:11" x14ac:dyDescent="0.35">
      <c r="A3" s="26" t="s">
        <v>225</v>
      </c>
      <c r="B3" s="26"/>
      <c r="C3" s="26"/>
      <c r="D3" s="26"/>
      <c r="E3" s="30"/>
      <c r="F3" s="26"/>
      <c r="G3" s="26"/>
      <c r="H3" s="26"/>
      <c r="I3" s="26"/>
      <c r="J3" s="27"/>
      <c r="K3" s="27" t="s">
        <v>76</v>
      </c>
    </row>
    <row r="4" spans="1:11" x14ac:dyDescent="0.35">
      <c r="A4" s="23" t="s">
        <v>234</v>
      </c>
      <c r="B4" s="23">
        <v>2165514</v>
      </c>
      <c r="C4" s="23">
        <v>300000</v>
      </c>
      <c r="D4" s="23">
        <f>Main_!AI32+Main_!AI33+Main_!AI34+Main_!AI35</f>
        <v>300000</v>
      </c>
      <c r="E4" s="29">
        <f>D4/C4</f>
        <v>1</v>
      </c>
      <c r="F4" s="23">
        <f>C4-D4</f>
        <v>0</v>
      </c>
      <c r="G4" s="23" t="s">
        <v>235</v>
      </c>
      <c r="H4" s="23">
        <f>300000-D4</f>
        <v>0</v>
      </c>
      <c r="I4" s="23" t="s">
        <v>237</v>
      </c>
      <c r="J4" s="24"/>
      <c r="K4" s="32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M9" sqref="M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229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19">
        <v>0.06</v>
      </c>
      <c r="B6" s="19">
        <v>0.06</v>
      </c>
      <c r="C6" s="19">
        <v>0.06</v>
      </c>
      <c r="D6" s="19">
        <v>0.06</v>
      </c>
      <c r="E6" s="19">
        <v>0.06</v>
      </c>
      <c r="F6" s="19">
        <v>0.06</v>
      </c>
      <c r="G6" s="19">
        <v>0.06</v>
      </c>
      <c r="H6" s="19">
        <v>0.06</v>
      </c>
      <c r="I6" s="19">
        <v>0.06</v>
      </c>
      <c r="J6" s="19">
        <v>0.06</v>
      </c>
      <c r="K6" s="19">
        <v>0.06</v>
      </c>
      <c r="L6" s="19">
        <v>0.06</v>
      </c>
      <c r="M6" s="21">
        <v>0.06</v>
      </c>
      <c r="N6" s="21">
        <v>0.06</v>
      </c>
      <c r="O6" s="21">
        <v>0.06</v>
      </c>
      <c r="P6" s="21">
        <v>0.06</v>
      </c>
      <c r="Q6" s="21">
        <v>0.06</v>
      </c>
      <c r="R6" s="21">
        <v>0.06</v>
      </c>
      <c r="S6" s="21">
        <v>0.06</v>
      </c>
      <c r="T6" s="21">
        <v>0.06</v>
      </c>
      <c r="U6" s="21">
        <v>0.06</v>
      </c>
      <c r="V6" s="21">
        <v>0.06</v>
      </c>
      <c r="W6" s="21">
        <v>0.06</v>
      </c>
      <c r="X6" s="21">
        <v>0.06</v>
      </c>
      <c r="Y6" s="21">
        <v>0.06</v>
      </c>
      <c r="Z6" s="21">
        <v>0.06</v>
      </c>
      <c r="AA6" s="21">
        <v>0.06</v>
      </c>
      <c r="AB6" s="21">
        <v>0.06</v>
      </c>
      <c r="AC6" s="21">
        <v>0.06</v>
      </c>
      <c r="AD6" s="21">
        <v>0.06</v>
      </c>
      <c r="AE6" s="21">
        <v>0.06</v>
      </c>
      <c r="AF6" s="21">
        <v>0.06</v>
      </c>
      <c r="AG6" s="21">
        <v>0.06</v>
      </c>
      <c r="AH6" s="21">
        <v>0.06</v>
      </c>
      <c r="AI6" s="21">
        <v>0.06</v>
      </c>
      <c r="AJ6" s="21">
        <v>0.06</v>
      </c>
      <c r="AK6" s="21">
        <v>0.06</v>
      </c>
      <c r="AL6" s="21">
        <v>0.06</v>
      </c>
      <c r="AM6" s="21">
        <v>0.06</v>
      </c>
      <c r="AN6" s="21">
        <v>0.06</v>
      </c>
      <c r="AO6" s="21">
        <v>0.06</v>
      </c>
      <c r="AP6" s="21">
        <v>0.06</v>
      </c>
      <c r="AQ6" s="21">
        <v>0.06</v>
      </c>
      <c r="AR6" s="21">
        <v>0.06</v>
      </c>
      <c r="AS6" s="21">
        <v>0.06</v>
      </c>
      <c r="AT6" s="21">
        <v>0.06</v>
      </c>
      <c r="AU6" s="21">
        <v>0.06</v>
      </c>
      <c r="AV6" s="21">
        <v>0.06</v>
      </c>
      <c r="AW6" s="21">
        <v>0.06</v>
      </c>
      <c r="AX6" s="21">
        <v>0.06</v>
      </c>
      <c r="AY6" s="21">
        <v>0.06</v>
      </c>
      <c r="AZ6" s="21">
        <v>0.06</v>
      </c>
      <c r="BA6" s="21">
        <v>0.06</v>
      </c>
      <c r="BB6" s="21">
        <v>0.06</v>
      </c>
      <c r="BC6" s="21">
        <v>0.06</v>
      </c>
      <c r="BD6" s="21">
        <v>0.06</v>
      </c>
      <c r="BE6" s="21">
        <v>0.06</v>
      </c>
      <c r="BF6" s="21">
        <v>0.06</v>
      </c>
      <c r="BG6" s="21">
        <v>0.06</v>
      </c>
      <c r="BH6" s="21">
        <v>0.06</v>
      </c>
    </row>
    <row r="7" spans="1:60" x14ac:dyDescent="0.35">
      <c r="A7" s="20">
        <f>A5*A6*A4/365</f>
        <v>1.0389041095890412</v>
      </c>
      <c r="B7" s="20">
        <f>B5*B6*B4/365</f>
        <v>1.6103013698630138</v>
      </c>
      <c r="C7" s="20">
        <f>C5*C6*C4/365</f>
        <v>1.5583561643835617</v>
      </c>
      <c r="D7" s="20">
        <f>D5*D6*D4/365</f>
        <v>1.6103013698630138</v>
      </c>
      <c r="E7" s="20">
        <f>E5*E6*E4/365</f>
        <v>138.61331506849316</v>
      </c>
      <c r="F7" s="20">
        <f t="shared" ref="F7:J7" si="1">F5*F6*F4/365</f>
        <v>134.14191780821918</v>
      </c>
      <c r="G7" s="20">
        <f t="shared" si="1"/>
        <v>138.61331506849316</v>
      </c>
      <c r="H7" s="20">
        <f t="shared" si="1"/>
        <v>440.14191780821915</v>
      </c>
      <c r="I7" s="20">
        <f t="shared" si="1"/>
        <v>454.81331506849313</v>
      </c>
      <c r="J7" s="20">
        <f t="shared" si="1"/>
        <v>1153.1490410958904</v>
      </c>
      <c r="K7" s="20">
        <f>K5*K6*K4/365</f>
        <v>1399.8680547945205</v>
      </c>
      <c r="L7" s="20">
        <f t="shared" ref="L7" si="2">L5*L6*L4/365</f>
        <v>1499.858630136986</v>
      </c>
      <c r="M7" s="22">
        <f>M5*M6*M4/365</f>
        <v>1507.2551932445112</v>
      </c>
      <c r="N7" s="22">
        <f t="shared" ref="N7" si="3">N5*N6*N4/365</f>
        <v>1514.6882325536619</v>
      </c>
      <c r="O7" s="22">
        <f t="shared" ref="O7" si="4">O5*O6*O4/365</f>
        <v>1522.1579279470775</v>
      </c>
      <c r="P7" s="22">
        <f t="shared" ref="P7" si="5">P5*P6*P4/365</f>
        <v>1529.6644601944874</v>
      </c>
      <c r="Q7" s="22">
        <f t="shared" ref="Q7" si="6">Q5*Q6*Q4/365</f>
        <v>1537.2080109570907</v>
      </c>
      <c r="R7" s="22">
        <f t="shared" ref="R7" si="7">R5*R6*R4/365</f>
        <v>1544.7887627919472</v>
      </c>
      <c r="S7" s="22">
        <f t="shared" ref="S7" si="8">S5*S6*S4/365</f>
        <v>1552.4068991564006</v>
      </c>
      <c r="T7" s="22">
        <f t="shared" ref="T7" si="9">T5*T6*T4/365</f>
        <v>1560.0626044125147</v>
      </c>
      <c r="U7" s="22">
        <f t="shared" ref="U7" si="10">U5*U6*U4/365</f>
        <v>1567.7560638315351</v>
      </c>
      <c r="V7" s="22">
        <f t="shared" ref="V7" si="11">V5*V6*V4/365</f>
        <v>1575.4874635983756</v>
      </c>
      <c r="W7" s="22">
        <f t="shared" ref="W7" si="12">W5*W6*W4/365</f>
        <v>1583.2569908161211</v>
      </c>
      <c r="X7" s="22">
        <f t="shared" ref="X7" si="13">X5*X6*X4/365</f>
        <v>1591.0648335105568</v>
      </c>
      <c r="Y7" s="22">
        <f t="shared" ref="Y7" si="14">Y5*Y6*Y4/365</f>
        <v>1598.9111806347182</v>
      </c>
      <c r="Z7" s="22">
        <f t="shared" ref="Z7" si="15">Z5*Z6*Z4/365</f>
        <v>1606.7962220734646</v>
      </c>
      <c r="AA7" s="22">
        <f t="shared" ref="AA7" si="16">AA5*AA6*AA4/365</f>
        <v>1614.7201486480737</v>
      </c>
      <c r="AB7" s="22">
        <f t="shared" ref="AB7" si="17">AB5*AB6*AB4/365</f>
        <v>1622.6831521208587</v>
      </c>
      <c r="AC7" s="22">
        <f t="shared" ref="AC7" si="18">AC5*AC6*AC4/365</f>
        <v>1630.6854251998107</v>
      </c>
      <c r="AD7" s="22">
        <f t="shared" ref="AD7" si="19">AD5*AD6*AD4/365</f>
        <v>1638.7271615432619</v>
      </c>
      <c r="AE7" s="22">
        <f t="shared" ref="AE7" si="20">AE5*AE6*AE4/365</f>
        <v>1646.8085557645713</v>
      </c>
      <c r="AF7" s="22">
        <f t="shared" ref="AF7" si="21">AF5*AF6*AF4/365</f>
        <v>1654.9298034368348</v>
      </c>
      <c r="AG7" s="22">
        <f t="shared" ref="AG7" si="22">AG5*AG6*AG4/365</f>
        <v>1663.0911010976195</v>
      </c>
      <c r="AH7" s="22">
        <f t="shared" ref="AH7" si="23">AH5*AH6*AH4/365</f>
        <v>1671.2926462537173</v>
      </c>
      <c r="AI7" s="22">
        <f t="shared" ref="AI7" si="24">AI5*AI6*AI4/365</f>
        <v>1679.5346373859272</v>
      </c>
      <c r="AJ7" s="22">
        <f t="shared" ref="AJ7" si="25">AJ5*AJ6*AJ4/365</f>
        <v>1687.8172739538577</v>
      </c>
      <c r="AK7" s="22">
        <f t="shared" ref="AK7" si="26">AK5*AK6*AK4/365</f>
        <v>1696.1407564007536</v>
      </c>
      <c r="AL7" s="22">
        <f t="shared" ref="AL7" si="27">AL5*AL6*AL4/365</f>
        <v>1704.5052861583463</v>
      </c>
      <c r="AM7" s="22">
        <f t="shared" ref="AM7" si="28">AM5*AM6*AM4/365</f>
        <v>1712.9110656517303</v>
      </c>
      <c r="AN7" s="22">
        <f t="shared" ref="AN7" si="29">AN5*AN6*AN4/365</f>
        <v>1721.3582983042593</v>
      </c>
      <c r="AO7" s="22">
        <f t="shared" ref="AO7" si="30">AO5*AO6*AO4/365</f>
        <v>1729.8471885424724</v>
      </c>
      <c r="AP7" s="22">
        <f t="shared" ref="AP7" si="31">AP5*AP6*AP4/365</f>
        <v>1738.3779418010379</v>
      </c>
      <c r="AQ7" s="22">
        <f t="shared" ref="AQ7" si="32">AQ5*AQ6*AQ4/365</f>
        <v>1746.9507645277279</v>
      </c>
      <c r="AR7" s="22">
        <f t="shared" ref="AR7" si="33">AR5*AR6*AR4/365</f>
        <v>1755.5658641884122</v>
      </c>
      <c r="AS7" s="22">
        <f t="shared" ref="AS7" si="34">AS5*AS6*AS4/365</f>
        <v>1764.2234492720813</v>
      </c>
      <c r="AT7" s="22">
        <f t="shared" ref="AT7" si="35">AT5*AT6*AT4/365</f>
        <v>1772.923729295889</v>
      </c>
      <c r="AU7" s="22">
        <f t="shared" ref="AU7" si="36">AU5*AU6*AU4/365</f>
        <v>1781.6669148102249</v>
      </c>
      <c r="AV7" s="22">
        <f t="shared" ref="AV7" si="37">AV5*AV6*AV4/365</f>
        <v>1790.4532174038097</v>
      </c>
      <c r="AW7" s="22">
        <f t="shared" ref="AW7" si="38">AW5*AW6*AW4/365</f>
        <v>1799.2828497088146</v>
      </c>
      <c r="AX7" s="22">
        <f t="shared" ref="AX7" si="39">AX5*AX6*AX4/365</f>
        <v>1808.1560254060089</v>
      </c>
      <c r="AY7" s="22">
        <f t="shared" ref="AY7" si="40">AY5*AY6*AY4/365</f>
        <v>1817.072959229929</v>
      </c>
      <c r="AZ7" s="22">
        <f t="shared" ref="AZ7" si="41">AZ5*AZ6*AZ4/365</f>
        <v>1826.0338669740768</v>
      </c>
      <c r="BA7" s="22">
        <f t="shared" ref="BA7" si="42">BA5*BA6*BA4/365</f>
        <v>1835.0389654961405</v>
      </c>
      <c r="BB7" s="22">
        <f t="shared" ref="BB7" si="43">BB5*BB6*BB4/365</f>
        <v>1844.0884727232449</v>
      </c>
      <c r="BC7" s="22">
        <f t="shared" ref="BC7" si="44">BC5*BC6*BC4/365</f>
        <v>1853.1826076572222</v>
      </c>
      <c r="BD7" s="22">
        <f t="shared" ref="BD7" si="45">BD5*BD6*BD4/365</f>
        <v>1862.3215903799155</v>
      </c>
      <c r="BE7" s="22">
        <f t="shared" ref="BE7" si="46">BE5*BE6*BE4/365</f>
        <v>1871.5056420585013</v>
      </c>
      <c r="BF7" s="22">
        <f t="shared" ref="BF7" si="47">BF5*BF6*BF4/365</f>
        <v>1880.7349849508446</v>
      </c>
      <c r="BG7" s="22">
        <f t="shared" ref="BG7" si="48">BG5*BG6*BG4/365</f>
        <v>1890.0098424108767</v>
      </c>
      <c r="BH7" s="22">
        <f t="shared" ref="BH7" si="49">BH5*BH6*BH4/365</f>
        <v>1899.3304388939982</v>
      </c>
    </row>
    <row r="8" spans="1:60" x14ac:dyDescent="0.35">
      <c r="A8" t="s">
        <v>230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0">
        <f>A7</f>
        <v>1.0389041095890412</v>
      </c>
      <c r="C9" s="20">
        <f t="shared" ref="C9:L9" si="50">B9+B7</f>
        <v>2.6492054794520552</v>
      </c>
      <c r="D9" s="20">
        <f t="shared" si="50"/>
        <v>4.2075616438356169</v>
      </c>
      <c r="E9" s="20">
        <f t="shared" si="50"/>
        <v>5.8178630136986307</v>
      </c>
      <c r="F9" s="20">
        <f t="shared" si="50"/>
        <v>144.43117808219179</v>
      </c>
      <c r="G9" s="20">
        <f t="shared" si="50"/>
        <v>278.57309589041097</v>
      </c>
      <c r="H9" s="20">
        <f t="shared" si="50"/>
        <v>417.18641095890416</v>
      </c>
      <c r="I9" s="20">
        <f t="shared" si="50"/>
        <v>857.32832876712337</v>
      </c>
      <c r="J9" s="20">
        <f t="shared" si="50"/>
        <v>1312.1416438356164</v>
      </c>
      <c r="K9" s="20">
        <f t="shared" si="50"/>
        <v>2465.2906849315068</v>
      </c>
      <c r="L9" s="20">
        <f t="shared" si="50"/>
        <v>3865.1587397260273</v>
      </c>
      <c r="M9" s="20">
        <f t="shared" ref="M9:BH9" si="51">L9+L7</f>
        <v>5365.0173698630133</v>
      </c>
      <c r="N9" s="20">
        <f t="shared" si="51"/>
        <v>6872.2725631075245</v>
      </c>
      <c r="O9" s="20">
        <f t="shared" si="51"/>
        <v>8386.9607956611871</v>
      </c>
      <c r="P9" s="20">
        <f t="shared" si="51"/>
        <v>9909.1187236082642</v>
      </c>
      <c r="Q9" s="20">
        <f t="shared" si="51"/>
        <v>11438.783183802752</v>
      </c>
      <c r="R9" s="20">
        <f t="shared" si="51"/>
        <v>12975.991194759843</v>
      </c>
      <c r="S9" s="20">
        <f t="shared" si="51"/>
        <v>14520.779957551789</v>
      </c>
      <c r="T9" s="20">
        <f t="shared" si="51"/>
        <v>16073.186856708189</v>
      </c>
      <c r="U9" s="20">
        <f t="shared" si="51"/>
        <v>17633.249461120704</v>
      </c>
      <c r="V9" s="20">
        <f t="shared" si="51"/>
        <v>19201.005524952237</v>
      </c>
      <c r="W9" s="20">
        <f t="shared" si="51"/>
        <v>20776.492988550614</v>
      </c>
      <c r="X9" s="20">
        <f t="shared" si="51"/>
        <v>22359.749979366734</v>
      </c>
      <c r="Y9" s="20">
        <f t="shared" si="51"/>
        <v>23950.814812877292</v>
      </c>
      <c r="Z9" s="20">
        <f t="shared" si="51"/>
        <v>25549.725993512009</v>
      </c>
      <c r="AA9" s="20">
        <f t="shared" si="51"/>
        <v>27156.522215585475</v>
      </c>
      <c r="AB9" s="20">
        <f t="shared" si="51"/>
        <v>28771.242364233549</v>
      </c>
      <c r="AC9" s="20">
        <f t="shared" si="51"/>
        <v>30393.925516354408</v>
      </c>
      <c r="AD9" s="20">
        <f t="shared" si="51"/>
        <v>32024.61094155422</v>
      </c>
      <c r="AE9" s="20">
        <f t="shared" si="51"/>
        <v>33663.338103097485</v>
      </c>
      <c r="AF9" s="20">
        <f t="shared" si="51"/>
        <v>35310.146658862053</v>
      </c>
      <c r="AG9" s="20">
        <f t="shared" si="51"/>
        <v>36965.076462298886</v>
      </c>
      <c r="AH9" s="20">
        <f t="shared" si="51"/>
        <v>38628.167563396506</v>
      </c>
      <c r="AI9" s="20">
        <f t="shared" si="51"/>
        <v>40299.46020965022</v>
      </c>
      <c r="AJ9" s="20">
        <f t="shared" si="51"/>
        <v>41978.994847036149</v>
      </c>
      <c r="AK9" s="20">
        <f t="shared" si="51"/>
        <v>43666.812120990005</v>
      </c>
      <c r="AL9" s="20">
        <f t="shared" si="51"/>
        <v>45362.952877390759</v>
      </c>
      <c r="AM9" s="20">
        <f t="shared" si="51"/>
        <v>47067.458163549105</v>
      </c>
      <c r="AN9" s="20">
        <f t="shared" si="51"/>
        <v>48780.369229200835</v>
      </c>
      <c r="AO9" s="20">
        <f t="shared" si="51"/>
        <v>50501.727527505092</v>
      </c>
      <c r="AP9" s="20">
        <f t="shared" si="51"/>
        <v>52231.574716047566</v>
      </c>
      <c r="AQ9" s="20">
        <f t="shared" si="51"/>
        <v>53969.952657848604</v>
      </c>
      <c r="AR9" s="20">
        <f t="shared" si="51"/>
        <v>55716.90342237633</v>
      </c>
      <c r="AS9" s="20">
        <f t="shared" si="51"/>
        <v>57472.469286564745</v>
      </c>
      <c r="AT9" s="20">
        <f t="shared" si="51"/>
        <v>59236.692735836827</v>
      </c>
      <c r="AU9" s="20">
        <f t="shared" si="51"/>
        <v>61009.616465132713</v>
      </c>
      <c r="AV9" s="20">
        <f t="shared" si="51"/>
        <v>62791.283379942935</v>
      </c>
      <c r="AW9" s="20">
        <f t="shared" si="51"/>
        <v>64581.736597346746</v>
      </c>
      <c r="AX9" s="20">
        <f t="shared" si="51"/>
        <v>66381.019447055558</v>
      </c>
      <c r="AY9" s="20">
        <f t="shared" si="51"/>
        <v>68189.17547246156</v>
      </c>
      <c r="AZ9" s="20">
        <f t="shared" si="51"/>
        <v>70006.248431691492</v>
      </c>
      <c r="BA9" s="20">
        <f t="shared" si="51"/>
        <v>71832.282298665566</v>
      </c>
      <c r="BB9" s="20">
        <f t="shared" si="51"/>
        <v>73667.321264161714</v>
      </c>
      <c r="BC9" s="20">
        <f t="shared" si="51"/>
        <v>75511.409736884962</v>
      </c>
      <c r="BD9" s="20">
        <f t="shared" si="51"/>
        <v>77364.592344542179</v>
      </c>
      <c r="BE9" s="20">
        <f t="shared" si="51"/>
        <v>79226.913934922093</v>
      </c>
      <c r="BF9" s="20">
        <f t="shared" si="51"/>
        <v>81098.419576980596</v>
      </c>
      <c r="BG9" s="20">
        <f t="shared" si="51"/>
        <v>82979.154561931442</v>
      </c>
      <c r="BH9" s="20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2025-06-19T03:35:51Z</dcterms:modified>
</cp:coreProperties>
</file>