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recepients_dynamics" sheetId="16" r:id="rId6"/>
    <sheet name="Лист1" sheetId="15" r:id="rId7"/>
  </sheets>
  <definedNames>
    <definedName name="_xlnm._FilterDatabase" localSheetId="4" hidden="1">infra_invest!$A$1:$G$150</definedName>
    <definedName name="_xlnm._FilterDatabase" localSheetId="3" hidden="1">recepients!$A$1:$B$1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4" l="1"/>
  <c r="B18" i="14"/>
  <c r="B17" i="14"/>
  <c r="B16" i="14"/>
  <c r="B14" i="14"/>
  <c r="B12" i="14"/>
  <c r="B11" i="14"/>
  <c r="B9" i="14"/>
  <c r="B8" i="14"/>
  <c r="B7" i="14"/>
  <c r="B6" i="14"/>
  <c r="B3" i="14"/>
  <c r="B2" i="14"/>
  <c r="AB12" i="13"/>
  <c r="AB11" i="13"/>
  <c r="AB10" i="13"/>
  <c r="AB9" i="13"/>
  <c r="AB8" i="13"/>
  <c r="AB7" i="13"/>
  <c r="AB6" i="13"/>
  <c r="AB5" i="13"/>
  <c r="AB4" i="13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  <c r="AC52" i="1"/>
  <c r="AC30" i="1"/>
  <c r="AD30" i="1" s="1"/>
  <c r="AC27" i="1"/>
  <c r="AD27" i="1" s="1"/>
  <c r="AC28" i="1"/>
  <c r="AD28" i="1" s="1"/>
  <c r="AC26" i="1"/>
  <c r="AC34" i="1"/>
  <c r="AD34" i="1" s="1"/>
  <c r="AC33" i="1"/>
  <c r="AD33" i="1" s="1"/>
  <c r="AC36" i="1"/>
  <c r="AD36" i="1" s="1"/>
  <c r="AC43" i="1"/>
  <c r="AD43" i="1" s="1"/>
  <c r="AC40" i="1"/>
  <c r="AD40" i="1" s="1"/>
  <c r="AC25" i="1"/>
  <c r="AD25" i="1" s="1"/>
  <c r="AC22" i="1"/>
  <c r="AC21" i="1"/>
  <c r="AD21" i="1" s="1"/>
  <c r="AC20" i="1"/>
  <c r="AD20" i="1" s="1"/>
  <c r="AC19" i="1"/>
  <c r="AD19" i="1" s="1"/>
  <c r="AC18" i="1"/>
  <c r="AC17" i="1"/>
  <c r="AD17" i="1" s="1"/>
  <c r="AC15" i="1"/>
  <c r="AD15" i="1" s="1"/>
  <c r="AC13" i="1"/>
  <c r="AD13" i="1" s="1"/>
  <c r="AC12" i="1"/>
  <c r="AD12" i="1" s="1"/>
  <c r="AC11" i="1"/>
  <c r="AD11" i="1" s="1"/>
  <c r="AC10" i="1"/>
  <c r="AD10" i="1" s="1"/>
  <c r="AC9" i="1"/>
  <c r="AD9" i="1" s="1"/>
  <c r="AC8" i="1"/>
  <c r="AD8" i="1" s="1"/>
  <c r="AC16" i="1"/>
  <c r="AC14" i="1"/>
  <c r="AD14" i="1" s="1"/>
  <c r="AC42" i="1"/>
  <c r="AD42" i="1" s="1"/>
  <c r="AC41" i="1"/>
  <c r="AD3" i="1"/>
  <c r="AD4" i="1"/>
  <c r="AD5" i="1"/>
  <c r="AD6" i="1"/>
  <c r="AD7" i="1"/>
  <c r="AD16" i="1"/>
  <c r="AD18" i="1"/>
  <c r="AD22" i="1"/>
  <c r="AD23" i="1"/>
  <c r="AD26" i="1"/>
  <c r="AD29" i="1"/>
  <c r="AD31" i="1"/>
  <c r="AD32" i="1"/>
  <c r="AD35" i="1"/>
  <c r="AD37" i="1"/>
  <c r="AD38" i="1"/>
  <c r="AD39" i="1"/>
  <c r="AD41" i="1"/>
  <c r="AD44" i="1"/>
  <c r="AD45" i="1"/>
  <c r="AD46" i="1"/>
  <c r="AD47" i="1"/>
  <c r="AD48" i="1"/>
  <c r="AD49" i="1"/>
  <c r="AD50" i="1"/>
  <c r="AD51" i="1"/>
  <c r="AD52" i="1"/>
  <c r="AD2" i="1"/>
  <c r="B10" i="14"/>
  <c r="B4" i="14"/>
  <c r="AC24" i="1"/>
  <c r="AA12" i="13" l="1"/>
  <c r="AA6" i="13"/>
  <c r="AA4" i="13"/>
  <c r="AA20" i="10"/>
  <c r="AA19" i="10"/>
  <c r="AA18" i="10"/>
  <c r="AA17" i="10"/>
  <c r="AA16" i="10"/>
  <c r="AA11" i="13" s="1"/>
  <c r="AA15" i="10"/>
  <c r="AA10" i="13" s="1"/>
  <c r="AA14" i="10"/>
  <c r="AA9" i="13" s="1"/>
  <c r="AA13" i="10"/>
  <c r="AA12" i="10"/>
  <c r="AA8" i="13" s="1"/>
  <c r="AA11" i="10"/>
  <c r="AA9" i="10"/>
  <c r="AA8" i="10"/>
  <c r="AA5" i="13" s="1"/>
  <c r="AA7" i="10"/>
  <c r="AA6" i="10"/>
  <c r="AA5" i="10"/>
  <c r="AA4" i="10"/>
  <c r="AA3" i="10"/>
  <c r="AA2" i="10"/>
  <c r="AB52" i="1"/>
  <c r="AB30" i="1"/>
  <c r="AB27" i="1"/>
  <c r="AB28" i="1"/>
  <c r="AB26" i="1"/>
  <c r="AB34" i="1"/>
  <c r="AB33" i="1"/>
  <c r="AB36" i="1"/>
  <c r="AB43" i="1"/>
  <c r="AB40" i="1"/>
  <c r="AB41" i="1"/>
  <c r="AB25" i="1"/>
  <c r="AA25" i="1"/>
  <c r="AB22" i="1"/>
  <c r="AB20" i="1"/>
  <c r="AB19" i="1"/>
  <c r="AB18" i="1"/>
  <c r="AB17" i="1"/>
  <c r="AB15" i="1"/>
  <c r="AB9" i="1"/>
  <c r="AB10" i="1"/>
  <c r="AB11" i="1"/>
  <c r="AB12" i="1"/>
  <c r="AB13" i="1"/>
  <c r="AB8" i="1"/>
  <c r="AB16" i="1"/>
  <c r="AB14" i="1"/>
  <c r="AB21" i="1"/>
  <c r="AB42" i="1"/>
  <c r="AD24" i="1" l="1"/>
  <c r="AA10" i="10"/>
  <c r="AA7" i="13" s="1"/>
  <c r="Z20" i="10"/>
  <c r="Z19" i="10"/>
  <c r="Z18" i="10"/>
  <c r="Z12" i="13" s="1"/>
  <c r="Z17" i="10"/>
  <c r="Z16" i="10"/>
  <c r="Z11" i="13" s="1"/>
  <c r="Z15" i="10"/>
  <c r="Z10" i="13" s="1"/>
  <c r="Z14" i="10"/>
  <c r="Z9" i="13" s="1"/>
  <c r="Z13" i="10"/>
  <c r="Z12" i="10"/>
  <c r="Z8" i="13" s="1"/>
  <c r="Z11" i="10"/>
  <c r="Z9" i="10"/>
  <c r="Z6" i="13" s="1"/>
  <c r="Z8" i="10"/>
  <c r="Z5" i="13" s="1"/>
  <c r="Z7" i="10"/>
  <c r="Z6" i="10"/>
  <c r="Z5" i="10"/>
  <c r="Z4" i="10"/>
  <c r="Z3" i="10"/>
  <c r="Z2" i="10"/>
  <c r="Z4" i="13" s="1"/>
  <c r="AA52" i="1"/>
  <c r="AA30" i="1"/>
  <c r="AA28" i="1"/>
  <c r="AA27" i="1"/>
  <c r="AA26" i="1"/>
  <c r="AA34" i="1"/>
  <c r="AA33" i="1"/>
  <c r="AA36" i="1"/>
  <c r="AA41" i="1"/>
  <c r="AA43" i="1"/>
  <c r="AA22" i="1"/>
  <c r="AA21" i="1"/>
  <c r="AA19" i="1"/>
  <c r="AA18" i="1"/>
  <c r="AA17" i="1"/>
  <c r="AA13" i="1"/>
  <c r="AA12" i="1"/>
  <c r="AA11" i="1"/>
  <c r="AA10" i="1"/>
  <c r="AA9" i="1"/>
  <c r="AA8" i="1"/>
  <c r="AA15" i="1"/>
  <c r="AA16" i="1"/>
  <c r="AA14" i="1"/>
  <c r="AA20" i="1"/>
  <c r="AA42" i="1"/>
  <c r="Z10" i="10" l="1"/>
  <c r="Z7" i="13" s="1"/>
  <c r="Y20" i="10"/>
  <c r="Y19" i="10"/>
  <c r="Y18" i="10"/>
  <c r="Y12" i="13" s="1"/>
  <c r="Y17" i="10"/>
  <c r="Y16" i="10"/>
  <c r="Y15" i="10"/>
  <c r="Y10" i="13" s="1"/>
  <c r="Y14" i="10"/>
  <c r="Y9" i="13" s="1"/>
  <c r="Y13" i="10"/>
  <c r="Y12" i="10"/>
  <c r="Y8" i="13" s="1"/>
  <c r="Y11" i="10"/>
  <c r="Y9" i="10"/>
  <c r="Y6" i="13" s="1"/>
  <c r="Y8" i="10"/>
  <c r="Y5" i="13" s="1"/>
  <c r="Y7" i="10"/>
  <c r="Y6" i="10"/>
  <c r="Y5" i="10"/>
  <c r="Y4" i="10"/>
  <c r="Y3" i="10"/>
  <c r="Y2" i="10"/>
  <c r="Y4" i="13" s="1"/>
  <c r="Z52" i="1"/>
  <c r="Z26" i="1"/>
  <c r="Z25" i="1"/>
  <c r="Z30" i="1"/>
  <c r="Z27" i="1"/>
  <c r="Z28" i="1"/>
  <c r="Z34" i="1"/>
  <c r="Z33" i="1"/>
  <c r="Z36" i="1"/>
  <c r="Z43" i="1"/>
  <c r="Z40" i="1"/>
  <c r="Z21" i="1"/>
  <c r="Z22" i="1"/>
  <c r="Z19" i="1"/>
  <c r="Z18" i="1"/>
  <c r="Z42" i="1"/>
  <c r="Y11" i="13" l="1"/>
  <c r="X19" i="10"/>
  <c r="X18" i="10"/>
  <c r="X12" i="13" s="1"/>
  <c r="X7" i="10"/>
  <c r="X6" i="10"/>
  <c r="X5" i="10"/>
  <c r="X4" i="10"/>
  <c r="X3" i="10"/>
  <c r="X2" i="10"/>
  <c r="X4" i="13" s="1"/>
  <c r="X17" i="10"/>
  <c r="Y28" i="1"/>
  <c r="Y41" i="1"/>
  <c r="Z41" i="1" s="1"/>
  <c r="Y52" i="1"/>
  <c r="Y10" i="10" l="1"/>
  <c r="Y7" i="13" s="1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2" i="1"/>
  <c r="X43" i="1"/>
  <c r="Y43" i="1" s="1"/>
  <c r="X34" i="1"/>
  <c r="Y34" i="1" s="1"/>
  <c r="X33" i="1"/>
  <c r="Y33" i="1" s="1"/>
  <c r="X25" i="1"/>
  <c r="Y25" i="1" s="1"/>
  <c r="X23" i="1"/>
  <c r="Y23" i="1" s="1"/>
  <c r="X14" i="10" l="1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2" i="1"/>
  <c r="E35" i="8"/>
  <c r="W7" i="13" l="1"/>
  <c r="X7" i="13"/>
  <c r="V10" i="10"/>
  <c r="V7" i="13" s="1"/>
  <c r="E2" i="15"/>
  <c r="G2" i="15" s="1"/>
  <c r="F2" i="15" l="1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U10" i="10" l="1"/>
  <c r="V52" i="1"/>
  <c r="U20" i="10" s="1"/>
  <c r="V43" i="1"/>
  <c r="W43" i="1" s="1"/>
  <c r="T19" i="10" l="1"/>
  <c r="T18" i="10"/>
  <c r="T12" i="13" s="1"/>
  <c r="T7" i="10"/>
  <c r="T6" i="10"/>
  <c r="T5" i="10"/>
  <c r="T4" i="10"/>
  <c r="T3" i="10"/>
  <c r="T2" i="10"/>
  <c r="T4" i="13" s="1"/>
  <c r="U52" i="1"/>
  <c r="T20" i="10" s="1"/>
  <c r="S24" i="1"/>
  <c r="U8" i="1"/>
  <c r="V8" i="1" s="1"/>
  <c r="W8" i="1" l="1"/>
  <c r="S19" i="10"/>
  <c r="S18" i="10"/>
  <c r="S12" i="13" s="1"/>
  <c r="S7" i="10"/>
  <c r="S6" i="10"/>
  <c r="S5" i="10"/>
  <c r="S4" i="10"/>
  <c r="S3" i="10"/>
  <c r="S2" i="10"/>
  <c r="S4" i="13" s="1"/>
  <c r="T52" i="1"/>
  <c r="S20" i="10" s="1"/>
  <c r="T34" i="1"/>
  <c r="U34" i="1" s="1"/>
  <c r="V34" i="1" s="1"/>
  <c r="T33" i="1"/>
  <c r="U33" i="1" s="1"/>
  <c r="V33" i="1" l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35" i="1"/>
  <c r="R14" i="10" s="1"/>
  <c r="R9" i="13" s="1"/>
  <c r="S40" i="1"/>
  <c r="T40" i="1" s="1"/>
  <c r="S43" i="1"/>
  <c r="T43" i="1" s="1"/>
  <c r="S41" i="1"/>
  <c r="T41" i="1" s="1"/>
  <c r="U41" i="1" s="1"/>
  <c r="V41" i="1" s="1"/>
  <c r="W41" i="1" s="1"/>
  <c r="S25" i="1"/>
  <c r="T25" i="1" s="1"/>
  <c r="S52" i="1"/>
  <c r="R20" i="10" s="1"/>
  <c r="Z8" i="1" l="1"/>
  <c r="U40" i="1"/>
  <c r="S16" i="10"/>
  <c r="S11" i="13" s="1"/>
  <c r="U25" i="1"/>
  <c r="S11" i="10"/>
  <c r="S7" i="13" s="1"/>
  <c r="R16" i="10"/>
  <c r="R11" i="13" s="1"/>
  <c r="R11" i="10"/>
  <c r="R10" i="10"/>
  <c r="R7" i="13" l="1"/>
  <c r="V25" i="1"/>
  <c r="U11" i="10" s="1"/>
  <c r="U7" i="13" s="1"/>
  <c r="T11" i="10"/>
  <c r="T7" i="13" s="1"/>
  <c r="V40" i="1"/>
  <c r="T16" i="10"/>
  <c r="T11" i="13" s="1"/>
  <c r="W40" i="1" l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1" i="14"/>
  <c r="B13" i="14"/>
  <c r="B5" i="14"/>
  <c r="B19" i="14"/>
  <c r="B15" i="14"/>
  <c r="X40" i="1" l="1"/>
  <c r="Y40" i="1" s="1"/>
  <c r="V16" i="10"/>
  <c r="V11" i="13" s="1"/>
  <c r="R52" i="1"/>
  <c r="Q20" i="10" s="1"/>
  <c r="Q52" i="1"/>
  <c r="R30" i="1"/>
  <c r="R27" i="1"/>
  <c r="S27" i="1" s="1"/>
  <c r="T27" i="1" s="1"/>
  <c r="U27" i="1" s="1"/>
  <c r="V27" i="1" s="1"/>
  <c r="W27" i="1" s="1"/>
  <c r="X27" i="1" s="1"/>
  <c r="Y27" i="1" s="1"/>
  <c r="R28" i="1"/>
  <c r="S28" i="1" s="1"/>
  <c r="T28" i="1" s="1"/>
  <c r="U28" i="1" s="1"/>
  <c r="V28" i="1" s="1"/>
  <c r="W28" i="1" s="1"/>
  <c r="R26" i="1"/>
  <c r="R33" i="1"/>
  <c r="Q14" i="10" s="1"/>
  <c r="Q9" i="13" s="1"/>
  <c r="R36" i="1"/>
  <c r="C59" i="8"/>
  <c r="C58" i="8"/>
  <c r="R23" i="1"/>
  <c r="R22" i="1"/>
  <c r="S22" i="1" s="1"/>
  <c r="T22" i="1" s="1"/>
  <c r="U22" i="1" s="1"/>
  <c r="V22" i="1" s="1"/>
  <c r="W22" i="1" s="1"/>
  <c r="X22" i="1" s="1"/>
  <c r="Y22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W10" i="1" s="1"/>
  <c r="X10" i="1" s="1"/>
  <c r="Y10" i="1" s="1"/>
  <c r="R11" i="1"/>
  <c r="S11" i="1" s="1"/>
  <c r="T11" i="1" s="1"/>
  <c r="U11" i="1" s="1"/>
  <c r="V11" i="1" s="1"/>
  <c r="W11" i="1" s="1"/>
  <c r="X11" i="1" s="1"/>
  <c r="Y11" i="1" s="1"/>
  <c r="R12" i="1"/>
  <c r="S12" i="1" s="1"/>
  <c r="T12" i="1" s="1"/>
  <c r="U12" i="1" s="1"/>
  <c r="V12" i="1" s="1"/>
  <c r="W12" i="1" s="1"/>
  <c r="X12" i="1" s="1"/>
  <c r="Y12" i="1" s="1"/>
  <c r="R13" i="1"/>
  <c r="S13" i="1" s="1"/>
  <c r="T13" i="1" s="1"/>
  <c r="U13" i="1" s="1"/>
  <c r="V13" i="1" s="1"/>
  <c r="W13" i="1" s="1"/>
  <c r="X13" i="1" s="1"/>
  <c r="Y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0" i="1" s="1"/>
  <c r="Y20" i="1" s="1"/>
  <c r="Z20" i="1" s="1"/>
  <c r="S23" i="1" l="1"/>
  <c r="Q9" i="10"/>
  <c r="Q6" i="13" s="1"/>
  <c r="S30" i="1"/>
  <c r="Q13" i="10"/>
  <c r="Z12" i="1"/>
  <c r="S36" i="1"/>
  <c r="Q15" i="10"/>
  <c r="Q10" i="13" s="1"/>
  <c r="Z10" i="1"/>
  <c r="S26" i="1"/>
  <c r="Q12" i="10"/>
  <c r="X16" i="10"/>
  <c r="X11" i="13" s="1"/>
  <c r="Z11" i="1"/>
  <c r="Z13" i="1"/>
  <c r="W16" i="10"/>
  <c r="W11" i="13" s="1"/>
  <c r="S9" i="1"/>
  <c r="Q8" i="10"/>
  <c r="Q5" i="13" s="1"/>
  <c r="Q10" i="10"/>
  <c r="Q7" i="13" s="1"/>
  <c r="C150" i="8"/>
  <c r="E149" i="8"/>
  <c r="E148" i="8"/>
  <c r="E147" i="8"/>
  <c r="E146" i="8"/>
  <c r="E145" i="8"/>
  <c r="E144" i="8"/>
  <c r="E142" i="8"/>
  <c r="E141" i="8"/>
  <c r="E140" i="8"/>
  <c r="E139" i="8"/>
  <c r="E138" i="8"/>
  <c r="E137" i="8"/>
  <c r="Q8" i="13" l="1"/>
  <c r="T36" i="1"/>
  <c r="R15" i="10"/>
  <c r="R10" i="13" s="1"/>
  <c r="T26" i="1"/>
  <c r="R12" i="10"/>
  <c r="T30" i="1"/>
  <c r="R13" i="10"/>
  <c r="T23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U23" i="1" l="1"/>
  <c r="T9" i="10" s="1"/>
  <c r="T6" i="13" s="1"/>
  <c r="S9" i="10"/>
  <c r="S6" i="13" s="1"/>
  <c r="U30" i="1"/>
  <c r="S13" i="10"/>
  <c r="R8" i="13"/>
  <c r="U26" i="1"/>
  <c r="S12" i="10"/>
  <c r="S8" i="13" s="1"/>
  <c r="U36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V30" i="1" l="1"/>
  <c r="T13" i="10"/>
  <c r="V36" i="1"/>
  <c r="T15" i="10"/>
  <c r="T10" i="13" s="1"/>
  <c r="V26" i="1"/>
  <c r="T12" i="10"/>
  <c r="W9" i="1"/>
  <c r="U8" i="10"/>
  <c r="U5" i="13" s="1"/>
  <c r="T8" i="10"/>
  <c r="T5" i="13" s="1"/>
  <c r="A1" i="13"/>
  <c r="T8" i="13" l="1"/>
  <c r="W26" i="1"/>
  <c r="U12" i="10"/>
  <c r="W36" i="1"/>
  <c r="U15" i="10"/>
  <c r="U10" i="13" s="1"/>
  <c r="W30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4" i="1"/>
  <c r="P10" i="10" s="1"/>
  <c r="X30" i="1" l="1"/>
  <c r="V13" i="10"/>
  <c r="X26" i="1"/>
  <c r="V12" i="10"/>
  <c r="V8" i="13" s="1"/>
  <c r="X36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Y36" i="1" l="1"/>
  <c r="W15" i="10"/>
  <c r="W10" i="13" s="1"/>
  <c r="Y26" i="1"/>
  <c r="W12" i="10"/>
  <c r="Y30" i="1"/>
  <c r="W13" i="10"/>
  <c r="K8" i="10"/>
  <c r="K5" i="13" s="1"/>
  <c r="M8" i="10"/>
  <c r="M5" i="13" s="1"/>
  <c r="O14" i="1"/>
  <c r="N8" i="10" s="1"/>
  <c r="N5" i="13" s="1"/>
  <c r="P22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W8" i="13" l="1"/>
  <c r="X13" i="10"/>
  <c r="X12" i="10"/>
  <c r="X8" i="13" s="1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2" i="1"/>
  <c r="N20" i="10" s="1"/>
  <c r="P52" i="1"/>
  <c r="O20" i="10" s="1"/>
  <c r="C52" i="1" l="1"/>
  <c r="B20" i="10" s="1"/>
  <c r="M16" i="1"/>
  <c r="M20" i="1"/>
  <c r="M14" i="1"/>
  <c r="L8" i="10" s="1"/>
  <c r="L5" i="13" s="1"/>
  <c r="D52" i="1"/>
  <c r="C20" i="10" s="1"/>
  <c r="E52" i="1"/>
  <c r="D20" i="10" s="1"/>
  <c r="F52" i="1"/>
  <c r="E20" i="10" s="1"/>
  <c r="I52" i="1"/>
  <c r="H20" i="10" s="1"/>
  <c r="J52" i="1"/>
  <c r="I20" i="10" s="1"/>
  <c r="K52" i="1"/>
  <c r="J20" i="10" s="1"/>
  <c r="M52" i="1"/>
  <c r="L20" i="10" s="1"/>
  <c r="N52" i="1"/>
  <c r="M20" i="10" s="1"/>
  <c r="G52" i="1" l="1"/>
  <c r="F20" i="10" s="1"/>
  <c r="H52" i="1"/>
  <c r="G20" i="10" s="1"/>
  <c r="L52" i="1"/>
  <c r="K20" i="10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<sst xmlns="http://schemas.openxmlformats.org/spreadsheetml/2006/main" count="1014" uniqueCount="222">
  <si>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</si>
  <si>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</si>
  <si>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</si>
  <si>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</si>
  <si>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</si>
  <si>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</si>
  <si>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</si>
  <si>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</si>
  <si>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</si>
  <si>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</si>
  <si>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</si>
  <si>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</si>
  <si>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</si>
  <si>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</si>
  <si>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</si>
  <si>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</si>
  <si>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</si>
  <si>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</si>
  <si>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</si>
  <si>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</si>
  <si>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</si>
  <si>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</si>
  <si>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</si>
  <si>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</si>
  <si>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</si>
  <si>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</si>
  <si>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</si>
  <si>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</si>
  <si>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</si>
  <si>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</si>
  <si>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</si>
  <si>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</si>
  <si>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</si>
  <si>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</si>
  <si>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</si>
  <si>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</si>
  <si>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</si>
  <si>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</si>
  <si>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</si>
  <si>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</si>
  <si>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</si>
  <si>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</si>
  <si>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</si>
  <si>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</si>
  <si>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</si>
  <si>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</si>
  <si>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</si>
  <si>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</si>
  <si>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</si>
  <si>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</si>
  <si>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</si>
  <si>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</si>
  <si>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</si>
  <si>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</si>
  <si>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</si>
  <si>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</si>
  <si>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</si>
  <si>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</si>
  <si>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</si>
  <si>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</si>
  <si>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</si>
  <si>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</si>
  <si>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</si>
  <si>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</si>
  <si>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</si>
  <si>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</si>
  <si>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</si>
  <si>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</si>
  <si>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</si>
  <si>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</si>
  <si>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</si>
  <si>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</si>
  <si>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</si>
  <si>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</si>
  <si>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</si>
  <si>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</si>
  <si>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</si>
  <si>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</si>
  <si>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</si>
  <si>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</si>
  <si>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</si>
  <si>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</si>
  <si>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</si>
  <si>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</si>
  <si>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</si>
  <si>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</si>
  <si>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</si>
  <si>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</si>
  <si>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</si>
  <si>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</si>
  <si>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</si>
  <si>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</si>
  <si>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</si>
  <si>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</si>
  <si>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</si>
  <si>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</si>
  <si>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</si>
  <si>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</si>
  <si>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</si>
  <si>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</si>
  <si>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</si>
  <si>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</si>
  <si>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</si>
  <si>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</si>
  <si>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</si>
  <si>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</si>
  <si>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</si>
  <si>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</si>
  <si>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</si>
  <si>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</si>
  <si>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</si>
  <si>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</si>
  <si>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</si>
  <si>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</si>
  <si>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</si>
  <si>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</si>
  <si>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</si>
  <si>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</si>
  <si>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</si>
  <si>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</si>
  <si>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</si>
  <si>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</si>
  <si>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</si>
  <si>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</si>
  <si>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</si>
  <si>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</si>
  <si>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</si>
  <si>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</si>
  <si>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</si>
  <si>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</si>
  <si>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</si>
  <si>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</si>
  <si>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</si>
  <si>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</si>
  <si>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</si>
  <si>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Subordinated debt with GAZPROMBANK,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</si>
  <si>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</si>
  <si>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</si>
  <si>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</si>
  <si>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</si>
  <si>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</si>
  <si>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</si>
  <si>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</si>
  <si>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</si>
  <si>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</si>
  <si>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</si>
  <si>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</si>
  <si>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</si>
  <si>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</si>
  <si>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</si>
  <si>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</si>
  <si>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</si>
  <si>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</si>
  <si>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</si>
  <si>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</si>
  <si>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</si>
  <si>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</si>
  <si>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</si>
  <si>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</si>
  <si>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</si>
  <si>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</si>
  <si>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</si>
  <si>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</si>
  <si>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</si>
  <si>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</si>
  <si>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</si>
  <si>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</si>
  <si>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</si>
  <si>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</si>
  <si>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</si>
  <si>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</si>
  <si>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</si>
  <si>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</si>
  <si>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</si>
  <si>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</si>
  <si>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</si>
  <si>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</si>
  <si>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</si>
  <si>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</si>
  <si>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</si>
  <si>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</si>
  <si>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</si>
  <si>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</si>
  <si>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</si>
  <si>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</si>
  <si>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</si>
  <si>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</si>
  <si>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</si>
  <si>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</si>
  <si>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</si>
  <si>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</si>
  <si>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</si>
  <si>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</si>
  <si>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</si>
  <si>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Паспорт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</si>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</sst>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0" fillId="2" borderId="0" xfId="0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6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39.537765393521" createdVersion="6" refreshedVersion="6" minRefreshableVersion="3" recordCount="150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4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6">
        <s v="АО «ГТЛК»"/>
        <s v="ООО «НЛК-Финанс»"/>
        <s v="ППК «Фонд развития территорий»"/>
        <s v="ГК «Российские автомобильные дороги»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2024"/>
    <s v="Ноябрь"/>
    <n v="-78.900000000000006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1"/>
    <m/>
  </r>
  <r>
    <n v="2024"/>
    <s v="Ноябрь"/>
    <n v="2093.4"/>
    <x v="0"/>
    <n v="2093362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0"/>
    <s v="«Программа льготного лизинга гражданских судов водного транспорта»"/>
  </r>
  <r>
    <n v="2024"/>
    <s v="Ноябрь"/>
    <n v="6400"/>
    <x v="0"/>
    <n v="64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0"/>
    <m/>
  </r>
  <r>
    <n v="2024"/>
    <s v="Октябрь"/>
    <n v="-804.7"/>
    <x v="0"/>
    <m/>
    <x v="1"/>
    <m/>
  </r>
  <r>
    <n v="2024"/>
    <s v="Октябрь"/>
    <n v="6613"/>
    <x v="0"/>
    <n v="6613007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0"/>
    <m/>
  </r>
  <r>
    <n v="2024"/>
    <s v="Сентябрь"/>
    <n v="-3086.3"/>
    <x v="0"/>
    <m/>
    <x v="1"/>
    <m/>
  </r>
  <r>
    <n v="2024"/>
    <s v="Сентябрь"/>
    <n v="400"/>
    <x v="0"/>
    <n v="400000"/>
    <x v="3"/>
    <s v="«Центральная кольцевая автомобильная дорога (Московская область)»"/>
  </r>
  <r>
    <n v="2024"/>
    <s v="Сентябрь"/>
    <n v="810.7"/>
    <x v="0"/>
    <n v="810724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3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0"/>
    <s v="«Программа льготного лизинга гражданских судов водного транспорта»"/>
  </r>
  <r>
    <n v="2024"/>
    <s v="Август"/>
    <n v="-49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1"/>
    <m/>
  </r>
  <r>
    <n v="2024"/>
    <s v="Август"/>
    <n v="1066.8"/>
    <x v="0"/>
    <n v="106678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3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1"/>
    <m/>
  </r>
  <r>
    <n v="2024"/>
    <s v="Июль"/>
    <n v="500"/>
    <x v="0"/>
    <n v="500000"/>
    <x v="3"/>
    <s v="«Центральная кольцевая автомобильная дорога (Московская область)»"/>
  </r>
  <r>
    <n v="2024"/>
    <s v="Июль"/>
    <n v="914.2"/>
    <x v="0"/>
    <n v="914206"/>
    <x v="0"/>
    <s v="«Программа льготного лизинга гражданских судов водного транспорта»"/>
  </r>
  <r>
    <n v="2024"/>
    <s v="Июль"/>
    <n v="3873.6"/>
    <x v="0"/>
    <n v="3873626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1"/>
    <s v="Приобретение облигаций, апрель 2023 года"/>
  </r>
  <r>
    <n v="2024"/>
    <s v="Июнь"/>
    <n v="494.7"/>
    <x v="0"/>
    <n v="494731"/>
    <x v="0"/>
    <s v="«Программа льготного лизинга гражданских судов водного транспорта»"/>
  </r>
  <r>
    <n v="2024"/>
    <s v="Июнь"/>
    <n v="500"/>
    <x v="0"/>
    <n v="500000"/>
    <x v="3"/>
    <s v="«Центральная кольцевая автомобильная дорога (Московская область)»"/>
  </r>
  <r>
    <n v="2024"/>
    <s v="Июнь"/>
    <n v="6948.3"/>
    <x v="0"/>
    <n v="6948286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3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1"/>
    <s v="Приобретение облигаций, апрель 2023 года"/>
  </r>
  <r>
    <n v="2024"/>
    <s v="Май"/>
    <n v="798.8"/>
    <x v="0"/>
    <n v="798819"/>
    <x v="0"/>
    <s v="«Программа льготного лизинга гражданских судов водного транспорта»"/>
  </r>
  <r>
    <n v="2024"/>
    <s v="Май"/>
    <n v="5408.4"/>
    <x v="0"/>
    <n v="5408378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0"/>
    <s v="«Программа льготного лизинга гражданских судов водного транспорта»"/>
  </r>
  <r>
    <n v="2024"/>
    <s v="Март"/>
    <n v="1893"/>
    <x v="0"/>
    <n v="189301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3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0"/>
    <s v="«Программа льготного лизинга гражданских судов водного транспорта»"/>
  </r>
  <r>
    <n v="2023"/>
    <s v="Декабрь"/>
    <n v="76841.3"/>
    <x v="1"/>
    <n v="76841289"/>
    <x v="4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3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5"/>
    <s v="«Проект льготного лизинга отечественных воздушных судов»"/>
  </r>
  <r>
    <n v="2023"/>
    <s v="Декабрь"/>
    <n v="2286.6999999999998"/>
    <x v="0"/>
    <n v="228672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3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3"/>
    <s v="«Центральная кольцевая автомобильная дорога (Московская область)»"/>
  </r>
  <r>
    <n v="2023"/>
    <s v="Декабрь"/>
    <n v="8720.7000000000007"/>
    <x v="0"/>
    <n v="8720735"/>
    <x v="0"/>
    <s v="«Программа льготного лизинга гражданских судов водного транспорта»"/>
  </r>
  <r>
    <n v="2024"/>
    <s v="Январь"/>
    <n v="-62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3"/>
    <m/>
  </r>
  <r>
    <n v="2023"/>
    <s v="Декабрь"/>
    <n v="-48.665200000003097"/>
    <x v="0"/>
    <m/>
    <x v="0"/>
    <m/>
  </r>
  <r>
    <n v="2023"/>
    <s v="Ноябрь"/>
    <n v="10797.1"/>
    <x v="0"/>
    <n v="1079714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3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3"/>
    <s v="«Центральная кольцевая автомобильная дорога (Московская область)»"/>
  </r>
  <r>
    <n v="2023"/>
    <s v="Октябрь"/>
    <n v="500"/>
    <x v="0"/>
    <n v="5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3"/>
    <s v="«Центральная кольцевая автомобильная дорога (Московская область)»"/>
  </r>
  <r>
    <n v="2023"/>
    <s v="Сентябрь"/>
    <n v="1100"/>
    <x v="0"/>
    <n v="1100000"/>
    <x v="3"/>
    <s v="«Центральная кольцевая автомобильная дорога (Московская область)»"/>
  </r>
  <r>
    <n v="2023"/>
    <s v="Сентябрь"/>
    <n v="13767"/>
    <x v="0"/>
    <n v="1376698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3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0"/>
    <s v="«Программа льготного лизинга гражданских судов водного транспорта»"/>
  </r>
  <r>
    <n v="2023"/>
    <s v="Август"/>
    <n v="2241.6"/>
    <x v="0"/>
    <n v="2241607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3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5"/>
    <s v="«Проект льготного лизинга отечественных воздушных судов»"/>
  </r>
  <r>
    <n v="2023"/>
    <s v="Август"/>
    <n v="12766"/>
    <x v="0"/>
    <n v="12766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3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5"/>
    <s v="«Проект льготного лизинга отечественных воздушных судов»"/>
  </r>
  <r>
    <n v="2023"/>
    <s v="Июнь"/>
    <n v="1578.2"/>
    <x v="0"/>
    <n v="157824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4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3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3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3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4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6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3"/>
    <s v="«Центральная кольцевая автомобильная дорога (Московская область)»"/>
  </r>
  <r>
    <n v="2020"/>
    <s v="Август"/>
    <n v="7359.9"/>
    <x v="1"/>
    <n v="73599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3"/>
    <s v="«Центральная кольцевая автомобильная дорога (Московская область)»"/>
  </r>
  <r>
    <n v="2020"/>
    <s v="Июль"/>
    <n v="6500"/>
    <x v="1"/>
    <n v="65000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3"/>
    <s v="«Центральная кольцевая автомобильная дорога (Московская область)»"/>
  </r>
  <r>
    <n v="2020"/>
    <s v="Май"/>
    <n v="6640.1"/>
    <x v="1"/>
    <n v="66401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3"/>
    <s v="«Центральная кольцевая автомобильная дорога (Московская область)»"/>
  </r>
  <r>
    <n v="2020"/>
    <s v="Февраль"/>
    <n v="6000"/>
    <x v="0"/>
    <n v="6000000"/>
    <x v="3"/>
    <s v="«Центральная кольцевая автомобильная дорога (Московская область)»"/>
  </r>
  <r>
    <n v="2019"/>
    <s v="Ноябрь"/>
    <n v="4000"/>
    <x v="0"/>
    <n v="4000000"/>
    <x v="3"/>
    <s v="«Центральная кольцевая автомобильная дорога (Московская область)»"/>
  </r>
  <r>
    <n v="2019"/>
    <s v="Ноябрь"/>
    <n v="4055.2"/>
    <x v="1"/>
    <n v="4055202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3"/>
    <s v="«Центральная кольцевая автомобильная дорога (Московская область)»"/>
  </r>
  <r>
    <n v="2019"/>
    <s v="Октябрь"/>
    <n v="15444.8"/>
    <x v="1"/>
    <n v="15444798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3"/>
    <s v="«Центральная кольцевая автомобильная дорога (Московская область)»"/>
  </r>
  <r>
    <n v="2019"/>
    <s v="Июль"/>
    <n v="500"/>
    <x v="0"/>
    <n v="500000"/>
    <x v="3"/>
    <s v="«Центральная кольцевая автомобильная дорога (Московская область)»"/>
  </r>
  <r>
    <n v="2019"/>
    <s v="Июнь"/>
    <n v="2000"/>
    <x v="0"/>
    <n v="2000000"/>
    <x v="3"/>
    <s v="«Центральная кольцевая автомобильная дорога (Московская область)»"/>
  </r>
  <r>
    <n v="2019"/>
    <s v="Май"/>
    <n v="3000"/>
    <x v="0"/>
    <n v="3000000"/>
    <x v="3"/>
    <s v="«Центральная кольцевая автомобильная дорога (Московская область)»"/>
  </r>
  <r>
    <n v="2019"/>
    <s v="Январь"/>
    <n v="2000"/>
    <x v="0"/>
    <n v="2000000"/>
    <x v="3"/>
    <s v="«Центральная кольцевая автомобильная дорога (Московская область)»"/>
  </r>
  <r>
    <n v="2018"/>
    <s v="Декабрь"/>
    <n v="12240.8"/>
    <x v="0"/>
    <n v="12240800"/>
    <x v="3"/>
    <s v="«Центральная кольцевая автомобильная дорога (Московская область)»"/>
  </r>
  <r>
    <n v="2018"/>
    <s v="Декабрь"/>
    <n v="20000"/>
    <x v="1"/>
    <n v="200000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3"/>
    <s v="«Центральная кольцевая автомобильная дорога (Московская область)»"/>
  </r>
  <r>
    <n v="2018"/>
    <s v="Октябрь"/>
    <n v="2000"/>
    <x v="0"/>
    <n v="2000000"/>
    <x v="3"/>
    <s v="«Центральная кольцевая автомобильная дорога (Московская область)»"/>
  </r>
  <r>
    <n v="2018"/>
    <s v="Сентябрь"/>
    <n v="2000"/>
    <x v="0"/>
    <n v="2000000"/>
    <x v="3"/>
    <s v="«Центральная кольцевая автомобильная дорога (Московская область)»"/>
  </r>
  <r>
    <n v="2017"/>
    <s v="Август"/>
    <n v="16710"/>
    <x v="0"/>
    <n v="16710000"/>
    <x v="3"/>
    <s v="«Центральная кольцевая автомобильная дорога (Московская область)»"/>
  </r>
  <r>
    <n v="2015"/>
    <s v="Декабрь"/>
    <n v="118600"/>
    <x v="0"/>
    <n v="1750000"/>
    <x v="7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4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9"/>
    <s v="«Сооружение АЭС «Ханхикиви-1» в Финляндии»"/>
  </r>
  <r>
    <n v="2015"/>
    <s v="Февраль"/>
    <n v="75000"/>
    <x v="0"/>
    <n v="1207024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0"/>
    <s v="«Строительство «интеллектуальных сетей», 2014 год"/>
  </r>
  <r>
    <n v="2014"/>
    <s v="Декабрь"/>
    <n v="4050"/>
    <x v="0"/>
    <n v="4050000"/>
    <x v="11"/>
    <s v="«Ликвидация цифрового неравенства в малонаселенных пунктах России»"/>
  </r>
  <r>
    <n v="2023"/>
    <s v="Октябрь"/>
    <n v="-0.02"/>
    <x v="0"/>
    <n v="2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1"/>
    <s v="Приобретение облигаций, апрель 2023 года"/>
  </r>
  <r>
    <n v="2023"/>
    <s v="Сентябрь"/>
    <n v="-2298.9"/>
    <x v="0"/>
    <n v="2298929"/>
    <x v="12"/>
    <s v="Приобретение облигаций, август 2022 года"/>
  </r>
  <r>
    <n v="2023"/>
    <s v="Сентябрь"/>
    <n v="-1.5800000000000002E-2"/>
    <x v="0"/>
    <n v="15.8"/>
    <x v="0"/>
    <s v="Приобретение облигаций, июнь 2023 года"/>
  </r>
  <r>
    <n v="2023"/>
    <s v="Август"/>
    <n v="-6775.9"/>
    <x v="0"/>
    <n v="70973.011199999994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1"/>
    <s v="Приобретение облигаций, апрель 2023 года"/>
  </r>
  <r>
    <n v="2023"/>
    <s v="Июль"/>
    <n v="-11851.9"/>
    <x v="0"/>
    <n v="11851945"/>
    <x v="13"/>
    <s v="Приобретение облигаций, июль 2022 года"/>
  </r>
  <r>
    <n v="2023"/>
    <s v="Июнь"/>
    <n v="-5498.3"/>
    <x v="0"/>
    <n v="67984.912799999991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0"/>
    <s v="«Строительство «интеллектуальных сетей», 2014 год"/>
  </r>
  <r>
    <n v="2022"/>
    <s v="Август"/>
    <n v="-4284.2"/>
    <x v="0"/>
    <n v="70973.011199999994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8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7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9:N26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7">
        <item x="9"/>
        <item x="0"/>
        <item x="3"/>
        <item x="6"/>
        <item x="4"/>
        <item x="8"/>
        <item x="5"/>
        <item x="7"/>
        <item x="10"/>
        <item x="11"/>
        <item x="2"/>
        <item x="14"/>
        <item m="1" x="15"/>
        <item x="1"/>
        <item x="12"/>
        <item x="13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63">
    <format dxfId="62">
      <pivotArea dataOnly="0" labelOnly="1" fieldPosition="0">
        <references count="1">
          <reference field="5" count="1">
            <x v="2"/>
          </reference>
        </references>
      </pivotArea>
    </format>
    <format dxfId="61">
      <pivotArea dataOnly="0" labelOnly="1" fieldPosition="0">
        <references count="1">
          <reference field="5" count="1">
            <x v="6"/>
          </reference>
        </references>
      </pivotArea>
    </format>
    <format dxfId="60">
      <pivotArea dataOnly="0" labelOnly="1" fieldPosition="0">
        <references count="1">
          <reference field="5" count="1">
            <x v="1"/>
          </reference>
        </references>
      </pivotArea>
    </format>
    <format dxfId="59">
      <pivotArea dataOnly="0" labelOnly="1" fieldPosition="0">
        <references count="1">
          <reference field="5" count="1">
            <x v="9"/>
          </reference>
        </references>
      </pivotArea>
    </format>
    <format dxfId="58">
      <pivotArea dataOnly="0" labelOnly="1" fieldPosition="0">
        <references count="1">
          <reference field="5" count="1">
            <x v="10"/>
          </reference>
        </references>
      </pivotArea>
    </format>
    <format dxfId="57">
      <pivotArea dataOnly="0" labelOnly="1" fieldPosition="0">
        <references count="1">
          <reference field="5" count="1">
            <x v="3"/>
          </reference>
        </references>
      </pivotArea>
    </format>
    <format dxfId="56">
      <pivotArea dataOnly="0" labelOnly="1" fieldPosition="0">
        <references count="1">
          <reference field="5" count="1">
            <x v="4"/>
          </reference>
        </references>
      </pivotArea>
    </format>
    <format dxfId="55">
      <pivotArea dataOnly="0" labelOnly="1" fieldPosition="0">
        <references count="1">
          <reference field="5" count="1">
            <x v="0"/>
          </reference>
        </references>
      </pivotArea>
    </format>
    <format dxfId="54">
      <pivotArea dataOnly="0" labelOnly="1" fieldPosition="0">
        <references count="1">
          <reference field="5" count="0"/>
        </references>
      </pivotArea>
    </format>
    <format dxfId="53">
      <pivotArea dataOnly="0" labelOnly="1" fieldPosition="0">
        <references count="1">
          <reference field="5" count="1">
            <x v="1"/>
          </reference>
        </references>
      </pivotArea>
    </format>
    <format dxfId="52">
      <pivotArea dataOnly="0" labelOnly="1" fieldPosition="0">
        <references count="1">
          <reference field="5" count="1">
            <x v="2"/>
          </reference>
        </references>
      </pivotArea>
    </format>
    <format dxfId="51">
      <pivotArea dataOnly="0" labelOnly="1" fieldPosition="0">
        <references count="1">
          <reference field="5" count="1">
            <x v="3"/>
          </reference>
        </references>
      </pivotArea>
    </format>
    <format dxfId="50">
      <pivotArea dataOnly="0" labelOnly="1" fieldPosition="0">
        <references count="1">
          <reference field="5" count="1">
            <x v="10"/>
          </reference>
        </references>
      </pivotArea>
    </format>
    <format dxfId="49">
      <pivotArea dataOnly="0" labelOnly="1" fieldPosition="0">
        <references count="1">
          <reference field="5" count="1">
            <x v="6"/>
          </reference>
        </references>
      </pivotArea>
    </format>
    <format dxfId="48">
      <pivotArea dataOnly="0" labelOnly="1" fieldPosition="0">
        <references count="1">
          <reference field="5" count="1">
            <x v="9"/>
          </reference>
        </references>
      </pivotArea>
    </format>
    <format dxfId="47">
      <pivotArea dataOnly="0" labelOnly="1" fieldPosition="0">
        <references count="1">
          <reference field="5" count="1">
            <x v="4"/>
          </reference>
        </references>
      </pivotArea>
    </format>
    <format dxfId="46">
      <pivotArea dataOnly="0" labelOnly="1" fieldPosition="0">
        <references count="1">
          <reference field="5" count="1">
            <x v="0"/>
          </reference>
        </references>
      </pivotArea>
    </format>
    <format dxfId="4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3">
      <pivotArea dataOnly="0" labelOnly="1" fieldPosition="0">
        <references count="1">
          <reference field="5" count="1">
            <x v="2"/>
          </reference>
        </references>
      </pivotArea>
    </format>
    <format dxfId="42">
      <pivotArea dataOnly="0" labelOnly="1" fieldPosition="0">
        <references count="1">
          <reference field="5" count="1">
            <x v="2"/>
          </reference>
        </references>
      </pivotArea>
    </format>
    <format dxfId="41">
      <pivotArea dataOnly="0" labelOnly="1" fieldPosition="0">
        <references count="1">
          <reference field="5" count="1">
            <x v="6"/>
          </reference>
        </references>
      </pivotArea>
    </format>
    <format dxfId="40">
      <pivotArea dataOnly="0" labelOnly="1" fieldPosition="0">
        <references count="1">
          <reference field="5" count="1">
            <x v="3"/>
          </reference>
        </references>
      </pivotArea>
    </format>
    <format dxfId="39">
      <pivotArea dataOnly="0" labelOnly="1" fieldPosition="0">
        <references count="1">
          <reference field="5" count="1">
            <x v="10"/>
          </reference>
        </references>
      </pivotArea>
    </format>
    <format dxfId="38">
      <pivotArea dataOnly="0" labelOnly="1" fieldPosition="0">
        <references count="1">
          <reference field="5" count="1">
            <x v="1"/>
          </reference>
        </references>
      </pivotArea>
    </format>
    <format dxfId="37">
      <pivotArea dataOnly="0" labelOnly="1" fieldPosition="0">
        <references count="1">
          <reference field="5" count="1">
            <x v="9"/>
          </reference>
        </references>
      </pivotArea>
    </format>
    <format dxfId="36">
      <pivotArea dataOnly="0" labelOnly="1" fieldPosition="0">
        <references count="1">
          <reference field="5" count="1">
            <x v="4"/>
          </reference>
        </references>
      </pivotArea>
    </format>
    <format dxfId="35">
      <pivotArea dataOnly="0" labelOnly="1" fieldPosition="0">
        <references count="1">
          <reference field="5" count="1">
            <x v="0"/>
          </reference>
        </references>
      </pivotArea>
    </format>
    <format dxfId="3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3">
      <pivotArea dataOnly="0" labelOnly="1" fieldPosition="0">
        <references count="1">
          <reference field="5" count="1">
            <x v="2"/>
          </reference>
        </references>
      </pivotArea>
    </format>
    <format dxfId="32">
      <pivotArea dataOnly="0" labelOnly="1" fieldPosition="0">
        <references count="1">
          <reference field="5" count="1">
            <x v="6"/>
          </reference>
        </references>
      </pivotArea>
    </format>
    <format dxfId="31">
      <pivotArea dataOnly="0" labelOnly="1" fieldPosition="0">
        <references count="1">
          <reference field="5" count="1">
            <x v="10"/>
          </reference>
        </references>
      </pivotArea>
    </format>
    <format dxfId="30">
      <pivotArea dataOnly="0" labelOnly="1" fieldPosition="0">
        <references count="1">
          <reference field="5" count="1">
            <x v="3"/>
          </reference>
        </references>
      </pivotArea>
    </format>
    <format dxfId="29">
      <pivotArea dataOnly="0" labelOnly="1" fieldPosition="0">
        <references count="1">
          <reference field="5" count="1">
            <x v="1"/>
          </reference>
        </references>
      </pivotArea>
    </format>
    <format dxfId="28">
      <pivotArea dataOnly="0" labelOnly="1" fieldPosition="0">
        <references count="1">
          <reference field="5" count="1">
            <x v="9"/>
          </reference>
        </references>
      </pivotArea>
    </format>
    <format dxfId="27">
      <pivotArea dataOnly="0" labelOnly="1" fieldPosition="0">
        <references count="1">
          <reference field="5" count="1">
            <x v="4"/>
          </reference>
        </references>
      </pivotArea>
    </format>
    <format dxfId="26">
      <pivotArea dataOnly="0" labelOnly="1" fieldPosition="0">
        <references count="1">
          <reference field="5" count="1">
            <x v="0"/>
          </reference>
        </references>
      </pivotArea>
    </format>
    <format dxfId="2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">
      <pivotArea dataOnly="0" labelOnly="1" fieldPosition="0">
        <references count="1">
          <reference field="5" count="1">
            <x v="4"/>
          </reference>
        </references>
      </pivotArea>
    </format>
    <format dxfId="23">
      <pivotArea dataOnly="0" labelOnly="1" fieldPosition="0">
        <references count="1">
          <reference field="5" count="1">
            <x v="6"/>
          </reference>
        </references>
      </pivotArea>
    </format>
    <format dxfId="22">
      <pivotArea dataOnly="0" labelOnly="1" fieldPosition="0">
        <references count="1">
          <reference field="5" count="1">
            <x v="3"/>
          </reference>
        </references>
      </pivotArea>
    </format>
    <format dxfId="21">
      <pivotArea dataOnly="0" labelOnly="1" fieldPosition="0">
        <references count="1">
          <reference field="5" count="1">
            <x v="10"/>
          </reference>
        </references>
      </pivotArea>
    </format>
    <format dxfId="20">
      <pivotArea dataOnly="0" labelOnly="1" fieldPosition="0">
        <references count="1">
          <reference field="5" count="1">
            <x v="1"/>
          </reference>
        </references>
      </pivotArea>
    </format>
    <format dxfId="19">
      <pivotArea dataOnly="0" labelOnly="1" fieldPosition="0">
        <references count="1">
          <reference field="5" count="1">
            <x v="9"/>
          </reference>
        </references>
      </pivotArea>
    </format>
    <format dxfId="18">
      <pivotArea dataOnly="0" labelOnly="1" fieldPosition="0">
        <references count="1">
          <reference field="5" count="1">
            <x v="0"/>
          </reference>
        </references>
      </pivotArea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fieldPosition="0">
        <references count="1">
          <reference field="5" count="1">
            <x v="2"/>
          </reference>
        </references>
      </pivotArea>
    </format>
    <format dxfId="15">
      <pivotArea dataOnly="0" labelOnly="1" fieldPosition="0">
        <references count="1">
          <reference field="5" count="1">
            <x v="6"/>
          </reference>
        </references>
      </pivotArea>
    </format>
    <format dxfId="14">
      <pivotArea dataOnly="0" labelOnly="1" fieldPosition="0">
        <references count="1">
          <reference field="5" count="1">
            <x v="10"/>
          </reference>
        </references>
      </pivotArea>
    </format>
    <format dxfId="13">
      <pivotArea dataOnly="0" labelOnly="1" fieldPosition="0">
        <references count="1">
          <reference field="5" count="1">
            <x v="3"/>
          </reference>
        </references>
      </pivotArea>
    </format>
    <format dxfId="12">
      <pivotArea dataOnly="0" labelOnly="1" fieldPosition="0">
        <references count="1">
          <reference field="5" count="1">
            <x v="1"/>
          </reference>
        </references>
      </pivotArea>
    </format>
    <format dxfId="11">
      <pivotArea dataOnly="0" labelOnly="1" fieldPosition="0">
        <references count="1">
          <reference field="5" count="1">
            <x v="9"/>
          </reference>
        </references>
      </pivotArea>
    </format>
    <format dxfId="10">
      <pivotArea dataOnly="0" labelOnly="1" fieldPosition="0">
        <references count="1">
          <reference field="5" count="1">
            <x v="4"/>
          </reference>
        </references>
      </pivotArea>
    </format>
    <format dxfId="9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6"/>
          </reference>
        </references>
      </pivotArea>
    </format>
    <format dxfId="5">
      <pivotArea dataOnly="0" labelOnly="1" fieldPosition="0">
        <references count="1">
          <reference field="5" count="1">
            <x v="10"/>
          </reference>
        </references>
      </pivotArea>
    </format>
    <format dxfId="4">
      <pivotArea dataOnly="0" labelOnly="1" fieldPosition="0">
        <references count="1">
          <reference field="5" count="1">
            <x v="3"/>
          </reference>
        </references>
      </pivotArea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dataOnly="0" labelOnly="1" fieldPosition="0">
        <references count="1"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eftegaz.ru/news/Gazohimija/816850-kompleks-po-pererabotke-gaza-v-ust-luge-poluchit-finansirovanie-fn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9"/>
  <sheetViews>
    <sheetView tabSelected="1" zoomScale="55" zoomScaleNormal="55" workbookViewId="0">
      <pane xSplit="2" ySplit="1" topLeftCell="U17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29" width="11.453125" customWidth="1"/>
    <col min="30" max="30" width="12.1796875" bestFit="1" customWidth="1"/>
    <col min="31" max="31" width="16.81640625" bestFit="1" customWidth="1"/>
    <col min="32" max="32" width="15.81640625" bestFit="1" customWidth="1"/>
  </cols>
  <sheetData>
    <row r="1" spans="1:62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147</v>
      </c>
      <c r="R1" s="7" t="s">
        <v>184</v>
      </c>
      <c r="S1" s="7" t="s">
        <v>186</v>
      </c>
      <c r="T1" s="7" t="s">
        <v>187</v>
      </c>
      <c r="U1" s="7" t="s">
        <v>188</v>
      </c>
      <c r="V1" s="7" t="s">
        <v>189</v>
      </c>
      <c r="W1" s="7" t="s">
        <v>206</v>
      </c>
      <c r="X1" s="7" t="s">
        <v>207</v>
      </c>
      <c r="Y1" s="7" t="s">
        <v>210</v>
      </c>
      <c r="Z1" s="7" t="s">
        <v>217</v>
      </c>
      <c r="AA1" s="7" t="s">
        <v>218</v>
      </c>
      <c r="AB1" s="7" t="s">
        <v>219</v>
      </c>
      <c r="AC1" s="7" t="s">
        <v>220</v>
      </c>
    </row>
    <row r="2" spans="1:62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7">
        <f>AC2-AB2</f>
        <v>0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7">
        <f t="shared" ref="AD3:AD52" si="0">AC3-AB3</f>
        <v>0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7">
        <f t="shared" si="0"/>
        <v>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7">
        <f t="shared" si="0"/>
        <v>-1000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7">
        <f t="shared" si="0"/>
        <v>-4012.7000000000116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7">
        <f t="shared" si="0"/>
        <v>1019.7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1">T8</f>
        <v>50000</v>
      </c>
      <c r="V8" s="1">
        <f>U8</f>
        <v>50000</v>
      </c>
      <c r="W8" s="1">
        <f t="shared" ref="W8:W12" si="2">V8</f>
        <v>50000</v>
      </c>
      <c r="X8" s="1">
        <f t="shared" ref="X8:X13" si="3">W8</f>
        <v>50000</v>
      </c>
      <c r="Y8" s="1">
        <f t="shared" ref="Y8:Y13" si="4">X8</f>
        <v>50000</v>
      </c>
      <c r="Z8" s="1">
        <f t="shared" ref="Z8:Z13" si="5">Y8</f>
        <v>50000</v>
      </c>
      <c r="AA8" s="1">
        <f t="shared" ref="AA8:AB13" si="6">Z8</f>
        <v>50000</v>
      </c>
      <c r="AB8" s="1">
        <f>AA8</f>
        <v>50000</v>
      </c>
      <c r="AC8" s="1">
        <f>AB8</f>
        <v>50000</v>
      </c>
      <c r="AD8" s="17">
        <f t="shared" si="0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7">O9</f>
        <v>30000</v>
      </c>
      <c r="Q9" s="1">
        <v>30000</v>
      </c>
      <c r="R9" s="1">
        <f t="shared" ref="R9:R13" si="8">Q9</f>
        <v>30000</v>
      </c>
      <c r="S9" s="1">
        <f t="shared" ref="S9:T13" si="9">R9</f>
        <v>30000</v>
      </c>
      <c r="T9" s="1">
        <f t="shared" si="9"/>
        <v>30000</v>
      </c>
      <c r="U9" s="1">
        <f t="shared" si="1"/>
        <v>30000</v>
      </c>
      <c r="V9" s="1">
        <f t="shared" si="1"/>
        <v>30000</v>
      </c>
      <c r="W9" s="1">
        <f t="shared" si="2"/>
        <v>30000</v>
      </c>
      <c r="X9" s="1">
        <f t="shared" si="3"/>
        <v>30000</v>
      </c>
      <c r="Y9" s="1">
        <f t="shared" si="4"/>
        <v>30000</v>
      </c>
      <c r="Z9" s="1">
        <f t="shared" si="5"/>
        <v>30000</v>
      </c>
      <c r="AA9" s="1">
        <f t="shared" si="6"/>
        <v>30000</v>
      </c>
      <c r="AB9" s="1">
        <f t="shared" si="6"/>
        <v>30000</v>
      </c>
      <c r="AC9" s="1">
        <f>AB9</f>
        <v>30000</v>
      </c>
      <c r="AD9" s="17">
        <f t="shared" si="0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7"/>
        <v>40000</v>
      </c>
      <c r="Q10" s="1">
        <v>40000</v>
      </c>
      <c r="R10" s="1">
        <f t="shared" si="8"/>
        <v>40000</v>
      </c>
      <c r="S10" s="1">
        <f t="shared" si="9"/>
        <v>40000</v>
      </c>
      <c r="T10" s="1">
        <f t="shared" si="9"/>
        <v>40000</v>
      </c>
      <c r="U10" s="1">
        <f t="shared" si="1"/>
        <v>40000</v>
      </c>
      <c r="V10" s="1">
        <f t="shared" si="1"/>
        <v>40000</v>
      </c>
      <c r="W10" s="1">
        <f t="shared" si="2"/>
        <v>40000</v>
      </c>
      <c r="X10" s="1">
        <f t="shared" si="3"/>
        <v>40000</v>
      </c>
      <c r="Y10" s="1">
        <f t="shared" si="4"/>
        <v>40000</v>
      </c>
      <c r="Z10" s="1">
        <f t="shared" si="5"/>
        <v>40000</v>
      </c>
      <c r="AA10" s="1">
        <f t="shared" si="6"/>
        <v>40000</v>
      </c>
      <c r="AB10" s="1">
        <f t="shared" si="6"/>
        <v>40000</v>
      </c>
      <c r="AC10" s="1">
        <f>AB10</f>
        <v>40000</v>
      </c>
      <c r="AD10" s="17">
        <f t="shared" si="0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7"/>
        <v>138830</v>
      </c>
      <c r="Q11" s="1">
        <v>138830</v>
      </c>
      <c r="R11" s="1">
        <f t="shared" si="8"/>
        <v>138830</v>
      </c>
      <c r="S11" s="1">
        <f t="shared" si="9"/>
        <v>138830</v>
      </c>
      <c r="T11" s="1">
        <f t="shared" si="9"/>
        <v>138830</v>
      </c>
      <c r="U11" s="1">
        <f t="shared" si="1"/>
        <v>138830</v>
      </c>
      <c r="V11" s="1">
        <f t="shared" si="1"/>
        <v>138830</v>
      </c>
      <c r="W11" s="1">
        <f t="shared" si="2"/>
        <v>138830</v>
      </c>
      <c r="X11" s="1">
        <f t="shared" si="3"/>
        <v>138830</v>
      </c>
      <c r="Y11" s="1">
        <f t="shared" si="4"/>
        <v>138830</v>
      </c>
      <c r="Z11" s="1">
        <f t="shared" si="5"/>
        <v>138830</v>
      </c>
      <c r="AA11" s="1">
        <f t="shared" si="6"/>
        <v>138830</v>
      </c>
      <c r="AB11" s="1">
        <f t="shared" si="6"/>
        <v>138830</v>
      </c>
      <c r="AC11" s="1">
        <f>AB11</f>
        <v>138830</v>
      </c>
      <c r="AD11" s="17">
        <f t="shared" si="0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7"/>
        <v>197580</v>
      </c>
      <c r="Q12" s="1">
        <v>197580</v>
      </c>
      <c r="R12" s="1">
        <f t="shared" si="8"/>
        <v>197580</v>
      </c>
      <c r="S12" s="1">
        <f t="shared" si="9"/>
        <v>197580</v>
      </c>
      <c r="T12" s="1">
        <f t="shared" si="9"/>
        <v>197580</v>
      </c>
      <c r="U12" s="1">
        <f t="shared" si="1"/>
        <v>197580</v>
      </c>
      <c r="V12" s="1">
        <f t="shared" si="1"/>
        <v>197580</v>
      </c>
      <c r="W12" s="1">
        <f t="shared" si="2"/>
        <v>197580</v>
      </c>
      <c r="X12" s="1">
        <f t="shared" si="3"/>
        <v>197580</v>
      </c>
      <c r="Y12" s="1">
        <f t="shared" si="4"/>
        <v>197580</v>
      </c>
      <c r="Z12" s="1">
        <f t="shared" si="5"/>
        <v>197580</v>
      </c>
      <c r="AA12" s="1">
        <f t="shared" si="6"/>
        <v>197580</v>
      </c>
      <c r="AB12" s="1">
        <f t="shared" si="6"/>
        <v>197580</v>
      </c>
      <c r="AC12" s="1">
        <f>AB12</f>
        <v>197580</v>
      </c>
      <c r="AD12" s="17">
        <f t="shared" si="0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7"/>
        <v>16240</v>
      </c>
      <c r="Q13" s="1">
        <v>16240</v>
      </c>
      <c r="R13" s="1">
        <f t="shared" si="8"/>
        <v>16240</v>
      </c>
      <c r="S13" s="1">
        <f t="shared" si="9"/>
        <v>16240</v>
      </c>
      <c r="T13" s="1">
        <f t="shared" si="9"/>
        <v>16240</v>
      </c>
      <c r="U13" s="1">
        <f t="shared" si="1"/>
        <v>16240</v>
      </c>
      <c r="V13" s="1">
        <f t="shared" si="1"/>
        <v>16240</v>
      </c>
      <c r="W13" s="1">
        <f>V13</f>
        <v>16240</v>
      </c>
      <c r="X13" s="1">
        <f t="shared" si="3"/>
        <v>16240</v>
      </c>
      <c r="Y13" s="1">
        <f t="shared" si="4"/>
        <v>16240</v>
      </c>
      <c r="Z13" s="1">
        <f t="shared" si="5"/>
        <v>16240</v>
      </c>
      <c r="AA13" s="1">
        <f t="shared" si="6"/>
        <v>16240</v>
      </c>
      <c r="AB13" s="1">
        <f t="shared" si="6"/>
        <v>16240</v>
      </c>
      <c r="AC13" s="1">
        <f>AB13</f>
        <v>16240</v>
      </c>
      <c r="AD13" s="17">
        <f t="shared" si="0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7">
        <f t="shared" si="0"/>
        <v>-153.70000000000073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7">
        <f t="shared" si="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7">
        <f t="shared" si="0"/>
        <v>-169.40000000000146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0">Q17</f>
        <v>154.9</v>
      </c>
      <c r="S17" s="1">
        <f t="shared" si="10"/>
        <v>154.9</v>
      </c>
      <c r="T17" s="1">
        <f t="shared" si="10"/>
        <v>154.9</v>
      </c>
      <c r="U17" s="1">
        <f t="shared" si="10"/>
        <v>154.9</v>
      </c>
      <c r="V17" s="1">
        <f t="shared" si="10"/>
        <v>154.9</v>
      </c>
      <c r="W17" s="1">
        <f t="shared" si="10"/>
        <v>154.9</v>
      </c>
      <c r="X17" s="1">
        <f t="shared" ref="X17:AC17" si="11">W17</f>
        <v>154.9</v>
      </c>
      <c r="Y17" s="1">
        <f t="shared" si="11"/>
        <v>154.9</v>
      </c>
      <c r="Z17" s="1">
        <f t="shared" si="11"/>
        <v>154.9</v>
      </c>
      <c r="AA17" s="1">
        <f t="shared" si="11"/>
        <v>154.9</v>
      </c>
      <c r="AB17" s="1">
        <f t="shared" si="11"/>
        <v>154.9</v>
      </c>
      <c r="AC17" s="1">
        <f t="shared" si="11"/>
        <v>154.9</v>
      </c>
      <c r="AD17" s="17">
        <f t="shared" si="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35">
      <c r="A18" t="s">
        <v>24</v>
      </c>
      <c r="B18" t="s">
        <v>215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2">Y18</f>
        <v>300.5</v>
      </c>
      <c r="AA18" s="1">
        <f t="shared" si="12"/>
        <v>300.5</v>
      </c>
      <c r="AB18" s="1">
        <f t="shared" si="12"/>
        <v>300.5</v>
      </c>
      <c r="AC18" s="1">
        <f>AB18</f>
        <v>300.5</v>
      </c>
      <c r="AD18" s="17">
        <f t="shared" si="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35">
      <c r="A19" t="s">
        <v>24</v>
      </c>
      <c r="B19" t="s">
        <v>214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2"/>
        <v>939.5</v>
      </c>
      <c r="AA19" s="1">
        <f t="shared" si="12"/>
        <v>939.5</v>
      </c>
      <c r="AB19" s="1">
        <f t="shared" si="12"/>
        <v>939.5</v>
      </c>
      <c r="AC19" s="1">
        <f>AB19</f>
        <v>939.5</v>
      </c>
      <c r="AD19" s="17">
        <f t="shared" si="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3" si="13">R20</f>
        <v>14570.5</v>
      </c>
      <c r="T20" s="1">
        <f t="shared" si="13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7">
        <f t="shared" si="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35">
      <c r="A21" t="s">
        <v>24</v>
      </c>
      <c r="B21" t="s">
        <v>190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7">
        <f t="shared" si="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35">
      <c r="A22" t="s">
        <v>24</v>
      </c>
      <c r="B22" t="s">
        <v>58</v>
      </c>
      <c r="C22" s="1"/>
      <c r="D22" s="1"/>
      <c r="E22" s="1"/>
      <c r="F22" s="1"/>
      <c r="G22" s="1">
        <v>120000</v>
      </c>
      <c r="H22" s="1"/>
      <c r="I22" s="1"/>
      <c r="J22" s="1"/>
      <c r="K22" s="1"/>
      <c r="L22" s="5">
        <v>120000</v>
      </c>
      <c r="M22" s="5">
        <v>120000</v>
      </c>
      <c r="N22" s="5">
        <v>120000</v>
      </c>
      <c r="O22" s="1">
        <v>120000</v>
      </c>
      <c r="P22" s="1">
        <f>O22</f>
        <v>120000</v>
      </c>
      <c r="Q22" s="1">
        <v>120000</v>
      </c>
      <c r="R22" s="1">
        <f>Q22</f>
        <v>120000</v>
      </c>
      <c r="S22" s="1">
        <f t="shared" si="13"/>
        <v>120000</v>
      </c>
      <c r="T22" s="1">
        <f t="shared" si="13"/>
        <v>120000</v>
      </c>
      <c r="U22" s="1">
        <f>T22</f>
        <v>120000</v>
      </c>
      <c r="V22" s="1">
        <f>U22</f>
        <v>120000</v>
      </c>
      <c r="W22" s="1">
        <f>V22</f>
        <v>120000</v>
      </c>
      <c r="X22" s="1">
        <f>W22</f>
        <v>120000</v>
      </c>
      <c r="Y22" s="1">
        <f>X22</f>
        <v>120000</v>
      </c>
      <c r="Z22" s="1">
        <f>Y22</f>
        <v>120000</v>
      </c>
      <c r="AA22" s="1">
        <f>Z22</f>
        <v>120000</v>
      </c>
      <c r="AB22" s="1">
        <f>AA22</f>
        <v>120000</v>
      </c>
      <c r="AC22" s="1">
        <f>AB22</f>
        <v>120000</v>
      </c>
      <c r="AD22" s="17">
        <f t="shared" si="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x14ac:dyDescent="0.35">
      <c r="A23" t="s">
        <v>35</v>
      </c>
      <c r="B23" t="s">
        <v>6</v>
      </c>
      <c r="C23" s="1">
        <v>3000</v>
      </c>
      <c r="D23" s="1">
        <v>3000</v>
      </c>
      <c r="E23" s="1">
        <v>3000</v>
      </c>
      <c r="F23" s="1">
        <v>3000</v>
      </c>
      <c r="G23" s="1">
        <v>3000</v>
      </c>
      <c r="H23" s="1">
        <v>3000</v>
      </c>
      <c r="I23" s="1">
        <v>3000</v>
      </c>
      <c r="J23" s="1">
        <v>3000</v>
      </c>
      <c r="K23" s="1">
        <v>3000</v>
      </c>
      <c r="L23" s="5">
        <v>3000</v>
      </c>
      <c r="M23" s="5">
        <v>3000</v>
      </c>
      <c r="N23" s="5">
        <v>3000</v>
      </c>
      <c r="O23" s="1">
        <v>3000</v>
      </c>
      <c r="P23" s="1">
        <v>3000</v>
      </c>
      <c r="Q23" s="1">
        <v>3000</v>
      </c>
      <c r="R23" s="1">
        <f>Q23</f>
        <v>3000</v>
      </c>
      <c r="S23" s="1">
        <f t="shared" si="13"/>
        <v>3000</v>
      </c>
      <c r="T23" s="1">
        <f t="shared" si="13"/>
        <v>3000</v>
      </c>
      <c r="U23" s="1">
        <f>T23</f>
        <v>3000</v>
      </c>
      <c r="V23" s="1">
        <v>3000</v>
      </c>
      <c r="W23" s="1">
        <v>3000</v>
      </c>
      <c r="X23" s="1">
        <f>W23</f>
        <v>3000</v>
      </c>
      <c r="Y23" s="1">
        <f>X23</f>
        <v>3000</v>
      </c>
      <c r="Z23" s="1">
        <v>3000</v>
      </c>
      <c r="AA23" s="1">
        <v>3000</v>
      </c>
      <c r="AB23" s="1">
        <v>3000</v>
      </c>
      <c r="AC23" s="1">
        <v>3000</v>
      </c>
      <c r="AD23" s="17">
        <f t="shared" si="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35">
      <c r="A24" t="s">
        <v>36</v>
      </c>
      <c r="B24" t="s">
        <v>7</v>
      </c>
      <c r="C24" s="1">
        <v>314357.40000000002</v>
      </c>
      <c r="D24" s="1">
        <v>319388.7</v>
      </c>
      <c r="E24" s="1">
        <v>385146.2</v>
      </c>
      <c r="F24" s="1">
        <v>583710</v>
      </c>
      <c r="G24" s="1">
        <v>583710</v>
      </c>
      <c r="H24" s="1">
        <v>583710</v>
      </c>
      <c r="I24" s="1">
        <v>595596</v>
      </c>
      <c r="J24" s="1">
        <v>603639.1</v>
      </c>
      <c r="K24" s="1">
        <v>619314.4</v>
      </c>
      <c r="L24" s="5">
        <v>697875.5</v>
      </c>
      <c r="M24" s="5">
        <v>703010.4</v>
      </c>
      <c r="N24" s="5">
        <v>862315.2</v>
      </c>
      <c r="O24" s="1">
        <v>918404.2</v>
      </c>
      <c r="P24" s="1">
        <v>940395.4</v>
      </c>
      <c r="Q24" s="1">
        <f>386744.9+140891.8+117073.5+88556.5+4050+178300+57500</f>
        <v>973116.7</v>
      </c>
      <c r="R24" s="1">
        <v>1157407</v>
      </c>
      <c r="S24" s="1">
        <f>R24</f>
        <v>1157407</v>
      </c>
      <c r="T24" s="1">
        <v>1163373</v>
      </c>
      <c r="U24" s="1">
        <v>1179302</v>
      </c>
      <c r="V24" s="1">
        <v>1182890</v>
      </c>
      <c r="W24" s="1">
        <v>1213962.3</v>
      </c>
      <c r="X24" s="1">
        <v>1231367.6000000001</v>
      </c>
      <c r="Y24" s="1">
        <v>1236574.6000000001</v>
      </c>
      <c r="Z24" s="1">
        <v>1262976</v>
      </c>
      <c r="AA24" s="1">
        <v>1270394.2</v>
      </c>
      <c r="AB24" s="1">
        <v>1283924.3999999999</v>
      </c>
      <c r="AC24" s="1">
        <f>GETPIVOTDATA("Сумма, млн. руб",infra_invest!$J$9,"Получатель","АО «Атомэнергопром»")+GETPIVOTDATA("Сумма, млн. руб",infra_invest!$J$9,"Получатель","АО «ГТЛК»")+GETPIVOTDATA("Сумма, млн. руб",infra_invest!$J$9,"Получатель","ГК «Российские автомобильные дороги»")+GETPIVOTDATA("Сумма, млн. руб",infra_invest!$J$9,"Получатель","ГК Фонд содействия реформированию жилищно-коммунального хозяйства")+GETPIVOTDATA("Сумма, млн. руб",infra_invest!$J$9,"Получатель","ООО «Авиакапитал-Сервис»")+GETPIVOTDATA("Сумма, млн. руб",infra_invest!$J$9,"Получатель","ООО «Инфраструктурные инвестиции - 4»")+GETPIVOTDATA("Сумма, млн. руб",infra_invest!$J$9,"Получатель","ППК «Фонд развития территорий»")+GETPIVOTDATA("Сумма, млн. руб",infra_invest!$J$9,"Получатель","ОАО «РЖД»")</f>
        <v>1296899.4000000001</v>
      </c>
      <c r="AD24" s="17">
        <f t="shared" si="0"/>
        <v>12975.000000000233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x14ac:dyDescent="0.35">
      <c r="A25" t="s">
        <v>36</v>
      </c>
      <c r="B25" t="s">
        <v>8</v>
      </c>
      <c r="C25" s="1">
        <v>2221.4</v>
      </c>
      <c r="D25" s="1">
        <v>2221.4</v>
      </c>
      <c r="E25" s="1">
        <v>2221.4</v>
      </c>
      <c r="F25" s="1">
        <v>2153.4</v>
      </c>
      <c r="G25" s="1">
        <v>2153.4</v>
      </c>
      <c r="H25" s="1">
        <v>2082.4</v>
      </c>
      <c r="I25" s="1">
        <v>2082.4</v>
      </c>
      <c r="J25" s="1">
        <v>2082.4</v>
      </c>
      <c r="K25" s="1">
        <v>2082.4</v>
      </c>
      <c r="L25" s="5">
        <v>2014.4</v>
      </c>
      <c r="M25" s="5">
        <v>2014.4</v>
      </c>
      <c r="N25" s="5">
        <v>1943.5</v>
      </c>
      <c r="O25" s="1">
        <v>1943.5</v>
      </c>
      <c r="P25" s="1">
        <v>1943.5</v>
      </c>
      <c r="Q25" s="1">
        <v>1943.5</v>
      </c>
      <c r="R25" s="1">
        <v>1875.5</v>
      </c>
      <c r="S25" s="1">
        <f t="shared" ref="S25:T28" si="14">R25</f>
        <v>1875.5</v>
      </c>
      <c r="T25" s="1">
        <f t="shared" si="14"/>
        <v>1875.5</v>
      </c>
      <c r="U25" s="1">
        <f t="shared" ref="U25:V28" si="15">T25</f>
        <v>1875.5</v>
      </c>
      <c r="V25" s="1">
        <f t="shared" si="15"/>
        <v>1875.5</v>
      </c>
      <c r="W25" s="1">
        <v>1875.4</v>
      </c>
      <c r="X25" s="1">
        <f t="shared" ref="X25:Y27" si="16">W25</f>
        <v>1875.4</v>
      </c>
      <c r="Y25" s="1">
        <f t="shared" si="16"/>
        <v>1875.4</v>
      </c>
      <c r="Z25" s="1">
        <f t="shared" ref="Z25:AA28" si="17">Y25</f>
        <v>1875.4</v>
      </c>
      <c r="AA25" s="1">
        <f>Z25</f>
        <v>1875.4</v>
      </c>
      <c r="AB25" s="1">
        <f>AA25</f>
        <v>1875.4</v>
      </c>
      <c r="AC25" s="1">
        <f>AB25</f>
        <v>1875.4</v>
      </c>
      <c r="AD25" s="17">
        <f t="shared" si="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35">
      <c r="A26" t="s">
        <v>9</v>
      </c>
      <c r="B26" t="s">
        <v>30</v>
      </c>
      <c r="C26" s="1">
        <v>214037.9</v>
      </c>
      <c r="D26" s="1">
        <v>214037.9</v>
      </c>
      <c r="E26" s="1">
        <v>214037.9</v>
      </c>
      <c r="F26" s="1">
        <v>214037.9</v>
      </c>
      <c r="G26" s="1">
        <v>214037.9</v>
      </c>
      <c r="H26" s="1">
        <v>214037.9</v>
      </c>
      <c r="I26" s="1">
        <v>214037.9</v>
      </c>
      <c r="J26" s="1">
        <v>214037.9</v>
      </c>
      <c r="K26" s="1">
        <v>214037.9</v>
      </c>
      <c r="L26" s="5">
        <v>214037.9</v>
      </c>
      <c r="M26" s="5">
        <v>214037.9</v>
      </c>
      <c r="N26" s="5">
        <v>214037.9</v>
      </c>
      <c r="O26" s="5">
        <v>214037.9</v>
      </c>
      <c r="P26" s="5">
        <v>214037.9</v>
      </c>
      <c r="Q26" s="5">
        <v>214037.9</v>
      </c>
      <c r="R26" s="1">
        <f>Q26</f>
        <v>214037.9</v>
      </c>
      <c r="S26" s="1">
        <f t="shared" si="14"/>
        <v>214037.9</v>
      </c>
      <c r="T26" s="1">
        <f t="shared" si="14"/>
        <v>214037.9</v>
      </c>
      <c r="U26" s="1">
        <f t="shared" si="15"/>
        <v>214037.9</v>
      </c>
      <c r="V26" s="1">
        <f t="shared" si="15"/>
        <v>214037.9</v>
      </c>
      <c r="W26" s="1">
        <f>V26</f>
        <v>214037.9</v>
      </c>
      <c r="X26" s="1">
        <f t="shared" si="16"/>
        <v>214037.9</v>
      </c>
      <c r="Y26" s="1">
        <f t="shared" si="16"/>
        <v>214037.9</v>
      </c>
      <c r="Z26" s="1">
        <f t="shared" si="17"/>
        <v>214037.9</v>
      </c>
      <c r="AA26" s="1">
        <f t="shared" si="17"/>
        <v>214037.9</v>
      </c>
      <c r="AB26" s="1">
        <f t="shared" ref="AB26:AC28" si="18">AA26</f>
        <v>214037.9</v>
      </c>
      <c r="AC26" s="1">
        <f t="shared" si="18"/>
        <v>214037.9</v>
      </c>
      <c r="AD26" s="17">
        <f t="shared" si="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35">
      <c r="A27" t="s">
        <v>9</v>
      </c>
      <c r="B27" t="s">
        <v>31</v>
      </c>
      <c r="C27" s="1">
        <v>25000</v>
      </c>
      <c r="D27" s="1">
        <v>25000</v>
      </c>
      <c r="E27" s="1">
        <v>25000</v>
      </c>
      <c r="F27" s="1">
        <v>25000</v>
      </c>
      <c r="G27" s="1">
        <v>25000</v>
      </c>
      <c r="H27" s="1">
        <v>25000</v>
      </c>
      <c r="I27" s="1">
        <v>25000</v>
      </c>
      <c r="J27" s="1">
        <v>25000</v>
      </c>
      <c r="K27" s="1">
        <v>25000</v>
      </c>
      <c r="L27" s="5">
        <v>25000</v>
      </c>
      <c r="M27" s="5">
        <v>25000</v>
      </c>
      <c r="N27" s="5">
        <v>25000</v>
      </c>
      <c r="O27" s="5">
        <v>25000</v>
      </c>
      <c r="P27" s="5">
        <v>25000</v>
      </c>
      <c r="Q27" s="5">
        <v>25000</v>
      </c>
      <c r="R27" s="1">
        <f>Q27</f>
        <v>25000</v>
      </c>
      <c r="S27" s="1">
        <f t="shared" si="14"/>
        <v>25000</v>
      </c>
      <c r="T27" s="1">
        <f t="shared" si="14"/>
        <v>25000</v>
      </c>
      <c r="U27" s="1">
        <f t="shared" si="15"/>
        <v>25000</v>
      </c>
      <c r="V27" s="1">
        <f t="shared" si="15"/>
        <v>25000</v>
      </c>
      <c r="W27" s="1">
        <f>V27</f>
        <v>25000</v>
      </c>
      <c r="X27" s="1">
        <f t="shared" si="16"/>
        <v>25000</v>
      </c>
      <c r="Y27" s="1">
        <f t="shared" si="16"/>
        <v>25000</v>
      </c>
      <c r="Z27" s="1">
        <f t="shared" si="17"/>
        <v>25000</v>
      </c>
      <c r="AA27" s="1">
        <f t="shared" si="17"/>
        <v>25000</v>
      </c>
      <c r="AB27" s="1">
        <f t="shared" si="18"/>
        <v>25000</v>
      </c>
      <c r="AC27" s="1">
        <f t="shared" si="18"/>
        <v>25000</v>
      </c>
      <c r="AD27" s="17">
        <f t="shared" si="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x14ac:dyDescent="0.35">
      <c r="A28" t="s">
        <v>9</v>
      </c>
      <c r="B28" t="s">
        <v>32</v>
      </c>
      <c r="C28" s="1">
        <v>89954</v>
      </c>
      <c r="D28" s="1">
        <v>89954</v>
      </c>
      <c r="E28" s="1">
        <v>89954</v>
      </c>
      <c r="F28" s="1">
        <v>89954</v>
      </c>
      <c r="G28" s="1">
        <v>89954</v>
      </c>
      <c r="H28" s="1">
        <v>89954</v>
      </c>
      <c r="I28" s="1">
        <v>89954</v>
      </c>
      <c r="J28" s="1">
        <v>89954</v>
      </c>
      <c r="K28" s="1">
        <v>89954</v>
      </c>
      <c r="L28" s="5">
        <v>89954</v>
      </c>
      <c r="M28" s="5">
        <v>89954</v>
      </c>
      <c r="N28" s="5">
        <v>89954</v>
      </c>
      <c r="O28" s="5">
        <v>89954</v>
      </c>
      <c r="P28" s="5">
        <v>89954</v>
      </c>
      <c r="Q28" s="5">
        <v>89954</v>
      </c>
      <c r="R28" s="1">
        <f>Q28</f>
        <v>89954</v>
      </c>
      <c r="S28" s="1">
        <f t="shared" si="14"/>
        <v>89954</v>
      </c>
      <c r="T28" s="1">
        <f t="shared" si="14"/>
        <v>89954</v>
      </c>
      <c r="U28" s="1">
        <f t="shared" si="15"/>
        <v>89954</v>
      </c>
      <c r="V28" s="1">
        <f t="shared" si="15"/>
        <v>89954</v>
      </c>
      <c r="W28" s="1">
        <f>V28</f>
        <v>89954</v>
      </c>
      <c r="X28" s="1">
        <v>164954</v>
      </c>
      <c r="Y28" s="1">
        <f>X28</f>
        <v>164954</v>
      </c>
      <c r="Z28" s="1">
        <f t="shared" si="17"/>
        <v>164954</v>
      </c>
      <c r="AA28" s="1">
        <f t="shared" si="17"/>
        <v>164954</v>
      </c>
      <c r="AB28" s="1">
        <f t="shared" si="18"/>
        <v>164954</v>
      </c>
      <c r="AC28" s="1">
        <f t="shared" si="18"/>
        <v>164954</v>
      </c>
      <c r="AD28" s="17">
        <f t="shared" si="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35">
      <c r="A29" t="s">
        <v>38</v>
      </c>
      <c r="B29" t="s">
        <v>10</v>
      </c>
      <c r="C29" s="1">
        <v>138433.9</v>
      </c>
      <c r="D29" s="1">
        <v>138433.9</v>
      </c>
      <c r="E29" s="1">
        <v>138433.9</v>
      </c>
      <c r="F29" s="1">
        <v>138433.9</v>
      </c>
      <c r="G29" s="1">
        <v>138433.9</v>
      </c>
      <c r="H29" s="1">
        <v>138433.9</v>
      </c>
      <c r="I29" s="1">
        <v>0</v>
      </c>
      <c r="J29" s="1">
        <v>0</v>
      </c>
      <c r="K29" s="1">
        <v>0</v>
      </c>
      <c r="L29" s="5">
        <v>0</v>
      </c>
      <c r="M29" s="5">
        <v>0</v>
      </c>
      <c r="N29" s="5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7">
        <f t="shared" si="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35">
      <c r="A30" t="s">
        <v>38</v>
      </c>
      <c r="B30" t="s">
        <v>122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38433.9</v>
      </c>
      <c r="J30" s="1">
        <v>38433.9</v>
      </c>
      <c r="K30" s="1">
        <v>38433.9</v>
      </c>
      <c r="L30" s="5">
        <v>38433.9</v>
      </c>
      <c r="M30" s="5">
        <v>38433.9</v>
      </c>
      <c r="N30" s="5">
        <v>38433.9</v>
      </c>
      <c r="O30" s="1">
        <v>38433.9</v>
      </c>
      <c r="P30" s="1">
        <v>38433.9</v>
      </c>
      <c r="Q30" s="1">
        <v>38433.9</v>
      </c>
      <c r="R30" s="1">
        <f t="shared" ref="R30:W30" si="19">Q30</f>
        <v>38433.9</v>
      </c>
      <c r="S30" s="1">
        <f t="shared" si="19"/>
        <v>38433.9</v>
      </c>
      <c r="T30" s="1">
        <f t="shared" si="19"/>
        <v>38433.9</v>
      </c>
      <c r="U30" s="1">
        <f t="shared" si="19"/>
        <v>38433.9</v>
      </c>
      <c r="V30" s="1">
        <f t="shared" si="19"/>
        <v>38433.9</v>
      </c>
      <c r="W30" s="1">
        <f t="shared" si="19"/>
        <v>38433.9</v>
      </c>
      <c r="X30" s="1">
        <f t="shared" ref="X30:AC30" si="20">W30</f>
        <v>38433.9</v>
      </c>
      <c r="Y30" s="1">
        <f t="shared" si="20"/>
        <v>38433.9</v>
      </c>
      <c r="Z30" s="1">
        <f t="shared" si="20"/>
        <v>38433.9</v>
      </c>
      <c r="AA30" s="1">
        <f t="shared" si="20"/>
        <v>38433.9</v>
      </c>
      <c r="AB30" s="1">
        <f t="shared" si="20"/>
        <v>38433.9</v>
      </c>
      <c r="AC30" s="1">
        <f t="shared" si="20"/>
        <v>38433.9</v>
      </c>
      <c r="AD30" s="17">
        <f t="shared" si="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35">
      <c r="A31" t="s">
        <v>37</v>
      </c>
      <c r="B31" t="s">
        <v>120</v>
      </c>
      <c r="C31" s="1">
        <v>1231892.1000000001</v>
      </c>
      <c r="D31" s="1">
        <v>1432125.4</v>
      </c>
      <c r="E31" s="1">
        <v>1534896.1</v>
      </c>
      <c r="F31" s="1">
        <v>1590911.7</v>
      </c>
      <c r="G31" s="1">
        <v>1758281</v>
      </c>
      <c r="H31" s="1">
        <v>1920003.5</v>
      </c>
      <c r="I31" s="1">
        <v>2420417.2999999998</v>
      </c>
      <c r="J31" s="1">
        <v>2708739.7</v>
      </c>
      <c r="K31" s="1">
        <v>2756172.3</v>
      </c>
      <c r="L31" s="5">
        <v>2705012.9</v>
      </c>
      <c r="M31" s="5">
        <v>2931447</v>
      </c>
      <c r="N31" s="5">
        <v>2997062.1</v>
      </c>
      <c r="O31" s="1">
        <v>2944773.3</v>
      </c>
      <c r="P31" s="1">
        <v>3028345.1</v>
      </c>
      <c r="Q31" s="1">
        <v>3110787.4</v>
      </c>
      <c r="R31" s="1">
        <v>3067646.3</v>
      </c>
      <c r="S31" s="1">
        <v>3113497.8</v>
      </c>
      <c r="T31" s="1">
        <v>3303115.3</v>
      </c>
      <c r="U31" s="1">
        <v>3373360.7</v>
      </c>
      <c r="V31" s="1">
        <v>3483246.2</v>
      </c>
      <c r="W31" s="1">
        <v>3553491.6</v>
      </c>
      <c r="X31" s="1">
        <v>3698838.6</v>
      </c>
      <c r="Y31" s="1">
        <v>3271719.4</v>
      </c>
      <c r="Z31" s="1">
        <v>2895985.5</v>
      </c>
      <c r="AA31" s="1">
        <v>3057256.3</v>
      </c>
      <c r="AB31" s="1">
        <v>2708852.7</v>
      </c>
      <c r="AC31" s="1">
        <v>2632508.7999999998</v>
      </c>
      <c r="AD31" s="17">
        <f t="shared" si="0"/>
        <v>-76343.900000000373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35">
      <c r="A32" t="s">
        <v>37</v>
      </c>
      <c r="B32" t="s">
        <v>116</v>
      </c>
      <c r="C32" s="1">
        <v>53439.199999999997</v>
      </c>
      <c r="D32" s="1">
        <v>60627.5</v>
      </c>
      <c r="E32" s="1">
        <v>58793.2</v>
      </c>
      <c r="F32" s="1">
        <v>58073.8</v>
      </c>
      <c r="G32" s="1">
        <v>65876.899999999994</v>
      </c>
      <c r="H32" s="1">
        <v>66822.7</v>
      </c>
      <c r="I32" s="1">
        <v>74507.5</v>
      </c>
      <c r="J32" s="1">
        <v>94511.8</v>
      </c>
      <c r="K32" s="1">
        <v>94157.1</v>
      </c>
      <c r="L32" s="5">
        <v>100730.6</v>
      </c>
      <c r="M32" s="5">
        <v>107256.8</v>
      </c>
      <c r="N32" s="5">
        <v>104111.9</v>
      </c>
      <c r="O32" s="1">
        <v>97869.5</v>
      </c>
      <c r="P32" s="1">
        <v>92785.7</v>
      </c>
      <c r="Q32" s="1">
        <v>86046.6</v>
      </c>
      <c r="R32" s="1">
        <v>82901.8</v>
      </c>
      <c r="S32" s="1">
        <v>92076.3</v>
      </c>
      <c r="T32" s="1">
        <v>90823.1</v>
      </c>
      <c r="U32" s="1">
        <v>105719.8</v>
      </c>
      <c r="V32" s="1">
        <v>121964.4</v>
      </c>
      <c r="W32" s="1">
        <v>130264.1</v>
      </c>
      <c r="X32" s="1">
        <v>148471.20000000001</v>
      </c>
      <c r="Y32" s="1">
        <v>128206.9</v>
      </c>
      <c r="Z32" s="1">
        <v>112884.5</v>
      </c>
      <c r="AA32" s="1">
        <v>130145.8</v>
      </c>
      <c r="AB32" s="1">
        <v>127426.6</v>
      </c>
      <c r="AC32" s="1">
        <v>126433.5</v>
      </c>
      <c r="AD32" s="17">
        <f t="shared" si="0"/>
        <v>-993.10000000000582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x14ac:dyDescent="0.35">
      <c r="A33" t="s">
        <v>37</v>
      </c>
      <c r="B33" t="s">
        <v>11</v>
      </c>
      <c r="C33" s="1">
        <v>50000</v>
      </c>
      <c r="D33" s="1">
        <v>50000</v>
      </c>
      <c r="E33" s="1">
        <v>50000</v>
      </c>
      <c r="F33" s="1">
        <v>50000</v>
      </c>
      <c r="G33" s="1">
        <v>50000</v>
      </c>
      <c r="H33" s="1">
        <v>50000</v>
      </c>
      <c r="I33" s="1">
        <v>50000</v>
      </c>
      <c r="J33" s="1">
        <v>50000</v>
      </c>
      <c r="K33" s="1">
        <v>50000</v>
      </c>
      <c r="L33" s="5">
        <v>137000</v>
      </c>
      <c r="M33" s="5">
        <v>137000</v>
      </c>
      <c r="N33" s="5">
        <v>137000</v>
      </c>
      <c r="O33" s="1">
        <v>137000</v>
      </c>
      <c r="P33" s="1">
        <v>137000</v>
      </c>
      <c r="Q33" s="1">
        <v>137000</v>
      </c>
      <c r="R33" s="1">
        <f>Q33</f>
        <v>137000</v>
      </c>
      <c r="S33" s="1">
        <v>137000</v>
      </c>
      <c r="T33" s="1">
        <f t="shared" ref="T33:V34" si="21">S33</f>
        <v>137000</v>
      </c>
      <c r="U33" s="1">
        <f t="shared" si="21"/>
        <v>137000</v>
      </c>
      <c r="V33" s="1">
        <f t="shared" si="21"/>
        <v>137000</v>
      </c>
      <c r="W33" s="1">
        <v>137000</v>
      </c>
      <c r="X33" s="1">
        <f t="shared" ref="X33:Z34" si="22">W33</f>
        <v>137000</v>
      </c>
      <c r="Y33" s="1">
        <f t="shared" si="22"/>
        <v>137000</v>
      </c>
      <c r="Z33" s="1">
        <f t="shared" si="22"/>
        <v>137000</v>
      </c>
      <c r="AA33" s="1">
        <f t="shared" ref="AA33:AC34" si="23">Z33</f>
        <v>137000</v>
      </c>
      <c r="AB33" s="1">
        <f t="shared" si="23"/>
        <v>137000</v>
      </c>
      <c r="AC33" s="1">
        <f t="shared" si="23"/>
        <v>137000</v>
      </c>
      <c r="AD33" s="17">
        <f t="shared" si="0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35">
      <c r="A34" t="s">
        <v>37</v>
      </c>
      <c r="B34" t="s">
        <v>16</v>
      </c>
      <c r="C34" s="1">
        <v>58334</v>
      </c>
      <c r="D34" s="1">
        <v>58334</v>
      </c>
      <c r="E34" s="1">
        <v>58334</v>
      </c>
      <c r="F34" s="1">
        <v>58334</v>
      </c>
      <c r="G34" s="1">
        <v>58334</v>
      </c>
      <c r="H34" s="1">
        <v>58334</v>
      </c>
      <c r="I34" s="1">
        <v>58334</v>
      </c>
      <c r="J34" s="1">
        <v>58334</v>
      </c>
      <c r="K34" s="1">
        <v>58334</v>
      </c>
      <c r="L34" s="5">
        <v>58334</v>
      </c>
      <c r="M34" s="5">
        <v>58334</v>
      </c>
      <c r="N34" s="5">
        <v>58334</v>
      </c>
      <c r="O34" s="1">
        <v>58334</v>
      </c>
      <c r="P34" s="1">
        <v>58334</v>
      </c>
      <c r="Q34" s="1">
        <v>58334</v>
      </c>
      <c r="R34" s="1">
        <v>58334</v>
      </c>
      <c r="S34" s="1">
        <v>58334</v>
      </c>
      <c r="T34" s="1">
        <f t="shared" si="21"/>
        <v>58334</v>
      </c>
      <c r="U34" s="1">
        <f t="shared" si="21"/>
        <v>58334</v>
      </c>
      <c r="V34" s="1">
        <f t="shared" si="21"/>
        <v>58334</v>
      </c>
      <c r="W34" s="1">
        <v>58334</v>
      </c>
      <c r="X34" s="1">
        <f t="shared" si="22"/>
        <v>58334</v>
      </c>
      <c r="Y34" s="1">
        <f t="shared" si="22"/>
        <v>58334</v>
      </c>
      <c r="Z34" s="1">
        <f t="shared" si="22"/>
        <v>58334</v>
      </c>
      <c r="AA34" s="1">
        <f t="shared" si="23"/>
        <v>58334</v>
      </c>
      <c r="AB34" s="1">
        <f t="shared" si="23"/>
        <v>58334</v>
      </c>
      <c r="AC34" s="1">
        <f t="shared" si="23"/>
        <v>58334</v>
      </c>
      <c r="AD34" s="17">
        <f t="shared" si="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35">
      <c r="A35" t="s">
        <v>37</v>
      </c>
      <c r="B35" t="s">
        <v>112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105853.1</v>
      </c>
      <c r="J35" s="1">
        <v>130289.7</v>
      </c>
      <c r="K35" s="1">
        <v>130084.9</v>
      </c>
      <c r="L35" s="5">
        <v>127216.9</v>
      </c>
      <c r="M35" s="5">
        <v>150482.9</v>
      </c>
      <c r="N35" s="5">
        <v>168598.2</v>
      </c>
      <c r="O35" s="1">
        <v>151214.5</v>
      </c>
      <c r="P35" s="1">
        <v>147205.20000000001</v>
      </c>
      <c r="Q35" s="1">
        <v>138806</v>
      </c>
      <c r="R35" s="1">
        <v>133713.79999999999</v>
      </c>
      <c r="S35" s="1">
        <f>143693.3</f>
        <v>143693.29999999999</v>
      </c>
      <c r="T35" s="1">
        <v>136845.20000000001</v>
      </c>
      <c r="U35" s="1">
        <v>133040.70000000001</v>
      </c>
      <c r="V35" s="1">
        <v>137137.79999999999</v>
      </c>
      <c r="W35" s="1">
        <v>116856.9</v>
      </c>
      <c r="X35" s="1">
        <v>125021.9</v>
      </c>
      <c r="Y35" s="1">
        <v>114989.8</v>
      </c>
      <c r="Z35" s="1">
        <v>109206.9</v>
      </c>
      <c r="AA35" s="1">
        <v>105730.2</v>
      </c>
      <c r="AB35" s="1">
        <v>88416.7</v>
      </c>
      <c r="AC35" s="1">
        <v>81568.600000000006</v>
      </c>
      <c r="AD35" s="17">
        <f t="shared" si="0"/>
        <v>-6848.0999999999913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35">
      <c r="A36" t="s">
        <v>13</v>
      </c>
      <c r="B36" t="s">
        <v>12</v>
      </c>
      <c r="C36" s="1">
        <v>250000</v>
      </c>
      <c r="D36" s="1">
        <v>250000</v>
      </c>
      <c r="E36" s="1">
        <v>250000</v>
      </c>
      <c r="F36" s="1">
        <v>467000</v>
      </c>
      <c r="G36" s="1">
        <v>467000</v>
      </c>
      <c r="H36" s="1">
        <v>467000</v>
      </c>
      <c r="I36" s="1">
        <v>467000</v>
      </c>
      <c r="J36" s="1">
        <v>467000</v>
      </c>
      <c r="K36" s="1">
        <v>467000</v>
      </c>
      <c r="L36" s="5">
        <v>467000</v>
      </c>
      <c r="M36" s="5">
        <v>467000</v>
      </c>
      <c r="N36" s="5">
        <v>467000</v>
      </c>
      <c r="O36" s="1">
        <v>467000</v>
      </c>
      <c r="P36" s="1">
        <v>467000</v>
      </c>
      <c r="Q36" s="1">
        <v>467000</v>
      </c>
      <c r="R36" s="1">
        <f t="shared" ref="R36:W36" si="24">Q36</f>
        <v>467000</v>
      </c>
      <c r="S36" s="1">
        <f t="shared" si="24"/>
        <v>467000</v>
      </c>
      <c r="T36" s="1">
        <f t="shared" si="24"/>
        <v>467000</v>
      </c>
      <c r="U36" s="1">
        <f t="shared" si="24"/>
        <v>467000</v>
      </c>
      <c r="V36" s="1">
        <f t="shared" si="24"/>
        <v>467000</v>
      </c>
      <c r="W36" s="1">
        <f t="shared" si="24"/>
        <v>467000</v>
      </c>
      <c r="X36" s="1">
        <f t="shared" ref="X36:AC36" si="25">W36</f>
        <v>467000</v>
      </c>
      <c r="Y36" s="1">
        <f t="shared" si="25"/>
        <v>467000</v>
      </c>
      <c r="Z36" s="1">
        <f t="shared" si="25"/>
        <v>467000</v>
      </c>
      <c r="AA36" s="1">
        <f t="shared" si="25"/>
        <v>467000</v>
      </c>
      <c r="AB36" s="1">
        <f t="shared" si="25"/>
        <v>467000</v>
      </c>
      <c r="AC36" s="1">
        <f t="shared" si="25"/>
        <v>467000</v>
      </c>
      <c r="AD36" s="17">
        <f t="shared" si="0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35">
      <c r="A37" t="s">
        <v>14</v>
      </c>
      <c r="B37" t="s">
        <v>15</v>
      </c>
      <c r="C37" s="1">
        <v>11851.9</v>
      </c>
      <c r="D37" s="1">
        <v>11851.9</v>
      </c>
      <c r="E37" s="1">
        <v>11851.9</v>
      </c>
      <c r="F37" s="1">
        <v>11851.9</v>
      </c>
      <c r="G37" s="1">
        <v>11851.9</v>
      </c>
      <c r="H37" s="1">
        <v>11851.9</v>
      </c>
      <c r="I37" s="1">
        <v>11851.9</v>
      </c>
      <c r="J37" s="1">
        <v>11851.9</v>
      </c>
      <c r="K37" s="1">
        <v>11851.9</v>
      </c>
      <c r="L37" s="5">
        <v>11851.9</v>
      </c>
      <c r="M37" s="5">
        <v>0</v>
      </c>
      <c r="N37" s="5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7">
        <f t="shared" si="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35">
      <c r="A38" t="s">
        <v>14</v>
      </c>
      <c r="B38" t="s">
        <v>17</v>
      </c>
      <c r="C38" s="1">
        <v>2298.9</v>
      </c>
      <c r="D38" s="1">
        <v>2298.9</v>
      </c>
      <c r="E38" s="1">
        <v>2298.9</v>
      </c>
      <c r="F38" s="1">
        <v>2298.9</v>
      </c>
      <c r="G38" s="1">
        <v>2298.9</v>
      </c>
      <c r="H38" s="1">
        <v>2298.9</v>
      </c>
      <c r="I38" s="1">
        <v>2298.9</v>
      </c>
      <c r="J38" s="1">
        <v>2298.9</v>
      </c>
      <c r="K38" s="1">
        <v>2298.9</v>
      </c>
      <c r="L38" s="5">
        <v>2298.9</v>
      </c>
      <c r="M38" s="5">
        <v>2298.9</v>
      </c>
      <c r="N38" s="5">
        <v>2298.9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7">
        <f t="shared" si="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35">
      <c r="A39" t="s">
        <v>14</v>
      </c>
      <c r="B39" t="s">
        <v>39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34948.1</v>
      </c>
      <c r="K39" s="5">
        <v>34948.1</v>
      </c>
      <c r="L39" s="5">
        <v>34948.1</v>
      </c>
      <c r="M39" s="5">
        <v>34423.9</v>
      </c>
      <c r="N39" s="5">
        <v>97014.5</v>
      </c>
      <c r="O39" s="1">
        <v>167543.5</v>
      </c>
      <c r="P39" s="1">
        <v>185719.7</v>
      </c>
      <c r="Q39" s="1">
        <v>190195.1</v>
      </c>
      <c r="R39" s="1">
        <v>296818.8</v>
      </c>
      <c r="S39" s="1">
        <v>296014</v>
      </c>
      <c r="T39" s="1">
        <v>294994</v>
      </c>
      <c r="U39" s="1">
        <v>292320.8</v>
      </c>
      <c r="V39" s="1">
        <v>291516.09999999998</v>
      </c>
      <c r="W39" s="1">
        <v>290496</v>
      </c>
      <c r="X39" s="1">
        <v>287822.8</v>
      </c>
      <c r="Y39" s="1">
        <v>287018.09999999998</v>
      </c>
      <c r="Z39" s="1">
        <v>285998</v>
      </c>
      <c r="AA39" s="1">
        <v>282911.8</v>
      </c>
      <c r="AB39" s="1">
        <v>282107.09999999998</v>
      </c>
      <c r="AC39" s="1">
        <v>281087</v>
      </c>
      <c r="AD39" s="17">
        <f t="shared" si="0"/>
        <v>-1020.0999999999767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35">
      <c r="A40" t="s">
        <v>14</v>
      </c>
      <c r="B40" t="s">
        <v>40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60000</v>
      </c>
      <c r="K40" s="5">
        <v>60000</v>
      </c>
      <c r="L40" s="5">
        <v>60000</v>
      </c>
      <c r="M40" s="5">
        <v>60000</v>
      </c>
      <c r="N40" s="5">
        <v>60000</v>
      </c>
      <c r="O40" s="1">
        <v>60000</v>
      </c>
      <c r="P40" s="1">
        <v>60000</v>
      </c>
      <c r="Q40" s="1">
        <v>60000</v>
      </c>
      <c r="R40" s="1">
        <v>60000</v>
      </c>
      <c r="S40" s="1">
        <f t="shared" ref="S40:T43" si="26">R40</f>
        <v>60000</v>
      </c>
      <c r="T40" s="1">
        <f t="shared" si="26"/>
        <v>60000</v>
      </c>
      <c r="U40" s="1">
        <f t="shared" ref="U40:W41" si="27">T40</f>
        <v>60000</v>
      </c>
      <c r="V40" s="1">
        <f t="shared" si="27"/>
        <v>60000</v>
      </c>
      <c r="W40" s="1">
        <f t="shared" si="27"/>
        <v>60000</v>
      </c>
      <c r="X40" s="1">
        <f>W40</f>
        <v>60000</v>
      </c>
      <c r="Y40" s="1">
        <f>X40</f>
        <v>60000</v>
      </c>
      <c r="Z40" s="1">
        <f>Y40</f>
        <v>60000</v>
      </c>
      <c r="AA40" s="1">
        <v>60000</v>
      </c>
      <c r="AB40" s="1">
        <f>AA40</f>
        <v>60000</v>
      </c>
      <c r="AC40" s="1">
        <f>AB40</f>
        <v>60000</v>
      </c>
      <c r="AD40" s="17">
        <f t="shared" si="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35">
      <c r="A41" t="s">
        <v>14</v>
      </c>
      <c r="B41" t="s">
        <v>211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5">
        <v>0</v>
      </c>
      <c r="L41" s="5">
        <v>0</v>
      </c>
      <c r="M41" s="5">
        <v>0</v>
      </c>
      <c r="N41" s="5">
        <v>0</v>
      </c>
      <c r="O41" s="1">
        <v>0</v>
      </c>
      <c r="P41" s="1">
        <v>0</v>
      </c>
      <c r="Q41" s="1">
        <v>0</v>
      </c>
      <c r="R41" s="1">
        <v>11000</v>
      </c>
      <c r="S41" s="1">
        <f t="shared" si="26"/>
        <v>11000</v>
      </c>
      <c r="T41" s="1">
        <f t="shared" si="26"/>
        <v>11000</v>
      </c>
      <c r="U41" s="1">
        <f t="shared" si="27"/>
        <v>11000</v>
      </c>
      <c r="V41" s="1">
        <f t="shared" si="27"/>
        <v>11000</v>
      </c>
      <c r="W41" s="1">
        <f t="shared" si="27"/>
        <v>11000</v>
      </c>
      <c r="X41" s="1">
        <v>16000</v>
      </c>
      <c r="Y41" s="1">
        <f>X41</f>
        <v>16000</v>
      </c>
      <c r="Z41" s="1">
        <f>Y41+12500</f>
        <v>28500</v>
      </c>
      <c r="AA41" s="1">
        <f>Z41</f>
        <v>28500</v>
      </c>
      <c r="AB41" s="1">
        <f>AA41</f>
        <v>28500</v>
      </c>
      <c r="AC41" s="1">
        <f>AB41+21200</f>
        <v>49700</v>
      </c>
      <c r="AD41" s="17">
        <f t="shared" si="0"/>
        <v>21200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35">
      <c r="A42" t="s">
        <v>14</v>
      </c>
      <c r="B42" t="s">
        <v>212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3000</v>
      </c>
      <c r="Z42" s="1">
        <f>Y42+2750</f>
        <v>5750</v>
      </c>
      <c r="AA42" s="1">
        <f>Z42+2000</f>
        <v>7750</v>
      </c>
      <c r="AB42" s="1">
        <f>AA42+1250</f>
        <v>9000</v>
      </c>
      <c r="AC42" s="1">
        <f>AB42+1000</f>
        <v>10000</v>
      </c>
      <c r="AD42" s="17">
        <f t="shared" si="0"/>
        <v>1000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35">
      <c r="A43" t="s">
        <v>14</v>
      </c>
      <c r="B43" t="s">
        <v>209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17952.400000000001</v>
      </c>
      <c r="S43" s="1">
        <f t="shared" si="26"/>
        <v>17952.400000000001</v>
      </c>
      <c r="T43" s="1">
        <f t="shared" si="26"/>
        <v>17952.400000000001</v>
      </c>
      <c r="U43" s="1">
        <v>153989.70000000001</v>
      </c>
      <c r="V43" s="1">
        <f>U43</f>
        <v>153989.70000000001</v>
      </c>
      <c r="W43" s="1">
        <f>V43</f>
        <v>153989.70000000001</v>
      </c>
      <c r="X43" s="1">
        <f>247324.7</f>
        <v>247324.7</v>
      </c>
      <c r="Y43" s="1">
        <f>X43</f>
        <v>247324.7</v>
      </c>
      <c r="Z43" s="1">
        <f>Y43</f>
        <v>247324.7</v>
      </c>
      <c r="AA43" s="1">
        <f>Z43</f>
        <v>247324.7</v>
      </c>
      <c r="AB43" s="1">
        <f>AA43</f>
        <v>247324.7</v>
      </c>
      <c r="AC43" s="1">
        <f>AB43</f>
        <v>247324.7</v>
      </c>
      <c r="AD43" s="17">
        <f t="shared" si="0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s="3" customFormat="1" x14ac:dyDescent="0.3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17">
        <f t="shared" si="0"/>
        <v>0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35">
      <c r="A45" t="s">
        <v>41</v>
      </c>
      <c r="B45" t="s">
        <v>18</v>
      </c>
      <c r="C45" s="1">
        <v>10792185.6</v>
      </c>
      <c r="D45" s="1">
        <v>11374082</v>
      </c>
      <c r="E45" s="1">
        <v>11389507.9</v>
      </c>
      <c r="F45" s="1">
        <v>10434580.800000001</v>
      </c>
      <c r="G45" s="1">
        <v>10807595</v>
      </c>
      <c r="H45" s="1">
        <v>11106403.6</v>
      </c>
      <c r="I45" s="1">
        <v>11906061.4</v>
      </c>
      <c r="J45" s="1">
        <v>12475588.300000001</v>
      </c>
      <c r="K45" s="1">
        <v>12353145.800000001</v>
      </c>
      <c r="L45" s="5">
        <v>12670270.1</v>
      </c>
      <c r="M45" s="5">
        <v>13313450.5</v>
      </c>
      <c r="N45" s="5">
        <v>13703597.699999999</v>
      </c>
      <c r="O45" s="1">
        <v>13648337.699999999</v>
      </c>
      <c r="P45" s="1">
        <v>13541231.5</v>
      </c>
      <c r="Q45" s="1">
        <v>13432971.800000001</v>
      </c>
      <c r="R45" s="1">
        <v>11965074.699999999</v>
      </c>
      <c r="S45" s="1">
        <v>11922371.199999999</v>
      </c>
      <c r="T45" s="1">
        <v>12258661.199999999</v>
      </c>
      <c r="U45" s="1">
        <v>12534406.300000001</v>
      </c>
      <c r="V45" s="1">
        <v>12750839.4</v>
      </c>
      <c r="W45" s="1">
        <v>12703814.5</v>
      </c>
      <c r="X45" s="1">
        <v>12601672.4</v>
      </c>
      <c r="Y45" s="1">
        <v>12277510.9</v>
      </c>
      <c r="Z45" s="1">
        <v>12165767</v>
      </c>
      <c r="AA45" s="1">
        <v>12787132.6</v>
      </c>
      <c r="AB45" s="1">
        <v>12726198.800000001</v>
      </c>
      <c r="AC45" s="1">
        <v>13096719.1</v>
      </c>
      <c r="AD45" s="17">
        <f t="shared" si="0"/>
        <v>370520.29999999888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x14ac:dyDescent="0.35">
      <c r="A46" t="s">
        <v>41</v>
      </c>
      <c r="B46" t="s">
        <v>20</v>
      </c>
      <c r="C46" s="1">
        <v>187974.6</v>
      </c>
      <c r="D46" s="1">
        <v>184841.3</v>
      </c>
      <c r="E46" s="1">
        <v>186486.39999999999</v>
      </c>
      <c r="F46" s="1">
        <v>148350.20000000001</v>
      </c>
      <c r="G46" s="1">
        <v>155297.79999999999</v>
      </c>
      <c r="H46" s="1">
        <v>147236.70000000001</v>
      </c>
      <c r="I46" s="1">
        <v>154451.1</v>
      </c>
      <c r="J46" s="1">
        <v>154958.29999999999</v>
      </c>
      <c r="K46" s="1">
        <v>153099.20000000001</v>
      </c>
      <c r="L46" s="5">
        <v>145578.20000000001</v>
      </c>
      <c r="M46" s="5">
        <v>146336.5</v>
      </c>
      <c r="N46" s="5">
        <v>142852.5</v>
      </c>
      <c r="O46" s="1">
        <v>140105.5</v>
      </c>
      <c r="P46" s="1">
        <v>145224.4</v>
      </c>
      <c r="Q46" s="1">
        <v>151129.1</v>
      </c>
      <c r="R46" s="1">
        <v>133407.29999999999</v>
      </c>
      <c r="S46" s="1">
        <v>133526.1</v>
      </c>
      <c r="T46" s="1">
        <v>133436</v>
      </c>
      <c r="U46" s="1">
        <v>135703.70000000001</v>
      </c>
      <c r="V46" s="1">
        <v>138929.70000000001</v>
      </c>
      <c r="W46" s="1">
        <v>141488.5</v>
      </c>
      <c r="X46" s="1">
        <v>146961.70000000001</v>
      </c>
      <c r="Y46" s="1">
        <v>142216</v>
      </c>
      <c r="Z46" s="1">
        <v>133415.9</v>
      </c>
      <c r="AA46" s="1">
        <v>137922.29999999999</v>
      </c>
      <c r="AB46" s="1">
        <v>131126.29999999999</v>
      </c>
      <c r="AC46" s="1">
        <v>121557.5</v>
      </c>
      <c r="AD46" s="17">
        <f t="shared" si="0"/>
        <v>-9568.7999999999884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x14ac:dyDescent="0.35">
      <c r="A47" t="s">
        <v>43</v>
      </c>
      <c r="B47" t="s">
        <v>19</v>
      </c>
      <c r="C47" s="2">
        <v>8.1000000000000003E-2</v>
      </c>
      <c r="D47" s="2">
        <v>8.5000000000000006E-2</v>
      </c>
      <c r="E47" s="2">
        <v>8.5000000000000006E-2</v>
      </c>
      <c r="F47" s="2">
        <v>7.8E-2</v>
      </c>
      <c r="G47" s="2">
        <v>7.1999999999999995E-2</v>
      </c>
      <c r="H47" s="2">
        <v>7.3999999999999996E-2</v>
      </c>
      <c r="I47" s="2">
        <v>7.9000000000000001E-2</v>
      </c>
      <c r="J47" s="2">
        <v>8.3000000000000004E-2</v>
      </c>
      <c r="K47" s="2">
        <v>8.2000000000000003E-2</v>
      </c>
      <c r="L47" s="8">
        <v>8.4000000000000005E-2</v>
      </c>
      <c r="M47" s="8">
        <v>8.8999999999999996E-2</v>
      </c>
      <c r="N47" s="8">
        <v>9.0999999999999998E-2</v>
      </c>
      <c r="O47" s="2">
        <v>9.0999999999999998E-2</v>
      </c>
      <c r="P47" s="2">
        <v>0.09</v>
      </c>
      <c r="Q47" s="2">
        <v>0.09</v>
      </c>
      <c r="R47" s="2">
        <v>0.08</v>
      </c>
      <c r="S47" s="2">
        <v>6.6000000000000003E-2</v>
      </c>
      <c r="T47" s="2">
        <v>6.8000000000000005E-2</v>
      </c>
      <c r="U47" s="2">
        <v>7.0000000000000007E-2</v>
      </c>
      <c r="V47" s="2">
        <v>7.0999999999999994E-2</v>
      </c>
      <c r="W47" s="2">
        <v>7.0999999999999994E-2</v>
      </c>
      <c r="X47" s="2">
        <v>7.0000000000000007E-2</v>
      </c>
      <c r="Y47" s="2">
        <v>6.4000000000000001E-2</v>
      </c>
      <c r="Z47" s="2">
        <v>6.4000000000000001E-2</v>
      </c>
      <c r="AA47" s="2">
        <v>6.7000000000000004E-2</v>
      </c>
      <c r="AB47" s="2">
        <v>6.6000000000000003E-2</v>
      </c>
      <c r="AC47" s="2">
        <v>6.8000000000000005E-2</v>
      </c>
      <c r="AD47" s="17">
        <f t="shared" si="0"/>
        <v>2.0000000000000018E-3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3" customFormat="1" x14ac:dyDescent="0.3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17">
        <f t="shared" si="0"/>
        <v>0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35">
      <c r="A49" t="s">
        <v>21</v>
      </c>
      <c r="B49" t="s">
        <v>22</v>
      </c>
      <c r="C49" s="1">
        <v>7524361.2999999998</v>
      </c>
      <c r="D49" s="1">
        <v>7872548.2999999998</v>
      </c>
      <c r="E49" s="1">
        <v>7601763</v>
      </c>
      <c r="F49" s="1">
        <v>6132655.2000000002</v>
      </c>
      <c r="G49" s="1">
        <v>6334590.5999999996</v>
      </c>
      <c r="H49" s="1">
        <v>6446231</v>
      </c>
      <c r="I49" s="1">
        <v>6712063.4000000004</v>
      </c>
      <c r="J49" s="1">
        <v>6828671.4000000004</v>
      </c>
      <c r="K49" s="1">
        <v>6643004.4000000004</v>
      </c>
      <c r="L49" s="5">
        <v>6811125</v>
      </c>
      <c r="M49" s="5">
        <v>7183391.5</v>
      </c>
      <c r="N49" s="5">
        <v>7251634.9000000004</v>
      </c>
      <c r="O49" s="1">
        <v>7140176.0999999996</v>
      </c>
      <c r="P49" s="1">
        <v>6938308.7999999998</v>
      </c>
      <c r="Q49" s="1">
        <v>6746505.0999999996</v>
      </c>
      <c r="R49" s="1">
        <v>5011778</v>
      </c>
      <c r="S49" s="1">
        <v>4907126.4000000004</v>
      </c>
      <c r="T49" s="1">
        <v>5044614.2</v>
      </c>
      <c r="U49" s="1">
        <v>5087766.7</v>
      </c>
      <c r="V49" s="1">
        <v>5172247.3</v>
      </c>
      <c r="W49" s="1">
        <v>5046039</v>
      </c>
      <c r="X49" s="1">
        <v>4603329.0999999996</v>
      </c>
      <c r="Y49" s="1">
        <v>4665093</v>
      </c>
      <c r="Z49" s="1">
        <v>4854458.2</v>
      </c>
      <c r="AA49" s="1">
        <v>5255172.0999999996</v>
      </c>
      <c r="AB49" s="1">
        <v>5447193.4000000004</v>
      </c>
      <c r="AC49" s="1">
        <v>5792014.7999999998</v>
      </c>
      <c r="AD49" s="17">
        <f t="shared" si="0"/>
        <v>344821.39999999944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x14ac:dyDescent="0.35">
      <c r="A50" t="s">
        <v>21</v>
      </c>
      <c r="B50" t="s">
        <v>23</v>
      </c>
      <c r="C50" s="1">
        <v>131056.8</v>
      </c>
      <c r="D50" s="1">
        <v>127937.60000000001</v>
      </c>
      <c r="E50" s="1">
        <v>124467.7</v>
      </c>
      <c r="F50" s="1">
        <v>87189</v>
      </c>
      <c r="G50" s="1">
        <v>91023.8</v>
      </c>
      <c r="H50" s="1">
        <v>85457.2</v>
      </c>
      <c r="I50" s="1">
        <v>87072.1</v>
      </c>
      <c r="J50" s="1">
        <v>84818.4</v>
      </c>
      <c r="K50" s="1">
        <v>82330.3</v>
      </c>
      <c r="L50" s="5">
        <v>78258.100000000006</v>
      </c>
      <c r="M50" s="5">
        <v>78957.2</v>
      </c>
      <c r="N50" s="5">
        <v>75594.3</v>
      </c>
      <c r="O50" s="1">
        <v>73296.7</v>
      </c>
      <c r="P50" s="1">
        <v>74410.600000000006</v>
      </c>
      <c r="Q50" s="1">
        <v>75905.3</v>
      </c>
      <c r="R50" s="1">
        <v>55880</v>
      </c>
      <c r="S50" s="1">
        <v>54958</v>
      </c>
      <c r="T50" s="1">
        <v>54910.8</v>
      </c>
      <c r="U50" s="1">
        <v>55082.7</v>
      </c>
      <c r="V50" s="1">
        <v>56355.4</v>
      </c>
      <c r="W50" s="1">
        <v>56200.2</v>
      </c>
      <c r="X50" s="1">
        <v>53684.4</v>
      </c>
      <c r="Y50" s="1">
        <v>54037.9</v>
      </c>
      <c r="Z50" s="1">
        <v>53236.4</v>
      </c>
      <c r="AA50" s="1">
        <v>56682.400000000001</v>
      </c>
      <c r="AB50" s="1">
        <v>56126</v>
      </c>
      <c r="AC50" s="1">
        <v>53758.7</v>
      </c>
      <c r="AD50" s="17">
        <f t="shared" si="0"/>
        <v>-2367.3000000000029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x14ac:dyDescent="0.35">
      <c r="A51" t="s">
        <v>42</v>
      </c>
      <c r="B51" t="s">
        <v>19</v>
      </c>
      <c r="C51" s="2">
        <v>5.6000000000000001E-2</v>
      </c>
      <c r="D51" s="2">
        <v>5.8999999999999997E-2</v>
      </c>
      <c r="E51" s="2">
        <v>5.7000000000000002E-2</v>
      </c>
      <c r="F51" s="2">
        <v>4.5999999999999999E-2</v>
      </c>
      <c r="G51" s="2">
        <v>4.2000000000000003E-2</v>
      </c>
      <c r="H51" s="2">
        <v>4.2999999999999997E-2</v>
      </c>
      <c r="I51" s="2">
        <v>4.4999999999999998E-2</v>
      </c>
      <c r="J51" s="2">
        <v>4.5999999999999999E-2</v>
      </c>
      <c r="K51" s="2">
        <v>4.3999999999999997E-2</v>
      </c>
      <c r="L51" s="8">
        <v>4.4999999999999998E-2</v>
      </c>
      <c r="M51" s="8">
        <v>4.8000000000000001E-2</v>
      </c>
      <c r="N51" s="8">
        <v>4.8000000000000001E-2</v>
      </c>
      <c r="O51" s="2">
        <v>4.8000000000000001E-2</v>
      </c>
      <c r="P51" s="2">
        <v>4.5999999999999999E-2</v>
      </c>
      <c r="Q51" s="2">
        <v>4.4999999999999998E-2</v>
      </c>
      <c r="R51" s="2">
        <v>3.3000000000000002E-2</v>
      </c>
      <c r="S51" s="2">
        <v>2.7E-2</v>
      </c>
      <c r="T51" s="2">
        <v>2.8000000000000001E-2</v>
      </c>
      <c r="U51" s="2">
        <v>2.8000000000000001E-2</v>
      </c>
      <c r="V51" s="2">
        <v>2.9000000000000001E-2</v>
      </c>
      <c r="W51" s="2">
        <v>2.8000000000000001E-2</v>
      </c>
      <c r="X51" s="2">
        <v>2.5999999999999999E-2</v>
      </c>
      <c r="Y51" s="2">
        <v>2.4E-2</v>
      </c>
      <c r="Z51" s="2">
        <v>2.5000000000000001E-2</v>
      </c>
      <c r="AA51" s="2">
        <v>2.5000000000000001E-2</v>
      </c>
      <c r="AB51" s="2">
        <v>2.8000000000000001E-2</v>
      </c>
      <c r="AC51" s="2">
        <v>0.03</v>
      </c>
      <c r="AD51" s="17">
        <f t="shared" si="0"/>
        <v>1.9999999999999983E-3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35">
      <c r="A52" t="s">
        <v>44</v>
      </c>
      <c r="B52" t="s">
        <v>45</v>
      </c>
      <c r="C52" s="2">
        <f>C50/C46</f>
        <v>0.6972048351213409</v>
      </c>
      <c r="D52" s="2">
        <f>D50/D46</f>
        <v>0.69214834563487715</v>
      </c>
      <c r="E52" s="2">
        <f>E50/E46</f>
        <v>0.66743580228906774</v>
      </c>
      <c r="F52" s="2">
        <f>F50/F46</f>
        <v>0.58772418237386936</v>
      </c>
      <c r="G52" s="2">
        <f>G50/G46</f>
        <v>0.58612420781234509</v>
      </c>
      <c r="H52" s="2">
        <f t="shared" ref="H52:P52" si="28">H50/H46</f>
        <v>0.58040692300221342</v>
      </c>
      <c r="I52" s="2">
        <f t="shared" si="28"/>
        <v>0.56375189299396378</v>
      </c>
      <c r="J52" s="2">
        <f t="shared" si="28"/>
        <v>0.54736274210545677</v>
      </c>
      <c r="K52" s="2">
        <f t="shared" si="28"/>
        <v>0.53775787202023262</v>
      </c>
      <c r="L52" s="2">
        <f t="shared" si="28"/>
        <v>0.53756743798178575</v>
      </c>
      <c r="M52" s="2">
        <f t="shared" si="28"/>
        <v>0.53955916671507109</v>
      </c>
      <c r="N52" s="2">
        <f t="shared" si="28"/>
        <v>0.52917729826219351</v>
      </c>
      <c r="O52" s="2">
        <f>O50/O46</f>
        <v>0.5231536235194193</v>
      </c>
      <c r="P52" s="2">
        <f t="shared" si="28"/>
        <v>0.512383593941514</v>
      </c>
      <c r="Q52" s="2">
        <f t="shared" ref="Q52:AB52" si="29">Q50/Q46</f>
        <v>0.5022546948271378</v>
      </c>
      <c r="R52" s="2">
        <f t="shared" si="29"/>
        <v>0.41886763318049314</v>
      </c>
      <c r="S52" s="2">
        <f t="shared" si="29"/>
        <v>0.41158994383869518</v>
      </c>
      <c r="T52" s="2">
        <f t="shared" si="29"/>
        <v>0.41151413411673016</v>
      </c>
      <c r="U52" s="2">
        <f t="shared" si="29"/>
        <v>0.40590418684236312</v>
      </c>
      <c r="V52" s="2">
        <f t="shared" si="29"/>
        <v>0.40563968683442053</v>
      </c>
      <c r="W52" s="2">
        <f t="shared" si="29"/>
        <v>0.39720684013188351</v>
      </c>
      <c r="X52" s="2">
        <f t="shared" si="29"/>
        <v>0.36529517554573743</v>
      </c>
      <c r="Y52" s="2">
        <f t="shared" si="29"/>
        <v>0.37997060808910393</v>
      </c>
      <c r="Z52" s="2">
        <f t="shared" si="29"/>
        <v>0.39902590320943759</v>
      </c>
      <c r="AA52" s="2">
        <f t="shared" si="29"/>
        <v>0.41097342489213134</v>
      </c>
      <c r="AB52" s="2">
        <f t="shared" si="29"/>
        <v>0.42803007482099326</v>
      </c>
      <c r="AC52" s="2">
        <f>AC50/AC46</f>
        <v>0.4422491413528577</v>
      </c>
      <c r="AD52" s="17">
        <f t="shared" si="0"/>
        <v>1.4219066531864444E-2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x14ac:dyDescent="0.35">
      <c r="C53" s="1"/>
      <c r="D53" s="1"/>
      <c r="E53" s="1"/>
      <c r="F53" s="1"/>
      <c r="G53" s="1"/>
      <c r="H53" s="1"/>
      <c r="I53" s="1"/>
      <c r="J53" s="1"/>
      <c r="K53" s="1"/>
      <c r="L53" s="5"/>
      <c r="M53" s="5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x14ac:dyDescent="0.35"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x14ac:dyDescent="0.35">
      <c r="A55" t="s">
        <v>117</v>
      </c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x14ac:dyDescent="0.35">
      <c r="A56" t="s">
        <v>119</v>
      </c>
      <c r="C56" s="1"/>
      <c r="D56" s="1"/>
      <c r="E56" s="1"/>
      <c r="F56" s="1"/>
      <c r="G56" s="1"/>
      <c r="H56" s="1"/>
      <c r="I56" s="1"/>
      <c r="J56" s="1"/>
      <c r="K56" s="1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x14ac:dyDescent="0.35">
      <c r="A57" t="s">
        <v>221</v>
      </c>
      <c r="C57" s="1"/>
      <c r="D57" s="1"/>
      <c r="E57" s="1"/>
      <c r="F57" s="1"/>
      <c r="G57" s="1"/>
      <c r="H57" s="1"/>
      <c r="I57" s="1"/>
      <c r="J57" s="1"/>
      <c r="K57" s="1"/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x14ac:dyDescent="0.35"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 x14ac:dyDescent="0.35"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 x14ac:dyDescent="0.35"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35"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3:62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3:62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3:62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3:62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3:62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3:62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3:62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3:62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3:62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3:62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3:62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3:62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3:62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3:62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3:62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B21" sqref="AB21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28" width="9.90625" bestFit="1" customWidth="1"/>
  </cols>
  <sheetData>
    <row r="1" spans="1:28" x14ac:dyDescent="0.35">
      <c r="A1" t="s">
        <v>139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206</v>
      </c>
      <c r="W1" t="s">
        <v>207</v>
      </c>
      <c r="X1" t="s">
        <v>210</v>
      </c>
      <c r="Y1" t="s">
        <v>217</v>
      </c>
      <c r="Z1" t="s">
        <v>218</v>
      </c>
      <c r="AA1" t="s">
        <v>219</v>
      </c>
      <c r="AB1" t="s">
        <v>220</v>
      </c>
    </row>
    <row r="2" spans="1:28" x14ac:dyDescent="0.35">
      <c r="A2" t="s">
        <v>129</v>
      </c>
      <c r="B2" s="12">
        <f>Main_!C45</f>
        <v>10792185.6</v>
      </c>
      <c r="C2" s="12">
        <f>Main_!D45</f>
        <v>11374082</v>
      </c>
      <c r="D2" s="12">
        <f>Main_!E45</f>
        <v>11389507.9</v>
      </c>
      <c r="E2" s="12">
        <f>Main_!F45</f>
        <v>10434580.800000001</v>
      </c>
      <c r="F2" s="12">
        <f>Main_!G45</f>
        <v>10807595</v>
      </c>
      <c r="G2" s="12">
        <f>Main_!H45</f>
        <v>11106403.6</v>
      </c>
      <c r="H2" s="12">
        <f>Main_!I45</f>
        <v>11906061.4</v>
      </c>
      <c r="I2" s="12">
        <f>Main_!J45</f>
        <v>12475588.300000001</v>
      </c>
      <c r="J2" s="12">
        <f>Main_!K45</f>
        <v>12353145.800000001</v>
      </c>
      <c r="K2" s="12">
        <f>Main_!L45</f>
        <v>12670270.1</v>
      </c>
      <c r="L2" s="12">
        <f>Main_!M45</f>
        <v>13313450.5</v>
      </c>
      <c r="M2" s="12">
        <f>Main_!N45</f>
        <v>13703597.699999999</v>
      </c>
      <c r="N2" s="12">
        <f>Main_!O45</f>
        <v>13648337.699999999</v>
      </c>
      <c r="O2" s="12">
        <f>Main_!P45</f>
        <v>13541231.5</v>
      </c>
      <c r="P2" s="12">
        <f>Main_!Q45</f>
        <v>13432971.800000001</v>
      </c>
      <c r="Q2" s="12">
        <f>Main_!R45</f>
        <v>11965074.699999999</v>
      </c>
      <c r="R2" s="12">
        <f>Main_!S45</f>
        <v>11922371.199999999</v>
      </c>
      <c r="S2" s="12">
        <f>Main_!T45</f>
        <v>12258661.199999999</v>
      </c>
      <c r="T2" s="12">
        <f>Main_!U45</f>
        <v>12534406.300000001</v>
      </c>
      <c r="U2" s="12">
        <f>Main_!V45</f>
        <v>12750839.4</v>
      </c>
      <c r="V2" s="12">
        <f>Main_!W45</f>
        <v>12703814.5</v>
      </c>
      <c r="W2" s="12">
        <f>Main_!X45</f>
        <v>12601672.4</v>
      </c>
      <c r="X2" s="12">
        <f>Main_!Y45</f>
        <v>12277510.9</v>
      </c>
      <c r="Y2" s="12">
        <f>Main_!Z45</f>
        <v>12165767</v>
      </c>
      <c r="Z2" s="12">
        <f>Main_!AA45</f>
        <v>12787132.6</v>
      </c>
      <c r="AA2" s="12">
        <f>Main_!AB45</f>
        <v>12726198.800000001</v>
      </c>
      <c r="AB2" s="12">
        <f>Main_!AC45</f>
        <v>13096719.1</v>
      </c>
    </row>
    <row r="3" spans="1:28" x14ac:dyDescent="0.35">
      <c r="A3" t="s">
        <v>130</v>
      </c>
      <c r="B3" s="12">
        <f>Main_!C46</f>
        <v>187974.6</v>
      </c>
      <c r="C3" s="12">
        <f>Main_!D46</f>
        <v>184841.3</v>
      </c>
      <c r="D3" s="12">
        <f>Main_!E46</f>
        <v>186486.39999999999</v>
      </c>
      <c r="E3" s="12">
        <f>Main_!F46</f>
        <v>148350.20000000001</v>
      </c>
      <c r="F3" s="12">
        <f>Main_!G46</f>
        <v>155297.79999999999</v>
      </c>
      <c r="G3" s="12">
        <f>Main_!H46</f>
        <v>147236.70000000001</v>
      </c>
      <c r="H3" s="12">
        <f>Main_!I46</f>
        <v>154451.1</v>
      </c>
      <c r="I3" s="12">
        <f>Main_!J46</f>
        <v>154958.29999999999</v>
      </c>
      <c r="J3" s="12">
        <f>Main_!K46</f>
        <v>153099.20000000001</v>
      </c>
      <c r="K3" s="12">
        <f>Main_!L46</f>
        <v>145578.20000000001</v>
      </c>
      <c r="L3" s="12">
        <f>Main_!M46</f>
        <v>146336.5</v>
      </c>
      <c r="M3" s="12">
        <f>Main_!N46</f>
        <v>142852.5</v>
      </c>
      <c r="N3" s="12">
        <f>Main_!O46</f>
        <v>140105.5</v>
      </c>
      <c r="O3" s="12">
        <f>Main_!P46</f>
        <v>145224.4</v>
      </c>
      <c r="P3" s="12">
        <f>Main_!Q46</f>
        <v>151129.1</v>
      </c>
      <c r="Q3" s="12">
        <f>Main_!R46</f>
        <v>133407.29999999999</v>
      </c>
      <c r="R3" s="12">
        <f>Main_!S46</f>
        <v>133526.1</v>
      </c>
      <c r="S3" s="12">
        <f>Main_!T46</f>
        <v>133436</v>
      </c>
      <c r="T3" s="12">
        <f>Main_!U46</f>
        <v>135703.70000000001</v>
      </c>
      <c r="U3" s="12">
        <f>Main_!V46</f>
        <v>138929.70000000001</v>
      </c>
      <c r="V3" s="12">
        <f>Main_!W46</f>
        <v>141488.5</v>
      </c>
      <c r="W3" s="12">
        <f>Main_!X46</f>
        <v>146961.70000000001</v>
      </c>
      <c r="X3" s="12">
        <f>Main_!Y46</f>
        <v>142216</v>
      </c>
      <c r="Y3" s="12">
        <f>Main_!Z46</f>
        <v>133415.9</v>
      </c>
      <c r="Z3" s="12">
        <f>Main_!AA46</f>
        <v>137922.29999999999</v>
      </c>
      <c r="AA3" s="12">
        <f>Main_!AB46</f>
        <v>131126.29999999999</v>
      </c>
      <c r="AB3" s="12">
        <f>Main_!AC46</f>
        <v>121557.5</v>
      </c>
    </row>
    <row r="4" spans="1:28" x14ac:dyDescent="0.35">
      <c r="A4" t="s">
        <v>140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</row>
    <row r="5" spans="1:28" x14ac:dyDescent="0.35">
      <c r="A5" t="s">
        <v>141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</row>
    <row r="6" spans="1:28" x14ac:dyDescent="0.35">
      <c r="A6" t="s">
        <v>142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</row>
    <row r="7" spans="1:28" x14ac:dyDescent="0.35">
      <c r="A7" t="s">
        <v>143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</row>
    <row r="8" spans="1:28" x14ac:dyDescent="0.35">
      <c r="A8" t="s">
        <v>148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SUM(Main_!L8:L22)</f>
        <v>653020</v>
      </c>
      <c r="L8" s="12">
        <f>SUM(Main_!M8:M22)</f>
        <v>655170.80000000005</v>
      </c>
      <c r="M8" s="12">
        <f>SUM(Main_!N8:N22)</f>
        <v>656580</v>
      </c>
      <c r="N8" s="12">
        <f>SUM(Main_!O8:O22)</f>
        <v>657029.30000000005</v>
      </c>
      <c r="O8" s="12">
        <f>SUM(Main_!P8:P22)</f>
        <v>657764.80000000005</v>
      </c>
      <c r="P8" s="12">
        <f>SUM(Main_!Q8:Q22)</f>
        <v>658364.9</v>
      </c>
      <c r="Q8" s="12">
        <f>SUM(Main_!R8:R22)</f>
        <v>658828.30000000005</v>
      </c>
      <c r="R8" s="12">
        <f>SUM(Main_!S8:S22)</f>
        <v>658595.69999999995</v>
      </c>
      <c r="S8" s="12">
        <f>SUM(Main_!T8:T22)</f>
        <v>658293.5</v>
      </c>
      <c r="T8" s="12">
        <f>SUM(Main_!U8:U22)</f>
        <v>657832.89999999991</v>
      </c>
      <c r="U8" s="12">
        <f>SUM(Main_!V8:V22)</f>
        <v>659635.9</v>
      </c>
      <c r="V8" s="12">
        <f>SUM(Main_!W8:W22)</f>
        <v>660216.1</v>
      </c>
      <c r="W8" s="12">
        <f>SUM(Main_!X8:X22)</f>
        <v>660688.69999999995</v>
      </c>
      <c r="X8" s="12">
        <f>SUM(Main_!Y8:Y22)</f>
        <v>689427.9</v>
      </c>
      <c r="Y8" s="12">
        <f>SUM(Main_!Z8:Z22)</f>
        <v>690022.5</v>
      </c>
      <c r="Z8" s="12">
        <f>SUM(Main_!AA8:AA22)</f>
        <v>690508.4</v>
      </c>
      <c r="AA8" s="12">
        <f>SUM(Main_!AB8:AB22)</f>
        <v>752240.9</v>
      </c>
      <c r="AB8" s="12">
        <f>SUM(Main_!AC8:AC22)</f>
        <v>751917.8</v>
      </c>
    </row>
    <row r="9" spans="1:28" x14ac:dyDescent="0.35">
      <c r="A9" t="s">
        <v>131</v>
      </c>
      <c r="B9" s="12">
        <f>Main_!C23</f>
        <v>3000</v>
      </c>
      <c r="C9" s="12">
        <f>Main_!D23</f>
        <v>3000</v>
      </c>
      <c r="D9" s="12">
        <f>Main_!E23</f>
        <v>3000</v>
      </c>
      <c r="E9" s="12">
        <f>Main_!F23</f>
        <v>3000</v>
      </c>
      <c r="F9" s="12">
        <f>Main_!G23</f>
        <v>3000</v>
      </c>
      <c r="G9" s="12">
        <f>Main_!H23</f>
        <v>3000</v>
      </c>
      <c r="H9" s="12">
        <f>Main_!I23</f>
        <v>3000</v>
      </c>
      <c r="I9" s="12">
        <f>Main_!J23</f>
        <v>3000</v>
      </c>
      <c r="J9" s="12">
        <f>Main_!K23</f>
        <v>3000</v>
      </c>
      <c r="K9" s="12">
        <f>Main_!L23</f>
        <v>3000</v>
      </c>
      <c r="L9" s="12">
        <f>Main_!M23</f>
        <v>3000</v>
      </c>
      <c r="M9" s="12">
        <f>Main_!N23</f>
        <v>3000</v>
      </c>
      <c r="N9" s="12">
        <f>Main_!O23</f>
        <v>3000</v>
      </c>
      <c r="O9" s="12">
        <f>Main_!P23</f>
        <v>3000</v>
      </c>
      <c r="P9" s="12">
        <f>Main_!Q23</f>
        <v>3000</v>
      </c>
      <c r="Q9" s="12">
        <f>Main_!R23</f>
        <v>3000</v>
      </c>
      <c r="R9" s="12">
        <f>Main_!S23</f>
        <v>3000</v>
      </c>
      <c r="S9" s="12">
        <f>Main_!T23</f>
        <v>3000</v>
      </c>
      <c r="T9" s="12">
        <f>Main_!U23</f>
        <v>3000</v>
      </c>
      <c r="U9" s="12">
        <f>Main_!V23</f>
        <v>3000</v>
      </c>
      <c r="V9" s="12">
        <f>Main_!W23</f>
        <v>3000</v>
      </c>
      <c r="W9" s="12">
        <f>Main_!X23</f>
        <v>3000</v>
      </c>
      <c r="X9" s="12">
        <f>Main_!Y23</f>
        <v>3000</v>
      </c>
      <c r="Y9" s="12">
        <f>Main_!Z23</f>
        <v>3000</v>
      </c>
      <c r="Z9" s="12">
        <f>Main_!AA23</f>
        <v>3000</v>
      </c>
      <c r="AA9" s="12">
        <f>Main_!AB23</f>
        <v>3000</v>
      </c>
      <c r="AB9" s="12">
        <f>Main_!AC23</f>
        <v>3000</v>
      </c>
    </row>
    <row r="10" spans="1:28" x14ac:dyDescent="0.35">
      <c r="A10" t="s">
        <v>132</v>
      </c>
      <c r="B10" s="12">
        <f>Main_!C24</f>
        <v>314357.40000000002</v>
      </c>
      <c r="C10" s="12">
        <f>Main_!D24</f>
        <v>319388.7</v>
      </c>
      <c r="D10" s="12">
        <f>Main_!E24</f>
        <v>385146.2</v>
      </c>
      <c r="E10" s="12">
        <f>Main_!F24</f>
        <v>583710</v>
      </c>
      <c r="F10" s="12">
        <f>Main_!G24</f>
        <v>583710</v>
      </c>
      <c r="G10" s="12">
        <f>Main_!H24</f>
        <v>583710</v>
      </c>
      <c r="H10" s="12">
        <f>Main_!I24</f>
        <v>595596</v>
      </c>
      <c r="I10" s="12">
        <f>Main_!J24</f>
        <v>603639.1</v>
      </c>
      <c r="J10" s="12">
        <f>Main_!K24</f>
        <v>619314.4</v>
      </c>
      <c r="K10" s="12">
        <f>Main_!L24</f>
        <v>697875.5</v>
      </c>
      <c r="L10" s="12">
        <f>Main_!M24</f>
        <v>703010.4</v>
      </c>
      <c r="M10" s="12">
        <f>Main_!N24</f>
        <v>862315.2</v>
      </c>
      <c r="N10" s="12">
        <f>Main_!O24</f>
        <v>918404.2</v>
      </c>
      <c r="O10" s="12">
        <f>Main_!P24</f>
        <v>940395.4</v>
      </c>
      <c r="P10" s="12">
        <f>Main_!Q24</f>
        <v>973116.7</v>
      </c>
      <c r="Q10" s="12">
        <f>Main_!R24</f>
        <v>1157407</v>
      </c>
      <c r="R10" s="12">
        <f>Main_!S24</f>
        <v>1157407</v>
      </c>
      <c r="S10" s="12">
        <f>Main_!T24</f>
        <v>1163373</v>
      </c>
      <c r="T10" s="12">
        <f>Main_!U24</f>
        <v>1179302</v>
      </c>
      <c r="U10" s="12">
        <f>Main_!V24</f>
        <v>1182890</v>
      </c>
      <c r="V10" s="12">
        <f>Main_!W24</f>
        <v>1213962.3</v>
      </c>
      <c r="W10" s="12">
        <f>Main_!X24</f>
        <v>1231367.6000000001</v>
      </c>
      <c r="X10" s="12">
        <f>Main_!Y24</f>
        <v>1236574.6000000001</v>
      </c>
      <c r="Y10" s="12">
        <f>Main_!Z24</f>
        <v>1262976</v>
      </c>
      <c r="Z10" s="12">
        <f>Main_!AA24</f>
        <v>1270394.2</v>
      </c>
      <c r="AA10" s="12">
        <f>Main_!AB24</f>
        <v>1283924.3999999999</v>
      </c>
      <c r="AB10" s="12">
        <f>Main_!AC24</f>
        <v>1296899.4000000001</v>
      </c>
    </row>
    <row r="11" spans="1:28" x14ac:dyDescent="0.35">
      <c r="A11" t="s">
        <v>133</v>
      </c>
      <c r="B11" s="12">
        <f>Main_!C25</f>
        <v>2221.4</v>
      </c>
      <c r="C11" s="12">
        <f>Main_!D25</f>
        <v>2221.4</v>
      </c>
      <c r="D11" s="12">
        <f>Main_!E25</f>
        <v>2221.4</v>
      </c>
      <c r="E11" s="12">
        <f>Main_!F25</f>
        <v>2153.4</v>
      </c>
      <c r="F11" s="12">
        <f>Main_!G25</f>
        <v>2153.4</v>
      </c>
      <c r="G11" s="12">
        <f>Main_!H25</f>
        <v>2082.4</v>
      </c>
      <c r="H11" s="12">
        <f>Main_!I25</f>
        <v>2082.4</v>
      </c>
      <c r="I11" s="12">
        <f>Main_!J25</f>
        <v>2082.4</v>
      </c>
      <c r="J11" s="12">
        <f>Main_!K25</f>
        <v>2082.4</v>
      </c>
      <c r="K11" s="12">
        <f>Main_!L25</f>
        <v>2014.4</v>
      </c>
      <c r="L11" s="12">
        <f>Main_!M25</f>
        <v>2014.4</v>
      </c>
      <c r="M11" s="12">
        <f>Main_!N25</f>
        <v>1943.5</v>
      </c>
      <c r="N11" s="12">
        <f>Main_!O25</f>
        <v>1943.5</v>
      </c>
      <c r="O11" s="12">
        <f>Main_!P25</f>
        <v>1943.5</v>
      </c>
      <c r="P11" s="12">
        <f>Main_!Q25</f>
        <v>1943.5</v>
      </c>
      <c r="Q11" s="12">
        <f>Main_!R25</f>
        <v>1875.5</v>
      </c>
      <c r="R11" s="12">
        <f>Main_!S25</f>
        <v>1875.5</v>
      </c>
      <c r="S11" s="12">
        <f>Main_!T25</f>
        <v>1875.5</v>
      </c>
      <c r="T11" s="12">
        <f>Main_!U25</f>
        <v>1875.5</v>
      </c>
      <c r="U11" s="12">
        <f>Main_!V25</f>
        <v>1875.5</v>
      </c>
      <c r="V11" s="12">
        <f>Main_!W25</f>
        <v>1875.4</v>
      </c>
      <c r="W11" s="12">
        <f>Main_!X25</f>
        <v>1875.4</v>
      </c>
      <c r="X11" s="12">
        <f>Main_!Y25</f>
        <v>1875.4</v>
      </c>
      <c r="Y11" s="12">
        <f>Main_!Z25</f>
        <v>1875.4</v>
      </c>
      <c r="Z11" s="12">
        <f>Main_!AA25</f>
        <v>1875.4</v>
      </c>
      <c r="AA11" s="12">
        <f>Main_!AB25</f>
        <v>1875.4</v>
      </c>
      <c r="AB11" s="12">
        <f>Main_!AC25</f>
        <v>1875.4</v>
      </c>
    </row>
    <row r="12" spans="1:28" x14ac:dyDescent="0.35">
      <c r="A12" t="s">
        <v>134</v>
      </c>
      <c r="B12" s="12">
        <f>SUM(Main_!C26:C28)</f>
        <v>328991.90000000002</v>
      </c>
      <c r="C12" s="12">
        <f>SUM(Main_!D26:D28)</f>
        <v>328991.90000000002</v>
      </c>
      <c r="D12" s="12">
        <f>SUM(Main_!E26:E28)</f>
        <v>328991.90000000002</v>
      </c>
      <c r="E12" s="12">
        <f>SUM(Main_!F26:F28)</f>
        <v>328991.90000000002</v>
      </c>
      <c r="F12" s="12">
        <f>SUM(Main_!G26:G28)</f>
        <v>328991.90000000002</v>
      </c>
      <c r="G12" s="12">
        <f>SUM(Main_!H26:H28)</f>
        <v>328991.90000000002</v>
      </c>
      <c r="H12" s="12">
        <f>SUM(Main_!I26:I28)</f>
        <v>328991.90000000002</v>
      </c>
      <c r="I12" s="12">
        <f>SUM(Main_!J26:J28)</f>
        <v>328991.90000000002</v>
      </c>
      <c r="J12" s="12">
        <f>SUM(Main_!K26:K28)</f>
        <v>328991.90000000002</v>
      </c>
      <c r="K12" s="12">
        <f>SUM(Main_!L26:L28)</f>
        <v>328991.90000000002</v>
      </c>
      <c r="L12" s="12">
        <f>SUM(Main_!M26:M28)</f>
        <v>328991.90000000002</v>
      </c>
      <c r="M12" s="12">
        <f>SUM(Main_!N26:N28)</f>
        <v>328991.90000000002</v>
      </c>
      <c r="N12" s="12">
        <f>SUM(Main_!O26:O28)</f>
        <v>328991.90000000002</v>
      </c>
      <c r="O12" s="12">
        <f>SUM(Main_!P26:P28)</f>
        <v>328991.90000000002</v>
      </c>
      <c r="P12" s="12">
        <f>SUM(Main_!Q26:Q28)</f>
        <v>328991.90000000002</v>
      </c>
      <c r="Q12" s="12">
        <f>SUM(Main_!R26:R28)</f>
        <v>328991.90000000002</v>
      </c>
      <c r="R12" s="12">
        <f>SUM(Main_!S26:S28)</f>
        <v>328991.90000000002</v>
      </c>
      <c r="S12" s="12">
        <f>SUM(Main_!T26:T28)</f>
        <v>328991.90000000002</v>
      </c>
      <c r="T12" s="12">
        <f>SUM(Main_!U26:U28)</f>
        <v>328991.90000000002</v>
      </c>
      <c r="U12" s="12">
        <f>SUM(Main_!V26:V28)</f>
        <v>328991.90000000002</v>
      </c>
      <c r="V12" s="12">
        <f>SUM(Main_!W26:W28)</f>
        <v>328991.90000000002</v>
      </c>
      <c r="W12" s="12">
        <f>SUM(Main_!X26:X28)</f>
        <v>403991.9</v>
      </c>
      <c r="X12" s="12">
        <f>SUM(Main_!Y26:Y28)</f>
        <v>403991.9</v>
      </c>
      <c r="Y12" s="12">
        <f>SUM(Main_!Z26:Z28)</f>
        <v>403991.9</v>
      </c>
      <c r="Z12" s="12">
        <f>SUM(Main_!AA26:AA28)</f>
        <v>403991.9</v>
      </c>
      <c r="AA12" s="12">
        <f>SUM(Main_!AB26:AB28)</f>
        <v>403991.9</v>
      </c>
      <c r="AB12" s="12">
        <f>SUM(Main_!AC26:AC28)</f>
        <v>403991.9</v>
      </c>
    </row>
    <row r="13" spans="1:28" x14ac:dyDescent="0.35">
      <c r="A13" t="s">
        <v>135</v>
      </c>
      <c r="B13" s="12">
        <f>Main_!C30</f>
        <v>0</v>
      </c>
      <c r="C13" s="12">
        <f>Main_!D30</f>
        <v>0</v>
      </c>
      <c r="D13" s="12">
        <f>Main_!E30</f>
        <v>0</v>
      </c>
      <c r="E13" s="12">
        <f>Main_!F30</f>
        <v>0</v>
      </c>
      <c r="F13" s="12">
        <f>Main_!G30</f>
        <v>0</v>
      </c>
      <c r="G13" s="12">
        <f>Main_!H30</f>
        <v>0</v>
      </c>
      <c r="H13" s="12">
        <f>Main_!I30</f>
        <v>38433.9</v>
      </c>
      <c r="I13" s="12">
        <f>Main_!J30</f>
        <v>38433.9</v>
      </c>
      <c r="J13" s="12">
        <f>Main_!K30</f>
        <v>38433.9</v>
      </c>
      <c r="K13" s="12">
        <f>Main_!L30</f>
        <v>38433.9</v>
      </c>
      <c r="L13" s="12">
        <f>Main_!M30</f>
        <v>38433.9</v>
      </c>
      <c r="M13" s="12">
        <f>Main_!N30</f>
        <v>38433.9</v>
      </c>
      <c r="N13" s="12">
        <f>Main_!O30</f>
        <v>38433.9</v>
      </c>
      <c r="O13" s="12">
        <f>Main_!P30</f>
        <v>38433.9</v>
      </c>
      <c r="P13" s="12">
        <f>Main_!Q30</f>
        <v>38433.9</v>
      </c>
      <c r="Q13" s="12">
        <f>Main_!R30</f>
        <v>38433.9</v>
      </c>
      <c r="R13" s="12">
        <f>Main_!S30</f>
        <v>38433.9</v>
      </c>
      <c r="S13" s="12">
        <f>Main_!T30</f>
        <v>38433.9</v>
      </c>
      <c r="T13" s="12">
        <f>Main_!U30</f>
        <v>38433.9</v>
      </c>
      <c r="U13" s="12">
        <f>Main_!V30</f>
        <v>38433.9</v>
      </c>
      <c r="V13" s="12">
        <f>Main_!W30</f>
        <v>38433.9</v>
      </c>
      <c r="W13" s="12">
        <f>Main_!X30</f>
        <v>38433.9</v>
      </c>
      <c r="X13" s="12">
        <f>Main_!Y30</f>
        <v>38433.9</v>
      </c>
      <c r="Y13" s="12">
        <f>Main_!Z30</f>
        <v>38433.9</v>
      </c>
      <c r="Z13" s="12">
        <f>Main_!AA30</f>
        <v>38433.9</v>
      </c>
      <c r="AA13" s="12">
        <f>Main_!AB30</f>
        <v>38433.9</v>
      </c>
      <c r="AB13" s="12">
        <f>Main_!AC30</f>
        <v>38433.9</v>
      </c>
    </row>
    <row r="14" spans="1:28" x14ac:dyDescent="0.35">
      <c r="A14" t="s">
        <v>136</v>
      </c>
      <c r="B14" s="12">
        <f>SUM(Main_!C31:C35)</f>
        <v>1393665.3</v>
      </c>
      <c r="C14" s="12">
        <f>SUM(Main_!D31:D35)</f>
        <v>1601086.9</v>
      </c>
      <c r="D14" s="12">
        <f>SUM(Main_!E31:E35)</f>
        <v>1702023.3</v>
      </c>
      <c r="E14" s="12">
        <f>SUM(Main_!F31:F35)</f>
        <v>1757319.5</v>
      </c>
      <c r="F14" s="12">
        <f>SUM(Main_!G31:G35)</f>
        <v>1932491.9</v>
      </c>
      <c r="G14" s="12">
        <f>SUM(Main_!H31:H35)</f>
        <v>2095160.2</v>
      </c>
      <c r="H14" s="12">
        <f>SUM(Main_!I31:I35)</f>
        <v>2709111.9</v>
      </c>
      <c r="I14" s="12">
        <f>SUM(Main_!J31:J35)</f>
        <v>3041875.2</v>
      </c>
      <c r="J14" s="12">
        <f>SUM(Main_!K31:K35)</f>
        <v>3088748.3</v>
      </c>
      <c r="K14" s="12">
        <f>SUM(Main_!L31:L35)</f>
        <v>3128294.4</v>
      </c>
      <c r="L14" s="12">
        <f>SUM(Main_!M31:M35)</f>
        <v>3384520.6999999997</v>
      </c>
      <c r="M14" s="12">
        <f>SUM(Main_!N31:N35)</f>
        <v>3465106.2</v>
      </c>
      <c r="N14" s="12">
        <f>SUM(Main_!O31:O35)</f>
        <v>3389191.3</v>
      </c>
      <c r="O14" s="12">
        <f>SUM(Main_!P31:P35)</f>
        <v>3463670.0000000005</v>
      </c>
      <c r="P14" s="12">
        <f>SUM(Main_!Q31:Q35)</f>
        <v>3530974</v>
      </c>
      <c r="Q14" s="12">
        <f>SUM(Main_!R31:R35)</f>
        <v>3479595.8999999994</v>
      </c>
      <c r="R14" s="12">
        <f>SUM(Main_!S31:S35)</f>
        <v>3544601.3999999994</v>
      </c>
      <c r="S14" s="12">
        <f>SUM(Main_!T31:T35)</f>
        <v>3726117.6</v>
      </c>
      <c r="T14" s="12">
        <f>SUM(Main_!U31:U35)</f>
        <v>3807455.2</v>
      </c>
      <c r="U14" s="12">
        <f>SUM(Main_!V31:V35)</f>
        <v>3937682.4</v>
      </c>
      <c r="V14" s="12">
        <f>SUM(Main_!W31:W35)</f>
        <v>3995946.6</v>
      </c>
      <c r="W14" s="12">
        <f>SUM(Main_!X31:X35)</f>
        <v>4167665.7</v>
      </c>
      <c r="X14" s="12">
        <f>SUM(Main_!Y31:Y35)</f>
        <v>3710250.0999999996</v>
      </c>
      <c r="Y14" s="12">
        <f>SUM(Main_!Z31:Z35)</f>
        <v>3313410.9</v>
      </c>
      <c r="Z14" s="12">
        <f>SUM(Main_!AA31:AA35)</f>
        <v>3488466.3</v>
      </c>
      <c r="AA14" s="12">
        <f>SUM(Main_!AB31:AB35)</f>
        <v>3120030.0000000005</v>
      </c>
      <c r="AB14" s="12">
        <f>SUM(Main_!AC31:AC35)</f>
        <v>3035844.9</v>
      </c>
    </row>
    <row r="15" spans="1:28" x14ac:dyDescent="0.35">
      <c r="A15" t="s">
        <v>137</v>
      </c>
      <c r="B15" s="12">
        <f>Main_!C36</f>
        <v>250000</v>
      </c>
      <c r="C15" s="12">
        <f>Main_!D36</f>
        <v>250000</v>
      </c>
      <c r="D15" s="12">
        <f>Main_!E36</f>
        <v>250000</v>
      </c>
      <c r="E15" s="12">
        <f>Main_!F36</f>
        <v>467000</v>
      </c>
      <c r="F15" s="12">
        <f>Main_!G36</f>
        <v>467000</v>
      </c>
      <c r="G15" s="12">
        <f>Main_!H36</f>
        <v>467000</v>
      </c>
      <c r="H15" s="12">
        <f>Main_!I36</f>
        <v>467000</v>
      </c>
      <c r="I15" s="12">
        <f>Main_!J36</f>
        <v>467000</v>
      </c>
      <c r="J15" s="12">
        <f>Main_!K36</f>
        <v>467000</v>
      </c>
      <c r="K15" s="12">
        <f>Main_!L36</f>
        <v>467000</v>
      </c>
      <c r="L15" s="12">
        <f>Main_!M36</f>
        <v>467000</v>
      </c>
      <c r="M15" s="12">
        <f>Main_!N36</f>
        <v>467000</v>
      </c>
      <c r="N15" s="12">
        <f>Main_!O36</f>
        <v>467000</v>
      </c>
      <c r="O15" s="12">
        <f>Main_!P36</f>
        <v>467000</v>
      </c>
      <c r="P15" s="12">
        <f>Main_!Q36</f>
        <v>467000</v>
      </c>
      <c r="Q15" s="12">
        <f>Main_!R36</f>
        <v>467000</v>
      </c>
      <c r="R15" s="12">
        <f>Main_!S36</f>
        <v>467000</v>
      </c>
      <c r="S15" s="12">
        <f>Main_!T36</f>
        <v>467000</v>
      </c>
      <c r="T15" s="12">
        <f>Main_!U36</f>
        <v>467000</v>
      </c>
      <c r="U15" s="12">
        <f>Main_!V36</f>
        <v>467000</v>
      </c>
      <c r="V15" s="12">
        <f>Main_!W36</f>
        <v>467000</v>
      </c>
      <c r="W15" s="12">
        <f>Main_!X36</f>
        <v>467000</v>
      </c>
      <c r="X15" s="12">
        <f>Main_!Y36</f>
        <v>467000</v>
      </c>
      <c r="Y15" s="12">
        <f>Main_!Z36</f>
        <v>467000</v>
      </c>
      <c r="Z15" s="12">
        <f>Main_!AA36</f>
        <v>467000</v>
      </c>
      <c r="AA15" s="12">
        <f>Main_!AB36</f>
        <v>467000</v>
      </c>
      <c r="AB15" s="12">
        <f>Main_!AC36</f>
        <v>467000</v>
      </c>
    </row>
    <row r="16" spans="1:28" x14ac:dyDescent="0.35">
      <c r="A16" t="s">
        <v>138</v>
      </c>
      <c r="B16" s="12">
        <f>SUM(Main_!C37:C40)</f>
        <v>14150.8</v>
      </c>
      <c r="C16" s="12">
        <f>SUM(Main_!D37:D40)</f>
        <v>14150.8</v>
      </c>
      <c r="D16" s="12">
        <f>SUM(Main_!E37:E40)</f>
        <v>14150.8</v>
      </c>
      <c r="E16" s="12">
        <f>SUM(Main_!F37:F40)</f>
        <v>14150.8</v>
      </c>
      <c r="F16" s="12">
        <f>SUM(Main_!G37:G40)</f>
        <v>14150.8</v>
      </c>
      <c r="G16" s="12">
        <f>SUM(Main_!H37:H40)</f>
        <v>14150.8</v>
      </c>
      <c r="H16" s="12">
        <f>SUM(Main_!I37:I40)</f>
        <v>14150.8</v>
      </c>
      <c r="I16" s="12">
        <f>SUM(Main_!J37:J40)</f>
        <v>109098.9</v>
      </c>
      <c r="J16" s="12">
        <f>SUM(Main_!K37:K40)</f>
        <v>109098.9</v>
      </c>
      <c r="K16" s="12">
        <f>SUM(Main_!L37:L40)</f>
        <v>109098.9</v>
      </c>
      <c r="L16" s="12">
        <f>SUM(Main_!M37:M40)</f>
        <v>96722.8</v>
      </c>
      <c r="M16" s="12">
        <f>SUM(Main_!N37:N40)</f>
        <v>159313.4</v>
      </c>
      <c r="N16" s="12">
        <f>SUM(Main_!O37:O40)</f>
        <v>227543.5</v>
      </c>
      <c r="O16" s="12">
        <f>SUM(Main_!P37:P40)</f>
        <v>245719.7</v>
      </c>
      <c r="P16" s="12">
        <f>SUM(Main_!Q37:Q40)</f>
        <v>250195.1</v>
      </c>
      <c r="Q16" s="12">
        <f>SUM(Main_!R37:R43)</f>
        <v>385771.2</v>
      </c>
      <c r="R16" s="12">
        <f>SUM(Main_!S37:S43)</f>
        <v>384966.40000000002</v>
      </c>
      <c r="S16" s="12">
        <f>SUM(Main_!T37:T43)</f>
        <v>383946.4</v>
      </c>
      <c r="T16" s="12">
        <f>SUM(Main_!U37:U43)</f>
        <v>517310.5</v>
      </c>
      <c r="U16" s="12">
        <f>SUM(Main_!V37:V43)</f>
        <v>516505.8</v>
      </c>
      <c r="V16" s="12">
        <f>SUM(Main_!W37:W43)</f>
        <v>515485.7</v>
      </c>
      <c r="W16" s="12">
        <f>SUM(Main_!X37:X43)</f>
        <v>611147.5</v>
      </c>
      <c r="X16" s="12">
        <f>SUM(Main_!Y37:Y41)+Main_!Y43</f>
        <v>610342.80000000005</v>
      </c>
      <c r="Y16" s="12">
        <f>SUM(Main_!Z37:Z41)+Main_!Z43</f>
        <v>621822.69999999995</v>
      </c>
      <c r="Z16" s="12">
        <f>SUM(Main_!AA37:AA41)+Main_!AA43</f>
        <v>618736.5</v>
      </c>
      <c r="AA16" s="12">
        <f>SUM(Main_!AB37:AB41)+Main_!AB43</f>
        <v>617931.80000000005</v>
      </c>
      <c r="AB16" s="12">
        <f>SUM(Main_!AC37:AC41)+Main_!AC43</f>
        <v>638111.69999999995</v>
      </c>
    </row>
    <row r="17" spans="1:28" x14ac:dyDescent="0.35">
      <c r="A17" t="s">
        <v>213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Main_!Y42</f>
        <v>3000</v>
      </c>
      <c r="Y17" s="12">
        <f>Main_!Z42</f>
        <v>5750</v>
      </c>
      <c r="Z17" s="12">
        <f>Main_!AA42</f>
        <v>7750</v>
      </c>
      <c r="AA17" s="12">
        <f>Main_!AB42</f>
        <v>9000</v>
      </c>
      <c r="AB17" s="12">
        <f>Main_!AC42</f>
        <v>10000</v>
      </c>
    </row>
    <row r="18" spans="1:28" x14ac:dyDescent="0.35">
      <c r="A18" t="s">
        <v>144</v>
      </c>
      <c r="B18" s="12">
        <f>Main_!C49</f>
        <v>7524361.2999999998</v>
      </c>
      <c r="C18" s="12">
        <f>Main_!D49</f>
        <v>7872548.2999999998</v>
      </c>
      <c r="D18" s="12">
        <f>Main_!E49</f>
        <v>7601763</v>
      </c>
      <c r="E18" s="12">
        <f>Main_!F49</f>
        <v>6132655.2000000002</v>
      </c>
      <c r="F18" s="12">
        <f>Main_!G49</f>
        <v>6334590.5999999996</v>
      </c>
      <c r="G18" s="12">
        <f>Main_!H49</f>
        <v>6446231</v>
      </c>
      <c r="H18" s="12">
        <f>Main_!I49</f>
        <v>6712063.4000000004</v>
      </c>
      <c r="I18" s="12">
        <f>Main_!J49</f>
        <v>6828671.4000000004</v>
      </c>
      <c r="J18" s="12">
        <f>Main_!K49</f>
        <v>6643004.4000000004</v>
      </c>
      <c r="K18" s="12">
        <f>Main_!L49</f>
        <v>6811125</v>
      </c>
      <c r="L18" s="12">
        <f>Main_!M49</f>
        <v>7183391.5</v>
      </c>
      <c r="M18" s="12">
        <f>Main_!N49</f>
        <v>7251634.9000000004</v>
      </c>
      <c r="N18" s="12">
        <f>Main_!O49</f>
        <v>7140176.0999999996</v>
      </c>
      <c r="O18" s="12">
        <f>Main_!P49</f>
        <v>6938308.7999999998</v>
      </c>
      <c r="P18" s="12">
        <f>Main_!Q49</f>
        <v>6746505.0999999996</v>
      </c>
      <c r="Q18" s="12">
        <f>Main_!R49</f>
        <v>5011778</v>
      </c>
      <c r="R18" s="12">
        <f>Main_!S49</f>
        <v>4907126.4000000004</v>
      </c>
      <c r="S18" s="12">
        <f>Main_!T49</f>
        <v>5044614.2</v>
      </c>
      <c r="T18" s="12">
        <f>Main_!U49</f>
        <v>5087766.7</v>
      </c>
      <c r="U18" s="12">
        <f>Main_!V49</f>
        <v>5172247.3</v>
      </c>
      <c r="V18" s="12">
        <f>Main_!W49</f>
        <v>5046039</v>
      </c>
      <c r="W18" s="12">
        <f>Main_!X49</f>
        <v>4603329.0999999996</v>
      </c>
      <c r="X18" s="12">
        <f>Main_!Y49</f>
        <v>4665093</v>
      </c>
      <c r="Y18" s="12">
        <f>Main_!Z49</f>
        <v>4854458.2</v>
      </c>
      <c r="Z18" s="12">
        <f>Main_!AA49</f>
        <v>5255172.0999999996</v>
      </c>
      <c r="AA18" s="12">
        <f>Main_!AB49</f>
        <v>5447193.4000000004</v>
      </c>
      <c r="AB18" s="12">
        <f>Main_!AC49</f>
        <v>5792014.7999999998</v>
      </c>
    </row>
    <row r="19" spans="1:28" x14ac:dyDescent="0.35">
      <c r="A19" t="s">
        <v>145</v>
      </c>
      <c r="B19" s="12">
        <f>Main_!C50</f>
        <v>131056.8</v>
      </c>
      <c r="C19" s="12">
        <f>Main_!D50</f>
        <v>127937.60000000001</v>
      </c>
      <c r="D19" s="12">
        <f>Main_!E50</f>
        <v>124467.7</v>
      </c>
      <c r="E19" s="12">
        <f>Main_!F50</f>
        <v>87189</v>
      </c>
      <c r="F19" s="12">
        <f>Main_!G50</f>
        <v>91023.8</v>
      </c>
      <c r="G19" s="12">
        <f>Main_!H50</f>
        <v>85457.2</v>
      </c>
      <c r="H19" s="12">
        <f>Main_!I50</f>
        <v>87072.1</v>
      </c>
      <c r="I19" s="12">
        <f>Main_!J50</f>
        <v>84818.4</v>
      </c>
      <c r="J19" s="12">
        <f>Main_!K50</f>
        <v>82330.3</v>
      </c>
      <c r="K19" s="12">
        <f>Main_!L50</f>
        <v>78258.100000000006</v>
      </c>
      <c r="L19" s="12">
        <f>Main_!M50</f>
        <v>78957.2</v>
      </c>
      <c r="M19" s="12">
        <f>Main_!N50</f>
        <v>75594.3</v>
      </c>
      <c r="N19" s="12">
        <f>Main_!O50</f>
        <v>73296.7</v>
      </c>
      <c r="O19" s="12">
        <f>Main_!P50</f>
        <v>74410.600000000006</v>
      </c>
      <c r="P19" s="12">
        <f>Main_!Q50</f>
        <v>75905.3</v>
      </c>
      <c r="Q19" s="12">
        <f>Main_!R50</f>
        <v>55880</v>
      </c>
      <c r="R19" s="12">
        <f>Main_!S50</f>
        <v>54958</v>
      </c>
      <c r="S19" s="12">
        <f>Main_!T50</f>
        <v>54910.8</v>
      </c>
      <c r="T19" s="12">
        <f>Main_!U50</f>
        <v>55082.7</v>
      </c>
      <c r="U19" s="12">
        <f>Main_!V50</f>
        <v>56355.4</v>
      </c>
      <c r="V19" s="12">
        <f>Main_!W50</f>
        <v>56200.2</v>
      </c>
      <c r="W19" s="12">
        <f>Main_!X50</f>
        <v>53684.4</v>
      </c>
      <c r="X19" s="12">
        <f>Main_!Y50</f>
        <v>54037.9</v>
      </c>
      <c r="Y19" s="12">
        <f>Main_!Z50</f>
        <v>53236.4</v>
      </c>
      <c r="Z19" s="12">
        <f>Main_!AA50</f>
        <v>56682.400000000001</v>
      </c>
      <c r="AA19" s="12">
        <f>Main_!AB50</f>
        <v>56126</v>
      </c>
      <c r="AB19" s="12">
        <f>Main_!AC50</f>
        <v>53758.7</v>
      </c>
    </row>
    <row r="20" spans="1:28" x14ac:dyDescent="0.35">
      <c r="A20" t="s">
        <v>146</v>
      </c>
      <c r="B20" s="2">
        <f>Main_!C52</f>
        <v>0.6972048351213409</v>
      </c>
      <c r="C20" s="2">
        <f>Main_!D52</f>
        <v>0.69214834563487715</v>
      </c>
      <c r="D20" s="2">
        <f>Main_!E52</f>
        <v>0.66743580228906774</v>
      </c>
      <c r="E20" s="2">
        <f>Main_!F52</f>
        <v>0.58772418237386936</v>
      </c>
      <c r="F20" s="2">
        <f>Main_!G52</f>
        <v>0.58612420781234509</v>
      </c>
      <c r="G20" s="2">
        <f>Main_!H52</f>
        <v>0.58040692300221342</v>
      </c>
      <c r="H20" s="2">
        <f>Main_!I52</f>
        <v>0.56375189299396378</v>
      </c>
      <c r="I20" s="2">
        <f>Main_!J52</f>
        <v>0.54736274210545677</v>
      </c>
      <c r="J20" s="2">
        <f>Main_!K52</f>
        <v>0.53775787202023262</v>
      </c>
      <c r="K20" s="2">
        <f>Main_!L52</f>
        <v>0.53756743798178575</v>
      </c>
      <c r="L20" s="2">
        <f>Main_!M52</f>
        <v>0.53955916671507109</v>
      </c>
      <c r="M20" s="2">
        <f>Main_!N52</f>
        <v>0.52917729826219351</v>
      </c>
      <c r="N20" s="2">
        <f>Main_!O52</f>
        <v>0.5231536235194193</v>
      </c>
      <c r="O20" s="2">
        <f>Main_!P52</f>
        <v>0.512383593941514</v>
      </c>
      <c r="P20" s="2">
        <f>Main_!Q52</f>
        <v>0.5022546948271378</v>
      </c>
      <c r="Q20" s="2">
        <f>Main_!R52</f>
        <v>0.41886763318049314</v>
      </c>
      <c r="R20" s="2">
        <f>Main_!S52</f>
        <v>0.41158994383869518</v>
      </c>
      <c r="S20" s="2">
        <f>Main_!T52</f>
        <v>0.41151413411673016</v>
      </c>
      <c r="T20" s="2">
        <f>Main_!U52</f>
        <v>0.40590418684236312</v>
      </c>
      <c r="U20" s="2">
        <f>Main_!V52</f>
        <v>0.40563968683442053</v>
      </c>
      <c r="V20" s="2">
        <f>Main_!W52</f>
        <v>0.39720684013188351</v>
      </c>
      <c r="W20" s="2">
        <f>Main_!X52</f>
        <v>0.36529517554573743</v>
      </c>
      <c r="X20" s="2">
        <f>Main_!Y52</f>
        <v>0.37997060808910393</v>
      </c>
      <c r="Y20" s="2">
        <f>Main_!Z52</f>
        <v>0.39902590320943759</v>
      </c>
      <c r="Z20" s="2">
        <f>Main_!AA52</f>
        <v>0.41097342489213134</v>
      </c>
      <c r="AA20" s="2">
        <f>Main_!AB52</f>
        <v>0.42803007482099326</v>
      </c>
      <c r="AB20" s="2">
        <f>Main_!AC52</f>
        <v>0.4422491413528577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B13" sqref="AB13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28" width="9.90625" bestFit="1" customWidth="1"/>
  </cols>
  <sheetData>
    <row r="1" spans="1:28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206</v>
      </c>
      <c r="W1" t="s">
        <v>207</v>
      </c>
      <c r="X1" t="s">
        <v>210</v>
      </c>
      <c r="Y1" t="s">
        <v>217</v>
      </c>
      <c r="Z1" t="s">
        <v>218</v>
      </c>
      <c r="AA1" t="s">
        <v>219</v>
      </c>
      <c r="AB1" t="s">
        <v>220</v>
      </c>
    </row>
    <row r="2" spans="1:28" x14ac:dyDescent="0.35">
      <c r="A2" t="s">
        <v>149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</row>
    <row r="3" spans="1:28" x14ac:dyDescent="0.35">
      <c r="A3" t="s">
        <v>216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</row>
    <row r="4" spans="1:28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</row>
    <row r="5" spans="1:28" x14ac:dyDescent="0.35">
      <c r="A5" t="s">
        <v>157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</row>
    <row r="6" spans="1:28" x14ac:dyDescent="0.35">
      <c r="A6" t="s">
        <v>156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</row>
    <row r="7" spans="1:28" x14ac:dyDescent="0.35">
      <c r="A7" t="s">
        <v>155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</row>
    <row r="8" spans="1:28" s="6" customFormat="1" x14ac:dyDescent="0.35">
      <c r="A8" s="6" t="s">
        <v>150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</row>
    <row r="9" spans="1:28" x14ac:dyDescent="0.35">
      <c r="A9" t="s">
        <v>154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</row>
    <row r="10" spans="1:28" x14ac:dyDescent="0.35">
      <c r="A10" t="s">
        <v>153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</row>
    <row r="11" spans="1:28" x14ac:dyDescent="0.35">
      <c r="A11" t="s">
        <v>152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</row>
    <row r="12" spans="1:28" x14ac:dyDescent="0.35">
      <c r="A12" t="s">
        <v>151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158</v>
      </c>
      <c r="B1" t="s">
        <v>159</v>
      </c>
    </row>
    <row r="2" spans="1:2" x14ac:dyDescent="0.35">
      <c r="A2" t="s">
        <v>160</v>
      </c>
      <c r="B2" s="13">
        <f>Main_!AC31</f>
        <v>2632508.7999999998</v>
      </c>
    </row>
    <row r="3" spans="1:2" x14ac:dyDescent="0.35">
      <c r="A3" t="s">
        <v>162</v>
      </c>
      <c r="B3" s="13">
        <f>SUM(Main_!AC8:AC22)</f>
        <v>751917.8</v>
      </c>
    </row>
    <row r="4" spans="1:2" x14ac:dyDescent="0.35">
      <c r="A4" t="s">
        <v>161</v>
      </c>
      <c r="B4" s="13">
        <f>Main_!AC36+GETPIVOTDATA("Сумма, млн. руб",infra_invest!$N$9,"Получатель","ОАО «РЖД»")</f>
        <v>722141.3</v>
      </c>
    </row>
    <row r="5" spans="1:2" x14ac:dyDescent="0.35">
      <c r="A5" t="s">
        <v>168</v>
      </c>
      <c r="B5" s="13">
        <f>GETPIVOTDATA("Сумма, млн. руб",infra_invest!$N$9,"Получатель","ГК «Российские автомобильные дороги»")</f>
        <v>491806.39999999997</v>
      </c>
    </row>
    <row r="6" spans="1:2" x14ac:dyDescent="0.35">
      <c r="A6" t="s">
        <v>169</v>
      </c>
      <c r="B6" s="13">
        <f>Main_!AC26+Main_!AC35</f>
        <v>295606.5</v>
      </c>
    </row>
    <row r="7" spans="1:2" x14ac:dyDescent="0.35">
      <c r="A7" t="s">
        <v>170</v>
      </c>
      <c r="B7" s="13">
        <f>structure!AB6</f>
        <v>324000</v>
      </c>
    </row>
    <row r="8" spans="1:2" x14ac:dyDescent="0.35">
      <c r="A8" t="s">
        <v>171</v>
      </c>
      <c r="B8" s="13">
        <f>Main_!AC39</f>
        <v>281087</v>
      </c>
    </row>
    <row r="9" spans="1:2" x14ac:dyDescent="0.35">
      <c r="A9" t="s">
        <v>185</v>
      </c>
      <c r="B9" s="13">
        <f>Main_!AC43</f>
        <v>247324.7</v>
      </c>
    </row>
    <row r="10" spans="1:2" x14ac:dyDescent="0.35">
      <c r="A10" t="s">
        <v>174</v>
      </c>
      <c r="B10" s="13">
        <f>GETPIVOTDATA("Сумма, млн. руб",infra_invest!$N$9,"Получатель","АО «ГТЛК»")+Main_!AC34</f>
        <v>227910.70000000004</v>
      </c>
    </row>
    <row r="11" spans="1:2" x14ac:dyDescent="0.35">
      <c r="A11" t="s">
        <v>183</v>
      </c>
      <c r="B11" s="13">
        <f>Main_!AC30+Main_!AC28</f>
        <v>203387.9</v>
      </c>
    </row>
    <row r="12" spans="1:2" x14ac:dyDescent="0.35">
      <c r="A12" t="s">
        <v>173</v>
      </c>
      <c r="B12" s="13">
        <f>Main_!AC25*structure!AB2</f>
        <v>202543.2</v>
      </c>
    </row>
    <row r="13" spans="1:2" x14ac:dyDescent="0.35">
      <c r="A13" t="s">
        <v>175</v>
      </c>
      <c r="B13" s="13">
        <f>GETPIVOTDATA("Сумма, млн. руб",infra_invest!$N$9,"Получатель","ООО «Авиакапитал-Сервис»")</f>
        <v>175389.3</v>
      </c>
    </row>
    <row r="14" spans="1:2" x14ac:dyDescent="0.35">
      <c r="A14" t="s">
        <v>191</v>
      </c>
      <c r="B14" s="13">
        <f>Main_!AC41+rnwf_structure!AB17*structure!AB3</f>
        <v>199700</v>
      </c>
    </row>
    <row r="15" spans="1:2" x14ac:dyDescent="0.35">
      <c r="A15" t="s">
        <v>177</v>
      </c>
      <c r="B15" s="13">
        <f>GETPIVOTDATA("Сумма, млн. руб",infra_invest!$N$9,"Получатель","ППК «Фонд развития территорий»")+GETPIVOTDATA("Сумма, млн. руб",infra_invest!$N$9,"Получатель","ГК Фонд содействия реформированию жилищно-коммунального хозяйства")</f>
        <v>143435.70000000001</v>
      </c>
    </row>
    <row r="16" spans="1:2" x14ac:dyDescent="0.35">
      <c r="A16" t="s">
        <v>176</v>
      </c>
      <c r="B16" s="13">
        <f>Main_!AC33</f>
        <v>137000</v>
      </c>
    </row>
    <row r="17" spans="1:2" x14ac:dyDescent="0.35">
      <c r="A17" t="s">
        <v>178</v>
      </c>
      <c r="B17" s="13">
        <f>Main_!AC32</f>
        <v>126433.5</v>
      </c>
    </row>
    <row r="18" spans="1:2" x14ac:dyDescent="0.35">
      <c r="A18" t="s">
        <v>179</v>
      </c>
      <c r="B18" s="13">
        <f>Main_!AC40</f>
        <v>60000</v>
      </c>
    </row>
    <row r="19" spans="1:2" x14ac:dyDescent="0.35">
      <c r="A19" t="s">
        <v>180</v>
      </c>
      <c r="B19" s="13">
        <f>GETPIVOTDATA("Сумма, млн. руб",infra_invest!$N$9,"Получатель","АО «Атомэнергопром»")</f>
        <v>57500</v>
      </c>
    </row>
    <row r="20" spans="1:2" x14ac:dyDescent="0.35">
      <c r="A20" t="s">
        <v>181</v>
      </c>
      <c r="B20" s="13">
        <f>Main_!AC27</f>
        <v>25000</v>
      </c>
    </row>
    <row r="21" spans="1:2" x14ac:dyDescent="0.35">
      <c r="A21" t="s">
        <v>182</v>
      </c>
      <c r="B21" s="13">
        <f>GETPIVOTDATA("Сумма, млн. руб",infra_invest!$N$9,"Получатель","ООО «Инфраструктурные инвестиции - 4»")</f>
        <v>4050</v>
      </c>
    </row>
    <row r="22" spans="1:2" x14ac:dyDescent="0.35">
      <c r="B22" s="12"/>
    </row>
    <row r="23" spans="1:2" x14ac:dyDescent="0.35">
      <c r="B23" s="12"/>
    </row>
  </sheetData>
  <autoFilter ref="A1:B1">
    <sortState ref="A2:B2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F1" workbookViewId="0">
      <selection activeCell="J11" sqref="J11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2024</v>
      </c>
      <c r="B2" s="9" t="s">
        <v>109</v>
      </c>
      <c r="C2" s="9">
        <v>-78.900000000000006</v>
      </c>
      <c r="D2" s="9" t="s">
        <v>65</v>
      </c>
      <c r="F2" s="9" t="s">
        <v>69</v>
      </c>
      <c r="G2" s="9" t="s">
        <v>84</v>
      </c>
      <c r="H2" s="9" t="s">
        <v>167</v>
      </c>
      <c r="J2"/>
      <c r="K2"/>
    </row>
    <row r="3" spans="1:14" ht="14.5" x14ac:dyDescent="0.35">
      <c r="A3" s="9">
        <v>2024</v>
      </c>
      <c r="B3" s="9" t="s">
        <v>109</v>
      </c>
      <c r="C3" s="9">
        <v>-218.5</v>
      </c>
      <c r="D3" s="9" t="s">
        <v>65</v>
      </c>
      <c r="F3" s="9" t="s">
        <v>69</v>
      </c>
      <c r="G3" s="9" t="s">
        <v>91</v>
      </c>
      <c r="H3" s="9" t="s">
        <v>167</v>
      </c>
      <c r="J3"/>
      <c r="K3"/>
    </row>
    <row r="4" spans="1:14" ht="14.5" x14ac:dyDescent="0.35">
      <c r="A4" s="9">
        <v>2024</v>
      </c>
      <c r="B4" s="9" t="s">
        <v>109</v>
      </c>
      <c r="C4" s="9">
        <v>-1020.1</v>
      </c>
      <c r="D4" s="9" t="s">
        <v>65</v>
      </c>
      <c r="F4" s="10" t="s">
        <v>92</v>
      </c>
      <c r="H4" s="9" t="s">
        <v>167</v>
      </c>
      <c r="J4"/>
      <c r="K4"/>
    </row>
    <row r="5" spans="1:14" ht="14.5" x14ac:dyDescent="0.35">
      <c r="A5" s="9">
        <v>2024</v>
      </c>
      <c r="B5" s="9" t="s">
        <v>109</v>
      </c>
      <c r="C5" s="9">
        <v>2093.4</v>
      </c>
      <c r="D5" s="9" t="s">
        <v>65</v>
      </c>
      <c r="E5" s="9">
        <v>2093362</v>
      </c>
      <c r="F5" s="9" t="s">
        <v>66</v>
      </c>
      <c r="G5" s="9" t="s">
        <v>208</v>
      </c>
      <c r="H5" s="9" t="s">
        <v>167</v>
      </c>
      <c r="J5"/>
      <c r="K5"/>
    </row>
    <row r="6" spans="1:14" ht="14.5" x14ac:dyDescent="0.35">
      <c r="A6" s="9">
        <v>2024</v>
      </c>
      <c r="B6" s="9" t="s">
        <v>109</v>
      </c>
      <c r="C6" s="9">
        <v>4779</v>
      </c>
      <c r="D6" s="9" t="s">
        <v>65</v>
      </c>
      <c r="E6" s="9">
        <v>4778963</v>
      </c>
      <c r="F6" s="9" t="s">
        <v>69</v>
      </c>
      <c r="G6" s="9" t="s">
        <v>78</v>
      </c>
      <c r="H6" s="9" t="s">
        <v>167</v>
      </c>
      <c r="J6"/>
      <c r="K6"/>
    </row>
    <row r="7" spans="1:14" ht="14.5" x14ac:dyDescent="0.35">
      <c r="A7" s="9">
        <v>2024</v>
      </c>
      <c r="B7" s="9" t="s">
        <v>109</v>
      </c>
      <c r="C7" s="9">
        <v>6400</v>
      </c>
      <c r="D7" s="9" t="s">
        <v>65</v>
      </c>
      <c r="E7" s="9">
        <v>6400000</v>
      </c>
      <c r="F7" s="9" t="s">
        <v>69</v>
      </c>
      <c r="G7" s="9" t="s">
        <v>91</v>
      </c>
      <c r="H7" s="9" t="s">
        <v>167</v>
      </c>
      <c r="J7"/>
      <c r="K7"/>
    </row>
    <row r="8" spans="1:14" ht="14.5" x14ac:dyDescent="0.35">
      <c r="A8" s="9">
        <v>2024</v>
      </c>
      <c r="B8" s="9" t="s">
        <v>111</v>
      </c>
      <c r="C8" s="9">
        <v>-131.69999999999999</v>
      </c>
      <c r="D8" s="9" t="s">
        <v>65</v>
      </c>
      <c r="F8" s="9" t="s">
        <v>69</v>
      </c>
      <c r="H8" s="9" t="s">
        <v>167</v>
      </c>
      <c r="J8"/>
      <c r="K8"/>
    </row>
    <row r="9" spans="1:14" ht="14.5" x14ac:dyDescent="0.35">
      <c r="A9" s="9">
        <v>2024</v>
      </c>
      <c r="B9" s="9" t="s">
        <v>111</v>
      </c>
      <c r="C9" s="9">
        <v>-804.7</v>
      </c>
      <c r="D9" s="9" t="s">
        <v>65</v>
      </c>
      <c r="F9" s="10" t="s">
        <v>92</v>
      </c>
      <c r="H9" s="9" t="s">
        <v>167</v>
      </c>
      <c r="J9" s="14" t="s">
        <v>163</v>
      </c>
      <c r="K9" s="14" t="s">
        <v>172</v>
      </c>
      <c r="L9"/>
      <c r="M9"/>
      <c r="N9"/>
    </row>
    <row r="10" spans="1:14" ht="14.5" x14ac:dyDescent="0.35">
      <c r="A10" s="9">
        <v>2024</v>
      </c>
      <c r="B10" s="9" t="s">
        <v>111</v>
      </c>
      <c r="C10" s="9">
        <v>6613</v>
      </c>
      <c r="D10" s="9" t="s">
        <v>65</v>
      </c>
      <c r="E10" s="9">
        <v>6613007</v>
      </c>
      <c r="F10" s="9" t="s">
        <v>69</v>
      </c>
      <c r="G10" s="9" t="s">
        <v>91</v>
      </c>
      <c r="H10" s="9" t="s">
        <v>167</v>
      </c>
      <c r="J10" s="14" t="s">
        <v>164</v>
      </c>
      <c r="K10" t="s">
        <v>65</v>
      </c>
      <c r="L10" t="s">
        <v>98</v>
      </c>
      <c r="M10" t="s">
        <v>166</v>
      </c>
      <c r="N10" t="s">
        <v>165</v>
      </c>
    </row>
    <row r="11" spans="1:14" ht="14.5" x14ac:dyDescent="0.35">
      <c r="A11" s="9">
        <v>2024</v>
      </c>
      <c r="B11" s="9" t="s">
        <v>111</v>
      </c>
      <c r="C11" s="9">
        <v>7048.9</v>
      </c>
      <c r="D11" s="9" t="s">
        <v>65</v>
      </c>
      <c r="E11" s="9">
        <v>7048930</v>
      </c>
      <c r="F11" s="9" t="s">
        <v>66</v>
      </c>
      <c r="G11" s="9" t="s">
        <v>208</v>
      </c>
      <c r="H11" s="9" t="s">
        <v>167</v>
      </c>
      <c r="J11" s="21" t="s">
        <v>123</v>
      </c>
      <c r="K11" s="15"/>
      <c r="L11" s="15">
        <v>57500</v>
      </c>
      <c r="M11" s="15"/>
      <c r="N11" s="15">
        <v>57500</v>
      </c>
    </row>
    <row r="12" spans="1:14" ht="14.5" x14ac:dyDescent="0.35">
      <c r="A12" s="9">
        <v>2024</v>
      </c>
      <c r="B12" s="9" t="s">
        <v>77</v>
      </c>
      <c r="C12" s="9">
        <v>-123.9</v>
      </c>
      <c r="D12" s="9" t="s">
        <v>65</v>
      </c>
      <c r="F12" s="9" t="s">
        <v>69</v>
      </c>
      <c r="H12" s="9" t="s">
        <v>167</v>
      </c>
      <c r="J12" s="21" t="s">
        <v>69</v>
      </c>
      <c r="K12" s="15">
        <v>169576.70000000004</v>
      </c>
      <c r="L12" s="15"/>
      <c r="M12" s="15"/>
      <c r="N12" s="15">
        <v>169576.70000000004</v>
      </c>
    </row>
    <row r="13" spans="1:14" ht="14.5" x14ac:dyDescent="0.35">
      <c r="A13" s="9">
        <v>2024</v>
      </c>
      <c r="B13" s="9" t="s">
        <v>77</v>
      </c>
      <c r="C13" s="9">
        <v>-3086.3</v>
      </c>
      <c r="D13" s="9" t="s">
        <v>65</v>
      </c>
      <c r="F13" s="10" t="s">
        <v>92</v>
      </c>
      <c r="J13" s="21" t="s">
        <v>81</v>
      </c>
      <c r="K13" s="15">
        <v>491806.39999999997</v>
      </c>
      <c r="L13" s="15"/>
      <c r="M13" s="15"/>
      <c r="N13" s="15">
        <v>491806.39999999997</v>
      </c>
    </row>
    <row r="14" spans="1:14" ht="14.5" x14ac:dyDescent="0.35">
      <c r="A14" s="9">
        <v>2024</v>
      </c>
      <c r="B14" s="9" t="s">
        <v>77</v>
      </c>
      <c r="C14" s="9">
        <v>400</v>
      </c>
      <c r="D14" s="9" t="s">
        <v>65</v>
      </c>
      <c r="E14" s="9">
        <v>400000</v>
      </c>
      <c r="F14" s="9" t="s">
        <v>81</v>
      </c>
      <c r="G14" s="9" t="s">
        <v>64</v>
      </c>
      <c r="H14" s="9" t="s">
        <v>167</v>
      </c>
      <c r="J14" s="21" t="s">
        <v>110</v>
      </c>
      <c r="K14" s="15">
        <v>36999.899999999994</v>
      </c>
      <c r="L14" s="15"/>
      <c r="M14" s="15"/>
      <c r="N14" s="15">
        <v>36999.899999999994</v>
      </c>
    </row>
    <row r="15" spans="1:14" ht="14.5" x14ac:dyDescent="0.35">
      <c r="A15" s="9">
        <v>2024</v>
      </c>
      <c r="B15" s="9" t="s">
        <v>77</v>
      </c>
      <c r="C15" s="9">
        <v>810.7</v>
      </c>
      <c r="D15" s="9" t="s">
        <v>65</v>
      </c>
      <c r="E15" s="9">
        <v>810724</v>
      </c>
      <c r="F15" s="9" t="s">
        <v>66</v>
      </c>
      <c r="G15" s="9" t="s">
        <v>208</v>
      </c>
      <c r="H15" s="9" t="s">
        <v>167</v>
      </c>
      <c r="J15" s="21" t="s">
        <v>99</v>
      </c>
      <c r="K15" s="15"/>
      <c r="L15" s="15">
        <v>255141.3</v>
      </c>
      <c r="M15" s="15"/>
      <c r="N15" s="15">
        <v>255141.3</v>
      </c>
    </row>
    <row r="16" spans="1:14" ht="14.5" x14ac:dyDescent="0.35">
      <c r="A16" s="9">
        <v>2024</v>
      </c>
      <c r="B16" s="9" t="s">
        <v>77</v>
      </c>
      <c r="C16" s="9">
        <v>2651</v>
      </c>
      <c r="D16" s="9" t="s">
        <v>65</v>
      </c>
      <c r="E16" s="9">
        <v>2650967</v>
      </c>
      <c r="F16" s="9" t="s">
        <v>81</v>
      </c>
      <c r="G16" s="9" t="s">
        <v>68</v>
      </c>
      <c r="H16" s="9" t="s">
        <v>167</v>
      </c>
      <c r="J16" s="18" t="s">
        <v>85</v>
      </c>
      <c r="K16" s="15">
        <v>117247.90000000001</v>
      </c>
      <c r="L16" s="15"/>
      <c r="M16" s="15"/>
      <c r="N16" s="15">
        <v>117247.90000000001</v>
      </c>
    </row>
    <row r="17" spans="1:14" ht="14.5" x14ac:dyDescent="0.35">
      <c r="A17" s="9">
        <v>2024</v>
      </c>
      <c r="B17" s="9" t="s">
        <v>77</v>
      </c>
      <c r="C17" s="9">
        <v>3680.4</v>
      </c>
      <c r="D17" s="9" t="s">
        <v>65</v>
      </c>
      <c r="E17" s="9">
        <v>3680356</v>
      </c>
      <c r="F17" s="9" t="s">
        <v>69</v>
      </c>
      <c r="G17" s="9" t="s">
        <v>78</v>
      </c>
      <c r="H17" s="9" t="s">
        <v>167</v>
      </c>
      <c r="J17" s="21" t="s">
        <v>82</v>
      </c>
      <c r="K17" s="15">
        <v>175389.3</v>
      </c>
      <c r="L17" s="15"/>
      <c r="M17" s="15"/>
      <c r="N17" s="15">
        <v>175389.3</v>
      </c>
    </row>
    <row r="18" spans="1:14" ht="14.5" x14ac:dyDescent="0.35">
      <c r="A18" s="9">
        <v>2024</v>
      </c>
      <c r="B18" s="9" t="s">
        <v>80</v>
      </c>
      <c r="C18" s="9">
        <v>-49.1</v>
      </c>
      <c r="D18" s="9" t="s">
        <v>65</v>
      </c>
      <c r="F18" s="9" t="s">
        <v>69</v>
      </c>
      <c r="G18" s="9" t="s">
        <v>91</v>
      </c>
      <c r="H18" s="9" t="s">
        <v>167</v>
      </c>
      <c r="J18" s="18" t="s">
        <v>113</v>
      </c>
      <c r="K18" s="15">
        <v>-23202</v>
      </c>
      <c r="L18" s="15"/>
      <c r="M18" s="15"/>
      <c r="N18" s="15">
        <v>-23202</v>
      </c>
    </row>
    <row r="19" spans="1:14" ht="14.5" x14ac:dyDescent="0.35">
      <c r="A19" s="9">
        <v>2024</v>
      </c>
      <c r="B19" s="9" t="s">
        <v>80</v>
      </c>
      <c r="C19" s="9">
        <v>-1020.1</v>
      </c>
      <c r="D19" s="9" t="s">
        <v>65</v>
      </c>
      <c r="F19" s="10" t="s">
        <v>92</v>
      </c>
      <c r="J19" s="18" t="s">
        <v>107</v>
      </c>
      <c r="K19" s="15">
        <v>0</v>
      </c>
      <c r="L19" s="15"/>
      <c r="M19" s="15"/>
      <c r="N19" s="15">
        <v>0</v>
      </c>
    </row>
    <row r="20" spans="1:14" ht="14.5" x14ac:dyDescent="0.35">
      <c r="A20" s="9">
        <v>2024</v>
      </c>
      <c r="B20" s="9" t="s">
        <v>80</v>
      </c>
      <c r="C20" s="9">
        <v>1066.8</v>
      </c>
      <c r="D20" s="9" t="s">
        <v>65</v>
      </c>
      <c r="E20" s="9">
        <v>1066780</v>
      </c>
      <c r="F20" s="9" t="s">
        <v>66</v>
      </c>
      <c r="G20" s="9" t="s">
        <v>208</v>
      </c>
      <c r="H20" s="9" t="s">
        <v>167</v>
      </c>
      <c r="J20" s="21" t="s">
        <v>125</v>
      </c>
      <c r="K20" s="15">
        <v>4050</v>
      </c>
      <c r="L20" s="15"/>
      <c r="M20" s="15"/>
      <c r="N20" s="15">
        <v>4050</v>
      </c>
    </row>
    <row r="21" spans="1:14" ht="14.5" x14ac:dyDescent="0.35">
      <c r="A21" s="9">
        <v>2024</v>
      </c>
      <c r="B21" s="9" t="s">
        <v>80</v>
      </c>
      <c r="C21" s="9">
        <v>5883.7</v>
      </c>
      <c r="D21" s="9" t="s">
        <v>65</v>
      </c>
      <c r="E21" s="9">
        <v>5883653</v>
      </c>
      <c r="F21" s="9" t="s">
        <v>69</v>
      </c>
      <c r="G21" s="9" t="s">
        <v>91</v>
      </c>
      <c r="H21" s="9" t="s">
        <v>167</v>
      </c>
      <c r="J21" s="21" t="s">
        <v>66</v>
      </c>
      <c r="K21" s="15">
        <v>106435.8</v>
      </c>
      <c r="L21" s="15"/>
      <c r="M21" s="15"/>
      <c r="N21" s="15">
        <v>106435.8</v>
      </c>
    </row>
    <row r="22" spans="1:14" ht="14.5" x14ac:dyDescent="0.35">
      <c r="A22" s="9">
        <v>2024</v>
      </c>
      <c r="B22" s="9" t="s">
        <v>80</v>
      </c>
      <c r="C22" s="9">
        <v>19500</v>
      </c>
      <c r="D22" s="9" t="s">
        <v>65</v>
      </c>
      <c r="E22" s="9">
        <v>19500000</v>
      </c>
      <c r="F22" s="9" t="s">
        <v>81</v>
      </c>
      <c r="G22" s="9" t="s">
        <v>68</v>
      </c>
      <c r="H22" s="9" t="s">
        <v>167</v>
      </c>
      <c r="J22" s="18" t="s">
        <v>166</v>
      </c>
      <c r="K22" s="15"/>
      <c r="L22" s="15"/>
      <c r="M22" s="15"/>
      <c r="N22" s="15"/>
    </row>
    <row r="23" spans="1:14" ht="14.5" x14ac:dyDescent="0.35">
      <c r="A23" s="9">
        <v>2024</v>
      </c>
      <c r="B23" s="9" t="s">
        <v>90</v>
      </c>
      <c r="C23" s="9">
        <v>-80.8</v>
      </c>
      <c r="D23" s="9" t="s">
        <v>65</v>
      </c>
      <c r="F23" s="9" t="s">
        <v>69</v>
      </c>
      <c r="G23" s="9" t="s">
        <v>91</v>
      </c>
      <c r="H23" s="9" t="s">
        <v>167</v>
      </c>
      <c r="J23" s="18" t="s">
        <v>92</v>
      </c>
      <c r="K23" s="15">
        <v>-11477.600000000002</v>
      </c>
      <c r="L23" s="15"/>
      <c r="M23" s="15"/>
      <c r="N23" s="15">
        <v>-11477.600000000002</v>
      </c>
    </row>
    <row r="24" spans="1:14" ht="14.5" x14ac:dyDescent="0.35">
      <c r="A24" s="9">
        <v>2024</v>
      </c>
      <c r="B24" s="9" t="s">
        <v>90</v>
      </c>
      <c r="C24" s="9">
        <v>-804.7</v>
      </c>
      <c r="D24" s="9" t="s">
        <v>65</v>
      </c>
      <c r="F24" s="10" t="s">
        <v>92</v>
      </c>
      <c r="H24" s="9" t="s">
        <v>167</v>
      </c>
      <c r="J24" s="18" t="s">
        <v>86</v>
      </c>
      <c r="K24" s="15">
        <v>-2298.9</v>
      </c>
      <c r="L24" s="15"/>
      <c r="M24" s="15"/>
      <c r="N24" s="15">
        <v>-2298.9</v>
      </c>
    </row>
    <row r="25" spans="1:14" ht="14.5" x14ac:dyDescent="0.35">
      <c r="A25" s="9">
        <v>2024</v>
      </c>
      <c r="B25" s="9" t="s">
        <v>90</v>
      </c>
      <c r="C25" s="9">
        <v>500</v>
      </c>
      <c r="D25" s="9" t="s">
        <v>65</v>
      </c>
      <c r="E25" s="9">
        <v>500000</v>
      </c>
      <c r="F25" s="9" t="s">
        <v>81</v>
      </c>
      <c r="G25" s="9" t="s">
        <v>64</v>
      </c>
      <c r="H25" s="9" t="s">
        <v>167</v>
      </c>
      <c r="J25" s="18" t="s">
        <v>94</v>
      </c>
      <c r="K25" s="15">
        <v>-11851.9</v>
      </c>
      <c r="L25" s="15"/>
      <c r="M25" s="15"/>
      <c r="N25" s="15">
        <v>-11851.9</v>
      </c>
    </row>
    <row r="26" spans="1:14" ht="14.5" x14ac:dyDescent="0.35">
      <c r="A26" s="9">
        <v>2024</v>
      </c>
      <c r="B26" s="9" t="s">
        <v>90</v>
      </c>
      <c r="C26" s="9">
        <v>914.2</v>
      </c>
      <c r="D26" s="9" t="s">
        <v>65</v>
      </c>
      <c r="E26" s="9">
        <v>914206</v>
      </c>
      <c r="F26" s="9" t="s">
        <v>69</v>
      </c>
      <c r="G26" s="9" t="s">
        <v>78</v>
      </c>
      <c r="H26" s="9" t="s">
        <v>167</v>
      </c>
      <c r="J26" s="16" t="s">
        <v>165</v>
      </c>
      <c r="K26" s="15">
        <v>1052675.6000000001</v>
      </c>
      <c r="L26" s="15">
        <v>312641.3</v>
      </c>
      <c r="M26" s="15"/>
      <c r="N26" s="15">
        <v>1365316.9000000001</v>
      </c>
    </row>
    <row r="27" spans="1:14" ht="14.5" x14ac:dyDescent="0.35">
      <c r="A27" s="9">
        <v>2024</v>
      </c>
      <c r="B27" s="9" t="s">
        <v>90</v>
      </c>
      <c r="C27" s="9">
        <v>3873.6</v>
      </c>
      <c r="D27" s="9" t="s">
        <v>65</v>
      </c>
      <c r="E27" s="9">
        <v>3873626</v>
      </c>
      <c r="F27" s="9" t="s">
        <v>69</v>
      </c>
      <c r="G27" s="9" t="s">
        <v>91</v>
      </c>
      <c r="H27" s="9" t="s">
        <v>167</v>
      </c>
      <c r="J27"/>
      <c r="K27"/>
    </row>
    <row r="28" spans="1:14" ht="14.5" x14ac:dyDescent="0.35">
      <c r="A28" s="9">
        <v>2024</v>
      </c>
      <c r="B28" s="9" t="s">
        <v>96</v>
      </c>
      <c r="C28" s="9">
        <v>-122.3</v>
      </c>
      <c r="D28" s="9" t="s">
        <v>65</v>
      </c>
      <c r="F28" s="9" t="s">
        <v>69</v>
      </c>
      <c r="G28" s="9" t="s">
        <v>91</v>
      </c>
      <c r="H28" s="9" t="s">
        <v>167</v>
      </c>
      <c r="J28"/>
      <c r="K28"/>
    </row>
    <row r="29" spans="1:14" ht="14.5" x14ac:dyDescent="0.35">
      <c r="A29" s="9">
        <v>2024</v>
      </c>
      <c r="B29" s="9" t="s">
        <v>96</v>
      </c>
      <c r="C29" s="9">
        <v>-2673.2</v>
      </c>
      <c r="D29" s="9" t="s">
        <v>65</v>
      </c>
      <c r="F29" s="10" t="s">
        <v>92</v>
      </c>
      <c r="G29" s="9" t="s">
        <v>93</v>
      </c>
      <c r="H29" s="9" t="s">
        <v>167</v>
      </c>
      <c r="J29"/>
      <c r="K29"/>
    </row>
    <row r="30" spans="1:14" ht="14.5" x14ac:dyDescent="0.35">
      <c r="A30" s="9">
        <v>2024</v>
      </c>
      <c r="B30" s="9" t="s">
        <v>96</v>
      </c>
      <c r="C30" s="9">
        <v>494.7</v>
      </c>
      <c r="D30" s="9" t="s">
        <v>65</v>
      </c>
      <c r="E30" s="9">
        <v>494731</v>
      </c>
      <c r="F30" s="9" t="s">
        <v>69</v>
      </c>
      <c r="G30" s="9" t="s">
        <v>78</v>
      </c>
      <c r="H30" s="9" t="s">
        <v>167</v>
      </c>
      <c r="J30"/>
      <c r="K30"/>
    </row>
    <row r="31" spans="1:14" ht="14.5" x14ac:dyDescent="0.35">
      <c r="A31" s="9">
        <v>2024</v>
      </c>
      <c r="B31" s="9" t="s">
        <v>96</v>
      </c>
      <c r="C31" s="9">
        <v>500</v>
      </c>
      <c r="D31" s="9" t="s">
        <v>65</v>
      </c>
      <c r="E31" s="9">
        <v>500000</v>
      </c>
      <c r="F31" s="10" t="s">
        <v>81</v>
      </c>
      <c r="G31" s="9" t="s">
        <v>64</v>
      </c>
      <c r="H31" s="9" t="s">
        <v>167</v>
      </c>
      <c r="J31"/>
      <c r="K31"/>
    </row>
    <row r="32" spans="1:14" ht="14.5" x14ac:dyDescent="0.35">
      <c r="A32" s="9">
        <v>2024</v>
      </c>
      <c r="B32" s="9" t="s">
        <v>96</v>
      </c>
      <c r="C32" s="9">
        <v>6948.3</v>
      </c>
      <c r="D32" s="9" t="s">
        <v>65</v>
      </c>
      <c r="E32" s="9">
        <v>6948286</v>
      </c>
      <c r="F32" s="9" t="s">
        <v>66</v>
      </c>
      <c r="G32" s="9" t="s">
        <v>208</v>
      </c>
      <c r="H32" s="9" t="s">
        <v>167</v>
      </c>
      <c r="J32"/>
      <c r="K32"/>
    </row>
    <row r="33" spans="1:11" ht="14.5" x14ac:dyDescent="0.35">
      <c r="A33" s="9">
        <v>2024</v>
      </c>
      <c r="B33" s="9" t="s">
        <v>96</v>
      </c>
      <c r="C33" s="9">
        <v>9584.6</v>
      </c>
      <c r="D33" s="9" t="s">
        <v>65</v>
      </c>
      <c r="E33" s="9">
        <v>9584568</v>
      </c>
      <c r="F33" s="10" t="s">
        <v>81</v>
      </c>
      <c r="G33" s="9" t="s">
        <v>68</v>
      </c>
      <c r="H33" s="9" t="s">
        <v>167</v>
      </c>
      <c r="J33"/>
      <c r="K33"/>
    </row>
    <row r="34" spans="1:11" ht="14.5" x14ac:dyDescent="0.35">
      <c r="A34" s="9">
        <v>2024</v>
      </c>
      <c r="B34" s="9" t="s">
        <v>97</v>
      </c>
      <c r="C34" s="9">
        <v>-111.4</v>
      </c>
      <c r="D34" s="9" t="s">
        <v>65</v>
      </c>
      <c r="F34" s="9" t="s">
        <v>69</v>
      </c>
      <c r="G34" s="9" t="s">
        <v>91</v>
      </c>
      <c r="H34" s="9" t="s">
        <v>167</v>
      </c>
      <c r="J34"/>
      <c r="K34"/>
    </row>
    <row r="35" spans="1:11" ht="14.5" x14ac:dyDescent="0.35">
      <c r="A35" s="9">
        <v>2024</v>
      </c>
      <c r="B35" s="9" t="s">
        <v>97</v>
      </c>
      <c r="C35" s="9">
        <v>-1020.1</v>
      </c>
      <c r="D35" s="9" t="s">
        <v>65</v>
      </c>
      <c r="E35" s="11">
        <f>34948091*0.015</f>
        <v>524221.36499999999</v>
      </c>
      <c r="F35" s="10" t="s">
        <v>92</v>
      </c>
      <c r="G35" s="9" t="s">
        <v>93</v>
      </c>
      <c r="H35" s="9" t="s">
        <v>167</v>
      </c>
      <c r="J35"/>
      <c r="K35"/>
    </row>
    <row r="36" spans="1:11" ht="14.5" x14ac:dyDescent="0.35">
      <c r="A36" s="9">
        <v>2024</v>
      </c>
      <c r="B36" s="9" t="s">
        <v>97</v>
      </c>
      <c r="C36" s="9">
        <v>798.8</v>
      </c>
      <c r="D36" s="9" t="s">
        <v>65</v>
      </c>
      <c r="E36" s="9">
        <v>798819</v>
      </c>
      <c r="F36" s="9" t="s">
        <v>69</v>
      </c>
      <c r="G36" s="9" t="s">
        <v>78</v>
      </c>
      <c r="H36" s="9" t="s">
        <v>167</v>
      </c>
      <c r="J36"/>
      <c r="K36"/>
    </row>
    <row r="37" spans="1:11" ht="14.5" x14ac:dyDescent="0.35">
      <c r="A37" s="9">
        <v>2024</v>
      </c>
      <c r="B37" s="9" t="s">
        <v>97</v>
      </c>
      <c r="C37" s="9">
        <v>5408.4</v>
      </c>
      <c r="D37" s="9" t="s">
        <v>65</v>
      </c>
      <c r="E37" s="9">
        <v>5408378</v>
      </c>
      <c r="F37" s="9" t="s">
        <v>69</v>
      </c>
      <c r="G37" s="9" t="s">
        <v>91</v>
      </c>
      <c r="H37" s="9" t="s">
        <v>167</v>
      </c>
      <c r="J37"/>
      <c r="K37"/>
    </row>
    <row r="38" spans="1:11" ht="14.5" x14ac:dyDescent="0.35">
      <c r="A38" s="9">
        <v>2024</v>
      </c>
      <c r="B38" s="9" t="s">
        <v>97</v>
      </c>
      <c r="C38" s="9">
        <v>8686.1</v>
      </c>
      <c r="D38" s="9" t="s">
        <v>65</v>
      </c>
      <c r="E38" s="9">
        <v>8686092</v>
      </c>
      <c r="F38" s="9" t="s">
        <v>69</v>
      </c>
      <c r="G38" s="9" t="s">
        <v>70</v>
      </c>
      <c r="H38" s="9" t="s">
        <v>167</v>
      </c>
      <c r="J38"/>
      <c r="K38"/>
    </row>
    <row r="39" spans="1:11" ht="14.5" x14ac:dyDescent="0.35">
      <c r="A39" s="9">
        <v>2024</v>
      </c>
      <c r="B39" s="9" t="s">
        <v>97</v>
      </c>
      <c r="C39" s="9">
        <v>16290</v>
      </c>
      <c r="D39" s="9" t="s">
        <v>65</v>
      </c>
      <c r="E39" s="9">
        <v>16290000</v>
      </c>
      <c r="F39" s="9" t="s">
        <v>69</v>
      </c>
      <c r="G39" s="9" t="s">
        <v>84</v>
      </c>
      <c r="H39" s="9" t="s">
        <v>167</v>
      </c>
      <c r="J39"/>
      <c r="K39"/>
    </row>
    <row r="40" spans="1:11" ht="14.5" x14ac:dyDescent="0.35">
      <c r="A40" s="9">
        <v>2024</v>
      </c>
      <c r="B40" s="9" t="s">
        <v>101</v>
      </c>
      <c r="C40" s="9">
        <v>-15.5</v>
      </c>
      <c r="D40" s="9" t="s">
        <v>65</v>
      </c>
      <c r="F40" s="9" t="s">
        <v>69</v>
      </c>
      <c r="G40" s="9" t="s">
        <v>91</v>
      </c>
      <c r="H40" s="9" t="s">
        <v>167</v>
      </c>
      <c r="J40"/>
      <c r="K40"/>
    </row>
    <row r="41" spans="1:11" ht="14.5" x14ac:dyDescent="0.35">
      <c r="A41" s="9">
        <v>2024</v>
      </c>
      <c r="B41" s="9" t="s">
        <v>101</v>
      </c>
      <c r="C41" s="9">
        <v>1609.9</v>
      </c>
      <c r="D41" s="9" t="s">
        <v>65</v>
      </c>
      <c r="E41" s="9">
        <v>1609865</v>
      </c>
      <c r="F41" s="9" t="s">
        <v>69</v>
      </c>
      <c r="G41" s="9" t="s">
        <v>91</v>
      </c>
      <c r="H41" s="9" t="s">
        <v>167</v>
      </c>
      <c r="J41"/>
      <c r="K41"/>
    </row>
    <row r="42" spans="1:11" x14ac:dyDescent="0.3">
      <c r="A42" s="9">
        <v>2024</v>
      </c>
      <c r="B42" s="9" t="s">
        <v>101</v>
      </c>
      <c r="C42" s="9">
        <v>1994.2</v>
      </c>
      <c r="D42" s="9" t="s">
        <v>65</v>
      </c>
      <c r="E42" s="9">
        <v>1994162</v>
      </c>
      <c r="F42" s="9" t="s">
        <v>66</v>
      </c>
      <c r="G42" s="9" t="s">
        <v>67</v>
      </c>
      <c r="H42" s="9" t="s">
        <v>167</v>
      </c>
    </row>
    <row r="43" spans="1:11" x14ac:dyDescent="0.3">
      <c r="A43" s="9">
        <v>2024</v>
      </c>
      <c r="B43" s="9" t="s">
        <v>102</v>
      </c>
      <c r="C43" s="9">
        <v>-49.9</v>
      </c>
      <c r="D43" s="9" t="s">
        <v>65</v>
      </c>
      <c r="F43" s="9" t="s">
        <v>69</v>
      </c>
      <c r="G43" s="9" t="s">
        <v>91</v>
      </c>
      <c r="H43" s="9" t="s">
        <v>167</v>
      </c>
    </row>
    <row r="44" spans="1:11" x14ac:dyDescent="0.3">
      <c r="A44" s="9">
        <v>2024</v>
      </c>
      <c r="B44" s="9" t="s">
        <v>102</v>
      </c>
      <c r="C44" s="9">
        <v>1226.9000000000001</v>
      </c>
      <c r="D44" s="9" t="s">
        <v>65</v>
      </c>
      <c r="E44" s="9">
        <v>1226864</v>
      </c>
      <c r="F44" s="9" t="s">
        <v>69</v>
      </c>
      <c r="G44" s="9" t="s">
        <v>78</v>
      </c>
      <c r="H44" s="9" t="s">
        <v>167</v>
      </c>
    </row>
    <row r="45" spans="1:11" x14ac:dyDescent="0.3">
      <c r="A45" s="9">
        <v>2024</v>
      </c>
      <c r="B45" s="9" t="s">
        <v>102</v>
      </c>
      <c r="C45" s="9">
        <v>1893</v>
      </c>
      <c r="D45" s="9" t="s">
        <v>65</v>
      </c>
      <c r="E45" s="9">
        <v>1893011</v>
      </c>
      <c r="F45" s="9" t="s">
        <v>66</v>
      </c>
      <c r="G45" s="9" t="s">
        <v>67</v>
      </c>
      <c r="H45" s="9" t="s">
        <v>167</v>
      </c>
    </row>
    <row r="46" spans="1:11" x14ac:dyDescent="0.3">
      <c r="A46" s="9">
        <v>2024</v>
      </c>
      <c r="B46" s="9" t="s">
        <v>102</v>
      </c>
      <c r="C46" s="9">
        <v>12859.2</v>
      </c>
      <c r="D46" s="9" t="s">
        <v>65</v>
      </c>
      <c r="E46" s="9">
        <v>12859247</v>
      </c>
      <c r="F46" s="10" t="s">
        <v>81</v>
      </c>
      <c r="G46" s="9" t="s">
        <v>68</v>
      </c>
      <c r="H46" s="9" t="s">
        <v>167</v>
      </c>
    </row>
    <row r="47" spans="1:11" x14ac:dyDescent="0.3">
      <c r="A47" s="9">
        <v>2024</v>
      </c>
      <c r="B47" s="9" t="s">
        <v>103</v>
      </c>
      <c r="C47" s="9">
        <v>1580.4</v>
      </c>
      <c r="D47" s="9" t="s">
        <v>65</v>
      </c>
      <c r="E47" s="9">
        <v>1580376</v>
      </c>
      <c r="F47" s="9" t="s">
        <v>66</v>
      </c>
      <c r="G47" s="9" t="s">
        <v>67</v>
      </c>
      <c r="H47" s="9" t="s">
        <v>167</v>
      </c>
    </row>
    <row r="48" spans="1:11" x14ac:dyDescent="0.3">
      <c r="A48" s="9">
        <v>2024</v>
      </c>
      <c r="B48" s="9" t="s">
        <v>103</v>
      </c>
      <c r="C48" s="9">
        <v>4447.1000000000004</v>
      </c>
      <c r="D48" s="9" t="s">
        <v>65</v>
      </c>
      <c r="E48" s="9">
        <v>4447120</v>
      </c>
      <c r="F48" s="9" t="s">
        <v>69</v>
      </c>
      <c r="G48" s="9" t="s">
        <v>78</v>
      </c>
      <c r="H48" s="9" t="s">
        <v>167</v>
      </c>
    </row>
    <row r="49" spans="1:8" x14ac:dyDescent="0.3">
      <c r="A49" s="9">
        <v>2023</v>
      </c>
      <c r="B49" s="9" t="s">
        <v>104</v>
      </c>
      <c r="C49" s="9">
        <v>76841.3</v>
      </c>
      <c r="D49" s="9" t="s">
        <v>98</v>
      </c>
      <c r="E49" s="9">
        <v>76841289</v>
      </c>
      <c r="F49" s="9" t="s">
        <v>99</v>
      </c>
      <c r="G49" s="9" t="s">
        <v>100</v>
      </c>
      <c r="H49" s="9" t="s">
        <v>167</v>
      </c>
    </row>
    <row r="50" spans="1:8" x14ac:dyDescent="0.3">
      <c r="A50" s="9">
        <v>2023</v>
      </c>
      <c r="B50" s="9" t="s">
        <v>104</v>
      </c>
      <c r="C50" s="9">
        <v>7896.7</v>
      </c>
      <c r="D50" s="9" t="s">
        <v>65</v>
      </c>
      <c r="E50" s="9">
        <v>7896728</v>
      </c>
      <c r="F50" s="10" t="s">
        <v>81</v>
      </c>
      <c r="G50" s="9" t="s">
        <v>106</v>
      </c>
      <c r="H50" s="9" t="s">
        <v>167</v>
      </c>
    </row>
    <row r="51" spans="1:8" x14ac:dyDescent="0.3">
      <c r="A51" s="9">
        <v>2023</v>
      </c>
      <c r="B51" s="9" t="s">
        <v>104</v>
      </c>
      <c r="C51" s="9">
        <v>34497.5</v>
      </c>
      <c r="D51" s="9" t="s">
        <v>65</v>
      </c>
      <c r="E51" s="9">
        <v>34497540</v>
      </c>
      <c r="F51" s="9" t="s">
        <v>82</v>
      </c>
      <c r="G51" s="9" t="s">
        <v>83</v>
      </c>
      <c r="H51" s="9" t="s">
        <v>167</v>
      </c>
    </row>
    <row r="52" spans="1:8" x14ac:dyDescent="0.3">
      <c r="A52" s="9">
        <v>2023</v>
      </c>
      <c r="B52" s="9" t="s">
        <v>104</v>
      </c>
      <c r="C52" s="9">
        <v>2286.6999999999998</v>
      </c>
      <c r="D52" s="9" t="s">
        <v>65</v>
      </c>
      <c r="E52" s="9">
        <v>2286725</v>
      </c>
      <c r="F52" s="9" t="s">
        <v>69</v>
      </c>
      <c r="G52" s="9" t="s">
        <v>91</v>
      </c>
      <c r="H52" s="9" t="s">
        <v>167</v>
      </c>
    </row>
    <row r="53" spans="1:8" x14ac:dyDescent="0.3">
      <c r="A53" s="9">
        <v>2023</v>
      </c>
      <c r="B53" s="9" t="s">
        <v>104</v>
      </c>
      <c r="C53" s="9">
        <v>2926.5</v>
      </c>
      <c r="D53" s="9" t="s">
        <v>65</v>
      </c>
      <c r="E53" s="9">
        <v>2926533</v>
      </c>
      <c r="F53" s="9" t="s">
        <v>66</v>
      </c>
      <c r="G53" s="9" t="s">
        <v>67</v>
      </c>
      <c r="H53" s="9" t="s">
        <v>167</v>
      </c>
    </row>
    <row r="54" spans="1:8" x14ac:dyDescent="0.3">
      <c r="A54" s="9">
        <v>2023</v>
      </c>
      <c r="B54" s="9" t="s">
        <v>104</v>
      </c>
      <c r="C54" s="9">
        <v>49570</v>
      </c>
      <c r="D54" s="9" t="s">
        <v>65</v>
      </c>
      <c r="E54" s="9">
        <v>49569991</v>
      </c>
      <c r="F54" s="10" t="s">
        <v>81</v>
      </c>
      <c r="G54" s="9" t="s">
        <v>68</v>
      </c>
      <c r="H54" s="9" t="s">
        <v>167</v>
      </c>
    </row>
    <row r="55" spans="1:8" x14ac:dyDescent="0.3">
      <c r="A55" s="9">
        <v>2023</v>
      </c>
      <c r="B55" s="9" t="s">
        <v>104</v>
      </c>
      <c r="C55" s="9">
        <v>1600</v>
      </c>
      <c r="D55" s="9" t="s">
        <v>65</v>
      </c>
      <c r="E55" s="9">
        <v>1600000</v>
      </c>
      <c r="F55" s="10" t="s">
        <v>81</v>
      </c>
      <c r="G55" s="9" t="s">
        <v>64</v>
      </c>
      <c r="H55" s="9" t="s">
        <v>167</v>
      </c>
    </row>
    <row r="56" spans="1:8" x14ac:dyDescent="0.3">
      <c r="A56" s="9">
        <v>2023</v>
      </c>
      <c r="B56" s="9" t="s">
        <v>104</v>
      </c>
      <c r="C56" s="9">
        <v>8720.7000000000007</v>
      </c>
      <c r="D56" s="9" t="s">
        <v>65</v>
      </c>
      <c r="E56" s="9">
        <v>8720735</v>
      </c>
      <c r="F56" s="9" t="s">
        <v>69</v>
      </c>
      <c r="G56" s="9" t="s">
        <v>78</v>
      </c>
      <c r="H56" s="9" t="s">
        <v>167</v>
      </c>
    </row>
    <row r="57" spans="1:8" x14ac:dyDescent="0.3">
      <c r="A57" s="9">
        <v>2024</v>
      </c>
      <c r="B57" s="9" t="s">
        <v>121</v>
      </c>
      <c r="C57" s="9">
        <v>-62.1</v>
      </c>
      <c r="D57" s="9" t="s">
        <v>65</v>
      </c>
      <c r="F57" s="9" t="s">
        <v>69</v>
      </c>
      <c r="G57" s="9" t="s">
        <v>91</v>
      </c>
    </row>
    <row r="58" spans="1:8" x14ac:dyDescent="0.3">
      <c r="A58" s="9">
        <v>2023</v>
      </c>
      <c r="B58" s="9" t="s">
        <v>104</v>
      </c>
      <c r="C58" s="9">
        <f>445811.6-453055.5</f>
        <v>-7243.9000000000233</v>
      </c>
      <c r="D58" s="9" t="s">
        <v>65</v>
      </c>
      <c r="F58" s="10" t="s">
        <v>81</v>
      </c>
      <c r="H58" s="9" t="s">
        <v>167</v>
      </c>
    </row>
    <row r="59" spans="1:8" x14ac:dyDescent="0.3">
      <c r="A59" s="9">
        <v>2023</v>
      </c>
      <c r="B59" s="9" t="s">
        <v>104</v>
      </c>
      <c r="C59" s="9">
        <f>99515-99563.6652</f>
        <v>-48.665200000003097</v>
      </c>
      <c r="D59" s="9" t="s">
        <v>65</v>
      </c>
      <c r="F59" s="9" t="s">
        <v>69</v>
      </c>
      <c r="H59" s="9" t="s">
        <v>167</v>
      </c>
    </row>
    <row r="60" spans="1:8" x14ac:dyDescent="0.3">
      <c r="A60" s="9">
        <v>2023</v>
      </c>
      <c r="B60" s="9" t="s">
        <v>109</v>
      </c>
      <c r="C60" s="9">
        <v>10797.1</v>
      </c>
      <c r="D60" s="10" t="s">
        <v>65</v>
      </c>
      <c r="E60" s="9">
        <v>10797144</v>
      </c>
      <c r="F60" s="9" t="s">
        <v>69</v>
      </c>
      <c r="G60" s="10" t="s">
        <v>70</v>
      </c>
      <c r="H60" s="9" t="s">
        <v>167</v>
      </c>
    </row>
    <row r="61" spans="1:8" x14ac:dyDescent="0.3">
      <c r="A61" s="9">
        <v>2023</v>
      </c>
      <c r="B61" s="9" t="s">
        <v>109</v>
      </c>
      <c r="C61" s="9">
        <v>1551.5</v>
      </c>
      <c r="D61" s="10" t="s">
        <v>65</v>
      </c>
      <c r="E61" s="9">
        <v>1551604</v>
      </c>
      <c r="F61" s="9" t="s">
        <v>69</v>
      </c>
      <c r="G61" s="9" t="s">
        <v>91</v>
      </c>
      <c r="H61" s="9" t="s">
        <v>167</v>
      </c>
    </row>
    <row r="62" spans="1:8" x14ac:dyDescent="0.3">
      <c r="A62" s="9">
        <v>2023</v>
      </c>
      <c r="B62" s="9" t="s">
        <v>109</v>
      </c>
      <c r="C62" s="9">
        <v>12000</v>
      </c>
      <c r="D62" s="10" t="s">
        <v>65</v>
      </c>
      <c r="E62" s="9">
        <v>12000000</v>
      </c>
      <c r="F62" s="10" t="s">
        <v>81</v>
      </c>
      <c r="G62" s="9" t="s">
        <v>68</v>
      </c>
      <c r="H62" s="9" t="s">
        <v>167</v>
      </c>
    </row>
    <row r="63" spans="1:8" x14ac:dyDescent="0.3">
      <c r="A63" s="9">
        <v>2023</v>
      </c>
      <c r="B63" s="9" t="s">
        <v>109</v>
      </c>
      <c r="C63" s="9">
        <v>6572.5</v>
      </c>
      <c r="D63" s="10" t="s">
        <v>65</v>
      </c>
      <c r="E63" s="9">
        <v>6572481</v>
      </c>
      <c r="F63" s="9" t="s">
        <v>66</v>
      </c>
      <c r="G63" s="9" t="s">
        <v>67</v>
      </c>
      <c r="H63" s="9" t="s">
        <v>167</v>
      </c>
    </row>
    <row r="64" spans="1:8" x14ac:dyDescent="0.3">
      <c r="A64" s="9">
        <v>2023</v>
      </c>
      <c r="B64" s="9" t="s">
        <v>109</v>
      </c>
      <c r="C64" s="9">
        <v>1800</v>
      </c>
      <c r="D64" s="10" t="s">
        <v>65</v>
      </c>
      <c r="E64" s="9">
        <v>1800000</v>
      </c>
      <c r="F64" s="10" t="s">
        <v>81</v>
      </c>
      <c r="G64" s="10" t="s">
        <v>64</v>
      </c>
      <c r="H64" s="9" t="s">
        <v>167</v>
      </c>
    </row>
    <row r="65" spans="1:8" x14ac:dyDescent="0.3">
      <c r="A65" s="9">
        <v>2023</v>
      </c>
      <c r="B65" s="9" t="s">
        <v>111</v>
      </c>
      <c r="C65" s="9">
        <v>500</v>
      </c>
      <c r="D65" s="10" t="s">
        <v>65</v>
      </c>
      <c r="E65" s="9">
        <v>500000</v>
      </c>
      <c r="F65" s="9" t="s">
        <v>69</v>
      </c>
      <c r="G65" s="9" t="s">
        <v>91</v>
      </c>
      <c r="H65" s="9" t="s">
        <v>167</v>
      </c>
    </row>
    <row r="66" spans="1:8" x14ac:dyDescent="0.3">
      <c r="A66" s="9">
        <v>2023</v>
      </c>
      <c r="B66" s="9" t="s">
        <v>111</v>
      </c>
      <c r="C66" s="9">
        <v>21091.3</v>
      </c>
      <c r="D66" s="10" t="s">
        <v>65</v>
      </c>
      <c r="E66" s="9">
        <v>21091262</v>
      </c>
      <c r="F66" s="9" t="s">
        <v>66</v>
      </c>
      <c r="G66" s="9" t="s">
        <v>67</v>
      </c>
      <c r="H66" s="9" t="s">
        <v>167</v>
      </c>
    </row>
    <row r="67" spans="1:8" x14ac:dyDescent="0.3">
      <c r="A67" s="9">
        <v>2023</v>
      </c>
      <c r="B67" s="9" t="s">
        <v>111</v>
      </c>
      <c r="C67" s="9">
        <v>400</v>
      </c>
      <c r="D67" s="10" t="s">
        <v>65</v>
      </c>
      <c r="E67" s="9">
        <v>400000</v>
      </c>
      <c r="F67" s="10" t="s">
        <v>81</v>
      </c>
      <c r="G67" s="9" t="s">
        <v>64</v>
      </c>
      <c r="H67" s="9" t="s">
        <v>167</v>
      </c>
    </row>
    <row r="68" spans="1:8" x14ac:dyDescent="0.3">
      <c r="A68" s="9">
        <v>2023</v>
      </c>
      <c r="B68" s="9" t="s">
        <v>77</v>
      </c>
      <c r="C68" s="9">
        <v>1100</v>
      </c>
      <c r="D68" s="10" t="s">
        <v>65</v>
      </c>
      <c r="E68" s="10">
        <v>1100000</v>
      </c>
      <c r="F68" s="10" t="s">
        <v>81</v>
      </c>
      <c r="G68" s="10" t="s">
        <v>64</v>
      </c>
      <c r="H68" s="9" t="s">
        <v>167</v>
      </c>
    </row>
    <row r="69" spans="1:8" x14ac:dyDescent="0.3">
      <c r="A69" s="9">
        <v>2023</v>
      </c>
      <c r="B69" s="9" t="s">
        <v>77</v>
      </c>
      <c r="C69" s="9">
        <v>13767</v>
      </c>
      <c r="D69" s="10" t="s">
        <v>65</v>
      </c>
      <c r="E69" s="10">
        <v>13766983</v>
      </c>
      <c r="F69" s="9" t="s">
        <v>66</v>
      </c>
      <c r="G69" s="10" t="s">
        <v>67</v>
      </c>
      <c r="H69" s="9" t="s">
        <v>167</v>
      </c>
    </row>
    <row r="70" spans="1:8" x14ac:dyDescent="0.3">
      <c r="A70" s="9">
        <v>2023</v>
      </c>
      <c r="B70" s="9" t="s">
        <v>77</v>
      </c>
      <c r="C70" s="9">
        <v>19984.900000000001</v>
      </c>
      <c r="D70" s="10" t="s">
        <v>65</v>
      </c>
      <c r="E70" s="10">
        <v>19984872</v>
      </c>
      <c r="F70" s="10" t="s">
        <v>81</v>
      </c>
      <c r="G70" s="10" t="s">
        <v>68</v>
      </c>
      <c r="H70" s="9" t="s">
        <v>167</v>
      </c>
    </row>
    <row r="71" spans="1:8" x14ac:dyDescent="0.3">
      <c r="A71" s="9">
        <v>2023</v>
      </c>
      <c r="B71" s="9" t="s">
        <v>77</v>
      </c>
      <c r="C71" s="9">
        <v>1E-3</v>
      </c>
      <c r="D71" s="10" t="s">
        <v>65</v>
      </c>
      <c r="E71" s="10">
        <v>1</v>
      </c>
      <c r="F71" s="9" t="s">
        <v>69</v>
      </c>
      <c r="G71" s="10" t="s">
        <v>70</v>
      </c>
      <c r="H71" s="9" t="s">
        <v>167</v>
      </c>
    </row>
    <row r="72" spans="1:8" x14ac:dyDescent="0.3">
      <c r="A72" s="9">
        <v>2023</v>
      </c>
      <c r="B72" s="9" t="s">
        <v>77</v>
      </c>
      <c r="C72" s="9">
        <v>21237.1</v>
      </c>
      <c r="D72" s="10" t="s">
        <v>65</v>
      </c>
      <c r="E72" s="9">
        <v>21237134</v>
      </c>
      <c r="F72" s="9" t="s">
        <v>69</v>
      </c>
      <c r="G72" s="9" t="s">
        <v>78</v>
      </c>
      <c r="H72" s="9" t="s">
        <v>167</v>
      </c>
    </row>
    <row r="73" spans="1:8" x14ac:dyDescent="0.3">
      <c r="A73" s="9">
        <v>2023</v>
      </c>
      <c r="B73" s="9" t="s">
        <v>80</v>
      </c>
      <c r="C73" s="9">
        <v>2241.6</v>
      </c>
      <c r="D73" s="10" t="s">
        <v>65</v>
      </c>
      <c r="E73" s="9">
        <v>2241607</v>
      </c>
      <c r="F73" s="9" t="s">
        <v>66</v>
      </c>
      <c r="G73" s="9" t="s">
        <v>67</v>
      </c>
      <c r="H73" s="9" t="s">
        <v>167</v>
      </c>
    </row>
    <row r="74" spans="1:8" x14ac:dyDescent="0.3">
      <c r="A74" s="9">
        <v>2023</v>
      </c>
      <c r="B74" s="9" t="s">
        <v>80</v>
      </c>
      <c r="C74" s="9">
        <v>4600</v>
      </c>
      <c r="D74" s="10" t="s">
        <v>65</v>
      </c>
      <c r="E74" s="9">
        <v>4600000</v>
      </c>
      <c r="F74" s="10" t="s">
        <v>81</v>
      </c>
      <c r="G74" s="9" t="s">
        <v>68</v>
      </c>
      <c r="H74" s="9" t="s">
        <v>167</v>
      </c>
    </row>
    <row r="75" spans="1:8" x14ac:dyDescent="0.3">
      <c r="A75" s="9">
        <v>2023</v>
      </c>
      <c r="B75" s="9" t="s">
        <v>80</v>
      </c>
      <c r="C75" s="9">
        <v>123643</v>
      </c>
      <c r="D75" s="10" t="s">
        <v>65</v>
      </c>
      <c r="E75" s="9">
        <v>123643009</v>
      </c>
      <c r="F75" s="9" t="s">
        <v>82</v>
      </c>
      <c r="G75" s="9" t="s">
        <v>83</v>
      </c>
      <c r="H75" s="9" t="s">
        <v>167</v>
      </c>
    </row>
    <row r="76" spans="1:8" x14ac:dyDescent="0.3">
      <c r="A76" s="9">
        <v>2023</v>
      </c>
      <c r="B76" s="9" t="s">
        <v>80</v>
      </c>
      <c r="C76" s="9">
        <v>12766</v>
      </c>
      <c r="D76" s="10" t="s">
        <v>65</v>
      </c>
      <c r="E76" s="9">
        <v>12766000</v>
      </c>
      <c r="F76" s="9" t="s">
        <v>69</v>
      </c>
      <c r="G76" s="9" t="s">
        <v>84</v>
      </c>
      <c r="H76" s="9" t="s">
        <v>167</v>
      </c>
    </row>
    <row r="77" spans="1:8" x14ac:dyDescent="0.3">
      <c r="A77" s="9">
        <v>2023</v>
      </c>
      <c r="B77" s="9" t="s">
        <v>80</v>
      </c>
      <c r="C77" s="9">
        <v>16054.2</v>
      </c>
      <c r="D77" s="10" t="s">
        <v>65</v>
      </c>
      <c r="E77" s="9">
        <v>16054214</v>
      </c>
      <c r="F77" s="9" t="s">
        <v>69</v>
      </c>
      <c r="G77" s="9" t="s">
        <v>70</v>
      </c>
      <c r="H77" s="9" t="s">
        <v>167</v>
      </c>
    </row>
    <row r="78" spans="1:8" x14ac:dyDescent="0.3">
      <c r="A78" s="9">
        <v>2023</v>
      </c>
      <c r="B78" s="9" t="s">
        <v>90</v>
      </c>
      <c r="C78" s="9">
        <v>3134.9</v>
      </c>
      <c r="D78" s="10" t="s">
        <v>65</v>
      </c>
      <c r="E78" s="9">
        <v>3134869</v>
      </c>
      <c r="F78" s="9" t="s">
        <v>66</v>
      </c>
      <c r="G78" s="9" t="s">
        <v>67</v>
      </c>
      <c r="H78" s="9" t="s">
        <v>167</v>
      </c>
    </row>
    <row r="79" spans="1:8" x14ac:dyDescent="0.3">
      <c r="A79" s="9">
        <v>2023</v>
      </c>
      <c r="B79" s="9" t="s">
        <v>90</v>
      </c>
      <c r="C79" s="9">
        <v>2000</v>
      </c>
      <c r="D79" s="10" t="s">
        <v>65</v>
      </c>
      <c r="E79" s="9">
        <v>2000000</v>
      </c>
      <c r="F79" s="9" t="s">
        <v>69</v>
      </c>
      <c r="G79" s="9" t="s">
        <v>91</v>
      </c>
      <c r="H79" s="9" t="s">
        <v>167</v>
      </c>
    </row>
    <row r="80" spans="1:8" x14ac:dyDescent="0.3">
      <c r="A80" s="9">
        <v>2023</v>
      </c>
      <c r="B80" s="9" t="s">
        <v>96</v>
      </c>
      <c r="C80" s="9">
        <v>9361.9</v>
      </c>
      <c r="D80" s="10" t="s">
        <v>65</v>
      </c>
      <c r="E80" s="11">
        <v>9361922</v>
      </c>
      <c r="F80" s="9" t="s">
        <v>66</v>
      </c>
      <c r="G80" s="9" t="s">
        <v>67</v>
      </c>
      <c r="H80" s="9" t="s">
        <v>167</v>
      </c>
    </row>
    <row r="81" spans="1:8" x14ac:dyDescent="0.3">
      <c r="A81" s="9">
        <v>2023</v>
      </c>
      <c r="B81" s="9" t="s">
        <v>96</v>
      </c>
      <c r="C81" s="9">
        <v>28300</v>
      </c>
      <c r="D81" s="10" t="s">
        <v>65</v>
      </c>
      <c r="E81" s="9">
        <v>28300000</v>
      </c>
      <c r="F81" s="10" t="s">
        <v>81</v>
      </c>
      <c r="G81" s="9" t="s">
        <v>68</v>
      </c>
      <c r="H81" s="9" t="s">
        <v>167</v>
      </c>
    </row>
    <row r="82" spans="1:8" x14ac:dyDescent="0.3">
      <c r="A82" s="9">
        <v>2023</v>
      </c>
      <c r="B82" s="9" t="s">
        <v>96</v>
      </c>
      <c r="C82" s="9">
        <v>17248.8</v>
      </c>
      <c r="D82" s="10" t="s">
        <v>65</v>
      </c>
      <c r="E82" s="9">
        <v>17248770</v>
      </c>
      <c r="F82" s="9" t="s">
        <v>82</v>
      </c>
      <c r="G82" s="9" t="s">
        <v>83</v>
      </c>
      <c r="H82" s="9" t="s">
        <v>167</v>
      </c>
    </row>
    <row r="83" spans="1:8" x14ac:dyDescent="0.3">
      <c r="A83" s="9">
        <v>2023</v>
      </c>
      <c r="B83" s="9" t="s">
        <v>96</v>
      </c>
      <c r="C83" s="9">
        <v>1578.2</v>
      </c>
      <c r="D83" s="10" t="s">
        <v>65</v>
      </c>
      <c r="E83" s="9">
        <v>1578243</v>
      </c>
      <c r="F83" s="9" t="s">
        <v>69</v>
      </c>
      <c r="G83" s="9" t="s">
        <v>91</v>
      </c>
      <c r="H83" s="9" t="s">
        <v>167</v>
      </c>
    </row>
    <row r="84" spans="1:8" x14ac:dyDescent="0.3">
      <c r="A84" s="9">
        <v>2023</v>
      </c>
      <c r="B84" s="9" t="s">
        <v>96</v>
      </c>
      <c r="C84" s="9">
        <v>15450</v>
      </c>
      <c r="D84" s="10" t="s">
        <v>65</v>
      </c>
      <c r="E84" s="9">
        <v>15450000</v>
      </c>
      <c r="F84" s="9" t="s">
        <v>69</v>
      </c>
      <c r="G84" s="9" t="s">
        <v>84</v>
      </c>
      <c r="H84" s="9" t="s">
        <v>167</v>
      </c>
    </row>
    <row r="85" spans="1:8" x14ac:dyDescent="0.3">
      <c r="A85" s="9">
        <v>2023</v>
      </c>
      <c r="B85" s="9" t="s">
        <v>96</v>
      </c>
      <c r="C85" s="9">
        <v>6622.2</v>
      </c>
      <c r="D85" s="10" t="s">
        <v>65</v>
      </c>
      <c r="E85" s="9">
        <v>6622214</v>
      </c>
      <c r="F85" s="9" t="s">
        <v>69</v>
      </c>
      <c r="G85" s="9" t="s">
        <v>70</v>
      </c>
      <c r="H85" s="9" t="s">
        <v>167</v>
      </c>
    </row>
    <row r="86" spans="1:8" x14ac:dyDescent="0.3">
      <c r="A86" s="9">
        <v>2023</v>
      </c>
      <c r="B86" s="9" t="s">
        <v>97</v>
      </c>
      <c r="C86" s="9">
        <v>5675.3</v>
      </c>
      <c r="D86" s="10" t="s">
        <v>65</v>
      </c>
      <c r="E86" s="9">
        <v>5675261</v>
      </c>
      <c r="F86" s="9" t="s">
        <v>66</v>
      </c>
      <c r="G86" s="9" t="s">
        <v>67</v>
      </c>
      <c r="H86" s="9" t="s">
        <v>167</v>
      </c>
    </row>
    <row r="87" spans="1:8" x14ac:dyDescent="0.3">
      <c r="A87" s="9">
        <v>2023</v>
      </c>
      <c r="B87" s="9" t="s">
        <v>97</v>
      </c>
      <c r="C87" s="9">
        <v>10000</v>
      </c>
      <c r="D87" s="9" t="s">
        <v>98</v>
      </c>
      <c r="E87" s="9">
        <v>10000000</v>
      </c>
      <c r="F87" s="9" t="s">
        <v>99</v>
      </c>
      <c r="G87" s="9" t="s">
        <v>100</v>
      </c>
      <c r="H87" s="9" t="s">
        <v>167</v>
      </c>
    </row>
    <row r="88" spans="1:8" x14ac:dyDescent="0.3">
      <c r="A88" s="9">
        <v>2023</v>
      </c>
      <c r="B88" s="9" t="s">
        <v>101</v>
      </c>
      <c r="C88" s="9">
        <v>6343.1</v>
      </c>
      <c r="D88" s="10" t="s">
        <v>65</v>
      </c>
      <c r="E88" s="9">
        <v>6343082</v>
      </c>
      <c r="F88" s="9" t="s">
        <v>66</v>
      </c>
      <c r="G88" s="9" t="s">
        <v>67</v>
      </c>
      <c r="H88" s="9" t="s">
        <v>167</v>
      </c>
    </row>
    <row r="89" spans="1:8" x14ac:dyDescent="0.3">
      <c r="A89" s="9">
        <v>2023</v>
      </c>
      <c r="B89" s="9" t="s">
        <v>101</v>
      </c>
      <c r="C89" s="9">
        <v>1700</v>
      </c>
      <c r="D89" s="10" t="s">
        <v>65</v>
      </c>
      <c r="E89" s="9">
        <v>1700000</v>
      </c>
      <c r="F89" s="9" t="s">
        <v>81</v>
      </c>
      <c r="G89" s="9" t="s">
        <v>68</v>
      </c>
      <c r="H89" s="9" t="s">
        <v>167</v>
      </c>
    </row>
    <row r="90" spans="1:8" x14ac:dyDescent="0.3">
      <c r="A90" s="9">
        <v>2023</v>
      </c>
      <c r="B90" s="9" t="s">
        <v>102</v>
      </c>
      <c r="C90" s="9">
        <v>11886</v>
      </c>
      <c r="D90" s="10" t="s">
        <v>65</v>
      </c>
      <c r="E90" s="9">
        <v>11886000</v>
      </c>
      <c r="F90" s="9" t="s">
        <v>66</v>
      </c>
      <c r="G90" s="9" t="s">
        <v>67</v>
      </c>
      <c r="H90" s="9" t="s">
        <v>167</v>
      </c>
    </row>
    <row r="91" spans="1:8" x14ac:dyDescent="0.3">
      <c r="A91" s="9">
        <v>2022</v>
      </c>
      <c r="B91" s="9" t="s">
        <v>104</v>
      </c>
      <c r="C91" s="9">
        <v>115000</v>
      </c>
      <c r="D91" s="10" t="s">
        <v>65</v>
      </c>
      <c r="E91" s="9">
        <v>115000000</v>
      </c>
      <c r="F91" s="9" t="s">
        <v>81</v>
      </c>
      <c r="G91" s="9" t="s">
        <v>105</v>
      </c>
      <c r="H91" s="9" t="s">
        <v>167</v>
      </c>
    </row>
    <row r="92" spans="1:8" x14ac:dyDescent="0.3">
      <c r="A92" s="9">
        <v>2022</v>
      </c>
      <c r="B92" s="9" t="s">
        <v>104</v>
      </c>
      <c r="C92" s="9">
        <v>66940.600000000006</v>
      </c>
      <c r="D92" s="10" t="s">
        <v>65</v>
      </c>
      <c r="E92" s="9">
        <v>66940563</v>
      </c>
      <c r="F92" s="9" t="s">
        <v>81</v>
      </c>
      <c r="G92" s="9" t="s">
        <v>68</v>
      </c>
      <c r="H92" s="9" t="s">
        <v>167</v>
      </c>
    </row>
    <row r="93" spans="1:8" x14ac:dyDescent="0.3">
      <c r="A93" s="9">
        <v>2022</v>
      </c>
      <c r="B93" s="9" t="s">
        <v>104</v>
      </c>
      <c r="C93" s="9">
        <v>17703.3</v>
      </c>
      <c r="D93" s="10" t="s">
        <v>65</v>
      </c>
      <c r="E93" s="9">
        <v>17703272</v>
      </c>
      <c r="F93" s="9" t="s">
        <v>81</v>
      </c>
      <c r="G93" s="9" t="s">
        <v>106</v>
      </c>
      <c r="H93" s="9" t="s">
        <v>167</v>
      </c>
    </row>
    <row r="94" spans="1:8" x14ac:dyDescent="0.3">
      <c r="A94" s="9">
        <v>2022</v>
      </c>
      <c r="B94" s="9" t="s">
        <v>109</v>
      </c>
      <c r="C94" s="9">
        <v>35000</v>
      </c>
      <c r="D94" s="10" t="s">
        <v>65</v>
      </c>
      <c r="E94" s="9">
        <v>35000000</v>
      </c>
      <c r="F94" s="9" t="s">
        <v>81</v>
      </c>
      <c r="G94" s="9" t="s">
        <v>105</v>
      </c>
      <c r="H94" s="9" t="s">
        <v>167</v>
      </c>
    </row>
    <row r="95" spans="1:8" x14ac:dyDescent="0.3">
      <c r="A95" s="9">
        <v>2022</v>
      </c>
      <c r="B95" s="9" t="s">
        <v>109</v>
      </c>
      <c r="C95" s="9">
        <v>18300</v>
      </c>
      <c r="D95" s="9" t="s">
        <v>98</v>
      </c>
      <c r="E95" s="9">
        <v>18300000</v>
      </c>
      <c r="F95" s="9" t="s">
        <v>99</v>
      </c>
      <c r="G95" s="9" t="s">
        <v>100</v>
      </c>
      <c r="H95" s="9" t="s">
        <v>167</v>
      </c>
    </row>
    <row r="96" spans="1:8" x14ac:dyDescent="0.3">
      <c r="A96" s="9">
        <v>2022</v>
      </c>
      <c r="B96" s="9" t="s">
        <v>109</v>
      </c>
      <c r="C96" s="9">
        <v>12457.5</v>
      </c>
      <c r="D96" s="10" t="s">
        <v>65</v>
      </c>
      <c r="E96" s="9">
        <v>12457517</v>
      </c>
      <c r="F96" s="9" t="s">
        <v>110</v>
      </c>
      <c r="G96" s="9" t="s">
        <v>67</v>
      </c>
      <c r="H96" s="9" t="s">
        <v>167</v>
      </c>
    </row>
    <row r="97" spans="1:8" x14ac:dyDescent="0.3">
      <c r="A97" s="9">
        <v>2022</v>
      </c>
      <c r="B97" s="9" t="s">
        <v>111</v>
      </c>
      <c r="C97" s="9">
        <v>5031.2</v>
      </c>
      <c r="D97" s="10" t="s">
        <v>65</v>
      </c>
      <c r="E97" s="9">
        <v>5031235</v>
      </c>
      <c r="F97" s="9" t="s">
        <v>110</v>
      </c>
      <c r="G97" s="9" t="s">
        <v>67</v>
      </c>
      <c r="H97" s="9" t="s">
        <v>167</v>
      </c>
    </row>
    <row r="98" spans="1:8" x14ac:dyDescent="0.3">
      <c r="A98" s="9">
        <v>2022</v>
      </c>
      <c r="B98" s="9" t="s">
        <v>77</v>
      </c>
      <c r="C98" s="9">
        <v>4607.3</v>
      </c>
      <c r="D98" s="10" t="s">
        <v>65</v>
      </c>
      <c r="E98" s="9">
        <v>4607263</v>
      </c>
      <c r="F98" s="9" t="s">
        <v>110</v>
      </c>
      <c r="G98" s="9" t="s">
        <v>67</v>
      </c>
      <c r="H98" s="9" t="s">
        <v>167</v>
      </c>
    </row>
    <row r="99" spans="1:8" x14ac:dyDescent="0.3">
      <c r="A99" s="9">
        <v>2022</v>
      </c>
      <c r="B99" s="9" t="s">
        <v>80</v>
      </c>
      <c r="C99" s="9">
        <v>2078.6</v>
      </c>
      <c r="D99" s="10" t="s">
        <v>65</v>
      </c>
      <c r="E99" s="9">
        <v>2078621</v>
      </c>
      <c r="F99" s="9" t="s">
        <v>110</v>
      </c>
      <c r="G99" s="9" t="s">
        <v>67</v>
      </c>
      <c r="H99" s="9" t="s">
        <v>167</v>
      </c>
    </row>
    <row r="100" spans="1:8" x14ac:dyDescent="0.3">
      <c r="A100" s="9">
        <v>2022</v>
      </c>
      <c r="B100" s="9" t="s">
        <v>90</v>
      </c>
      <c r="C100" s="9">
        <v>1569.6</v>
      </c>
      <c r="D100" s="10" t="s">
        <v>65</v>
      </c>
      <c r="E100" s="9">
        <v>1569640</v>
      </c>
      <c r="F100" s="9" t="s">
        <v>110</v>
      </c>
      <c r="G100" s="9" t="s">
        <v>67</v>
      </c>
      <c r="H100" s="9" t="s">
        <v>167</v>
      </c>
    </row>
    <row r="101" spans="1:8" x14ac:dyDescent="0.3">
      <c r="A101" s="9">
        <v>2022</v>
      </c>
      <c r="B101" s="9" t="s">
        <v>96</v>
      </c>
      <c r="C101" s="9">
        <v>4203.7</v>
      </c>
      <c r="D101" s="10" t="s">
        <v>65</v>
      </c>
      <c r="E101" s="9">
        <v>4203745</v>
      </c>
      <c r="F101" s="9" t="s">
        <v>110</v>
      </c>
      <c r="G101" s="9" t="s">
        <v>67</v>
      </c>
      <c r="H101" s="9" t="s">
        <v>167</v>
      </c>
    </row>
    <row r="102" spans="1:8" x14ac:dyDescent="0.3">
      <c r="A102" s="9">
        <v>2022</v>
      </c>
      <c r="B102" s="9" t="s">
        <v>97</v>
      </c>
      <c r="C102" s="9">
        <v>3038</v>
      </c>
      <c r="D102" s="10" t="s">
        <v>65</v>
      </c>
      <c r="E102" s="9">
        <v>3037979</v>
      </c>
      <c r="F102" s="9" t="s">
        <v>110</v>
      </c>
      <c r="G102" s="9" t="s">
        <v>67</v>
      </c>
      <c r="H102" s="9" t="s">
        <v>167</v>
      </c>
    </row>
    <row r="103" spans="1:8" x14ac:dyDescent="0.3">
      <c r="A103" s="9">
        <v>2022</v>
      </c>
      <c r="B103" s="9" t="s">
        <v>101</v>
      </c>
      <c r="C103" s="9">
        <v>4014</v>
      </c>
      <c r="D103" s="10" t="s">
        <v>65</v>
      </c>
      <c r="E103" s="9">
        <v>4014000</v>
      </c>
      <c r="F103" s="9" t="s">
        <v>110</v>
      </c>
      <c r="G103" s="9" t="s">
        <v>67</v>
      </c>
      <c r="H103" s="9" t="s">
        <v>167</v>
      </c>
    </row>
    <row r="104" spans="1:8" x14ac:dyDescent="0.3">
      <c r="A104" s="9">
        <v>2021</v>
      </c>
      <c r="B104" s="9" t="s">
        <v>96</v>
      </c>
      <c r="C104" s="9">
        <v>13830</v>
      </c>
      <c r="D104" s="9" t="s">
        <v>98</v>
      </c>
      <c r="E104" s="9">
        <v>13830000</v>
      </c>
      <c r="F104" s="9" t="s">
        <v>99</v>
      </c>
      <c r="G104" s="9" t="s">
        <v>115</v>
      </c>
      <c r="H104" s="9" t="s">
        <v>167</v>
      </c>
    </row>
    <row r="105" spans="1:8" x14ac:dyDescent="0.3">
      <c r="A105" s="9">
        <v>2021</v>
      </c>
      <c r="B105" s="9" t="s">
        <v>97</v>
      </c>
      <c r="C105" s="9">
        <v>1670</v>
      </c>
      <c r="D105" s="9" t="s">
        <v>98</v>
      </c>
      <c r="E105" s="9">
        <v>1670000</v>
      </c>
      <c r="F105" s="9" t="s">
        <v>99</v>
      </c>
      <c r="G105" s="9" t="s">
        <v>115</v>
      </c>
      <c r="H105" s="9" t="s">
        <v>167</v>
      </c>
    </row>
    <row r="106" spans="1:8" x14ac:dyDescent="0.3">
      <c r="A106" s="9">
        <v>2020</v>
      </c>
      <c r="B106" s="9" t="s">
        <v>104</v>
      </c>
      <c r="C106" s="9">
        <v>24500</v>
      </c>
      <c r="D106" s="9" t="s">
        <v>98</v>
      </c>
      <c r="E106" s="9">
        <v>24500000</v>
      </c>
      <c r="F106" s="9" t="s">
        <v>99</v>
      </c>
      <c r="G106" s="9" t="s">
        <v>115</v>
      </c>
      <c r="H106" s="9" t="s">
        <v>167</v>
      </c>
    </row>
    <row r="107" spans="1:8" x14ac:dyDescent="0.3">
      <c r="A107" s="9">
        <v>2020</v>
      </c>
      <c r="B107" s="9" t="s">
        <v>80</v>
      </c>
      <c r="C107" s="9">
        <v>2150</v>
      </c>
      <c r="D107" s="9" t="s">
        <v>65</v>
      </c>
      <c r="E107" s="9">
        <v>2150000</v>
      </c>
      <c r="F107" s="9" t="s">
        <v>81</v>
      </c>
      <c r="G107" s="9" t="s">
        <v>64</v>
      </c>
      <c r="H107" s="9" t="s">
        <v>167</v>
      </c>
    </row>
    <row r="108" spans="1:8" x14ac:dyDescent="0.3">
      <c r="A108" s="9">
        <v>2020</v>
      </c>
      <c r="B108" s="9" t="s">
        <v>80</v>
      </c>
      <c r="C108" s="9">
        <v>7359.9</v>
      </c>
      <c r="D108" s="9" t="s">
        <v>98</v>
      </c>
      <c r="E108" s="9">
        <v>7359900</v>
      </c>
      <c r="F108" s="9" t="s">
        <v>99</v>
      </c>
      <c r="G108" s="9" t="s">
        <v>115</v>
      </c>
      <c r="H108" s="9" t="s">
        <v>167</v>
      </c>
    </row>
    <row r="109" spans="1:8" x14ac:dyDescent="0.3">
      <c r="A109" s="9">
        <v>2020</v>
      </c>
      <c r="B109" s="9" t="s">
        <v>90</v>
      </c>
      <c r="C109" s="9">
        <v>13600</v>
      </c>
      <c r="D109" s="9" t="s">
        <v>65</v>
      </c>
      <c r="E109" s="9">
        <v>13600000</v>
      </c>
      <c r="F109" s="9" t="s">
        <v>81</v>
      </c>
      <c r="G109" s="9" t="s">
        <v>64</v>
      </c>
      <c r="H109" s="9" t="s">
        <v>167</v>
      </c>
    </row>
    <row r="110" spans="1:8" x14ac:dyDescent="0.3">
      <c r="A110" s="9">
        <v>2020</v>
      </c>
      <c r="B110" s="9" t="s">
        <v>90</v>
      </c>
      <c r="C110" s="9">
        <v>6500</v>
      </c>
      <c r="D110" s="9" t="s">
        <v>98</v>
      </c>
      <c r="E110" s="9">
        <v>6500000</v>
      </c>
      <c r="F110" s="9" t="s">
        <v>99</v>
      </c>
      <c r="G110" s="9" t="s">
        <v>115</v>
      </c>
      <c r="H110" s="9" t="s">
        <v>167</v>
      </c>
    </row>
    <row r="111" spans="1:8" x14ac:dyDescent="0.3">
      <c r="A111" s="9">
        <v>2020</v>
      </c>
      <c r="B111" s="9" t="s">
        <v>96</v>
      </c>
      <c r="C111" s="9">
        <v>3000</v>
      </c>
      <c r="D111" s="9" t="s">
        <v>65</v>
      </c>
      <c r="E111" s="9">
        <v>3000000</v>
      </c>
      <c r="F111" s="9" t="s">
        <v>81</v>
      </c>
      <c r="G111" s="9" t="s">
        <v>64</v>
      </c>
      <c r="H111" s="9" t="s">
        <v>167</v>
      </c>
    </row>
    <row r="112" spans="1:8" x14ac:dyDescent="0.3">
      <c r="A112" s="9">
        <v>2020</v>
      </c>
      <c r="B112" s="9" t="s">
        <v>97</v>
      </c>
      <c r="C112" s="9">
        <v>6640.1</v>
      </c>
      <c r="D112" s="9" t="s">
        <v>98</v>
      </c>
      <c r="E112" s="9">
        <v>6640100</v>
      </c>
      <c r="F112" s="9" t="s">
        <v>99</v>
      </c>
      <c r="G112" s="9" t="s">
        <v>115</v>
      </c>
      <c r="H112" s="9" t="s">
        <v>167</v>
      </c>
    </row>
    <row r="113" spans="1:8" x14ac:dyDescent="0.3">
      <c r="A113" s="9">
        <v>2020</v>
      </c>
      <c r="B113" s="9" t="s">
        <v>101</v>
      </c>
      <c r="C113" s="9">
        <v>3000</v>
      </c>
      <c r="D113" s="9" t="s">
        <v>65</v>
      </c>
      <c r="E113" s="9">
        <v>3000000</v>
      </c>
      <c r="F113" s="9" t="s">
        <v>81</v>
      </c>
      <c r="G113" s="9" t="s">
        <v>64</v>
      </c>
      <c r="H113" s="9" t="s">
        <v>167</v>
      </c>
    </row>
    <row r="114" spans="1:8" x14ac:dyDescent="0.3">
      <c r="A114" s="9">
        <v>2020</v>
      </c>
      <c r="B114" s="9" t="s">
        <v>103</v>
      </c>
      <c r="C114" s="9">
        <v>6000</v>
      </c>
      <c r="D114" s="9" t="s">
        <v>65</v>
      </c>
      <c r="E114" s="9">
        <v>6000000</v>
      </c>
      <c r="F114" s="9" t="s">
        <v>81</v>
      </c>
      <c r="G114" s="9" t="s">
        <v>64</v>
      </c>
      <c r="H114" s="9" t="s">
        <v>167</v>
      </c>
    </row>
    <row r="115" spans="1:8" x14ac:dyDescent="0.3">
      <c r="A115" s="9">
        <v>2019</v>
      </c>
      <c r="B115" s="9" t="s">
        <v>109</v>
      </c>
      <c r="C115" s="9">
        <v>4000</v>
      </c>
      <c r="D115" s="9" t="s">
        <v>65</v>
      </c>
      <c r="E115" s="9">
        <v>4000000</v>
      </c>
      <c r="F115" s="9" t="s">
        <v>81</v>
      </c>
      <c r="G115" s="9" t="s">
        <v>64</v>
      </c>
      <c r="H115" s="9" t="s">
        <v>167</v>
      </c>
    </row>
    <row r="116" spans="1:8" x14ac:dyDescent="0.3">
      <c r="A116" s="9">
        <v>2019</v>
      </c>
      <c r="B116" s="9" t="s">
        <v>109</v>
      </c>
      <c r="C116" s="9">
        <v>4055.2</v>
      </c>
      <c r="D116" s="9" t="s">
        <v>98</v>
      </c>
      <c r="E116" s="9">
        <v>4055202</v>
      </c>
      <c r="F116" s="9" t="s">
        <v>99</v>
      </c>
      <c r="G116" s="9" t="s">
        <v>115</v>
      </c>
      <c r="H116" s="9" t="s">
        <v>167</v>
      </c>
    </row>
    <row r="117" spans="1:8" x14ac:dyDescent="0.3">
      <c r="A117" s="9">
        <v>2019</v>
      </c>
      <c r="B117" s="9" t="s">
        <v>111</v>
      </c>
      <c r="C117" s="9">
        <v>2500</v>
      </c>
      <c r="D117" s="9" t="s">
        <v>65</v>
      </c>
      <c r="E117" s="9">
        <v>2500000</v>
      </c>
      <c r="F117" s="9" t="s">
        <v>81</v>
      </c>
      <c r="G117" s="9" t="s">
        <v>64</v>
      </c>
      <c r="H117" s="9" t="s">
        <v>167</v>
      </c>
    </row>
    <row r="118" spans="1:8" x14ac:dyDescent="0.3">
      <c r="A118" s="9">
        <v>2019</v>
      </c>
      <c r="B118" s="9" t="s">
        <v>111</v>
      </c>
      <c r="C118" s="9">
        <v>15444.8</v>
      </c>
      <c r="D118" s="9" t="s">
        <v>98</v>
      </c>
      <c r="E118" s="9">
        <v>15444798</v>
      </c>
      <c r="F118" s="9" t="s">
        <v>99</v>
      </c>
      <c r="G118" s="9" t="s">
        <v>115</v>
      </c>
      <c r="H118" s="9" t="s">
        <v>167</v>
      </c>
    </row>
    <row r="119" spans="1:8" x14ac:dyDescent="0.3">
      <c r="A119" s="9">
        <v>2019</v>
      </c>
      <c r="B119" s="9" t="s">
        <v>77</v>
      </c>
      <c r="C119" s="9">
        <v>2000</v>
      </c>
      <c r="D119" s="9" t="s">
        <v>65</v>
      </c>
      <c r="E119" s="9">
        <v>2000000</v>
      </c>
      <c r="F119" s="9" t="s">
        <v>81</v>
      </c>
      <c r="G119" s="9" t="s">
        <v>64</v>
      </c>
      <c r="H119" s="9" t="s">
        <v>167</v>
      </c>
    </row>
    <row r="120" spans="1:8" x14ac:dyDescent="0.3">
      <c r="A120" s="9">
        <v>2019</v>
      </c>
      <c r="B120" s="9" t="s">
        <v>90</v>
      </c>
      <c r="C120" s="9">
        <v>500</v>
      </c>
      <c r="D120" s="9" t="s">
        <v>65</v>
      </c>
      <c r="E120" s="9">
        <v>500000</v>
      </c>
      <c r="F120" s="9" t="s">
        <v>81</v>
      </c>
      <c r="G120" s="9" t="s">
        <v>64</v>
      </c>
      <c r="H120" s="9" t="s">
        <v>167</v>
      </c>
    </row>
    <row r="121" spans="1:8" x14ac:dyDescent="0.3">
      <c r="A121" s="9">
        <v>2019</v>
      </c>
      <c r="B121" s="9" t="s">
        <v>96</v>
      </c>
      <c r="C121" s="9">
        <v>2000</v>
      </c>
      <c r="D121" s="9" t="s">
        <v>65</v>
      </c>
      <c r="E121" s="9">
        <v>2000000</v>
      </c>
      <c r="F121" s="9" t="s">
        <v>81</v>
      </c>
      <c r="G121" s="9" t="s">
        <v>64</v>
      </c>
      <c r="H121" s="9" t="s">
        <v>167</v>
      </c>
    </row>
    <row r="122" spans="1:8" x14ac:dyDescent="0.3">
      <c r="A122" s="9">
        <v>2019</v>
      </c>
      <c r="B122" s="9" t="s">
        <v>97</v>
      </c>
      <c r="C122" s="9">
        <v>3000</v>
      </c>
      <c r="D122" s="9" t="s">
        <v>65</v>
      </c>
      <c r="E122" s="9">
        <v>3000000</v>
      </c>
      <c r="F122" s="9" t="s">
        <v>81</v>
      </c>
      <c r="G122" s="9" t="s">
        <v>64</v>
      </c>
      <c r="H122" s="9" t="s">
        <v>167</v>
      </c>
    </row>
    <row r="123" spans="1:8" x14ac:dyDescent="0.3">
      <c r="A123" s="9">
        <v>2019</v>
      </c>
      <c r="B123" s="9" t="s">
        <v>121</v>
      </c>
      <c r="C123" s="9">
        <v>2000</v>
      </c>
      <c r="D123" s="9" t="s">
        <v>65</v>
      </c>
      <c r="E123" s="9">
        <v>2000000</v>
      </c>
      <c r="F123" s="9" t="s">
        <v>81</v>
      </c>
      <c r="G123" s="9" t="s">
        <v>64</v>
      </c>
      <c r="H123" s="9" t="s">
        <v>167</v>
      </c>
    </row>
    <row r="124" spans="1:8" x14ac:dyDescent="0.3">
      <c r="A124" s="9">
        <v>2018</v>
      </c>
      <c r="B124" s="9" t="s">
        <v>104</v>
      </c>
      <c r="C124" s="9">
        <v>12240.8</v>
      </c>
      <c r="D124" s="9" t="s">
        <v>65</v>
      </c>
      <c r="E124" s="9">
        <v>12240800</v>
      </c>
      <c r="F124" s="9" t="s">
        <v>81</v>
      </c>
      <c r="G124" s="9" t="s">
        <v>64</v>
      </c>
      <c r="H124" s="9" t="s">
        <v>167</v>
      </c>
    </row>
    <row r="125" spans="1:8" x14ac:dyDescent="0.3">
      <c r="A125" s="9">
        <v>2018</v>
      </c>
      <c r="B125" s="9" t="s">
        <v>104</v>
      </c>
      <c r="C125" s="9">
        <v>20000</v>
      </c>
      <c r="D125" s="9" t="s">
        <v>98</v>
      </c>
      <c r="E125" s="9">
        <v>20000000</v>
      </c>
      <c r="F125" s="9" t="s">
        <v>99</v>
      </c>
      <c r="G125" s="9" t="s">
        <v>115</v>
      </c>
      <c r="H125" s="9" t="s">
        <v>167</v>
      </c>
    </row>
    <row r="126" spans="1:8" x14ac:dyDescent="0.3">
      <c r="A126" s="9">
        <v>2018</v>
      </c>
      <c r="B126" s="9" t="s">
        <v>109</v>
      </c>
      <c r="C126" s="9">
        <v>12759.2</v>
      </c>
      <c r="D126" s="9" t="s">
        <v>65</v>
      </c>
      <c r="E126" s="9">
        <v>12759200</v>
      </c>
      <c r="F126" s="9" t="s">
        <v>81</v>
      </c>
      <c r="G126" s="9" t="s">
        <v>64</v>
      </c>
      <c r="H126" s="9" t="s">
        <v>167</v>
      </c>
    </row>
    <row r="127" spans="1:8" x14ac:dyDescent="0.3">
      <c r="A127" s="9">
        <v>2018</v>
      </c>
      <c r="B127" s="9" t="s">
        <v>111</v>
      </c>
      <c r="C127" s="9">
        <v>2000</v>
      </c>
      <c r="D127" s="9" t="s">
        <v>65</v>
      </c>
      <c r="E127" s="9">
        <v>2000000</v>
      </c>
      <c r="F127" s="9" t="s">
        <v>81</v>
      </c>
      <c r="G127" s="9" t="s">
        <v>64</v>
      </c>
      <c r="H127" s="9" t="s">
        <v>167</v>
      </c>
    </row>
    <row r="128" spans="1:8" x14ac:dyDescent="0.3">
      <c r="A128" s="9">
        <v>2018</v>
      </c>
      <c r="B128" s="9" t="s">
        <v>77</v>
      </c>
      <c r="C128" s="9">
        <v>2000</v>
      </c>
      <c r="D128" s="9" t="s">
        <v>65</v>
      </c>
      <c r="E128" s="9">
        <v>2000000</v>
      </c>
      <c r="F128" s="9" t="s">
        <v>81</v>
      </c>
      <c r="G128" s="9" t="s">
        <v>64</v>
      </c>
      <c r="H128" s="9" t="s">
        <v>167</v>
      </c>
    </row>
    <row r="129" spans="1:8" x14ac:dyDescent="0.3">
      <c r="A129" s="9">
        <v>2017</v>
      </c>
      <c r="B129" s="9" t="s">
        <v>80</v>
      </c>
      <c r="C129" s="9">
        <v>16710</v>
      </c>
      <c r="D129" s="9" t="s">
        <v>65</v>
      </c>
      <c r="E129" s="9">
        <v>16710000</v>
      </c>
      <c r="F129" s="9" t="s">
        <v>81</v>
      </c>
      <c r="G129" s="9" t="s">
        <v>64</v>
      </c>
      <c r="H129" s="9" t="s">
        <v>167</v>
      </c>
    </row>
    <row r="130" spans="1:8" x14ac:dyDescent="0.3">
      <c r="A130" s="9">
        <v>2015</v>
      </c>
      <c r="B130" s="9" t="s">
        <v>104</v>
      </c>
      <c r="C130" s="9">
        <v>118600</v>
      </c>
      <c r="D130" s="9" t="s">
        <v>65</v>
      </c>
      <c r="E130" s="9">
        <v>1750000</v>
      </c>
      <c r="F130" s="9" t="s">
        <v>113</v>
      </c>
      <c r="G130" s="9" t="s">
        <v>114</v>
      </c>
      <c r="H130" s="9" t="s">
        <v>167</v>
      </c>
    </row>
    <row r="131" spans="1:8" x14ac:dyDescent="0.3">
      <c r="A131" s="9">
        <v>2015</v>
      </c>
      <c r="B131" s="9" t="s">
        <v>109</v>
      </c>
      <c r="C131" s="9">
        <v>75000</v>
      </c>
      <c r="D131" s="9" t="s">
        <v>65</v>
      </c>
      <c r="E131" s="9">
        <v>1156206</v>
      </c>
      <c r="F131" s="9" t="s">
        <v>85</v>
      </c>
      <c r="G131" s="10" t="s">
        <v>87</v>
      </c>
      <c r="H131" s="9" t="s">
        <v>167</v>
      </c>
    </row>
    <row r="132" spans="1:8" x14ac:dyDescent="0.3">
      <c r="A132" s="9">
        <v>2015</v>
      </c>
      <c r="B132" s="9" t="s">
        <v>102</v>
      </c>
      <c r="C132" s="9">
        <v>50000</v>
      </c>
      <c r="D132" s="9" t="s">
        <v>98</v>
      </c>
      <c r="E132" s="9">
        <v>50000000</v>
      </c>
      <c r="F132" s="9" t="s">
        <v>99</v>
      </c>
      <c r="G132" s="9" t="s">
        <v>115</v>
      </c>
      <c r="H132" s="9" t="s">
        <v>167</v>
      </c>
    </row>
    <row r="133" spans="1:8" x14ac:dyDescent="0.3">
      <c r="A133" s="9">
        <v>2015</v>
      </c>
      <c r="B133" s="9" t="s">
        <v>102</v>
      </c>
      <c r="C133" s="9">
        <v>57500</v>
      </c>
      <c r="D133" s="9" t="s">
        <v>98</v>
      </c>
      <c r="E133" s="9">
        <v>57500000</v>
      </c>
      <c r="F133" s="9" t="s">
        <v>123</v>
      </c>
      <c r="G133" s="9" t="s">
        <v>124</v>
      </c>
      <c r="H133" s="9" t="s">
        <v>167</v>
      </c>
    </row>
    <row r="134" spans="1:8" x14ac:dyDescent="0.3">
      <c r="A134" s="9">
        <v>2015</v>
      </c>
      <c r="B134" s="9" t="s">
        <v>103</v>
      </c>
      <c r="C134" s="9">
        <v>75000</v>
      </c>
      <c r="D134" s="9" t="s">
        <v>65</v>
      </c>
      <c r="E134" s="9">
        <v>1207024</v>
      </c>
      <c r="F134" s="9" t="s">
        <v>85</v>
      </c>
      <c r="G134" s="10" t="s">
        <v>87</v>
      </c>
      <c r="H134" s="9" t="s">
        <v>167</v>
      </c>
    </row>
    <row r="135" spans="1:8" x14ac:dyDescent="0.3">
      <c r="A135" s="9">
        <v>2014</v>
      </c>
      <c r="B135" s="9" t="s">
        <v>104</v>
      </c>
      <c r="C135" s="9">
        <v>1080</v>
      </c>
      <c r="D135" s="9" t="s">
        <v>65</v>
      </c>
      <c r="E135" s="9">
        <v>1080000</v>
      </c>
      <c r="F135" s="9" t="s">
        <v>107</v>
      </c>
      <c r="G135" s="9" t="s">
        <v>108</v>
      </c>
      <c r="H135" s="9" t="s">
        <v>167</v>
      </c>
    </row>
    <row r="136" spans="1:8" x14ac:dyDescent="0.3">
      <c r="A136" s="9">
        <v>2014</v>
      </c>
      <c r="B136" s="9" t="s">
        <v>104</v>
      </c>
      <c r="C136" s="9">
        <v>4050</v>
      </c>
      <c r="D136" s="9" t="s">
        <v>65</v>
      </c>
      <c r="E136" s="9">
        <v>4050000</v>
      </c>
      <c r="F136" s="9" t="s">
        <v>125</v>
      </c>
      <c r="G136" s="9" t="s">
        <v>126</v>
      </c>
      <c r="H136" s="9" t="s">
        <v>167</v>
      </c>
    </row>
    <row r="137" spans="1:8" x14ac:dyDescent="0.3">
      <c r="A137" s="9">
        <v>2023</v>
      </c>
      <c r="B137" s="9" t="s">
        <v>111</v>
      </c>
      <c r="C137" s="9">
        <v>-0.02</v>
      </c>
      <c r="D137" s="9" t="s">
        <v>65</v>
      </c>
      <c r="E137" s="9">
        <f>20000/(2000000/2000000)</f>
        <v>20000</v>
      </c>
      <c r="F137" s="10" t="s">
        <v>69</v>
      </c>
      <c r="G137" s="9" t="s">
        <v>91</v>
      </c>
      <c r="H137" s="9" t="s">
        <v>167</v>
      </c>
    </row>
    <row r="138" spans="1:8" x14ac:dyDescent="0.3">
      <c r="A138" s="9">
        <v>2023</v>
      </c>
      <c r="B138" s="9" t="s">
        <v>111</v>
      </c>
      <c r="C138" s="9">
        <v>-524.20000000000005</v>
      </c>
      <c r="D138" s="9" t="s">
        <v>65</v>
      </c>
      <c r="E138" s="11">
        <f>34948091*0.015</f>
        <v>524221.36499999999</v>
      </c>
      <c r="F138" s="9" t="s">
        <v>92</v>
      </c>
      <c r="G138" s="9" t="s">
        <v>93</v>
      </c>
      <c r="H138" s="9" t="s">
        <v>167</v>
      </c>
    </row>
    <row r="139" spans="1:8" x14ac:dyDescent="0.3">
      <c r="A139" s="9">
        <v>2023</v>
      </c>
      <c r="B139" s="9" t="s">
        <v>77</v>
      </c>
      <c r="C139" s="9">
        <v>-2298.9</v>
      </c>
      <c r="D139" s="9" t="s">
        <v>65</v>
      </c>
      <c r="E139" s="11">
        <f>2298929*1</f>
        <v>2298929</v>
      </c>
      <c r="F139" s="10" t="s">
        <v>86</v>
      </c>
      <c r="G139" s="9" t="s">
        <v>88</v>
      </c>
      <c r="H139" s="9" t="s">
        <v>167</v>
      </c>
    </row>
    <row r="140" spans="1:8" x14ac:dyDescent="0.3">
      <c r="A140" s="9">
        <v>2023</v>
      </c>
      <c r="B140" s="9" t="s">
        <v>77</v>
      </c>
      <c r="C140" s="9">
        <v>-1.5800000000000002E-2</v>
      </c>
      <c r="D140" s="9" t="s">
        <v>65</v>
      </c>
      <c r="E140" s="11">
        <f>15800/(1578243000/1578243)</f>
        <v>15.8</v>
      </c>
      <c r="F140" s="10" t="s">
        <v>69</v>
      </c>
      <c r="G140" s="9" t="s">
        <v>89</v>
      </c>
      <c r="H140" s="9" t="s">
        <v>167</v>
      </c>
    </row>
    <row r="141" spans="1:8" x14ac:dyDescent="0.3">
      <c r="A141" s="9">
        <v>2023</v>
      </c>
      <c r="B141" s="9" t="s">
        <v>80</v>
      </c>
      <c r="C141" s="10">
        <v>-6775.9</v>
      </c>
      <c r="D141" s="9" t="s">
        <v>65</v>
      </c>
      <c r="E141" s="11">
        <f>1207024*0.0588</f>
        <v>70973.011199999994</v>
      </c>
      <c r="F141" s="9" t="s">
        <v>85</v>
      </c>
      <c r="G141" s="10" t="s">
        <v>87</v>
      </c>
      <c r="H141" s="9" t="s">
        <v>167</v>
      </c>
    </row>
    <row r="142" spans="1:8" x14ac:dyDescent="0.3">
      <c r="A142" s="9">
        <v>2023</v>
      </c>
      <c r="B142" s="9" t="s">
        <v>90</v>
      </c>
      <c r="C142" s="9">
        <v>-524.20000000000005</v>
      </c>
      <c r="D142" s="10" t="s">
        <v>65</v>
      </c>
      <c r="E142" s="11">
        <f>34948091*0.015</f>
        <v>524221.36499999999</v>
      </c>
      <c r="F142" s="10" t="s">
        <v>92</v>
      </c>
      <c r="G142" s="9" t="s">
        <v>93</v>
      </c>
      <c r="H142" s="9" t="s">
        <v>167</v>
      </c>
    </row>
    <row r="143" spans="1:8" x14ac:dyDescent="0.3">
      <c r="A143" s="9">
        <v>2023</v>
      </c>
      <c r="B143" s="9" t="s">
        <v>90</v>
      </c>
      <c r="C143" s="9">
        <v>-11851.9</v>
      </c>
      <c r="D143" s="10" t="s">
        <v>65</v>
      </c>
      <c r="E143" s="11">
        <v>11851945</v>
      </c>
      <c r="F143" s="9" t="s">
        <v>94</v>
      </c>
      <c r="G143" s="9" t="s">
        <v>95</v>
      </c>
      <c r="H143" s="9" t="s">
        <v>167</v>
      </c>
    </row>
    <row r="144" spans="1:8" x14ac:dyDescent="0.3">
      <c r="A144" s="9">
        <v>2023</v>
      </c>
      <c r="B144" s="9" t="s">
        <v>96</v>
      </c>
      <c r="C144" s="10">
        <v>-5498.3</v>
      </c>
      <c r="D144" s="9" t="s">
        <v>65</v>
      </c>
      <c r="E144" s="11">
        <f>1156206*0.0588</f>
        <v>67984.912799999991</v>
      </c>
      <c r="F144" s="9" t="s">
        <v>85</v>
      </c>
      <c r="G144" s="10" t="s">
        <v>87</v>
      </c>
      <c r="H144" s="9" t="s">
        <v>167</v>
      </c>
    </row>
    <row r="145" spans="1:8" x14ac:dyDescent="0.3">
      <c r="A145" s="9">
        <v>2023</v>
      </c>
      <c r="B145" s="9" t="s">
        <v>103</v>
      </c>
      <c r="C145" s="9">
        <v>-5353.7</v>
      </c>
      <c r="D145" s="9" t="s">
        <v>65</v>
      </c>
      <c r="E145" s="11">
        <f>1207024*0.0588</f>
        <v>70973.011199999994</v>
      </c>
      <c r="F145" s="9" t="s">
        <v>85</v>
      </c>
      <c r="G145" s="10" t="s">
        <v>87</v>
      </c>
      <c r="H145" s="9" t="s">
        <v>167</v>
      </c>
    </row>
    <row r="146" spans="1:8" x14ac:dyDescent="0.3">
      <c r="A146" s="9">
        <v>2022</v>
      </c>
      <c r="B146" s="9" t="s">
        <v>104</v>
      </c>
      <c r="C146" s="9">
        <v>-4199.8</v>
      </c>
      <c r="D146" s="9" t="s">
        <v>65</v>
      </c>
      <c r="E146" s="11">
        <f>1156206*0.0588</f>
        <v>67984.912799999991</v>
      </c>
      <c r="F146" s="9" t="s">
        <v>85</v>
      </c>
      <c r="G146" s="10" t="s">
        <v>87</v>
      </c>
      <c r="H146" s="9" t="s">
        <v>167</v>
      </c>
    </row>
    <row r="147" spans="1:8" x14ac:dyDescent="0.3">
      <c r="A147" s="9">
        <v>2022</v>
      </c>
      <c r="B147" s="9" t="s">
        <v>104</v>
      </c>
      <c r="C147" s="9">
        <v>-1080</v>
      </c>
      <c r="D147" s="9" t="s">
        <v>65</v>
      </c>
      <c r="E147" s="11">
        <f>1080000*1</f>
        <v>1080000</v>
      </c>
      <c r="F147" s="9" t="s">
        <v>107</v>
      </c>
      <c r="G147" s="9" t="s">
        <v>108</v>
      </c>
      <c r="H147" s="9" t="s">
        <v>167</v>
      </c>
    </row>
    <row r="148" spans="1:8" x14ac:dyDescent="0.3">
      <c r="A148" s="9">
        <v>2022</v>
      </c>
      <c r="B148" s="9" t="s">
        <v>80</v>
      </c>
      <c r="C148" s="9">
        <v>-4284.2</v>
      </c>
      <c r="D148" s="9" t="s">
        <v>65</v>
      </c>
      <c r="E148" s="11">
        <f>1207024*0.0588</f>
        <v>70973.011199999994</v>
      </c>
      <c r="F148" s="9" t="s">
        <v>85</v>
      </c>
      <c r="G148" s="10" t="s">
        <v>87</v>
      </c>
      <c r="H148" s="9" t="s">
        <v>167</v>
      </c>
    </row>
    <row r="149" spans="1:8" x14ac:dyDescent="0.3">
      <c r="A149" s="9">
        <v>2022</v>
      </c>
      <c r="B149" s="9" t="s">
        <v>102</v>
      </c>
      <c r="C149" s="9">
        <v>-6640.2</v>
      </c>
      <c r="D149" s="9" t="s">
        <v>65</v>
      </c>
      <c r="E149" s="11">
        <f>1207024*0.0588</f>
        <v>70973.011199999994</v>
      </c>
      <c r="F149" s="9" t="s">
        <v>85</v>
      </c>
      <c r="G149" s="10" t="s">
        <v>87</v>
      </c>
      <c r="H149" s="9" t="s">
        <v>167</v>
      </c>
    </row>
    <row r="150" spans="1:8" x14ac:dyDescent="0.3">
      <c r="A150" s="9">
        <v>2022</v>
      </c>
      <c r="B150" s="9" t="s">
        <v>103</v>
      </c>
      <c r="C150" s="9">
        <f>-(49898.6+91903.4)</f>
        <v>-141802</v>
      </c>
      <c r="D150" s="9" t="s">
        <v>65</v>
      </c>
      <c r="E150" s="11">
        <v>1750000</v>
      </c>
      <c r="F150" s="9" t="s">
        <v>113</v>
      </c>
      <c r="G150" s="9" t="s">
        <v>114</v>
      </c>
      <c r="H150" s="9" t="s">
        <v>167</v>
      </c>
    </row>
  </sheetData>
  <autoFilter ref="A1:G150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"/>
    </sheetView>
  </sheetViews>
  <sheetFormatPr defaultRowHeight="14.5" x14ac:dyDescent="0.35"/>
  <cols>
    <col min="1" max="1" width="30.26953125" customWidth="1"/>
    <col min="8" max="8" width="12.6328125" customWidth="1"/>
    <col min="9" max="9" width="45.36328125" customWidth="1"/>
    <col min="10" max="10" width="12.26953125" customWidth="1"/>
  </cols>
  <sheetData>
    <row r="1" spans="1:10" x14ac:dyDescent="0.35">
      <c r="A1" s="7" t="s">
        <v>192</v>
      </c>
      <c r="B1" s="7" t="s">
        <v>194</v>
      </c>
      <c r="C1" s="7" t="s">
        <v>197</v>
      </c>
      <c r="D1" s="7" t="s">
        <v>198</v>
      </c>
      <c r="E1" s="7" t="s">
        <v>199</v>
      </c>
      <c r="F1" s="7" t="s">
        <v>200</v>
      </c>
      <c r="G1" s="7" t="s">
        <v>201</v>
      </c>
      <c r="H1" s="7" t="s">
        <v>202</v>
      </c>
      <c r="I1" s="7" t="s">
        <v>204</v>
      </c>
      <c r="J1" s="7" t="s">
        <v>195</v>
      </c>
    </row>
    <row r="2" spans="1:10" ht="43.5" x14ac:dyDescent="0.35">
      <c r="A2" s="19" t="s">
        <v>193</v>
      </c>
      <c r="B2" s="19"/>
      <c r="C2" s="19">
        <v>4915000</v>
      </c>
      <c r="D2" s="19">
        <v>900000</v>
      </c>
      <c r="E2" s="19">
        <f>Main_!V21</f>
        <v>316</v>
      </c>
      <c r="F2" s="19">
        <f>E2/D2</f>
        <v>3.5111111111111112E-4</v>
      </c>
      <c r="G2" s="19">
        <f>D2-E2</f>
        <v>899684</v>
      </c>
      <c r="H2" s="19" t="s">
        <v>203</v>
      </c>
      <c r="I2" s="19" t="s">
        <v>205</v>
      </c>
      <c r="J2" s="20" t="s">
        <v>196</v>
      </c>
    </row>
  </sheetData>
  <hyperlinks>
    <hyperlink ref="J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recepients_dynamics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2024-12-16T08:51:22Z</dcterms:modified>
</cp:coreProperties>
</file>